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drawings/drawing7.xml" ContentType="application/vnd.openxmlformats-officedocument.drawingml.chartshap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ml.chartshap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ml.chartshap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3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3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3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4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41.xml" ContentType="application/vnd.openxmlformats-officedocument.drawingml.chart+xml"/>
  <Override PartName="/xl/drawings/drawing11.xml" ContentType="application/vnd.openxmlformats-officedocument.drawingml.chartshapes+xml"/>
  <Override PartName="/xl/charts/chart42.xml" ContentType="application/vnd.openxmlformats-officedocument.drawingml.chart+xml"/>
  <Override PartName="/xl/drawings/drawing12.xml" ContentType="application/vnd.openxmlformats-officedocument.drawingml.chartshapes+xml"/>
  <Override PartName="/xl/charts/chart43.xml" ContentType="application/vnd.openxmlformats-officedocument.drawingml.chart+xml"/>
  <Override PartName="/xl/drawings/drawing13.xml" ContentType="application/vnd.openxmlformats-officedocument.drawing+xml"/>
  <Override PartName="/xl/charts/chart4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ieujacob/Desktop/00 MCDONALD'S/003 INDICES DE GESTION/2026/"/>
    </mc:Choice>
  </mc:AlternateContent>
  <xr:revisionPtr revIDLastSave="0" documentId="13_ncr:1_{00A1620C-1774-AE44-BDED-86565C75C421}" xr6:coauthVersionLast="47" xr6:coauthVersionMax="47" xr10:uidLastSave="{00000000-0000-0000-0000-000000000000}"/>
  <bookViews>
    <workbookView xWindow="0" yWindow="660" windowWidth="30240" windowHeight="18980" firstSheet="13" activeTab="24" xr2:uid="{D5097957-49F3-8544-BD0A-F74D7AC5B84E}"/>
  </bookViews>
  <sheets>
    <sheet name="GLOBAL 26" sheetId="38" r:id="rId1"/>
    <sheet name="GLOBAL PREV" sheetId="37" r:id="rId2"/>
    <sheet name="PREV 2026" sheetId="34" r:id="rId3"/>
    <sheet name="CHAMNORD" sheetId="1" r:id="rId4"/>
    <sheet name="AIX" sheetId="2" r:id="rId5"/>
    <sheet name="BELLEY" sheetId="6" r:id="rId6"/>
    <sheet name="STALBAN" sheetId="9" r:id="rId7"/>
    <sheet name="ABRETS" sheetId="10" r:id="rId8"/>
    <sheet name="PONT" sheetId="11" r:id="rId9"/>
    <sheet name="FRANCIN" sheetId="12" r:id="rId10"/>
    <sheet name="VIVIERS" sheetId="13" r:id="rId11"/>
    <sheet name="FRANCHISE" sheetId="14" r:id="rId12"/>
    <sheet name="DONNEES " sheetId="33" r:id="rId13"/>
    <sheet name="ANALYSE FINANCIERE" sheetId="40" r:id="rId14"/>
    <sheet name="ANALYSE QSP" sheetId="35" r:id="rId15"/>
    <sheet name="BEST OF THE BEST" sheetId="32" state="hidden" r:id="rId16"/>
    <sheet name="DRIVE 🏎️" sheetId="17" r:id="rId17"/>
    <sheet name="LAD 🛍️" sheetId="16" r:id="rId18"/>
    <sheet name="OPH" sheetId="29" r:id="rId19"/>
    <sheet name="RECORD 🥇" sheetId="22" r:id="rId20"/>
    <sheet name="INDICES CA 💵" sheetId="3" r:id="rId21"/>
    <sheet name="DIGITAL 💻" sheetId="25" r:id="rId22"/>
    <sheet name="INDICES QSP 🍔" sheetId="5" r:id="rId23"/>
    <sheet name="INDICES RH 🤝" sheetId="4" r:id="rId24"/>
    <sheet name="INDICES FINANCIERS 📈" sheetId="7" r:id="rId25"/>
    <sheet name="ANALYSES 🔬" sheetId="8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definedNames>
    <definedName name="_xlnm.Print_Area" localSheetId="13">'ANALYSE FINANCIERE'!$A$2:$Y$113</definedName>
    <definedName name="_xlnm.Print_Area" localSheetId="14">'ANALYSE QSP'!$A$3:$Y$351</definedName>
    <definedName name="_xlnm.Print_Area" localSheetId="15">'BEST OF THE BEST'!$A$1:$S$36</definedName>
    <definedName name="_xlnm.Print_Area" localSheetId="21">'DIGITAL 💻'!$A$1:$V$127</definedName>
    <definedName name="_xlnm.Print_Area" localSheetId="16">'DRIVE 🏎️'!$A$1:$U$71</definedName>
    <definedName name="_xlnm.Print_Area" localSheetId="20">'INDICES CA 💵'!$A$1:$V$112</definedName>
    <definedName name="_xlnm.Print_Area" localSheetId="24">'INDICES FINANCIERS 📈'!$A$1:$V$111</definedName>
    <definedName name="_xlnm.Print_Area" localSheetId="22">'INDICES QSP 🍔'!$A$1:$V$103</definedName>
    <definedName name="_xlnm.Print_Area" localSheetId="23">'INDICES RH 🤝'!$A$1:$V$128</definedName>
    <definedName name="_xlnm.Print_Area" localSheetId="17">'LAD 🛍️'!$A$1:$U$71</definedName>
    <definedName name="_xlnm.Print_Area" localSheetId="19">'RECORD 🥇'!$A$1:$V$41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2" i="7" l="1"/>
  <c r="O102" i="7"/>
  <c r="M102" i="7"/>
  <c r="K102" i="7"/>
  <c r="I102" i="7"/>
  <c r="G102" i="7"/>
  <c r="E102" i="7"/>
  <c r="S102" i="7"/>
  <c r="T17" i="7"/>
  <c r="T9" i="7"/>
  <c r="T8" i="7"/>
  <c r="T7" i="7"/>
  <c r="T6" i="7"/>
  <c r="T5" i="7"/>
  <c r="R17" i="7"/>
  <c r="R9" i="7"/>
  <c r="R8" i="7"/>
  <c r="R7" i="7"/>
  <c r="R6" i="7"/>
  <c r="R5" i="7"/>
  <c r="P17" i="7"/>
  <c r="P9" i="7"/>
  <c r="P8" i="7"/>
  <c r="P7" i="7"/>
  <c r="P6" i="7"/>
  <c r="P5" i="7"/>
  <c r="N17" i="7"/>
  <c r="N9" i="7"/>
  <c r="N8" i="7"/>
  <c r="N7" i="7"/>
  <c r="N6" i="7"/>
  <c r="N5" i="7"/>
  <c r="L17" i="7"/>
  <c r="L9" i="7"/>
  <c r="L8" i="7"/>
  <c r="L7" i="7"/>
  <c r="L6" i="7"/>
  <c r="L5" i="7"/>
  <c r="J17" i="7"/>
  <c r="J9" i="7"/>
  <c r="J8" i="7"/>
  <c r="J7" i="7"/>
  <c r="J6" i="7"/>
  <c r="J5" i="7"/>
  <c r="H17" i="7"/>
  <c r="H9" i="7"/>
  <c r="H8" i="7"/>
  <c r="H7" i="7"/>
  <c r="H6" i="7"/>
  <c r="H5" i="7"/>
  <c r="F17" i="7"/>
  <c r="F9" i="7"/>
  <c r="F8" i="7"/>
  <c r="F7" i="7"/>
  <c r="F6" i="7"/>
  <c r="F5" i="7"/>
  <c r="D17" i="7"/>
  <c r="D9" i="7"/>
  <c r="D8" i="7"/>
  <c r="D7" i="7"/>
  <c r="D6" i="7"/>
  <c r="D5" i="7"/>
  <c r="Y21" i="33"/>
  <c r="T49" i="5"/>
  <c r="W32" i="35"/>
  <c r="D32" i="35"/>
  <c r="W31" i="35"/>
  <c r="V31" i="35"/>
  <c r="D31" i="35"/>
  <c r="W30" i="35"/>
  <c r="U30" i="35"/>
  <c r="D30" i="35"/>
  <c r="W29" i="35"/>
  <c r="V29" i="35"/>
  <c r="D29" i="35"/>
  <c r="W28" i="35"/>
  <c r="D28" i="35"/>
  <c r="W27" i="35"/>
  <c r="V27" i="35"/>
  <c r="D27" i="35"/>
  <c r="W26" i="35"/>
  <c r="V26" i="35"/>
  <c r="U26" i="35"/>
  <c r="D26" i="35"/>
  <c r="P102" i="33"/>
  <c r="P101" i="33"/>
  <c r="P100" i="33"/>
  <c r="P99" i="33"/>
  <c r="P98" i="33"/>
  <c r="P97" i="33"/>
  <c r="P96" i="33"/>
  <c r="P95" i="33"/>
  <c r="O72" i="33"/>
  <c r="O71" i="33"/>
  <c r="O70" i="33"/>
  <c r="O69" i="33"/>
  <c r="O68" i="33"/>
  <c r="O67" i="33"/>
  <c r="O66" i="33"/>
  <c r="O65" i="33"/>
  <c r="O64" i="33"/>
  <c r="E72" i="33"/>
  <c r="E71" i="33"/>
  <c r="E70" i="33"/>
  <c r="E69" i="33"/>
  <c r="E68" i="33"/>
  <c r="E67" i="33"/>
  <c r="E66" i="33"/>
  <c r="E65" i="33"/>
  <c r="E64" i="33"/>
  <c r="E51" i="33"/>
  <c r="E50" i="33"/>
  <c r="E49" i="33"/>
  <c r="E48" i="33"/>
  <c r="E47" i="33"/>
  <c r="E46" i="33"/>
  <c r="E45" i="33"/>
  <c r="E44" i="33"/>
  <c r="E31" i="33"/>
  <c r="E30" i="33"/>
  <c r="E29" i="33"/>
  <c r="E28" i="33"/>
  <c r="E27" i="33"/>
  <c r="E26" i="33"/>
  <c r="E25" i="33"/>
  <c r="E24" i="33"/>
  <c r="E23" i="33"/>
  <c r="E20" i="33"/>
  <c r="E19" i="33"/>
  <c r="E18" i="33"/>
  <c r="E17" i="33"/>
  <c r="E16" i="33"/>
  <c r="E15" i="33"/>
  <c r="E14" i="33"/>
  <c r="E13" i="33"/>
  <c r="E12" i="33"/>
  <c r="Y58" i="37"/>
  <c r="V58" i="37"/>
  <c r="S58" i="37"/>
  <c r="P58" i="37"/>
  <c r="M58" i="37"/>
  <c r="J58" i="37"/>
  <c r="G58" i="37"/>
  <c r="D58" i="37"/>
  <c r="Y57" i="37"/>
  <c r="V57" i="37"/>
  <c r="S57" i="37"/>
  <c r="P57" i="37"/>
  <c r="M57" i="37"/>
  <c r="J57" i="37"/>
  <c r="G57" i="37"/>
  <c r="D57" i="37"/>
  <c r="Y56" i="37"/>
  <c r="V56" i="37"/>
  <c r="S56" i="37"/>
  <c r="P56" i="37"/>
  <c r="M56" i="37"/>
  <c r="J56" i="37"/>
  <c r="G56" i="37"/>
  <c r="D56" i="37"/>
  <c r="Y55" i="37"/>
  <c r="V55" i="37"/>
  <c r="S55" i="37"/>
  <c r="P55" i="37"/>
  <c r="M55" i="37"/>
  <c r="J55" i="37"/>
  <c r="G55" i="37"/>
  <c r="D55" i="37"/>
  <c r="Y54" i="37"/>
  <c r="V54" i="37"/>
  <c r="S54" i="37"/>
  <c r="P54" i="37"/>
  <c r="M54" i="37"/>
  <c r="J54" i="37"/>
  <c r="G54" i="37"/>
  <c r="D54" i="37"/>
  <c r="Y53" i="37"/>
  <c r="V53" i="37"/>
  <c r="S53" i="37"/>
  <c r="P53" i="37"/>
  <c r="M53" i="37"/>
  <c r="J53" i="37"/>
  <c r="G53" i="37"/>
  <c r="D53" i="37"/>
  <c r="Y52" i="37"/>
  <c r="V52" i="37"/>
  <c r="S52" i="37"/>
  <c r="P52" i="37"/>
  <c r="M52" i="37"/>
  <c r="J52" i="37"/>
  <c r="G52" i="37"/>
  <c r="D52" i="37"/>
  <c r="Y51" i="37"/>
  <c r="V51" i="37"/>
  <c r="S51" i="37"/>
  <c r="P51" i="37"/>
  <c r="M51" i="37"/>
  <c r="J51" i="37"/>
  <c r="G51" i="37"/>
  <c r="D51" i="37"/>
  <c r="Y50" i="37"/>
  <c r="V50" i="37"/>
  <c r="S50" i="37"/>
  <c r="P50" i="37"/>
  <c r="M50" i="37"/>
  <c r="J50" i="37"/>
  <c r="G50" i="37"/>
  <c r="D50" i="37"/>
  <c r="Y49" i="37"/>
  <c r="V49" i="37"/>
  <c r="S49" i="37"/>
  <c r="P49" i="37"/>
  <c r="M49" i="37"/>
  <c r="J49" i="37"/>
  <c r="G49" i="37"/>
  <c r="D49" i="37"/>
  <c r="Y48" i="37"/>
  <c r="V48" i="37"/>
  <c r="S48" i="37"/>
  <c r="P48" i="37"/>
  <c r="M48" i="37"/>
  <c r="J48" i="37"/>
  <c r="G48" i="37"/>
  <c r="D48" i="37"/>
  <c r="Y47" i="37"/>
  <c r="V47" i="37"/>
  <c r="S47" i="37"/>
  <c r="P47" i="37"/>
  <c r="M47" i="37"/>
  <c r="J47" i="37"/>
  <c r="G47" i="37"/>
  <c r="D47" i="37"/>
  <c r="Y46" i="37"/>
  <c r="V46" i="37"/>
  <c r="S46" i="37"/>
  <c r="P46" i="37"/>
  <c r="M46" i="37"/>
  <c r="J46" i="37"/>
  <c r="G46" i="37"/>
  <c r="D46" i="37"/>
  <c r="Y45" i="37"/>
  <c r="V45" i="37"/>
  <c r="S45" i="37"/>
  <c r="P45" i="37"/>
  <c r="M45" i="37"/>
  <c r="J45" i="37"/>
  <c r="G45" i="37"/>
  <c r="D45" i="37"/>
  <c r="Y44" i="37"/>
  <c r="V44" i="37"/>
  <c r="S44" i="37"/>
  <c r="P44" i="37"/>
  <c r="M44" i="37"/>
  <c r="J44" i="37"/>
  <c r="G44" i="37"/>
  <c r="D44" i="37"/>
  <c r="Y43" i="37"/>
  <c r="V43" i="37"/>
  <c r="S43" i="37"/>
  <c r="P43" i="37"/>
  <c r="M43" i="37"/>
  <c r="J43" i="37"/>
  <c r="G43" i="37"/>
  <c r="D43" i="37"/>
  <c r="Y42" i="37"/>
  <c r="V42" i="37"/>
  <c r="S42" i="37"/>
  <c r="P42" i="37"/>
  <c r="M42" i="37"/>
  <c r="J42" i="37"/>
  <c r="G42" i="37"/>
  <c r="D42" i="37"/>
  <c r="Y41" i="37"/>
  <c r="V41" i="37"/>
  <c r="S41" i="37"/>
  <c r="P41" i="37"/>
  <c r="M41" i="37"/>
  <c r="J41" i="37"/>
  <c r="G41" i="37"/>
  <c r="D41" i="37"/>
  <c r="Y40" i="37"/>
  <c r="V40" i="37"/>
  <c r="S40" i="37"/>
  <c r="P40" i="37"/>
  <c r="M40" i="37"/>
  <c r="J40" i="37"/>
  <c r="G40" i="37"/>
  <c r="D40" i="37"/>
  <c r="Y39" i="37"/>
  <c r="V39" i="37"/>
  <c r="S39" i="37"/>
  <c r="P39" i="37"/>
  <c r="M39" i="37"/>
  <c r="J39" i="37"/>
  <c r="G39" i="37"/>
  <c r="D39" i="37"/>
  <c r="Y38" i="37"/>
  <c r="V38" i="37"/>
  <c r="S38" i="37"/>
  <c r="P38" i="37"/>
  <c r="M38" i="37"/>
  <c r="J38" i="37"/>
  <c r="G38" i="37"/>
  <c r="D38" i="37"/>
  <c r="Y37" i="37"/>
  <c r="V37" i="37"/>
  <c r="S37" i="37"/>
  <c r="P37" i="37"/>
  <c r="M37" i="37"/>
  <c r="J37" i="37"/>
  <c r="G37" i="37"/>
  <c r="D37" i="37"/>
  <c r="Y36" i="37"/>
  <c r="V36" i="37"/>
  <c r="S36" i="37"/>
  <c r="P36" i="37"/>
  <c r="M36" i="37"/>
  <c r="J36" i="37"/>
  <c r="G36" i="37"/>
  <c r="D36" i="37"/>
  <c r="Y35" i="37"/>
  <c r="V35" i="37"/>
  <c r="S35" i="37"/>
  <c r="P35" i="37"/>
  <c r="M35" i="37"/>
  <c r="J35" i="37"/>
  <c r="G35" i="37"/>
  <c r="D35" i="37"/>
  <c r="Y34" i="37"/>
  <c r="V34" i="37"/>
  <c r="S34" i="37"/>
  <c r="P34" i="37"/>
  <c r="M34" i="37"/>
  <c r="J34" i="37"/>
  <c r="G34" i="37"/>
  <c r="D34" i="37"/>
  <c r="Y33" i="37"/>
  <c r="V33" i="37"/>
  <c r="S33" i="37"/>
  <c r="P33" i="37"/>
  <c r="M33" i="37"/>
  <c r="J33" i="37"/>
  <c r="G33" i="37"/>
  <c r="D33" i="37"/>
  <c r="Y32" i="37"/>
  <c r="V32" i="37"/>
  <c r="S32" i="37"/>
  <c r="P32" i="37"/>
  <c r="M32" i="37"/>
  <c r="J32" i="37"/>
  <c r="G32" i="37"/>
  <c r="D32" i="37"/>
  <c r="Y31" i="37"/>
  <c r="V31" i="37"/>
  <c r="S31" i="37"/>
  <c r="P31" i="37"/>
  <c r="M31" i="37"/>
  <c r="J31" i="37"/>
  <c r="G31" i="37"/>
  <c r="D31" i="37"/>
  <c r="Y30" i="37"/>
  <c r="V30" i="37"/>
  <c r="S30" i="37"/>
  <c r="P30" i="37"/>
  <c r="M30" i="37"/>
  <c r="J30" i="37"/>
  <c r="G30" i="37"/>
  <c r="D30" i="37"/>
  <c r="Y29" i="37"/>
  <c r="V29" i="37"/>
  <c r="S29" i="37"/>
  <c r="P29" i="37"/>
  <c r="M29" i="37"/>
  <c r="J29" i="37"/>
  <c r="G29" i="37"/>
  <c r="D29" i="37"/>
  <c r="Y28" i="37"/>
  <c r="V28" i="37"/>
  <c r="S28" i="37"/>
  <c r="P28" i="37"/>
  <c r="M28" i="37"/>
  <c r="J28" i="37"/>
  <c r="G28" i="37"/>
  <c r="D28" i="37"/>
  <c r="Y27" i="37"/>
  <c r="V27" i="37"/>
  <c r="S27" i="37"/>
  <c r="P27" i="37"/>
  <c r="M27" i="37"/>
  <c r="J27" i="37"/>
  <c r="G27" i="37"/>
  <c r="D27" i="37"/>
  <c r="Y26" i="37"/>
  <c r="V26" i="37"/>
  <c r="S26" i="37"/>
  <c r="P26" i="37"/>
  <c r="M26" i="37"/>
  <c r="J26" i="37"/>
  <c r="G26" i="37"/>
  <c r="D26" i="37"/>
  <c r="Y25" i="37"/>
  <c r="V25" i="37"/>
  <c r="S25" i="37"/>
  <c r="P25" i="37"/>
  <c r="M25" i="37"/>
  <c r="J25" i="37"/>
  <c r="G25" i="37"/>
  <c r="D25" i="37"/>
  <c r="Y24" i="37"/>
  <c r="V24" i="37"/>
  <c r="S24" i="37"/>
  <c r="P24" i="37"/>
  <c r="M24" i="37"/>
  <c r="J24" i="37"/>
  <c r="G24" i="37"/>
  <c r="D24" i="37"/>
  <c r="Y23" i="37"/>
  <c r="V23" i="37"/>
  <c r="S23" i="37"/>
  <c r="P23" i="37"/>
  <c r="M23" i="37"/>
  <c r="J23" i="37"/>
  <c r="G23" i="37"/>
  <c r="D23" i="37"/>
  <c r="Y22" i="37"/>
  <c r="V22" i="37"/>
  <c r="S22" i="37"/>
  <c r="P22" i="37"/>
  <c r="M22" i="37"/>
  <c r="J22" i="37"/>
  <c r="G22" i="37"/>
  <c r="D22" i="37"/>
  <c r="Y21" i="37"/>
  <c r="V21" i="37"/>
  <c r="S21" i="37"/>
  <c r="P21" i="37"/>
  <c r="M21" i="37"/>
  <c r="J21" i="37"/>
  <c r="G21" i="37"/>
  <c r="D21" i="37"/>
  <c r="Y20" i="37"/>
  <c r="V20" i="37"/>
  <c r="S20" i="37"/>
  <c r="P20" i="37"/>
  <c r="M20" i="37"/>
  <c r="J20" i="37"/>
  <c r="G20" i="37"/>
  <c r="D20" i="37"/>
  <c r="Y19" i="37"/>
  <c r="V19" i="37"/>
  <c r="S19" i="37"/>
  <c r="P19" i="37"/>
  <c r="M19" i="37"/>
  <c r="J19" i="37"/>
  <c r="G19" i="37"/>
  <c r="D19" i="37"/>
  <c r="Y18" i="37"/>
  <c r="V18" i="37"/>
  <c r="S18" i="37"/>
  <c r="P18" i="37"/>
  <c r="M18" i="37"/>
  <c r="J18" i="37"/>
  <c r="G18" i="37"/>
  <c r="D18" i="37"/>
  <c r="Y17" i="37"/>
  <c r="V17" i="37"/>
  <c r="S17" i="37"/>
  <c r="P17" i="37"/>
  <c r="M17" i="37"/>
  <c r="J17" i="37"/>
  <c r="G17" i="37"/>
  <c r="D17" i="37"/>
  <c r="Y16" i="37"/>
  <c r="V16" i="37"/>
  <c r="S16" i="37"/>
  <c r="P16" i="37"/>
  <c r="M16" i="37"/>
  <c r="J16" i="37"/>
  <c r="G16" i="37"/>
  <c r="D16" i="37"/>
  <c r="Y15" i="37"/>
  <c r="V15" i="37"/>
  <c r="S15" i="37"/>
  <c r="P15" i="37"/>
  <c r="M15" i="37"/>
  <c r="J15" i="37"/>
  <c r="G15" i="37"/>
  <c r="D15" i="37"/>
  <c r="Y14" i="37"/>
  <c r="V14" i="37"/>
  <c r="S14" i="37"/>
  <c r="P14" i="37"/>
  <c r="M14" i="37"/>
  <c r="J14" i="37"/>
  <c r="G14" i="37"/>
  <c r="D14" i="37"/>
  <c r="Y13" i="37"/>
  <c r="V13" i="37"/>
  <c r="S13" i="37"/>
  <c r="P13" i="37"/>
  <c r="M13" i="37"/>
  <c r="J13" i="37"/>
  <c r="G13" i="37"/>
  <c r="D13" i="37"/>
  <c r="Y12" i="37"/>
  <c r="V12" i="37"/>
  <c r="S12" i="37"/>
  <c r="P12" i="37"/>
  <c r="M12" i="37"/>
  <c r="J12" i="37"/>
  <c r="G12" i="37"/>
  <c r="D12" i="37"/>
  <c r="Y11" i="37"/>
  <c r="V11" i="37"/>
  <c r="S11" i="37"/>
  <c r="P11" i="37"/>
  <c r="M11" i="37"/>
  <c r="J11" i="37"/>
  <c r="G11" i="37"/>
  <c r="D11" i="37"/>
  <c r="Y10" i="37"/>
  <c r="V10" i="37"/>
  <c r="S10" i="37"/>
  <c r="P10" i="37"/>
  <c r="M10" i="37"/>
  <c r="J10" i="37"/>
  <c r="G10" i="37"/>
  <c r="D10" i="37"/>
  <c r="Y9" i="37"/>
  <c r="V9" i="37"/>
  <c r="S9" i="37"/>
  <c r="P9" i="37"/>
  <c r="M9" i="37"/>
  <c r="J9" i="37"/>
  <c r="G9" i="37"/>
  <c r="D9" i="37"/>
  <c r="Y8" i="37"/>
  <c r="V8" i="37"/>
  <c r="S8" i="37"/>
  <c r="P8" i="37"/>
  <c r="M8" i="37"/>
  <c r="J8" i="37"/>
  <c r="G8" i="37"/>
  <c r="D8" i="37"/>
  <c r="Y7" i="37"/>
  <c r="V7" i="37"/>
  <c r="S7" i="37"/>
  <c r="P7" i="37"/>
  <c r="M7" i="37"/>
  <c r="J7" i="37"/>
  <c r="G7" i="37"/>
  <c r="D7" i="37"/>
  <c r="Y6" i="37"/>
  <c r="V6" i="37"/>
  <c r="S6" i="37"/>
  <c r="P6" i="37"/>
  <c r="M6" i="37"/>
  <c r="J6" i="37"/>
  <c r="G6" i="37"/>
  <c r="D6" i="37"/>
  <c r="AB58" i="38"/>
  <c r="AA58" i="38"/>
  <c r="Y58" i="38"/>
  <c r="X58" i="38"/>
  <c r="V58" i="38"/>
  <c r="U58" i="38"/>
  <c r="S58" i="38"/>
  <c r="R58" i="38"/>
  <c r="P58" i="38"/>
  <c r="O58" i="38"/>
  <c r="M58" i="38"/>
  <c r="L58" i="38"/>
  <c r="J58" i="38"/>
  <c r="I58" i="38"/>
  <c r="G58" i="38"/>
  <c r="F58" i="38"/>
  <c r="D58" i="38"/>
  <c r="C58" i="38"/>
  <c r="AB57" i="38"/>
  <c r="AA57" i="38"/>
  <c r="Y57" i="38"/>
  <c r="X57" i="38"/>
  <c r="V57" i="38"/>
  <c r="U57" i="38"/>
  <c r="S57" i="38"/>
  <c r="R57" i="38"/>
  <c r="P57" i="38"/>
  <c r="O57" i="38"/>
  <c r="M57" i="38"/>
  <c r="L57" i="38"/>
  <c r="J57" i="38"/>
  <c r="I57" i="38"/>
  <c r="G57" i="38"/>
  <c r="F57" i="38"/>
  <c r="D57" i="38"/>
  <c r="C57" i="38"/>
  <c r="AB56" i="38"/>
  <c r="AA56" i="38"/>
  <c r="Y56" i="38"/>
  <c r="X56" i="38"/>
  <c r="V56" i="38"/>
  <c r="U56" i="38"/>
  <c r="S56" i="38"/>
  <c r="R56" i="38"/>
  <c r="P56" i="38"/>
  <c r="O56" i="38"/>
  <c r="M56" i="38"/>
  <c r="L56" i="38"/>
  <c r="J56" i="38"/>
  <c r="I56" i="38"/>
  <c r="G56" i="38"/>
  <c r="F56" i="38"/>
  <c r="D56" i="38"/>
  <c r="C56" i="38"/>
  <c r="AB55" i="38"/>
  <c r="AA55" i="38"/>
  <c r="Y55" i="38"/>
  <c r="X55" i="38"/>
  <c r="V55" i="38"/>
  <c r="U55" i="38"/>
  <c r="S55" i="38"/>
  <c r="R55" i="38"/>
  <c r="P55" i="38"/>
  <c r="O55" i="38"/>
  <c r="M55" i="38"/>
  <c r="L55" i="38"/>
  <c r="J55" i="38"/>
  <c r="I55" i="38"/>
  <c r="G55" i="38"/>
  <c r="F55" i="38"/>
  <c r="D55" i="38"/>
  <c r="C55" i="38"/>
  <c r="AB54" i="38"/>
  <c r="AA54" i="38"/>
  <c r="Y54" i="38"/>
  <c r="X54" i="38"/>
  <c r="V54" i="38"/>
  <c r="U54" i="38"/>
  <c r="S54" i="38"/>
  <c r="R54" i="38"/>
  <c r="P54" i="38"/>
  <c r="O54" i="38"/>
  <c r="M54" i="38"/>
  <c r="L54" i="38"/>
  <c r="J54" i="38"/>
  <c r="I54" i="38"/>
  <c r="G54" i="38"/>
  <c r="F54" i="38"/>
  <c r="D54" i="38"/>
  <c r="C54" i="38"/>
  <c r="AB53" i="38"/>
  <c r="AA53" i="38"/>
  <c r="Y53" i="38"/>
  <c r="X53" i="38"/>
  <c r="V53" i="38"/>
  <c r="U53" i="38"/>
  <c r="S53" i="38"/>
  <c r="R53" i="38"/>
  <c r="P53" i="38"/>
  <c r="O53" i="38"/>
  <c r="M53" i="38"/>
  <c r="L53" i="38"/>
  <c r="J53" i="38"/>
  <c r="I53" i="38"/>
  <c r="G53" i="38"/>
  <c r="F53" i="38"/>
  <c r="D53" i="38"/>
  <c r="C53" i="38"/>
  <c r="AB52" i="38"/>
  <c r="AA52" i="38"/>
  <c r="Y52" i="38"/>
  <c r="X52" i="38"/>
  <c r="V52" i="38"/>
  <c r="U52" i="38"/>
  <c r="S52" i="38"/>
  <c r="R52" i="38"/>
  <c r="P52" i="38"/>
  <c r="O52" i="38"/>
  <c r="M52" i="38"/>
  <c r="L52" i="38"/>
  <c r="J52" i="38"/>
  <c r="I52" i="38"/>
  <c r="G52" i="38"/>
  <c r="F52" i="38"/>
  <c r="D52" i="38"/>
  <c r="C52" i="38"/>
  <c r="AB51" i="38"/>
  <c r="AA51" i="38"/>
  <c r="Y51" i="38"/>
  <c r="X51" i="38"/>
  <c r="V51" i="38"/>
  <c r="U51" i="38"/>
  <c r="S51" i="38"/>
  <c r="R51" i="38"/>
  <c r="P51" i="38"/>
  <c r="O51" i="38"/>
  <c r="M51" i="38"/>
  <c r="L51" i="38"/>
  <c r="J51" i="38"/>
  <c r="I51" i="38"/>
  <c r="G51" i="38"/>
  <c r="F51" i="38"/>
  <c r="D51" i="38"/>
  <c r="C51" i="38"/>
  <c r="AB50" i="38"/>
  <c r="AA50" i="38"/>
  <c r="Y50" i="38"/>
  <c r="X50" i="38"/>
  <c r="V50" i="38"/>
  <c r="U50" i="38"/>
  <c r="S50" i="38"/>
  <c r="R50" i="38"/>
  <c r="P50" i="38"/>
  <c r="O50" i="38"/>
  <c r="M50" i="38"/>
  <c r="L50" i="38"/>
  <c r="J50" i="38"/>
  <c r="I50" i="38"/>
  <c r="G50" i="38"/>
  <c r="F50" i="38"/>
  <c r="D50" i="38"/>
  <c r="C50" i="38"/>
  <c r="AB49" i="38"/>
  <c r="AA49" i="38"/>
  <c r="Y49" i="38"/>
  <c r="X49" i="38"/>
  <c r="V49" i="38"/>
  <c r="U49" i="38"/>
  <c r="S49" i="38"/>
  <c r="R49" i="38"/>
  <c r="P49" i="38"/>
  <c r="O49" i="38"/>
  <c r="M49" i="38"/>
  <c r="L49" i="38"/>
  <c r="J49" i="38"/>
  <c r="I49" i="38"/>
  <c r="G49" i="38"/>
  <c r="F49" i="38"/>
  <c r="D49" i="38"/>
  <c r="C49" i="38"/>
  <c r="AB48" i="38"/>
  <c r="AA48" i="38"/>
  <c r="Y48" i="38"/>
  <c r="X48" i="38"/>
  <c r="V48" i="38"/>
  <c r="U48" i="38"/>
  <c r="S48" i="38"/>
  <c r="R48" i="38"/>
  <c r="P48" i="38"/>
  <c r="O48" i="38"/>
  <c r="M48" i="38"/>
  <c r="L48" i="38"/>
  <c r="J48" i="38"/>
  <c r="I48" i="38"/>
  <c r="G48" i="38"/>
  <c r="F48" i="38"/>
  <c r="D48" i="38"/>
  <c r="C48" i="38"/>
  <c r="AB47" i="38"/>
  <c r="AA47" i="38"/>
  <c r="Y47" i="38"/>
  <c r="X47" i="38"/>
  <c r="V47" i="38"/>
  <c r="U47" i="38"/>
  <c r="S47" i="38"/>
  <c r="R47" i="38"/>
  <c r="P47" i="38"/>
  <c r="O47" i="38"/>
  <c r="M47" i="38"/>
  <c r="L47" i="38"/>
  <c r="J47" i="38"/>
  <c r="I47" i="38"/>
  <c r="G47" i="38"/>
  <c r="F47" i="38"/>
  <c r="D47" i="38"/>
  <c r="C47" i="38"/>
  <c r="AB46" i="38"/>
  <c r="AA46" i="38"/>
  <c r="Y46" i="38"/>
  <c r="X46" i="38"/>
  <c r="V46" i="38"/>
  <c r="U46" i="38"/>
  <c r="S46" i="38"/>
  <c r="R46" i="38"/>
  <c r="P46" i="38"/>
  <c r="O46" i="38"/>
  <c r="M46" i="38"/>
  <c r="L46" i="38"/>
  <c r="J46" i="38"/>
  <c r="I46" i="38"/>
  <c r="G46" i="38"/>
  <c r="F46" i="38"/>
  <c r="D46" i="38"/>
  <c r="C46" i="38"/>
  <c r="AB45" i="38"/>
  <c r="AA45" i="38"/>
  <c r="Y45" i="38"/>
  <c r="X45" i="38"/>
  <c r="V45" i="38"/>
  <c r="U45" i="38"/>
  <c r="S45" i="38"/>
  <c r="R45" i="38"/>
  <c r="P45" i="38"/>
  <c r="O45" i="38"/>
  <c r="M45" i="38"/>
  <c r="L45" i="38"/>
  <c r="J45" i="38"/>
  <c r="I45" i="38"/>
  <c r="G45" i="38"/>
  <c r="F45" i="38"/>
  <c r="D45" i="38"/>
  <c r="C45" i="38"/>
  <c r="AB44" i="38"/>
  <c r="AA44" i="38"/>
  <c r="Y44" i="38"/>
  <c r="X44" i="38"/>
  <c r="V44" i="38"/>
  <c r="U44" i="38"/>
  <c r="S44" i="38"/>
  <c r="R44" i="38"/>
  <c r="P44" i="38"/>
  <c r="O44" i="38"/>
  <c r="M44" i="38"/>
  <c r="L44" i="38"/>
  <c r="J44" i="38"/>
  <c r="I44" i="38"/>
  <c r="G44" i="38"/>
  <c r="F44" i="38"/>
  <c r="D44" i="38"/>
  <c r="C44" i="38"/>
  <c r="AB43" i="38"/>
  <c r="AA43" i="38"/>
  <c r="Y43" i="38"/>
  <c r="X43" i="38"/>
  <c r="V43" i="38"/>
  <c r="U43" i="38"/>
  <c r="S43" i="38"/>
  <c r="R43" i="38"/>
  <c r="P43" i="38"/>
  <c r="O43" i="38"/>
  <c r="M43" i="38"/>
  <c r="L43" i="38"/>
  <c r="J43" i="38"/>
  <c r="I43" i="38"/>
  <c r="G43" i="38"/>
  <c r="F43" i="38"/>
  <c r="D43" i="38"/>
  <c r="C43" i="38"/>
  <c r="AB42" i="38"/>
  <c r="AA42" i="38"/>
  <c r="Y42" i="38"/>
  <c r="X42" i="38"/>
  <c r="V42" i="38"/>
  <c r="U42" i="38"/>
  <c r="S42" i="38"/>
  <c r="R42" i="38"/>
  <c r="P42" i="38"/>
  <c r="O42" i="38"/>
  <c r="M42" i="38"/>
  <c r="L42" i="38"/>
  <c r="J42" i="38"/>
  <c r="I42" i="38"/>
  <c r="G42" i="38"/>
  <c r="F42" i="38"/>
  <c r="D42" i="38"/>
  <c r="C42" i="38"/>
  <c r="AB41" i="38"/>
  <c r="AA41" i="38"/>
  <c r="Y41" i="38"/>
  <c r="X41" i="38"/>
  <c r="V41" i="38"/>
  <c r="U41" i="38"/>
  <c r="S41" i="38"/>
  <c r="R41" i="38"/>
  <c r="P41" i="38"/>
  <c r="O41" i="38"/>
  <c r="M41" i="38"/>
  <c r="L41" i="38"/>
  <c r="J41" i="38"/>
  <c r="I41" i="38"/>
  <c r="G41" i="38"/>
  <c r="F41" i="38"/>
  <c r="D41" i="38"/>
  <c r="C41" i="38"/>
  <c r="AB40" i="38"/>
  <c r="AA40" i="38"/>
  <c r="Y40" i="38"/>
  <c r="X40" i="38"/>
  <c r="V40" i="38"/>
  <c r="U40" i="38"/>
  <c r="S40" i="38"/>
  <c r="R40" i="38"/>
  <c r="P40" i="38"/>
  <c r="O40" i="38"/>
  <c r="M40" i="38"/>
  <c r="L40" i="38"/>
  <c r="J40" i="38"/>
  <c r="I40" i="38"/>
  <c r="G40" i="38"/>
  <c r="F40" i="38"/>
  <c r="D40" i="38"/>
  <c r="C40" i="38"/>
  <c r="AB39" i="38"/>
  <c r="AA39" i="38"/>
  <c r="Y39" i="38"/>
  <c r="X39" i="38"/>
  <c r="V39" i="38"/>
  <c r="U39" i="38"/>
  <c r="S39" i="38"/>
  <c r="R39" i="38"/>
  <c r="P39" i="38"/>
  <c r="O39" i="38"/>
  <c r="M39" i="38"/>
  <c r="L39" i="38"/>
  <c r="J39" i="38"/>
  <c r="I39" i="38"/>
  <c r="G39" i="38"/>
  <c r="F39" i="38"/>
  <c r="D39" i="38"/>
  <c r="C39" i="38"/>
  <c r="AB38" i="38"/>
  <c r="AA38" i="38"/>
  <c r="Y38" i="38"/>
  <c r="X38" i="38"/>
  <c r="V38" i="38"/>
  <c r="U38" i="38"/>
  <c r="S38" i="38"/>
  <c r="R38" i="38"/>
  <c r="P38" i="38"/>
  <c r="O38" i="38"/>
  <c r="M38" i="38"/>
  <c r="L38" i="38"/>
  <c r="J38" i="38"/>
  <c r="I38" i="38"/>
  <c r="G38" i="38"/>
  <c r="F38" i="38"/>
  <c r="D38" i="38"/>
  <c r="C38" i="38"/>
  <c r="AB37" i="38"/>
  <c r="AA37" i="38"/>
  <c r="Y37" i="38"/>
  <c r="X37" i="38"/>
  <c r="V37" i="38"/>
  <c r="U37" i="38"/>
  <c r="S37" i="38"/>
  <c r="R37" i="38"/>
  <c r="P37" i="38"/>
  <c r="O37" i="38"/>
  <c r="M37" i="38"/>
  <c r="L37" i="38"/>
  <c r="J37" i="38"/>
  <c r="I37" i="38"/>
  <c r="G37" i="38"/>
  <c r="F37" i="38"/>
  <c r="D37" i="38"/>
  <c r="C37" i="38"/>
  <c r="AB36" i="38"/>
  <c r="AA36" i="38"/>
  <c r="Y36" i="38"/>
  <c r="X36" i="38"/>
  <c r="V36" i="38"/>
  <c r="U36" i="38"/>
  <c r="S36" i="38"/>
  <c r="R36" i="38"/>
  <c r="P36" i="38"/>
  <c r="O36" i="38"/>
  <c r="M36" i="38"/>
  <c r="L36" i="38"/>
  <c r="J36" i="38"/>
  <c r="I36" i="38"/>
  <c r="G36" i="38"/>
  <c r="F36" i="38"/>
  <c r="D36" i="38"/>
  <c r="C36" i="38"/>
  <c r="AB35" i="38"/>
  <c r="AA35" i="38"/>
  <c r="Y35" i="38"/>
  <c r="X35" i="38"/>
  <c r="V35" i="38"/>
  <c r="U35" i="38"/>
  <c r="S35" i="38"/>
  <c r="R35" i="38"/>
  <c r="P35" i="38"/>
  <c r="O35" i="38"/>
  <c r="M35" i="38"/>
  <c r="L35" i="38"/>
  <c r="J35" i="38"/>
  <c r="I35" i="38"/>
  <c r="G35" i="38"/>
  <c r="F35" i="38"/>
  <c r="D35" i="38"/>
  <c r="C35" i="38"/>
  <c r="AB34" i="38"/>
  <c r="AA34" i="38"/>
  <c r="Y34" i="38"/>
  <c r="X34" i="38"/>
  <c r="V34" i="38"/>
  <c r="U34" i="38"/>
  <c r="S34" i="38"/>
  <c r="R34" i="38"/>
  <c r="P34" i="38"/>
  <c r="O34" i="38"/>
  <c r="M34" i="38"/>
  <c r="L34" i="38"/>
  <c r="J34" i="38"/>
  <c r="I34" i="38"/>
  <c r="G34" i="38"/>
  <c r="F34" i="38"/>
  <c r="D34" i="38"/>
  <c r="C34" i="38"/>
  <c r="AB33" i="38"/>
  <c r="AA33" i="38"/>
  <c r="Y33" i="38"/>
  <c r="X33" i="38"/>
  <c r="V33" i="38"/>
  <c r="U33" i="38"/>
  <c r="S33" i="38"/>
  <c r="R33" i="38"/>
  <c r="P33" i="38"/>
  <c r="O33" i="38"/>
  <c r="M33" i="38"/>
  <c r="L33" i="38"/>
  <c r="J33" i="38"/>
  <c r="I33" i="38"/>
  <c r="G33" i="38"/>
  <c r="F33" i="38"/>
  <c r="D33" i="38"/>
  <c r="C33" i="38"/>
  <c r="AB32" i="38"/>
  <c r="AA32" i="38"/>
  <c r="Y32" i="38"/>
  <c r="X32" i="38"/>
  <c r="V32" i="38"/>
  <c r="U32" i="38"/>
  <c r="S32" i="38"/>
  <c r="R32" i="38"/>
  <c r="P32" i="38"/>
  <c r="O32" i="38"/>
  <c r="M32" i="38"/>
  <c r="L32" i="38"/>
  <c r="J32" i="38"/>
  <c r="I32" i="38"/>
  <c r="G32" i="38"/>
  <c r="F32" i="38"/>
  <c r="D32" i="38"/>
  <c r="C32" i="38"/>
  <c r="AB31" i="38"/>
  <c r="AA31" i="38"/>
  <c r="Y31" i="38"/>
  <c r="X31" i="38"/>
  <c r="V31" i="38"/>
  <c r="U31" i="38"/>
  <c r="S31" i="38"/>
  <c r="R31" i="38"/>
  <c r="P31" i="38"/>
  <c r="O31" i="38"/>
  <c r="M31" i="38"/>
  <c r="L31" i="38"/>
  <c r="J31" i="38"/>
  <c r="I31" i="38"/>
  <c r="G31" i="38"/>
  <c r="F31" i="38"/>
  <c r="D31" i="38"/>
  <c r="C31" i="38"/>
  <c r="AB30" i="38"/>
  <c r="AA30" i="38"/>
  <c r="Y30" i="38"/>
  <c r="X30" i="38"/>
  <c r="V30" i="38"/>
  <c r="U30" i="38"/>
  <c r="S30" i="38"/>
  <c r="R30" i="38"/>
  <c r="P30" i="38"/>
  <c r="O30" i="38"/>
  <c r="M30" i="38"/>
  <c r="L30" i="38"/>
  <c r="J30" i="38"/>
  <c r="I30" i="38"/>
  <c r="G30" i="38"/>
  <c r="F30" i="38"/>
  <c r="D30" i="38"/>
  <c r="C30" i="38"/>
  <c r="AB29" i="38"/>
  <c r="AA29" i="38"/>
  <c r="Y29" i="38"/>
  <c r="X29" i="38"/>
  <c r="V29" i="38"/>
  <c r="U29" i="38"/>
  <c r="S29" i="38"/>
  <c r="R29" i="38"/>
  <c r="P29" i="38"/>
  <c r="O29" i="38"/>
  <c r="M29" i="38"/>
  <c r="L29" i="38"/>
  <c r="J29" i="38"/>
  <c r="I29" i="38"/>
  <c r="G29" i="38"/>
  <c r="F29" i="38"/>
  <c r="D29" i="38"/>
  <c r="C29" i="38"/>
  <c r="AB28" i="38"/>
  <c r="AA28" i="38"/>
  <c r="Y28" i="38"/>
  <c r="X28" i="38"/>
  <c r="V28" i="38"/>
  <c r="U28" i="38"/>
  <c r="S28" i="38"/>
  <c r="R28" i="38"/>
  <c r="P28" i="38"/>
  <c r="O28" i="38"/>
  <c r="M28" i="38"/>
  <c r="L28" i="38"/>
  <c r="J28" i="38"/>
  <c r="I28" i="38"/>
  <c r="G28" i="38"/>
  <c r="F28" i="38"/>
  <c r="D28" i="38"/>
  <c r="C28" i="38"/>
  <c r="AB27" i="38"/>
  <c r="AA27" i="38"/>
  <c r="Y27" i="38"/>
  <c r="X27" i="38"/>
  <c r="V27" i="38"/>
  <c r="U27" i="38"/>
  <c r="S27" i="38"/>
  <c r="R27" i="38"/>
  <c r="P27" i="38"/>
  <c r="O27" i="38"/>
  <c r="M27" i="38"/>
  <c r="L27" i="38"/>
  <c r="J27" i="38"/>
  <c r="I27" i="38"/>
  <c r="G27" i="38"/>
  <c r="F27" i="38"/>
  <c r="D27" i="38"/>
  <c r="C27" i="38"/>
  <c r="AB26" i="38"/>
  <c r="AA26" i="38"/>
  <c r="Y26" i="38"/>
  <c r="X26" i="38"/>
  <c r="V26" i="38"/>
  <c r="U26" i="38"/>
  <c r="S26" i="38"/>
  <c r="R26" i="38"/>
  <c r="P26" i="38"/>
  <c r="O26" i="38"/>
  <c r="M26" i="38"/>
  <c r="L26" i="38"/>
  <c r="J26" i="38"/>
  <c r="I26" i="38"/>
  <c r="G26" i="38"/>
  <c r="F26" i="38"/>
  <c r="D26" i="38"/>
  <c r="C26" i="38"/>
  <c r="AB25" i="38"/>
  <c r="AA25" i="38"/>
  <c r="Y25" i="38"/>
  <c r="X25" i="38"/>
  <c r="V25" i="38"/>
  <c r="U25" i="38"/>
  <c r="S25" i="38"/>
  <c r="R25" i="38"/>
  <c r="P25" i="38"/>
  <c r="O25" i="38"/>
  <c r="M25" i="38"/>
  <c r="L25" i="38"/>
  <c r="J25" i="38"/>
  <c r="I25" i="38"/>
  <c r="G25" i="38"/>
  <c r="F25" i="38"/>
  <c r="D25" i="38"/>
  <c r="C25" i="38"/>
  <c r="AB24" i="38"/>
  <c r="AA24" i="38"/>
  <c r="Y24" i="38"/>
  <c r="X24" i="38"/>
  <c r="V24" i="38"/>
  <c r="U24" i="38"/>
  <c r="S24" i="38"/>
  <c r="R24" i="38"/>
  <c r="P24" i="38"/>
  <c r="O24" i="38"/>
  <c r="M24" i="38"/>
  <c r="L24" i="38"/>
  <c r="J24" i="38"/>
  <c r="I24" i="38"/>
  <c r="G24" i="38"/>
  <c r="F24" i="38"/>
  <c r="D24" i="38"/>
  <c r="C24" i="38"/>
  <c r="AB23" i="38"/>
  <c r="AA23" i="38"/>
  <c r="Y23" i="38"/>
  <c r="X23" i="38"/>
  <c r="V23" i="38"/>
  <c r="U23" i="38"/>
  <c r="S23" i="38"/>
  <c r="R23" i="38"/>
  <c r="P23" i="38"/>
  <c r="O23" i="38"/>
  <c r="M23" i="38"/>
  <c r="L23" i="38"/>
  <c r="J23" i="38"/>
  <c r="I23" i="38"/>
  <c r="G23" i="38"/>
  <c r="F23" i="38"/>
  <c r="D23" i="38"/>
  <c r="C23" i="38"/>
  <c r="AB22" i="38"/>
  <c r="AA22" i="38"/>
  <c r="Y22" i="38"/>
  <c r="X22" i="38"/>
  <c r="V22" i="38"/>
  <c r="U22" i="38"/>
  <c r="S22" i="38"/>
  <c r="R22" i="38"/>
  <c r="P22" i="38"/>
  <c r="O22" i="38"/>
  <c r="M22" i="38"/>
  <c r="L22" i="38"/>
  <c r="J22" i="38"/>
  <c r="I22" i="38"/>
  <c r="G22" i="38"/>
  <c r="F22" i="38"/>
  <c r="D22" i="38"/>
  <c r="C22" i="38"/>
  <c r="AB21" i="38"/>
  <c r="AA21" i="38"/>
  <c r="Y21" i="38"/>
  <c r="X21" i="38"/>
  <c r="V21" i="38"/>
  <c r="U21" i="38"/>
  <c r="S21" i="38"/>
  <c r="R21" i="38"/>
  <c r="P21" i="38"/>
  <c r="O21" i="38"/>
  <c r="M21" i="38"/>
  <c r="L21" i="38"/>
  <c r="J21" i="38"/>
  <c r="I21" i="38"/>
  <c r="G21" i="38"/>
  <c r="F21" i="38"/>
  <c r="D21" i="38"/>
  <c r="C21" i="38"/>
  <c r="AB20" i="38"/>
  <c r="AA20" i="38"/>
  <c r="Y20" i="38"/>
  <c r="X20" i="38"/>
  <c r="V20" i="38"/>
  <c r="U20" i="38"/>
  <c r="S20" i="38"/>
  <c r="R20" i="38"/>
  <c r="P20" i="38"/>
  <c r="O20" i="38"/>
  <c r="M20" i="38"/>
  <c r="L20" i="38"/>
  <c r="J20" i="38"/>
  <c r="I20" i="38"/>
  <c r="G20" i="38"/>
  <c r="F20" i="38"/>
  <c r="D20" i="38"/>
  <c r="C20" i="38"/>
  <c r="AB19" i="38"/>
  <c r="AA19" i="38"/>
  <c r="Y19" i="38"/>
  <c r="X19" i="38"/>
  <c r="V19" i="38"/>
  <c r="U19" i="38"/>
  <c r="S19" i="38"/>
  <c r="R19" i="38"/>
  <c r="P19" i="38"/>
  <c r="O19" i="38"/>
  <c r="M19" i="38"/>
  <c r="L19" i="38"/>
  <c r="J19" i="38"/>
  <c r="I19" i="38"/>
  <c r="G19" i="38"/>
  <c r="F19" i="38"/>
  <c r="D19" i="38"/>
  <c r="C19" i="38"/>
  <c r="AB18" i="38"/>
  <c r="AA18" i="38"/>
  <c r="Y18" i="38"/>
  <c r="X18" i="38"/>
  <c r="V18" i="38"/>
  <c r="U18" i="38"/>
  <c r="S18" i="38"/>
  <c r="R18" i="38"/>
  <c r="P18" i="38"/>
  <c r="O18" i="38"/>
  <c r="M18" i="38"/>
  <c r="L18" i="38"/>
  <c r="J18" i="38"/>
  <c r="I18" i="38"/>
  <c r="G18" i="38"/>
  <c r="F18" i="38"/>
  <c r="D18" i="38"/>
  <c r="C18" i="38"/>
  <c r="AB17" i="38"/>
  <c r="AA17" i="38"/>
  <c r="Y17" i="38"/>
  <c r="X17" i="38"/>
  <c r="V17" i="38"/>
  <c r="U17" i="38"/>
  <c r="S17" i="38"/>
  <c r="R17" i="38"/>
  <c r="P17" i="38"/>
  <c r="O17" i="38"/>
  <c r="M17" i="38"/>
  <c r="L17" i="38"/>
  <c r="J17" i="38"/>
  <c r="I17" i="38"/>
  <c r="G17" i="38"/>
  <c r="F17" i="38"/>
  <c r="D17" i="38"/>
  <c r="C17" i="38"/>
  <c r="AB16" i="38"/>
  <c r="AA16" i="38"/>
  <c r="Y16" i="38"/>
  <c r="X16" i="38"/>
  <c r="V16" i="38"/>
  <c r="U16" i="38"/>
  <c r="S16" i="38"/>
  <c r="R16" i="38"/>
  <c r="P16" i="38"/>
  <c r="O16" i="38"/>
  <c r="M16" i="38"/>
  <c r="L16" i="38"/>
  <c r="J16" i="38"/>
  <c r="I16" i="38"/>
  <c r="G16" i="38"/>
  <c r="F16" i="38"/>
  <c r="D16" i="38"/>
  <c r="C16" i="38"/>
  <c r="AB15" i="38"/>
  <c r="AA15" i="38"/>
  <c r="Y15" i="38"/>
  <c r="X15" i="38"/>
  <c r="V15" i="38"/>
  <c r="U15" i="38"/>
  <c r="S15" i="38"/>
  <c r="R15" i="38"/>
  <c r="P15" i="38"/>
  <c r="O15" i="38"/>
  <c r="M15" i="38"/>
  <c r="L15" i="38"/>
  <c r="J15" i="38"/>
  <c r="I15" i="38"/>
  <c r="G15" i="38"/>
  <c r="F15" i="38"/>
  <c r="D15" i="38"/>
  <c r="C15" i="38"/>
  <c r="AB14" i="38"/>
  <c r="AA14" i="38"/>
  <c r="Y14" i="38"/>
  <c r="X14" i="38"/>
  <c r="V14" i="38"/>
  <c r="U14" i="38"/>
  <c r="S14" i="38"/>
  <c r="R14" i="38"/>
  <c r="P14" i="38"/>
  <c r="O14" i="38"/>
  <c r="M14" i="38"/>
  <c r="L14" i="38"/>
  <c r="J14" i="38"/>
  <c r="I14" i="38"/>
  <c r="G14" i="38"/>
  <c r="F14" i="38"/>
  <c r="D14" i="38"/>
  <c r="C14" i="38"/>
  <c r="AB13" i="38"/>
  <c r="AA13" i="38"/>
  <c r="Y13" i="38"/>
  <c r="X13" i="38"/>
  <c r="V13" i="38"/>
  <c r="U13" i="38"/>
  <c r="S13" i="38"/>
  <c r="R13" i="38"/>
  <c r="P13" i="38"/>
  <c r="O13" i="38"/>
  <c r="M13" i="38"/>
  <c r="L13" i="38"/>
  <c r="J13" i="38"/>
  <c r="I13" i="38"/>
  <c r="G13" i="38"/>
  <c r="F13" i="38"/>
  <c r="D13" i="38"/>
  <c r="C13" i="38"/>
  <c r="AB12" i="38"/>
  <c r="AA12" i="38"/>
  <c r="Y12" i="38"/>
  <c r="X12" i="38"/>
  <c r="V12" i="38"/>
  <c r="U12" i="38"/>
  <c r="S12" i="38"/>
  <c r="R12" i="38"/>
  <c r="P12" i="38"/>
  <c r="O12" i="38"/>
  <c r="M12" i="38"/>
  <c r="L12" i="38"/>
  <c r="J12" i="38"/>
  <c r="I12" i="38"/>
  <c r="G12" i="38"/>
  <c r="F12" i="38"/>
  <c r="D12" i="38"/>
  <c r="C12" i="38"/>
  <c r="AB11" i="38"/>
  <c r="AA11" i="38"/>
  <c r="Y11" i="38"/>
  <c r="X11" i="38"/>
  <c r="V11" i="38"/>
  <c r="U11" i="38"/>
  <c r="S11" i="38"/>
  <c r="R11" i="38"/>
  <c r="P11" i="38"/>
  <c r="O11" i="38"/>
  <c r="M11" i="38"/>
  <c r="L11" i="38"/>
  <c r="J11" i="38"/>
  <c r="I11" i="38"/>
  <c r="G11" i="38"/>
  <c r="F11" i="38"/>
  <c r="D11" i="38"/>
  <c r="C11" i="38"/>
  <c r="AB10" i="38"/>
  <c r="AA10" i="38"/>
  <c r="Y10" i="38"/>
  <c r="X10" i="38"/>
  <c r="V10" i="38"/>
  <c r="U10" i="38"/>
  <c r="S10" i="38"/>
  <c r="R10" i="38"/>
  <c r="P10" i="38"/>
  <c r="O10" i="38"/>
  <c r="M10" i="38"/>
  <c r="L10" i="38"/>
  <c r="J10" i="38"/>
  <c r="I10" i="38"/>
  <c r="G10" i="38"/>
  <c r="F10" i="38"/>
  <c r="D10" i="38"/>
  <c r="C10" i="38"/>
  <c r="AB9" i="38"/>
  <c r="AA9" i="38"/>
  <c r="Y9" i="38"/>
  <c r="X9" i="38"/>
  <c r="V9" i="38"/>
  <c r="U9" i="38"/>
  <c r="S9" i="38"/>
  <c r="R9" i="38"/>
  <c r="P9" i="38"/>
  <c r="O9" i="38"/>
  <c r="M9" i="38"/>
  <c r="L9" i="38"/>
  <c r="J9" i="38"/>
  <c r="I9" i="38"/>
  <c r="G9" i="38"/>
  <c r="F9" i="38"/>
  <c r="D9" i="38"/>
  <c r="C9" i="38"/>
  <c r="AB8" i="38"/>
  <c r="AA8" i="38"/>
  <c r="Y8" i="38"/>
  <c r="X8" i="38"/>
  <c r="V8" i="38"/>
  <c r="U8" i="38"/>
  <c r="S8" i="38"/>
  <c r="R8" i="38"/>
  <c r="P8" i="38"/>
  <c r="O8" i="38"/>
  <c r="M8" i="38"/>
  <c r="L8" i="38"/>
  <c r="J8" i="38"/>
  <c r="I8" i="38"/>
  <c r="G8" i="38"/>
  <c r="F8" i="38"/>
  <c r="D8" i="38"/>
  <c r="C8" i="38"/>
  <c r="AB7" i="38"/>
  <c r="AA7" i="38"/>
  <c r="Y7" i="38"/>
  <c r="X7" i="38"/>
  <c r="V7" i="38"/>
  <c r="U7" i="38"/>
  <c r="S7" i="38"/>
  <c r="R7" i="38"/>
  <c r="P7" i="38"/>
  <c r="O7" i="38"/>
  <c r="M7" i="38"/>
  <c r="L7" i="38"/>
  <c r="J7" i="38"/>
  <c r="I7" i="38"/>
  <c r="G7" i="38"/>
  <c r="F7" i="38"/>
  <c r="D7" i="38"/>
  <c r="C7" i="38"/>
  <c r="AB6" i="38"/>
  <c r="AA6" i="38"/>
  <c r="Y6" i="38"/>
  <c r="X6" i="38"/>
  <c r="V6" i="38"/>
  <c r="U6" i="38"/>
  <c r="S6" i="38"/>
  <c r="R6" i="38"/>
  <c r="P6" i="38"/>
  <c r="O6" i="38"/>
  <c r="M6" i="38"/>
  <c r="L6" i="38"/>
  <c r="J6" i="38"/>
  <c r="I6" i="38"/>
  <c r="G6" i="38"/>
  <c r="F6" i="38"/>
  <c r="D6" i="38"/>
  <c r="C6" i="38"/>
  <c r="T48" i="5"/>
  <c r="J39" i="4"/>
  <c r="J38" i="4"/>
  <c r="J37" i="4"/>
  <c r="J36" i="4"/>
  <c r="N39" i="4"/>
  <c r="N38" i="4"/>
  <c r="N37" i="4"/>
  <c r="N36" i="4"/>
  <c r="L39" i="4"/>
  <c r="L38" i="4"/>
  <c r="L37" i="4"/>
  <c r="L36" i="4"/>
  <c r="P39" i="4"/>
  <c r="P38" i="4"/>
  <c r="P37" i="4"/>
  <c r="P36" i="4"/>
  <c r="H39" i="4"/>
  <c r="H38" i="4"/>
  <c r="H37" i="4"/>
  <c r="H36" i="4"/>
  <c r="F39" i="4"/>
  <c r="F38" i="4"/>
  <c r="F37" i="4"/>
  <c r="F36" i="4"/>
  <c r="D39" i="4"/>
  <c r="D38" i="4"/>
  <c r="D37" i="4"/>
  <c r="D36" i="4"/>
  <c r="R39" i="4"/>
  <c r="R38" i="4"/>
  <c r="R37" i="4"/>
  <c r="R36" i="4"/>
  <c r="AA16" i="33"/>
  <c r="R45" i="4"/>
  <c r="S45" i="4" s="1"/>
  <c r="R46" i="4"/>
  <c r="S46" i="4" s="1"/>
  <c r="R47" i="4"/>
  <c r="S47" i="4" s="1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C7" i="17"/>
  <c r="J41" i="4" l="1"/>
  <c r="R41" i="4"/>
  <c r="O41" i="33"/>
  <c r="P41" i="4"/>
  <c r="N41" i="4"/>
  <c r="N48" i="4"/>
  <c r="O39" i="33"/>
  <c r="L41" i="4"/>
  <c r="O38" i="33"/>
  <c r="O37" i="33"/>
  <c r="H41" i="4"/>
  <c r="O36" i="33"/>
  <c r="F41" i="4"/>
  <c r="D41" i="4"/>
  <c r="J48" i="4"/>
  <c r="E37" i="33" s="1"/>
  <c r="P48" i="4"/>
  <c r="E40" i="33" s="1"/>
  <c r="R48" i="4"/>
  <c r="E41" i="33" s="1"/>
  <c r="L48" i="4"/>
  <c r="E38" i="33" s="1"/>
  <c r="H48" i="4"/>
  <c r="E36" i="33" s="1"/>
  <c r="F40" i="4"/>
  <c r="F48" i="4"/>
  <c r="E35" i="33" s="1"/>
  <c r="D48" i="4"/>
  <c r="E34" i="33" s="1"/>
  <c r="D40" i="4"/>
  <c r="R40" i="4"/>
  <c r="P40" i="4"/>
  <c r="N40" i="4"/>
  <c r="L40" i="4"/>
  <c r="J40" i="4"/>
  <c r="H40" i="4"/>
  <c r="T47" i="5"/>
  <c r="O40" i="33" l="1"/>
  <c r="E39" i="33"/>
  <c r="O35" i="33"/>
  <c r="O34" i="33"/>
  <c r="H41" i="33"/>
  <c r="H34" i="33" l="1"/>
  <c r="G34" i="33" s="1" a="1"/>
  <c r="H37" i="33"/>
  <c r="H40" i="33"/>
  <c r="H38" i="33"/>
  <c r="H35" i="33"/>
  <c r="G35" i="33" s="1" a="1"/>
  <c r="H36" i="33"/>
  <c r="G36" i="33" s="1" a="1"/>
  <c r="H39" i="33"/>
  <c r="G41" i="33" a="1"/>
  <c r="T105" i="7"/>
  <c r="T106" i="7"/>
  <c r="T107" i="7"/>
  <c r="T108" i="7"/>
  <c r="T109" i="7"/>
  <c r="E86" i="3"/>
  <c r="G34" i="33" l="1"/>
  <c r="G39" i="33" a="1"/>
  <c r="G36" i="33"/>
  <c r="G35" i="33"/>
  <c r="G40" i="33" a="1"/>
  <c r="G40" i="33" s="1"/>
  <c r="G38" i="33" a="1"/>
  <c r="G38" i="33" s="1"/>
  <c r="G37" i="33" a="1"/>
  <c r="G37" i="33" s="1"/>
  <c r="G41" i="33"/>
  <c r="T46" i="5"/>
  <c r="R7" i="16"/>
  <c r="Q7" i="16"/>
  <c r="P6" i="16"/>
  <c r="P7" i="16" s="1"/>
  <c r="O6" i="16"/>
  <c r="O7" i="16" s="1"/>
  <c r="N6" i="16"/>
  <c r="N7" i="16" s="1"/>
  <c r="M6" i="16"/>
  <c r="M7" i="16" s="1"/>
  <c r="L6" i="16"/>
  <c r="L7" i="16" s="1"/>
  <c r="K6" i="16"/>
  <c r="K7" i="16" s="1"/>
  <c r="J7" i="16"/>
  <c r="I7" i="16"/>
  <c r="H7" i="16"/>
  <c r="G7" i="16"/>
  <c r="F7" i="16"/>
  <c r="E7" i="16"/>
  <c r="C8" i="29" a="1"/>
  <c r="C8" i="29" s="1"/>
  <c r="C7" i="29" a="1"/>
  <c r="C7" i="29" s="1"/>
  <c r="C6" i="29" a="1"/>
  <c r="C6" i="29" s="1"/>
  <c r="A13" i="29" a="1"/>
  <c r="A13" i="29" s="1"/>
  <c r="A12" i="29" a="1"/>
  <c r="A12" i="29" s="1"/>
  <c r="A11" i="29" a="1"/>
  <c r="A11" i="29" s="1"/>
  <c r="A10" i="29" a="1"/>
  <c r="A10" i="29" s="1"/>
  <c r="A9" i="29" a="1"/>
  <c r="A9" i="29" s="1"/>
  <c r="A8" i="29" a="1"/>
  <c r="A8" i="29" s="1"/>
  <c r="G39" i="33" l="1"/>
  <c r="A7" i="29" a="1"/>
  <c r="A7" i="29" s="1"/>
  <c r="A6" i="29" a="1"/>
  <c r="A6" i="29" s="1"/>
  <c r="Z102" i="33" l="1"/>
  <c r="Z101" i="33"/>
  <c r="Z100" i="33"/>
  <c r="Z99" i="33"/>
  <c r="Z98" i="33"/>
  <c r="Z97" i="33"/>
  <c r="Z96" i="33"/>
  <c r="Z95" i="33"/>
  <c r="E85" i="3" l="1"/>
  <c r="E57" i="33" l="1"/>
  <c r="E56" i="33"/>
  <c r="E54" i="33"/>
  <c r="T45" i="5"/>
  <c r="H20" i="25" l="1"/>
  <c r="H19" i="25"/>
  <c r="H18" i="25"/>
  <c r="H17" i="25"/>
  <c r="H16" i="25"/>
  <c r="H15" i="25"/>
  <c r="H14" i="25"/>
  <c r="I29" i="25" s="1"/>
  <c r="H13" i="25"/>
  <c r="H12" i="25"/>
  <c r="H11" i="25"/>
  <c r="I35" i="25"/>
  <c r="I34" i="25"/>
  <c r="I33" i="25"/>
  <c r="I32" i="25"/>
  <c r="I31" i="25"/>
  <c r="I30" i="25"/>
  <c r="H35" i="25"/>
  <c r="H34" i="25"/>
  <c r="H33" i="25"/>
  <c r="H32" i="25"/>
  <c r="H31" i="25"/>
  <c r="H30" i="25"/>
  <c r="H29" i="25"/>
  <c r="H28" i="25"/>
  <c r="H27" i="25"/>
  <c r="H26" i="25"/>
  <c r="H24" i="25"/>
  <c r="P4" i="16"/>
  <c r="P5" i="16" s="1"/>
  <c r="O4" i="16"/>
  <c r="O5" i="16" s="1"/>
  <c r="N4" i="16"/>
  <c r="N5" i="16" s="1"/>
  <c r="M4" i="16"/>
  <c r="M5" i="16" s="1"/>
  <c r="L4" i="16"/>
  <c r="L5" i="16" s="1"/>
  <c r="K4" i="16"/>
  <c r="K5" i="16" s="1"/>
  <c r="H25" i="25"/>
  <c r="H10" i="25"/>
  <c r="T60" i="34" l="1"/>
  <c r="K60" i="34"/>
  <c r="I28" i="25"/>
  <c r="I27" i="25"/>
  <c r="I26" i="25"/>
  <c r="I25" i="25"/>
  <c r="K63" i="34" l="1"/>
  <c r="T62" i="34"/>
  <c r="K62" i="34"/>
  <c r="W63" i="34"/>
  <c r="T63" i="34"/>
  <c r="Q63" i="34"/>
  <c r="Q62" i="34"/>
  <c r="W62" i="34"/>
  <c r="N63" i="34"/>
  <c r="N62" i="34"/>
  <c r="R24" i="25"/>
  <c r="S24" i="25" s="1"/>
  <c r="R9" i="25"/>
  <c r="Z92" i="33" l="1"/>
  <c r="Z91" i="33"/>
  <c r="Z90" i="33"/>
  <c r="Z89" i="33"/>
  <c r="Z88" i="33"/>
  <c r="Z87" i="33"/>
  <c r="Z86" i="33"/>
  <c r="Z85" i="33"/>
  <c r="T388" i="13" l="1"/>
  <c r="S388" i="13"/>
  <c r="R388" i="13"/>
  <c r="T387" i="13"/>
  <c r="S387" i="13"/>
  <c r="R387" i="13"/>
  <c r="T386" i="13"/>
  <c r="S386" i="13"/>
  <c r="R386" i="13"/>
  <c r="T385" i="13"/>
  <c r="S385" i="13"/>
  <c r="R385" i="13"/>
  <c r="T384" i="13"/>
  <c r="S384" i="13"/>
  <c r="R384" i="13"/>
  <c r="T383" i="13"/>
  <c r="S383" i="13"/>
  <c r="R383" i="13"/>
  <c r="T382" i="13"/>
  <c r="S382" i="13"/>
  <c r="R382" i="13"/>
  <c r="T381" i="13"/>
  <c r="S381" i="13"/>
  <c r="R381" i="13"/>
  <c r="T380" i="13"/>
  <c r="S380" i="13"/>
  <c r="R380" i="13"/>
  <c r="T379" i="13"/>
  <c r="S379" i="13"/>
  <c r="R379" i="13"/>
  <c r="T378" i="13"/>
  <c r="S378" i="13"/>
  <c r="R378" i="13"/>
  <c r="T377" i="13"/>
  <c r="S377" i="13"/>
  <c r="R377" i="13"/>
  <c r="F389" i="13"/>
  <c r="S389" i="13" l="1"/>
  <c r="T389" i="13"/>
  <c r="R389" i="13"/>
  <c r="H60" i="34" l="1"/>
  <c r="E85" i="33"/>
  <c r="F85" i="33" s="1"/>
  <c r="P30" i="33"/>
  <c r="P29" i="33"/>
  <c r="P28" i="33"/>
  <c r="P27" i="33"/>
  <c r="P26" i="33"/>
  <c r="P25" i="33"/>
  <c r="P24" i="33"/>
  <c r="P23" i="33"/>
  <c r="P18" i="33"/>
  <c r="P17" i="33"/>
  <c r="P16" i="33"/>
  <c r="P15" i="33"/>
  <c r="P14" i="33"/>
  <c r="P13" i="33"/>
  <c r="P12" i="33"/>
  <c r="E63" i="34" l="1"/>
  <c r="H62" i="34"/>
  <c r="E62" i="34"/>
  <c r="H63" i="34"/>
  <c r="B63" i="34"/>
  <c r="B62" i="34"/>
  <c r="R92" i="33"/>
  <c r="R91" i="33"/>
  <c r="R90" i="33"/>
  <c r="R89" i="33"/>
  <c r="R88" i="33"/>
  <c r="R87" i="33"/>
  <c r="R86" i="33"/>
  <c r="R85" i="33"/>
  <c r="H90" i="5"/>
  <c r="F90" i="5"/>
  <c r="Z63" i="34" l="1"/>
  <c r="Z62" i="34"/>
  <c r="Q90" i="33" a="1"/>
  <c r="Q90" i="33" s="1"/>
  <c r="S90" i="33" s="1"/>
  <c r="T90" i="33" s="1"/>
  <c r="Q91" i="33" a="1"/>
  <c r="Q91" i="33" s="1"/>
  <c r="S91" i="33" s="1"/>
  <c r="T91" i="33" s="1"/>
  <c r="Q92" i="33" a="1"/>
  <c r="Q92" i="33" s="1"/>
  <c r="S92" i="33" s="1"/>
  <c r="T92" i="33" s="1"/>
  <c r="Q85" i="33" a="1"/>
  <c r="Q85" i="33" s="1"/>
  <c r="S85" i="33" s="1"/>
  <c r="T85" i="33" s="1"/>
  <c r="Q86" i="33" a="1"/>
  <c r="Q86" i="33" s="1"/>
  <c r="S86" i="33" s="1"/>
  <c r="T86" i="33" s="1"/>
  <c r="Q87" i="33" a="1"/>
  <c r="Q87" i="33" s="1"/>
  <c r="S87" i="33" s="1"/>
  <c r="T87" i="33" s="1"/>
  <c r="Q88" i="33" a="1"/>
  <c r="Q88" i="33" s="1"/>
  <c r="S88" i="33" s="1"/>
  <c r="T88" i="33" s="1"/>
  <c r="Q89" i="33" a="1"/>
  <c r="Q89" i="33" s="1"/>
  <c r="S89" i="33" s="1"/>
  <c r="T89" i="33" s="1"/>
  <c r="T44" i="5" l="1"/>
  <c r="C369" i="14" l="1"/>
  <c r="C370" i="14"/>
  <c r="C371" i="14"/>
  <c r="C372" i="14"/>
  <c r="C373" i="14"/>
  <c r="C370" i="13"/>
  <c r="C371" i="13"/>
  <c r="C372" i="13"/>
  <c r="C373" i="13"/>
  <c r="C369" i="12"/>
  <c r="C370" i="12"/>
  <c r="C371" i="12"/>
  <c r="C372" i="12"/>
  <c r="C373" i="12"/>
  <c r="C369" i="11"/>
  <c r="C370" i="11"/>
  <c r="C371" i="11"/>
  <c r="C372" i="11"/>
  <c r="C373" i="11"/>
  <c r="C370" i="10"/>
  <c r="C371" i="10"/>
  <c r="C372" i="10"/>
  <c r="C373" i="10"/>
  <c r="C370" i="9"/>
  <c r="C371" i="9"/>
  <c r="C372" i="9"/>
  <c r="C373" i="9"/>
  <c r="C370" i="6"/>
  <c r="C371" i="6"/>
  <c r="C372" i="6"/>
  <c r="C373" i="6"/>
  <c r="C370" i="2"/>
  <c r="C371" i="2"/>
  <c r="C372" i="2"/>
  <c r="C373" i="2"/>
  <c r="C370" i="1"/>
  <c r="C371" i="1"/>
  <c r="C372" i="1"/>
  <c r="C373" i="1"/>
  <c r="T85" i="5" l="1"/>
  <c r="T84" i="5"/>
  <c r="T83" i="5"/>
  <c r="T82" i="5"/>
  <c r="T81" i="5"/>
  <c r="T80" i="5"/>
  <c r="T79" i="5"/>
  <c r="T78" i="5"/>
  <c r="T77" i="5"/>
  <c r="T76" i="5"/>
  <c r="R377" i="1"/>
  <c r="S377" i="1"/>
  <c r="T377" i="1"/>
  <c r="R378" i="1"/>
  <c r="S378" i="1"/>
  <c r="T378" i="1"/>
  <c r="R379" i="1"/>
  <c r="S379" i="1"/>
  <c r="T379" i="1"/>
  <c r="R380" i="1"/>
  <c r="S380" i="1"/>
  <c r="T380" i="1"/>
  <c r="R381" i="1"/>
  <c r="S381" i="1"/>
  <c r="T381" i="1"/>
  <c r="R382" i="1"/>
  <c r="S382" i="1"/>
  <c r="T382" i="1"/>
  <c r="R383" i="1"/>
  <c r="S383" i="1"/>
  <c r="T383" i="1"/>
  <c r="R384" i="1"/>
  <c r="S384" i="1"/>
  <c r="T384" i="1"/>
  <c r="R385" i="1"/>
  <c r="S385" i="1"/>
  <c r="T385" i="1"/>
  <c r="R386" i="1"/>
  <c r="S386" i="1"/>
  <c r="T386" i="1"/>
  <c r="R387" i="1"/>
  <c r="S387" i="1"/>
  <c r="T387" i="1"/>
  <c r="R388" i="1"/>
  <c r="S388" i="1"/>
  <c r="T388" i="1"/>
  <c r="L75" i="5" l="1"/>
  <c r="F8" i="8"/>
  <c r="O12" i="33"/>
  <c r="R18" i="16"/>
  <c r="Q18" i="16"/>
  <c r="J18" i="16"/>
  <c r="I18" i="16"/>
  <c r="F18" i="16"/>
  <c r="E18" i="16"/>
  <c r="D18" i="16"/>
  <c r="C18" i="16"/>
  <c r="D3" i="17"/>
  <c r="D7" i="17" s="1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D18" i="17"/>
  <c r="C18" i="17"/>
  <c r="P3" i="16"/>
  <c r="O3" i="16"/>
  <c r="N3" i="16"/>
  <c r="M3" i="16"/>
  <c r="L3" i="16"/>
  <c r="K3" i="16"/>
  <c r="H3" i="16"/>
  <c r="G3" i="16"/>
  <c r="E18" i="17"/>
  <c r="M31" i="8"/>
  <c r="N31" i="8"/>
  <c r="M34" i="8"/>
  <c r="N34" i="8"/>
  <c r="M35" i="8"/>
  <c r="N35" i="8"/>
  <c r="M36" i="8"/>
  <c r="N36" i="8"/>
  <c r="M28" i="8"/>
  <c r="N28" i="8"/>
  <c r="J31" i="8"/>
  <c r="K31" i="8"/>
  <c r="J34" i="8"/>
  <c r="K34" i="8"/>
  <c r="J35" i="8"/>
  <c r="K35" i="8"/>
  <c r="J28" i="8"/>
  <c r="K28" i="8"/>
  <c r="G29" i="8"/>
  <c r="H29" i="8"/>
  <c r="G30" i="8"/>
  <c r="H30" i="8"/>
  <c r="G32" i="8"/>
  <c r="H32" i="8"/>
  <c r="G33" i="8"/>
  <c r="H33" i="8"/>
  <c r="G36" i="8"/>
  <c r="H36" i="8"/>
  <c r="E33" i="8"/>
  <c r="E32" i="8"/>
  <c r="D32" i="8"/>
  <c r="D33" i="8"/>
  <c r="E29" i="8"/>
  <c r="D29" i="8"/>
  <c r="AM10" i="8" l="1"/>
  <c r="N97" i="5"/>
  <c r="D96" i="5"/>
  <c r="J95" i="5"/>
  <c r="AJ7" i="8"/>
  <c r="AJ5" i="8"/>
  <c r="AA11" i="8"/>
  <c r="F11" i="8"/>
  <c r="I8" i="8"/>
  <c r="I6" i="8"/>
  <c r="S68" i="16"/>
  <c r="T68" i="16"/>
  <c r="S69" i="16"/>
  <c r="T69" i="16"/>
  <c r="T388" i="9"/>
  <c r="S388" i="9"/>
  <c r="R388" i="9"/>
  <c r="T387" i="9"/>
  <c r="S387" i="9"/>
  <c r="R387" i="9"/>
  <c r="T386" i="9"/>
  <c r="S386" i="9"/>
  <c r="R386" i="9"/>
  <c r="T385" i="9"/>
  <c r="S385" i="9"/>
  <c r="R385" i="9"/>
  <c r="T384" i="9"/>
  <c r="S384" i="9"/>
  <c r="R384" i="9"/>
  <c r="T383" i="9"/>
  <c r="S383" i="9"/>
  <c r="R383" i="9"/>
  <c r="T382" i="9"/>
  <c r="S382" i="9"/>
  <c r="R382" i="9"/>
  <c r="T381" i="9"/>
  <c r="S381" i="9"/>
  <c r="R381" i="9"/>
  <c r="T380" i="9"/>
  <c r="S380" i="9"/>
  <c r="R380" i="9"/>
  <c r="T379" i="9"/>
  <c r="S379" i="9"/>
  <c r="R379" i="9"/>
  <c r="T378" i="9"/>
  <c r="S378" i="9"/>
  <c r="R378" i="9"/>
  <c r="T377" i="9"/>
  <c r="S377" i="9"/>
  <c r="R377" i="9"/>
  <c r="M369" i="9"/>
  <c r="L369" i="9"/>
  <c r="K369" i="9"/>
  <c r="J369" i="9"/>
  <c r="I369" i="9"/>
  <c r="H369" i="9"/>
  <c r="C369" i="9" s="1"/>
  <c r="G369" i="9"/>
  <c r="F369" i="9"/>
  <c r="E369" i="9"/>
  <c r="D369" i="9"/>
  <c r="M368" i="9"/>
  <c r="L368" i="9"/>
  <c r="K368" i="9"/>
  <c r="J368" i="9"/>
  <c r="I368" i="9"/>
  <c r="H368" i="9"/>
  <c r="C368" i="9" s="1"/>
  <c r="G368" i="9"/>
  <c r="F368" i="9"/>
  <c r="E368" i="9"/>
  <c r="D368" i="9"/>
  <c r="M367" i="9"/>
  <c r="L367" i="9"/>
  <c r="K367" i="9"/>
  <c r="J367" i="9"/>
  <c r="I367" i="9"/>
  <c r="H367" i="9"/>
  <c r="C367" i="9" s="1"/>
  <c r="G367" i="9"/>
  <c r="F367" i="9"/>
  <c r="E367" i="9"/>
  <c r="D367" i="9"/>
  <c r="M366" i="9"/>
  <c r="L366" i="9"/>
  <c r="K366" i="9"/>
  <c r="J366" i="9"/>
  <c r="I366" i="9"/>
  <c r="H366" i="9"/>
  <c r="C366" i="9" s="1"/>
  <c r="G366" i="9"/>
  <c r="F366" i="9"/>
  <c r="E366" i="9"/>
  <c r="D366" i="9"/>
  <c r="M365" i="9"/>
  <c r="L365" i="9"/>
  <c r="K365" i="9"/>
  <c r="J365" i="9"/>
  <c r="I365" i="9"/>
  <c r="H365" i="9"/>
  <c r="C365" i="9" s="1"/>
  <c r="G365" i="9"/>
  <c r="F365" i="9"/>
  <c r="E365" i="9"/>
  <c r="D365" i="9"/>
  <c r="M364" i="9"/>
  <c r="L364" i="9"/>
  <c r="K364" i="9"/>
  <c r="J364" i="9"/>
  <c r="I364" i="9"/>
  <c r="H364" i="9"/>
  <c r="C364" i="9" s="1"/>
  <c r="G364" i="9"/>
  <c r="F364" i="9"/>
  <c r="E364" i="9"/>
  <c r="D364" i="9"/>
  <c r="M363" i="9"/>
  <c r="L363" i="9"/>
  <c r="K363" i="9"/>
  <c r="J363" i="9"/>
  <c r="I363" i="9"/>
  <c r="H363" i="9"/>
  <c r="C363" i="9" s="1"/>
  <c r="G363" i="9"/>
  <c r="F363" i="9"/>
  <c r="E363" i="9"/>
  <c r="D363" i="9"/>
  <c r="M362" i="9"/>
  <c r="L362" i="9"/>
  <c r="K362" i="9"/>
  <c r="J362" i="9"/>
  <c r="I362" i="9"/>
  <c r="H362" i="9"/>
  <c r="C362" i="9" s="1"/>
  <c r="G362" i="9"/>
  <c r="F362" i="9"/>
  <c r="E362" i="9"/>
  <c r="D362" i="9"/>
  <c r="M361" i="9"/>
  <c r="L361" i="9"/>
  <c r="K361" i="9"/>
  <c r="J361" i="9"/>
  <c r="I361" i="9"/>
  <c r="H361" i="9"/>
  <c r="C361" i="9" s="1"/>
  <c r="G361" i="9"/>
  <c r="F361" i="9"/>
  <c r="E361" i="9"/>
  <c r="D361" i="9"/>
  <c r="M360" i="9"/>
  <c r="L360" i="9"/>
  <c r="K360" i="9"/>
  <c r="J360" i="9"/>
  <c r="I360" i="9"/>
  <c r="H360" i="9"/>
  <c r="C360" i="9" s="1"/>
  <c r="G360" i="9"/>
  <c r="F360" i="9"/>
  <c r="E360" i="9"/>
  <c r="D360" i="9"/>
  <c r="M359" i="9"/>
  <c r="L359" i="9"/>
  <c r="K359" i="9"/>
  <c r="J359" i="9"/>
  <c r="I359" i="9"/>
  <c r="H359" i="9"/>
  <c r="C359" i="9" s="1"/>
  <c r="G359" i="9"/>
  <c r="F359" i="9"/>
  <c r="E359" i="9"/>
  <c r="D359" i="9"/>
  <c r="M358" i="9"/>
  <c r="L358" i="9"/>
  <c r="K358" i="9"/>
  <c r="J358" i="9"/>
  <c r="I358" i="9"/>
  <c r="H358" i="9"/>
  <c r="C358" i="9" s="1"/>
  <c r="G358" i="9"/>
  <c r="F358" i="9"/>
  <c r="E358" i="9"/>
  <c r="D358" i="9"/>
  <c r="M357" i="9"/>
  <c r="L357" i="9"/>
  <c r="K357" i="9"/>
  <c r="J357" i="9"/>
  <c r="I357" i="9"/>
  <c r="H357" i="9"/>
  <c r="C357" i="9" s="1"/>
  <c r="G357" i="9"/>
  <c r="F357" i="9"/>
  <c r="E357" i="9"/>
  <c r="D357" i="9"/>
  <c r="M356" i="9"/>
  <c r="L356" i="9"/>
  <c r="K356" i="9"/>
  <c r="J356" i="9"/>
  <c r="I356" i="9"/>
  <c r="H356" i="9"/>
  <c r="C356" i="9" s="1"/>
  <c r="G356" i="9"/>
  <c r="F356" i="9"/>
  <c r="E356" i="9"/>
  <c r="D356" i="9"/>
  <c r="M355" i="9"/>
  <c r="L355" i="9"/>
  <c r="K355" i="9"/>
  <c r="J355" i="9"/>
  <c r="I355" i="9"/>
  <c r="H355" i="9"/>
  <c r="C355" i="9" s="1"/>
  <c r="G355" i="9"/>
  <c r="F355" i="9"/>
  <c r="E355" i="9"/>
  <c r="D355" i="9"/>
  <c r="M354" i="9"/>
  <c r="L354" i="9"/>
  <c r="K354" i="9"/>
  <c r="J354" i="9"/>
  <c r="I354" i="9"/>
  <c r="H354" i="9"/>
  <c r="C354" i="9" s="1"/>
  <c r="G354" i="9"/>
  <c r="F354" i="9"/>
  <c r="E354" i="9"/>
  <c r="D354" i="9"/>
  <c r="M353" i="9"/>
  <c r="L353" i="9"/>
  <c r="K353" i="9"/>
  <c r="J353" i="9"/>
  <c r="I353" i="9"/>
  <c r="H353" i="9"/>
  <c r="C353" i="9" s="1"/>
  <c r="G353" i="9"/>
  <c r="F353" i="9"/>
  <c r="E353" i="9"/>
  <c r="D353" i="9"/>
  <c r="M352" i="9"/>
  <c r="L352" i="9"/>
  <c r="K352" i="9"/>
  <c r="J352" i="9"/>
  <c r="I352" i="9"/>
  <c r="H352" i="9"/>
  <c r="C352" i="9" s="1"/>
  <c r="G352" i="9"/>
  <c r="F352" i="9"/>
  <c r="E352" i="9"/>
  <c r="D352" i="9"/>
  <c r="M351" i="9"/>
  <c r="L351" i="9"/>
  <c r="K351" i="9"/>
  <c r="J351" i="9"/>
  <c r="I351" i="9"/>
  <c r="H351" i="9"/>
  <c r="C351" i="9" s="1"/>
  <c r="G351" i="9"/>
  <c r="F351" i="9"/>
  <c r="E351" i="9"/>
  <c r="D351" i="9"/>
  <c r="M350" i="9"/>
  <c r="L350" i="9"/>
  <c r="K350" i="9"/>
  <c r="J350" i="9"/>
  <c r="I350" i="9"/>
  <c r="H350" i="9"/>
  <c r="C350" i="9" s="1"/>
  <c r="G350" i="9"/>
  <c r="F350" i="9"/>
  <c r="E350" i="9"/>
  <c r="D350" i="9"/>
  <c r="M349" i="9"/>
  <c r="L349" i="9"/>
  <c r="K349" i="9"/>
  <c r="J349" i="9"/>
  <c r="I349" i="9"/>
  <c r="H349" i="9"/>
  <c r="C349" i="9" s="1"/>
  <c r="G349" i="9"/>
  <c r="F349" i="9"/>
  <c r="E349" i="9"/>
  <c r="D349" i="9"/>
  <c r="M348" i="9"/>
  <c r="L348" i="9"/>
  <c r="K348" i="9"/>
  <c r="J348" i="9"/>
  <c r="I348" i="9"/>
  <c r="H348" i="9"/>
  <c r="C348" i="9" s="1"/>
  <c r="G348" i="9"/>
  <c r="F348" i="9"/>
  <c r="E348" i="9"/>
  <c r="D348" i="9"/>
  <c r="M347" i="9"/>
  <c r="L347" i="9"/>
  <c r="K347" i="9"/>
  <c r="J347" i="9"/>
  <c r="I347" i="9"/>
  <c r="H347" i="9"/>
  <c r="C347" i="9" s="1"/>
  <c r="G347" i="9"/>
  <c r="F347" i="9"/>
  <c r="E347" i="9"/>
  <c r="D347" i="9"/>
  <c r="M346" i="9"/>
  <c r="L346" i="9"/>
  <c r="K346" i="9"/>
  <c r="J346" i="9"/>
  <c r="I346" i="9"/>
  <c r="H346" i="9"/>
  <c r="C346" i="9" s="1"/>
  <c r="G346" i="9"/>
  <c r="F346" i="9"/>
  <c r="E346" i="9"/>
  <c r="D346" i="9"/>
  <c r="M345" i="9"/>
  <c r="L345" i="9"/>
  <c r="K345" i="9"/>
  <c r="J345" i="9"/>
  <c r="I345" i="9"/>
  <c r="H345" i="9"/>
  <c r="C345" i="9" s="1"/>
  <c r="G345" i="9"/>
  <c r="F345" i="9"/>
  <c r="E345" i="9"/>
  <c r="D345" i="9"/>
  <c r="M344" i="9"/>
  <c r="L344" i="9"/>
  <c r="K344" i="9"/>
  <c r="J344" i="9"/>
  <c r="I344" i="9"/>
  <c r="H344" i="9"/>
  <c r="C344" i="9" s="1"/>
  <c r="G344" i="9"/>
  <c r="F344" i="9"/>
  <c r="E344" i="9"/>
  <c r="D344" i="9"/>
  <c r="M343" i="9"/>
  <c r="L343" i="9"/>
  <c r="K343" i="9"/>
  <c r="J343" i="9"/>
  <c r="I343" i="9"/>
  <c r="H343" i="9"/>
  <c r="C343" i="9" s="1"/>
  <c r="G343" i="9"/>
  <c r="F343" i="9"/>
  <c r="E343" i="9"/>
  <c r="D343" i="9"/>
  <c r="M342" i="9"/>
  <c r="L342" i="9"/>
  <c r="K342" i="9"/>
  <c r="J342" i="9"/>
  <c r="I342" i="9"/>
  <c r="H342" i="9"/>
  <c r="C342" i="9" s="1"/>
  <c r="G342" i="9"/>
  <c r="F342" i="9"/>
  <c r="E342" i="9"/>
  <c r="D342" i="9"/>
  <c r="M341" i="9"/>
  <c r="L341" i="9"/>
  <c r="K341" i="9"/>
  <c r="J341" i="9"/>
  <c r="I341" i="9"/>
  <c r="H341" i="9"/>
  <c r="C341" i="9" s="1"/>
  <c r="G341" i="9"/>
  <c r="F341" i="9"/>
  <c r="E341" i="9"/>
  <c r="D341" i="9"/>
  <c r="M340" i="9"/>
  <c r="L340" i="9"/>
  <c r="K340" i="9"/>
  <c r="J340" i="9"/>
  <c r="I340" i="9"/>
  <c r="H340" i="9"/>
  <c r="G340" i="9"/>
  <c r="F340" i="9"/>
  <c r="E340" i="9"/>
  <c r="D340" i="9"/>
  <c r="M339" i="9"/>
  <c r="L339" i="9"/>
  <c r="K339" i="9"/>
  <c r="J339" i="9"/>
  <c r="I339" i="9"/>
  <c r="H339" i="9"/>
  <c r="C339" i="9" s="1"/>
  <c r="G339" i="9"/>
  <c r="F339" i="9"/>
  <c r="E339" i="9"/>
  <c r="D339" i="9"/>
  <c r="M338" i="9"/>
  <c r="L338" i="9"/>
  <c r="K338" i="9"/>
  <c r="J338" i="9"/>
  <c r="I338" i="9"/>
  <c r="H338" i="9"/>
  <c r="C338" i="9" s="1"/>
  <c r="G338" i="9"/>
  <c r="F338" i="9"/>
  <c r="E338" i="9"/>
  <c r="D338" i="9"/>
  <c r="M337" i="9"/>
  <c r="L337" i="9"/>
  <c r="K337" i="9"/>
  <c r="J337" i="9"/>
  <c r="I337" i="9"/>
  <c r="H337" i="9"/>
  <c r="C337" i="9" s="1"/>
  <c r="G337" i="9"/>
  <c r="F337" i="9"/>
  <c r="E337" i="9"/>
  <c r="D337" i="9"/>
  <c r="M336" i="9"/>
  <c r="L336" i="9"/>
  <c r="K336" i="9"/>
  <c r="J336" i="9"/>
  <c r="I336" i="9"/>
  <c r="H336" i="9"/>
  <c r="C336" i="9" s="1"/>
  <c r="G336" i="9"/>
  <c r="F336" i="9"/>
  <c r="E336" i="9"/>
  <c r="D336" i="9"/>
  <c r="M335" i="9"/>
  <c r="L335" i="9"/>
  <c r="K335" i="9"/>
  <c r="J335" i="9"/>
  <c r="I335" i="9"/>
  <c r="H335" i="9"/>
  <c r="C335" i="9" s="1"/>
  <c r="G335" i="9"/>
  <c r="F335" i="9"/>
  <c r="E335" i="9"/>
  <c r="D335" i="9"/>
  <c r="M334" i="9"/>
  <c r="L334" i="9"/>
  <c r="K334" i="9"/>
  <c r="J334" i="9"/>
  <c r="I334" i="9"/>
  <c r="H334" i="9"/>
  <c r="C334" i="9" s="1"/>
  <c r="G334" i="9"/>
  <c r="F334" i="9"/>
  <c r="E334" i="9"/>
  <c r="D334" i="9"/>
  <c r="M333" i="9"/>
  <c r="L333" i="9"/>
  <c r="K333" i="9"/>
  <c r="J333" i="9"/>
  <c r="I333" i="9"/>
  <c r="H333" i="9"/>
  <c r="C333" i="9" s="1"/>
  <c r="G333" i="9"/>
  <c r="F333" i="9"/>
  <c r="E333" i="9"/>
  <c r="D333" i="9"/>
  <c r="M332" i="9"/>
  <c r="L332" i="9"/>
  <c r="K332" i="9"/>
  <c r="J332" i="9"/>
  <c r="I332" i="9"/>
  <c r="H332" i="9"/>
  <c r="C332" i="9" s="1"/>
  <c r="G332" i="9"/>
  <c r="F332" i="9"/>
  <c r="E332" i="9"/>
  <c r="D332" i="9"/>
  <c r="M331" i="9"/>
  <c r="L331" i="9"/>
  <c r="K331" i="9"/>
  <c r="J331" i="9"/>
  <c r="I331" i="9"/>
  <c r="H331" i="9"/>
  <c r="C331" i="9" s="1"/>
  <c r="G331" i="9"/>
  <c r="F331" i="9"/>
  <c r="E331" i="9"/>
  <c r="D331" i="9"/>
  <c r="M330" i="9"/>
  <c r="L330" i="9"/>
  <c r="K330" i="9"/>
  <c r="J330" i="9"/>
  <c r="I330" i="9"/>
  <c r="H330" i="9"/>
  <c r="C330" i="9" s="1"/>
  <c r="G330" i="9"/>
  <c r="F330" i="9"/>
  <c r="E330" i="9"/>
  <c r="D330" i="9"/>
  <c r="M329" i="9"/>
  <c r="L329" i="9"/>
  <c r="K329" i="9"/>
  <c r="J329" i="9"/>
  <c r="I329" i="9"/>
  <c r="H329" i="9"/>
  <c r="C329" i="9" s="1"/>
  <c r="G329" i="9"/>
  <c r="F329" i="9"/>
  <c r="E329" i="9"/>
  <c r="D329" i="9"/>
  <c r="M328" i="9"/>
  <c r="L328" i="9"/>
  <c r="K328" i="9"/>
  <c r="J328" i="9"/>
  <c r="I328" i="9"/>
  <c r="H328" i="9"/>
  <c r="C328" i="9" s="1"/>
  <c r="G328" i="9"/>
  <c r="F328" i="9"/>
  <c r="E328" i="9"/>
  <c r="D328" i="9"/>
  <c r="M327" i="9"/>
  <c r="L327" i="9"/>
  <c r="K327" i="9"/>
  <c r="J327" i="9"/>
  <c r="I327" i="9"/>
  <c r="H327" i="9"/>
  <c r="C327" i="9" s="1"/>
  <c r="G327" i="9"/>
  <c r="F327" i="9"/>
  <c r="E327" i="9"/>
  <c r="D327" i="9"/>
  <c r="M326" i="9"/>
  <c r="L326" i="9"/>
  <c r="K326" i="9"/>
  <c r="J326" i="9"/>
  <c r="I326" i="9"/>
  <c r="H326" i="9"/>
  <c r="C326" i="9" s="1"/>
  <c r="G326" i="9"/>
  <c r="F326" i="9"/>
  <c r="E326" i="9"/>
  <c r="D326" i="9"/>
  <c r="M325" i="9"/>
  <c r="L325" i="9"/>
  <c r="K325" i="9"/>
  <c r="J325" i="9"/>
  <c r="I325" i="9"/>
  <c r="H325" i="9"/>
  <c r="C325" i="9" s="1"/>
  <c r="G325" i="9"/>
  <c r="F325" i="9"/>
  <c r="E325" i="9"/>
  <c r="D325" i="9"/>
  <c r="M324" i="9"/>
  <c r="L324" i="9"/>
  <c r="K324" i="9"/>
  <c r="J324" i="9"/>
  <c r="I324" i="9"/>
  <c r="H324" i="9"/>
  <c r="C324" i="9" s="1"/>
  <c r="G324" i="9"/>
  <c r="F324" i="9"/>
  <c r="E324" i="9"/>
  <c r="D324" i="9"/>
  <c r="M323" i="9"/>
  <c r="L323" i="9"/>
  <c r="K323" i="9"/>
  <c r="J323" i="9"/>
  <c r="I323" i="9"/>
  <c r="H323" i="9"/>
  <c r="C323" i="9" s="1"/>
  <c r="G323" i="9"/>
  <c r="F323" i="9"/>
  <c r="E323" i="9"/>
  <c r="D323" i="9"/>
  <c r="M322" i="9"/>
  <c r="L322" i="9"/>
  <c r="K322" i="9"/>
  <c r="J322" i="9"/>
  <c r="I322" i="9"/>
  <c r="H322" i="9"/>
  <c r="C322" i="9" s="1"/>
  <c r="G322" i="9"/>
  <c r="F322" i="9"/>
  <c r="E322" i="9"/>
  <c r="D322" i="9"/>
  <c r="M321" i="9"/>
  <c r="L321" i="9"/>
  <c r="K321" i="9"/>
  <c r="J321" i="9"/>
  <c r="I321" i="9"/>
  <c r="H321" i="9"/>
  <c r="C321" i="9" s="1"/>
  <c r="G321" i="9"/>
  <c r="F321" i="9"/>
  <c r="E321" i="9"/>
  <c r="D321" i="9"/>
  <c r="M320" i="9"/>
  <c r="L320" i="9"/>
  <c r="K320" i="9"/>
  <c r="J320" i="9"/>
  <c r="I320" i="9"/>
  <c r="H320" i="9"/>
  <c r="C320" i="9" s="1"/>
  <c r="G320" i="9"/>
  <c r="F320" i="9"/>
  <c r="E320" i="9"/>
  <c r="D320" i="9"/>
  <c r="M319" i="9"/>
  <c r="L319" i="9"/>
  <c r="K319" i="9"/>
  <c r="J319" i="9"/>
  <c r="I319" i="9"/>
  <c r="H319" i="9"/>
  <c r="C319" i="9" s="1"/>
  <c r="G319" i="9"/>
  <c r="F319" i="9"/>
  <c r="E319" i="9"/>
  <c r="D319" i="9"/>
  <c r="M318" i="9"/>
  <c r="L318" i="9"/>
  <c r="K318" i="9"/>
  <c r="J318" i="9"/>
  <c r="I318" i="9"/>
  <c r="H318" i="9"/>
  <c r="C318" i="9" s="1"/>
  <c r="G318" i="9"/>
  <c r="F318" i="9"/>
  <c r="E318" i="9"/>
  <c r="D318" i="9"/>
  <c r="M317" i="9"/>
  <c r="L317" i="9"/>
  <c r="K317" i="9"/>
  <c r="J317" i="9"/>
  <c r="I317" i="9"/>
  <c r="H317" i="9"/>
  <c r="C317" i="9" s="1"/>
  <c r="G317" i="9"/>
  <c r="F317" i="9"/>
  <c r="E317" i="9"/>
  <c r="D317" i="9"/>
  <c r="M316" i="9"/>
  <c r="L316" i="9"/>
  <c r="K316" i="9"/>
  <c r="J316" i="9"/>
  <c r="I316" i="9"/>
  <c r="H316" i="9"/>
  <c r="C316" i="9" s="1"/>
  <c r="G316" i="9"/>
  <c r="F316" i="9"/>
  <c r="E316" i="9"/>
  <c r="D316" i="9"/>
  <c r="M315" i="9"/>
  <c r="L315" i="9"/>
  <c r="K315" i="9"/>
  <c r="J315" i="9"/>
  <c r="I315" i="9"/>
  <c r="H315" i="9"/>
  <c r="C315" i="9" s="1"/>
  <c r="G315" i="9"/>
  <c r="F315" i="9"/>
  <c r="E315" i="9"/>
  <c r="D315" i="9"/>
  <c r="M314" i="9"/>
  <c r="L314" i="9"/>
  <c r="K314" i="9"/>
  <c r="J314" i="9"/>
  <c r="I314" i="9"/>
  <c r="H314" i="9"/>
  <c r="C314" i="9" s="1"/>
  <c r="G314" i="9"/>
  <c r="F314" i="9"/>
  <c r="E314" i="9"/>
  <c r="D314" i="9"/>
  <c r="M313" i="9"/>
  <c r="L313" i="9"/>
  <c r="K313" i="9"/>
  <c r="J313" i="9"/>
  <c r="I313" i="9"/>
  <c r="H313" i="9"/>
  <c r="C313" i="9" s="1"/>
  <c r="G313" i="9"/>
  <c r="F313" i="9"/>
  <c r="E313" i="9"/>
  <c r="D313" i="9"/>
  <c r="M312" i="9"/>
  <c r="L312" i="9"/>
  <c r="K312" i="9"/>
  <c r="J312" i="9"/>
  <c r="I312" i="9"/>
  <c r="H312" i="9"/>
  <c r="C312" i="9" s="1"/>
  <c r="G312" i="9"/>
  <c r="F312" i="9"/>
  <c r="E312" i="9"/>
  <c r="D312" i="9"/>
  <c r="M311" i="9"/>
  <c r="L311" i="9"/>
  <c r="K311" i="9"/>
  <c r="J311" i="9"/>
  <c r="I311" i="9"/>
  <c r="H311" i="9"/>
  <c r="C311" i="9" s="1"/>
  <c r="G311" i="9"/>
  <c r="F311" i="9"/>
  <c r="E311" i="9"/>
  <c r="D311" i="9"/>
  <c r="M310" i="9"/>
  <c r="L310" i="9"/>
  <c r="K310" i="9"/>
  <c r="J310" i="9"/>
  <c r="I310" i="9"/>
  <c r="H310" i="9"/>
  <c r="G310" i="9"/>
  <c r="F310" i="9"/>
  <c r="E310" i="9"/>
  <c r="D310" i="9"/>
  <c r="M309" i="9"/>
  <c r="L309" i="9"/>
  <c r="K309" i="9"/>
  <c r="J309" i="9"/>
  <c r="I309" i="9"/>
  <c r="H309" i="9"/>
  <c r="C309" i="9" s="1"/>
  <c r="G309" i="9"/>
  <c r="F309" i="9"/>
  <c r="E309" i="9"/>
  <c r="D309" i="9"/>
  <c r="M308" i="9"/>
  <c r="L308" i="9"/>
  <c r="K308" i="9"/>
  <c r="J308" i="9"/>
  <c r="I308" i="9"/>
  <c r="H308" i="9"/>
  <c r="C308" i="9" s="1"/>
  <c r="G308" i="9"/>
  <c r="F308" i="9"/>
  <c r="E308" i="9"/>
  <c r="D308" i="9"/>
  <c r="M307" i="9"/>
  <c r="L307" i="9"/>
  <c r="K307" i="9"/>
  <c r="J307" i="9"/>
  <c r="I307" i="9"/>
  <c r="H307" i="9"/>
  <c r="C307" i="9" s="1"/>
  <c r="G307" i="9"/>
  <c r="F307" i="9"/>
  <c r="E307" i="9"/>
  <c r="D307" i="9"/>
  <c r="M306" i="9"/>
  <c r="L306" i="9"/>
  <c r="K306" i="9"/>
  <c r="J306" i="9"/>
  <c r="I306" i="9"/>
  <c r="H306" i="9"/>
  <c r="C306" i="9" s="1"/>
  <c r="G306" i="9"/>
  <c r="F306" i="9"/>
  <c r="E306" i="9"/>
  <c r="D306" i="9"/>
  <c r="M305" i="9"/>
  <c r="L305" i="9"/>
  <c r="K305" i="9"/>
  <c r="J305" i="9"/>
  <c r="I305" i="9"/>
  <c r="H305" i="9"/>
  <c r="C305" i="9" s="1"/>
  <c r="G305" i="9"/>
  <c r="F305" i="9"/>
  <c r="E305" i="9"/>
  <c r="D305" i="9"/>
  <c r="M304" i="9"/>
  <c r="L304" i="9"/>
  <c r="K304" i="9"/>
  <c r="J304" i="9"/>
  <c r="I304" i="9"/>
  <c r="H304" i="9"/>
  <c r="C304" i="9" s="1"/>
  <c r="G304" i="9"/>
  <c r="F304" i="9"/>
  <c r="E304" i="9"/>
  <c r="D304" i="9"/>
  <c r="M303" i="9"/>
  <c r="L303" i="9"/>
  <c r="K303" i="9"/>
  <c r="J303" i="9"/>
  <c r="I303" i="9"/>
  <c r="H303" i="9"/>
  <c r="C303" i="9" s="1"/>
  <c r="G303" i="9"/>
  <c r="F303" i="9"/>
  <c r="E303" i="9"/>
  <c r="D303" i="9"/>
  <c r="M302" i="9"/>
  <c r="L302" i="9"/>
  <c r="K302" i="9"/>
  <c r="J302" i="9"/>
  <c r="I302" i="9"/>
  <c r="H302" i="9"/>
  <c r="C302" i="9" s="1"/>
  <c r="G302" i="9"/>
  <c r="F302" i="9"/>
  <c r="E302" i="9"/>
  <c r="D302" i="9"/>
  <c r="M301" i="9"/>
  <c r="L301" i="9"/>
  <c r="K301" i="9"/>
  <c r="J301" i="9"/>
  <c r="I301" i="9"/>
  <c r="H301" i="9"/>
  <c r="C301" i="9" s="1"/>
  <c r="G301" i="9"/>
  <c r="F301" i="9"/>
  <c r="E301" i="9"/>
  <c r="D301" i="9"/>
  <c r="M300" i="9"/>
  <c r="L300" i="9"/>
  <c r="K300" i="9"/>
  <c r="J300" i="9"/>
  <c r="I300" i="9"/>
  <c r="H300" i="9"/>
  <c r="C300" i="9" s="1"/>
  <c r="G300" i="9"/>
  <c r="F300" i="9"/>
  <c r="E300" i="9"/>
  <c r="D300" i="9"/>
  <c r="M299" i="9"/>
  <c r="L299" i="9"/>
  <c r="K299" i="9"/>
  <c r="J299" i="9"/>
  <c r="I299" i="9"/>
  <c r="H299" i="9"/>
  <c r="C299" i="9" s="1"/>
  <c r="G299" i="9"/>
  <c r="F299" i="9"/>
  <c r="E299" i="9"/>
  <c r="D299" i="9"/>
  <c r="M298" i="9"/>
  <c r="L298" i="9"/>
  <c r="K298" i="9"/>
  <c r="J298" i="9"/>
  <c r="I298" i="9"/>
  <c r="H298" i="9"/>
  <c r="C298" i="9" s="1"/>
  <c r="G298" i="9"/>
  <c r="F298" i="9"/>
  <c r="E298" i="9"/>
  <c r="D298" i="9"/>
  <c r="M297" i="9"/>
  <c r="L297" i="9"/>
  <c r="K297" i="9"/>
  <c r="J297" i="9"/>
  <c r="I297" i="9"/>
  <c r="H297" i="9"/>
  <c r="C297" i="9" s="1"/>
  <c r="G297" i="9"/>
  <c r="F297" i="9"/>
  <c r="E297" i="9"/>
  <c r="D297" i="9"/>
  <c r="M296" i="9"/>
  <c r="L296" i="9"/>
  <c r="K296" i="9"/>
  <c r="J296" i="9"/>
  <c r="I296" i="9"/>
  <c r="H296" i="9"/>
  <c r="C296" i="9" s="1"/>
  <c r="G296" i="9"/>
  <c r="F296" i="9"/>
  <c r="E296" i="9"/>
  <c r="D296" i="9"/>
  <c r="M295" i="9"/>
  <c r="L295" i="9"/>
  <c r="K295" i="9"/>
  <c r="J295" i="9"/>
  <c r="I295" i="9"/>
  <c r="H295" i="9"/>
  <c r="C295" i="9" s="1"/>
  <c r="G295" i="9"/>
  <c r="F295" i="9"/>
  <c r="E295" i="9"/>
  <c r="D295" i="9"/>
  <c r="M294" i="9"/>
  <c r="L294" i="9"/>
  <c r="K294" i="9"/>
  <c r="J294" i="9"/>
  <c r="I294" i="9"/>
  <c r="H294" i="9"/>
  <c r="C294" i="9" s="1"/>
  <c r="G294" i="9"/>
  <c r="F294" i="9"/>
  <c r="E294" i="9"/>
  <c r="D294" i="9"/>
  <c r="M293" i="9"/>
  <c r="L293" i="9"/>
  <c r="K293" i="9"/>
  <c r="J293" i="9"/>
  <c r="I293" i="9"/>
  <c r="H293" i="9"/>
  <c r="C293" i="9" s="1"/>
  <c r="G293" i="9"/>
  <c r="F293" i="9"/>
  <c r="E293" i="9"/>
  <c r="D293" i="9"/>
  <c r="M292" i="9"/>
  <c r="L292" i="9"/>
  <c r="K292" i="9"/>
  <c r="J292" i="9"/>
  <c r="I292" i="9"/>
  <c r="H292" i="9"/>
  <c r="C292" i="9" s="1"/>
  <c r="G292" i="9"/>
  <c r="F292" i="9"/>
  <c r="E292" i="9"/>
  <c r="D292" i="9"/>
  <c r="M291" i="9"/>
  <c r="L291" i="9"/>
  <c r="K291" i="9"/>
  <c r="J291" i="9"/>
  <c r="I291" i="9"/>
  <c r="H291" i="9"/>
  <c r="C291" i="9" s="1"/>
  <c r="G291" i="9"/>
  <c r="F291" i="9"/>
  <c r="E291" i="9"/>
  <c r="D291" i="9"/>
  <c r="M290" i="9"/>
  <c r="L290" i="9"/>
  <c r="K290" i="9"/>
  <c r="J290" i="9"/>
  <c r="I290" i="9"/>
  <c r="H290" i="9"/>
  <c r="C290" i="9" s="1"/>
  <c r="G290" i="9"/>
  <c r="F290" i="9"/>
  <c r="E290" i="9"/>
  <c r="D290" i="9"/>
  <c r="M289" i="9"/>
  <c r="L289" i="9"/>
  <c r="K289" i="9"/>
  <c r="J289" i="9"/>
  <c r="I289" i="9"/>
  <c r="H289" i="9"/>
  <c r="C289" i="9" s="1"/>
  <c r="G289" i="9"/>
  <c r="F289" i="9"/>
  <c r="E289" i="9"/>
  <c r="D289" i="9"/>
  <c r="M288" i="9"/>
  <c r="L288" i="9"/>
  <c r="K288" i="9"/>
  <c r="J288" i="9"/>
  <c r="I288" i="9"/>
  <c r="H288" i="9"/>
  <c r="C288" i="9" s="1"/>
  <c r="G288" i="9"/>
  <c r="F288" i="9"/>
  <c r="E288" i="9"/>
  <c r="D288" i="9"/>
  <c r="M287" i="9"/>
  <c r="L287" i="9"/>
  <c r="K287" i="9"/>
  <c r="J287" i="9"/>
  <c r="I287" i="9"/>
  <c r="H287" i="9"/>
  <c r="C287" i="9" s="1"/>
  <c r="G287" i="9"/>
  <c r="F287" i="9"/>
  <c r="E287" i="9"/>
  <c r="D287" i="9"/>
  <c r="M286" i="9"/>
  <c r="L286" i="9"/>
  <c r="K286" i="9"/>
  <c r="J286" i="9"/>
  <c r="I286" i="9"/>
  <c r="H286" i="9"/>
  <c r="C286" i="9" s="1"/>
  <c r="G286" i="9"/>
  <c r="F286" i="9"/>
  <c r="E286" i="9"/>
  <c r="D286" i="9"/>
  <c r="M285" i="9"/>
  <c r="L285" i="9"/>
  <c r="K285" i="9"/>
  <c r="J285" i="9"/>
  <c r="I285" i="9"/>
  <c r="H285" i="9"/>
  <c r="C285" i="9" s="1"/>
  <c r="G285" i="9"/>
  <c r="F285" i="9"/>
  <c r="E285" i="9"/>
  <c r="D285" i="9"/>
  <c r="M284" i="9"/>
  <c r="L284" i="9"/>
  <c r="K284" i="9"/>
  <c r="J284" i="9"/>
  <c r="I284" i="9"/>
  <c r="H284" i="9"/>
  <c r="C284" i="9" s="1"/>
  <c r="G284" i="9"/>
  <c r="F284" i="9"/>
  <c r="E284" i="9"/>
  <c r="D284" i="9"/>
  <c r="M283" i="9"/>
  <c r="L283" i="9"/>
  <c r="K283" i="9"/>
  <c r="J283" i="9"/>
  <c r="I283" i="9"/>
  <c r="H283" i="9"/>
  <c r="C283" i="9" s="1"/>
  <c r="G283" i="9"/>
  <c r="F283" i="9"/>
  <c r="E283" i="9"/>
  <c r="D283" i="9"/>
  <c r="M282" i="9"/>
  <c r="L282" i="9"/>
  <c r="K282" i="9"/>
  <c r="J282" i="9"/>
  <c r="I282" i="9"/>
  <c r="H282" i="9"/>
  <c r="C282" i="9" s="1"/>
  <c r="G282" i="9"/>
  <c r="F282" i="9"/>
  <c r="E282" i="9"/>
  <c r="D282" i="9"/>
  <c r="M281" i="9"/>
  <c r="L281" i="9"/>
  <c r="K281" i="9"/>
  <c r="J281" i="9"/>
  <c r="I281" i="9"/>
  <c r="H281" i="9"/>
  <c r="C281" i="9" s="1"/>
  <c r="G281" i="9"/>
  <c r="F281" i="9"/>
  <c r="E281" i="9"/>
  <c r="D281" i="9"/>
  <c r="M280" i="9"/>
  <c r="L280" i="9"/>
  <c r="K280" i="9"/>
  <c r="J280" i="9"/>
  <c r="I280" i="9"/>
  <c r="H280" i="9"/>
  <c r="C280" i="9" s="1"/>
  <c r="G280" i="9"/>
  <c r="F280" i="9"/>
  <c r="E280" i="9"/>
  <c r="D280" i="9"/>
  <c r="M279" i="9"/>
  <c r="L279" i="9"/>
  <c r="K279" i="9"/>
  <c r="J279" i="9"/>
  <c r="I279" i="9"/>
  <c r="H279" i="9"/>
  <c r="G279" i="9"/>
  <c r="F279" i="9"/>
  <c r="E279" i="9"/>
  <c r="D279" i="9"/>
  <c r="M278" i="9"/>
  <c r="L278" i="9"/>
  <c r="K278" i="9"/>
  <c r="J278" i="9"/>
  <c r="I278" i="9"/>
  <c r="H278" i="9"/>
  <c r="C278" i="9" s="1"/>
  <c r="G278" i="9"/>
  <c r="F278" i="9"/>
  <c r="E278" i="9"/>
  <c r="D278" i="9"/>
  <c r="M277" i="9"/>
  <c r="L277" i="9"/>
  <c r="K277" i="9"/>
  <c r="J277" i="9"/>
  <c r="I277" i="9"/>
  <c r="H277" i="9"/>
  <c r="C277" i="9" s="1"/>
  <c r="G277" i="9"/>
  <c r="F277" i="9"/>
  <c r="E277" i="9"/>
  <c r="D277" i="9"/>
  <c r="M276" i="9"/>
  <c r="L276" i="9"/>
  <c r="K276" i="9"/>
  <c r="J276" i="9"/>
  <c r="I276" i="9"/>
  <c r="H276" i="9"/>
  <c r="C276" i="9" s="1"/>
  <c r="G276" i="9"/>
  <c r="F276" i="9"/>
  <c r="E276" i="9"/>
  <c r="D276" i="9"/>
  <c r="M275" i="9"/>
  <c r="L275" i="9"/>
  <c r="K275" i="9"/>
  <c r="J275" i="9"/>
  <c r="I275" i="9"/>
  <c r="H275" i="9"/>
  <c r="C275" i="9" s="1"/>
  <c r="G275" i="9"/>
  <c r="F275" i="9"/>
  <c r="E275" i="9"/>
  <c r="D275" i="9"/>
  <c r="M274" i="9"/>
  <c r="L274" i="9"/>
  <c r="K274" i="9"/>
  <c r="J274" i="9"/>
  <c r="I274" i="9"/>
  <c r="H274" i="9"/>
  <c r="C274" i="9" s="1"/>
  <c r="G274" i="9"/>
  <c r="F274" i="9"/>
  <c r="E274" i="9"/>
  <c r="D274" i="9"/>
  <c r="M273" i="9"/>
  <c r="L273" i="9"/>
  <c r="K273" i="9"/>
  <c r="J273" i="9"/>
  <c r="I273" i="9"/>
  <c r="H273" i="9"/>
  <c r="C273" i="9" s="1"/>
  <c r="G273" i="9"/>
  <c r="F273" i="9"/>
  <c r="E273" i="9"/>
  <c r="D273" i="9"/>
  <c r="M272" i="9"/>
  <c r="L272" i="9"/>
  <c r="K272" i="9"/>
  <c r="J272" i="9"/>
  <c r="I272" i="9"/>
  <c r="H272" i="9"/>
  <c r="C272" i="9" s="1"/>
  <c r="G272" i="9"/>
  <c r="F272" i="9"/>
  <c r="E272" i="9"/>
  <c r="D272" i="9"/>
  <c r="M271" i="9"/>
  <c r="L271" i="9"/>
  <c r="K271" i="9"/>
  <c r="J271" i="9"/>
  <c r="I271" i="9"/>
  <c r="H271" i="9"/>
  <c r="C271" i="9" s="1"/>
  <c r="G271" i="9"/>
  <c r="F271" i="9"/>
  <c r="E271" i="9"/>
  <c r="D271" i="9"/>
  <c r="M270" i="9"/>
  <c r="L270" i="9"/>
  <c r="K270" i="9"/>
  <c r="J270" i="9"/>
  <c r="I270" i="9"/>
  <c r="H270" i="9"/>
  <c r="C270" i="9" s="1"/>
  <c r="G270" i="9"/>
  <c r="F270" i="9"/>
  <c r="E270" i="9"/>
  <c r="D270" i="9"/>
  <c r="M269" i="9"/>
  <c r="L269" i="9"/>
  <c r="K269" i="9"/>
  <c r="J269" i="9"/>
  <c r="I269" i="9"/>
  <c r="H269" i="9"/>
  <c r="C269" i="9" s="1"/>
  <c r="G269" i="9"/>
  <c r="F269" i="9"/>
  <c r="E269" i="9"/>
  <c r="D269" i="9"/>
  <c r="M268" i="9"/>
  <c r="L268" i="9"/>
  <c r="K268" i="9"/>
  <c r="J268" i="9"/>
  <c r="I268" i="9"/>
  <c r="H268" i="9"/>
  <c r="C268" i="9" s="1"/>
  <c r="G268" i="9"/>
  <c r="F268" i="9"/>
  <c r="E268" i="9"/>
  <c r="D268" i="9"/>
  <c r="M267" i="9"/>
  <c r="L267" i="9"/>
  <c r="K267" i="9"/>
  <c r="J267" i="9"/>
  <c r="I267" i="9"/>
  <c r="H267" i="9"/>
  <c r="C267" i="9" s="1"/>
  <c r="G267" i="9"/>
  <c r="F267" i="9"/>
  <c r="E267" i="9"/>
  <c r="D267" i="9"/>
  <c r="M266" i="9"/>
  <c r="L266" i="9"/>
  <c r="K266" i="9"/>
  <c r="J266" i="9"/>
  <c r="I266" i="9"/>
  <c r="H266" i="9"/>
  <c r="C266" i="9" s="1"/>
  <c r="G266" i="9"/>
  <c r="F266" i="9"/>
  <c r="E266" i="9"/>
  <c r="D266" i="9"/>
  <c r="M265" i="9"/>
  <c r="L265" i="9"/>
  <c r="K265" i="9"/>
  <c r="J265" i="9"/>
  <c r="I265" i="9"/>
  <c r="H265" i="9"/>
  <c r="C265" i="9" s="1"/>
  <c r="G265" i="9"/>
  <c r="F265" i="9"/>
  <c r="E265" i="9"/>
  <c r="D265" i="9"/>
  <c r="M264" i="9"/>
  <c r="L264" i="9"/>
  <c r="K264" i="9"/>
  <c r="J264" i="9"/>
  <c r="I264" i="9"/>
  <c r="H264" i="9"/>
  <c r="C264" i="9" s="1"/>
  <c r="G264" i="9"/>
  <c r="F264" i="9"/>
  <c r="E264" i="9"/>
  <c r="D264" i="9"/>
  <c r="M263" i="9"/>
  <c r="L263" i="9"/>
  <c r="K263" i="9"/>
  <c r="J263" i="9"/>
  <c r="I263" i="9"/>
  <c r="H263" i="9"/>
  <c r="C263" i="9" s="1"/>
  <c r="G263" i="9"/>
  <c r="F263" i="9"/>
  <c r="E263" i="9"/>
  <c r="D263" i="9"/>
  <c r="M262" i="9"/>
  <c r="L262" i="9"/>
  <c r="K262" i="9"/>
  <c r="J262" i="9"/>
  <c r="I262" i="9"/>
  <c r="H262" i="9"/>
  <c r="C262" i="9" s="1"/>
  <c r="G262" i="9"/>
  <c r="F262" i="9"/>
  <c r="E262" i="9"/>
  <c r="D262" i="9"/>
  <c r="M261" i="9"/>
  <c r="L261" i="9"/>
  <c r="K261" i="9"/>
  <c r="J261" i="9"/>
  <c r="I261" i="9"/>
  <c r="H261" i="9"/>
  <c r="C261" i="9" s="1"/>
  <c r="G261" i="9"/>
  <c r="F261" i="9"/>
  <c r="E261" i="9"/>
  <c r="D261" i="9"/>
  <c r="M260" i="9"/>
  <c r="L260" i="9"/>
  <c r="K260" i="9"/>
  <c r="J260" i="9"/>
  <c r="I260" i="9"/>
  <c r="H260" i="9"/>
  <c r="C260" i="9" s="1"/>
  <c r="G260" i="9"/>
  <c r="F260" i="9"/>
  <c r="E260" i="9"/>
  <c r="D260" i="9"/>
  <c r="M259" i="9"/>
  <c r="L259" i="9"/>
  <c r="K259" i="9"/>
  <c r="J259" i="9"/>
  <c r="I259" i="9"/>
  <c r="H259" i="9"/>
  <c r="C259" i="9" s="1"/>
  <c r="G259" i="9"/>
  <c r="F259" i="9"/>
  <c r="E259" i="9"/>
  <c r="D259" i="9"/>
  <c r="M258" i="9"/>
  <c r="L258" i="9"/>
  <c r="K258" i="9"/>
  <c r="J258" i="9"/>
  <c r="I258" i="9"/>
  <c r="H258" i="9"/>
  <c r="C258" i="9" s="1"/>
  <c r="G258" i="9"/>
  <c r="F258" i="9"/>
  <c r="E258" i="9"/>
  <c r="D258" i="9"/>
  <c r="M257" i="9"/>
  <c r="L257" i="9"/>
  <c r="K257" i="9"/>
  <c r="J257" i="9"/>
  <c r="I257" i="9"/>
  <c r="H257" i="9"/>
  <c r="C257" i="9" s="1"/>
  <c r="G257" i="9"/>
  <c r="F257" i="9"/>
  <c r="E257" i="9"/>
  <c r="D257" i="9"/>
  <c r="M256" i="9"/>
  <c r="L256" i="9"/>
  <c r="K256" i="9"/>
  <c r="J256" i="9"/>
  <c r="I256" i="9"/>
  <c r="H256" i="9"/>
  <c r="C256" i="9" s="1"/>
  <c r="G256" i="9"/>
  <c r="F256" i="9"/>
  <c r="E256" i="9"/>
  <c r="D256" i="9"/>
  <c r="M255" i="9"/>
  <c r="L255" i="9"/>
  <c r="K255" i="9"/>
  <c r="J255" i="9"/>
  <c r="I255" i="9"/>
  <c r="H255" i="9"/>
  <c r="C255" i="9" s="1"/>
  <c r="G255" i="9"/>
  <c r="F255" i="9"/>
  <c r="E255" i="9"/>
  <c r="D255" i="9"/>
  <c r="M254" i="9"/>
  <c r="L254" i="9"/>
  <c r="K254" i="9"/>
  <c r="J254" i="9"/>
  <c r="I254" i="9"/>
  <c r="H254" i="9"/>
  <c r="C254" i="9" s="1"/>
  <c r="G254" i="9"/>
  <c r="F254" i="9"/>
  <c r="E254" i="9"/>
  <c r="D254" i="9"/>
  <c r="M253" i="9"/>
  <c r="L253" i="9"/>
  <c r="K253" i="9"/>
  <c r="J253" i="9"/>
  <c r="I253" i="9"/>
  <c r="H253" i="9"/>
  <c r="C253" i="9" s="1"/>
  <c r="G253" i="9"/>
  <c r="F253" i="9"/>
  <c r="E253" i="9"/>
  <c r="D253" i="9"/>
  <c r="M252" i="9"/>
  <c r="L252" i="9"/>
  <c r="K252" i="9"/>
  <c r="J252" i="9"/>
  <c r="I252" i="9"/>
  <c r="H252" i="9"/>
  <c r="C252" i="9" s="1"/>
  <c r="G252" i="9"/>
  <c r="F252" i="9"/>
  <c r="E252" i="9"/>
  <c r="D252" i="9"/>
  <c r="M251" i="9"/>
  <c r="L251" i="9"/>
  <c r="K251" i="9"/>
  <c r="J251" i="9"/>
  <c r="I251" i="9"/>
  <c r="H251" i="9"/>
  <c r="C251" i="9" s="1"/>
  <c r="G251" i="9"/>
  <c r="F251" i="9"/>
  <c r="E251" i="9"/>
  <c r="D251" i="9"/>
  <c r="M250" i="9"/>
  <c r="L250" i="9"/>
  <c r="K250" i="9"/>
  <c r="J250" i="9"/>
  <c r="I250" i="9"/>
  <c r="H250" i="9"/>
  <c r="C250" i="9" s="1"/>
  <c r="G250" i="9"/>
  <c r="F250" i="9"/>
  <c r="E250" i="9"/>
  <c r="D250" i="9"/>
  <c r="M249" i="9"/>
  <c r="L249" i="9"/>
  <c r="K249" i="9"/>
  <c r="J249" i="9"/>
  <c r="I249" i="9"/>
  <c r="H249" i="9"/>
  <c r="G249" i="9"/>
  <c r="F249" i="9"/>
  <c r="E249" i="9"/>
  <c r="D249" i="9"/>
  <c r="M248" i="9"/>
  <c r="L248" i="9"/>
  <c r="K248" i="9"/>
  <c r="J248" i="9"/>
  <c r="I248" i="9"/>
  <c r="H248" i="9"/>
  <c r="C248" i="9" s="1"/>
  <c r="G248" i="9"/>
  <c r="F248" i="9"/>
  <c r="E248" i="9"/>
  <c r="D248" i="9"/>
  <c r="M247" i="9"/>
  <c r="L247" i="9"/>
  <c r="K247" i="9"/>
  <c r="J247" i="9"/>
  <c r="I247" i="9"/>
  <c r="H247" i="9"/>
  <c r="C247" i="9" s="1"/>
  <c r="G247" i="9"/>
  <c r="F247" i="9"/>
  <c r="E247" i="9"/>
  <c r="D247" i="9"/>
  <c r="M246" i="9"/>
  <c r="L246" i="9"/>
  <c r="K246" i="9"/>
  <c r="J246" i="9"/>
  <c r="I246" i="9"/>
  <c r="H246" i="9"/>
  <c r="C246" i="9" s="1"/>
  <c r="G246" i="9"/>
  <c r="F246" i="9"/>
  <c r="E246" i="9"/>
  <c r="D246" i="9"/>
  <c r="M245" i="9"/>
  <c r="L245" i="9"/>
  <c r="K245" i="9"/>
  <c r="J245" i="9"/>
  <c r="I245" i="9"/>
  <c r="H245" i="9"/>
  <c r="C245" i="9" s="1"/>
  <c r="G245" i="9"/>
  <c r="F245" i="9"/>
  <c r="E245" i="9"/>
  <c r="D245" i="9"/>
  <c r="M244" i="9"/>
  <c r="L244" i="9"/>
  <c r="K244" i="9"/>
  <c r="J244" i="9"/>
  <c r="I244" i="9"/>
  <c r="H244" i="9"/>
  <c r="C244" i="9" s="1"/>
  <c r="G244" i="9"/>
  <c r="F244" i="9"/>
  <c r="E244" i="9"/>
  <c r="D244" i="9"/>
  <c r="M243" i="9"/>
  <c r="L243" i="9"/>
  <c r="K243" i="9"/>
  <c r="J243" i="9"/>
  <c r="I243" i="9"/>
  <c r="H243" i="9"/>
  <c r="C243" i="9" s="1"/>
  <c r="G243" i="9"/>
  <c r="F243" i="9"/>
  <c r="E243" i="9"/>
  <c r="D243" i="9"/>
  <c r="M242" i="9"/>
  <c r="L242" i="9"/>
  <c r="K242" i="9"/>
  <c r="J242" i="9"/>
  <c r="I242" i="9"/>
  <c r="H242" i="9"/>
  <c r="C242" i="9" s="1"/>
  <c r="G242" i="9"/>
  <c r="F242" i="9"/>
  <c r="E242" i="9"/>
  <c r="D242" i="9"/>
  <c r="M241" i="9"/>
  <c r="L241" i="9"/>
  <c r="K241" i="9"/>
  <c r="J241" i="9"/>
  <c r="I241" i="9"/>
  <c r="H241" i="9"/>
  <c r="C241" i="9" s="1"/>
  <c r="G241" i="9"/>
  <c r="F241" i="9"/>
  <c r="E241" i="9"/>
  <c r="D241" i="9"/>
  <c r="M240" i="9"/>
  <c r="L240" i="9"/>
  <c r="K240" i="9"/>
  <c r="J240" i="9"/>
  <c r="I240" i="9"/>
  <c r="H240" i="9"/>
  <c r="C240" i="9" s="1"/>
  <c r="G240" i="9"/>
  <c r="F240" i="9"/>
  <c r="E240" i="9"/>
  <c r="D240" i="9"/>
  <c r="M239" i="9"/>
  <c r="L239" i="9"/>
  <c r="K239" i="9"/>
  <c r="J239" i="9"/>
  <c r="I239" i="9"/>
  <c r="H239" i="9"/>
  <c r="C239" i="9" s="1"/>
  <c r="G239" i="9"/>
  <c r="F239" i="9"/>
  <c r="E239" i="9"/>
  <c r="D239" i="9"/>
  <c r="M238" i="9"/>
  <c r="L238" i="9"/>
  <c r="K238" i="9"/>
  <c r="J238" i="9"/>
  <c r="I238" i="9"/>
  <c r="H238" i="9"/>
  <c r="C238" i="9" s="1"/>
  <c r="G238" i="9"/>
  <c r="F238" i="9"/>
  <c r="E238" i="9"/>
  <c r="D238" i="9"/>
  <c r="M237" i="9"/>
  <c r="L237" i="9"/>
  <c r="K237" i="9"/>
  <c r="J237" i="9"/>
  <c r="I237" i="9"/>
  <c r="H237" i="9"/>
  <c r="C237" i="9" s="1"/>
  <c r="G237" i="9"/>
  <c r="F237" i="9"/>
  <c r="E237" i="9"/>
  <c r="D237" i="9"/>
  <c r="M236" i="9"/>
  <c r="L236" i="9"/>
  <c r="K236" i="9"/>
  <c r="J236" i="9"/>
  <c r="I236" i="9"/>
  <c r="H236" i="9"/>
  <c r="C236" i="9" s="1"/>
  <c r="G236" i="9"/>
  <c r="F236" i="9"/>
  <c r="E236" i="9"/>
  <c r="D236" i="9"/>
  <c r="M235" i="9"/>
  <c r="L235" i="9"/>
  <c r="K235" i="9"/>
  <c r="J235" i="9"/>
  <c r="I235" i="9"/>
  <c r="H235" i="9"/>
  <c r="C235" i="9" s="1"/>
  <c r="G235" i="9"/>
  <c r="F235" i="9"/>
  <c r="E235" i="9"/>
  <c r="D235" i="9"/>
  <c r="M234" i="9"/>
  <c r="L234" i="9"/>
  <c r="K234" i="9"/>
  <c r="J234" i="9"/>
  <c r="I234" i="9"/>
  <c r="H234" i="9"/>
  <c r="C234" i="9" s="1"/>
  <c r="G234" i="9"/>
  <c r="F234" i="9"/>
  <c r="E234" i="9"/>
  <c r="D234" i="9"/>
  <c r="M233" i="9"/>
  <c r="L233" i="9"/>
  <c r="K233" i="9"/>
  <c r="J233" i="9"/>
  <c r="I233" i="9"/>
  <c r="H233" i="9"/>
  <c r="C233" i="9" s="1"/>
  <c r="G233" i="9"/>
  <c r="F233" i="9"/>
  <c r="E233" i="9"/>
  <c r="D233" i="9"/>
  <c r="M232" i="9"/>
  <c r="L232" i="9"/>
  <c r="K232" i="9"/>
  <c r="J232" i="9"/>
  <c r="I232" i="9"/>
  <c r="H232" i="9"/>
  <c r="C232" i="9" s="1"/>
  <c r="G232" i="9"/>
  <c r="F232" i="9"/>
  <c r="E232" i="9"/>
  <c r="D232" i="9"/>
  <c r="M231" i="9"/>
  <c r="L231" i="9"/>
  <c r="K231" i="9"/>
  <c r="J231" i="9"/>
  <c r="I231" i="9"/>
  <c r="H231" i="9"/>
  <c r="C231" i="9" s="1"/>
  <c r="G231" i="9"/>
  <c r="F231" i="9"/>
  <c r="E231" i="9"/>
  <c r="D231" i="9"/>
  <c r="M230" i="9"/>
  <c r="L230" i="9"/>
  <c r="K230" i="9"/>
  <c r="J230" i="9"/>
  <c r="I230" i="9"/>
  <c r="H230" i="9"/>
  <c r="C230" i="9" s="1"/>
  <c r="G230" i="9"/>
  <c r="F230" i="9"/>
  <c r="E230" i="9"/>
  <c r="D230" i="9"/>
  <c r="M229" i="9"/>
  <c r="L229" i="9"/>
  <c r="K229" i="9"/>
  <c r="J229" i="9"/>
  <c r="I229" i="9"/>
  <c r="H229" i="9"/>
  <c r="C229" i="9" s="1"/>
  <c r="G229" i="9"/>
  <c r="F229" i="9"/>
  <c r="E229" i="9"/>
  <c r="D229" i="9"/>
  <c r="M228" i="9"/>
  <c r="L228" i="9"/>
  <c r="K228" i="9"/>
  <c r="J228" i="9"/>
  <c r="I228" i="9"/>
  <c r="H228" i="9"/>
  <c r="C228" i="9" s="1"/>
  <c r="G228" i="9"/>
  <c r="F228" i="9"/>
  <c r="E228" i="9"/>
  <c r="D228" i="9"/>
  <c r="M227" i="9"/>
  <c r="L227" i="9"/>
  <c r="K227" i="9"/>
  <c r="J227" i="9"/>
  <c r="I227" i="9"/>
  <c r="H227" i="9"/>
  <c r="C227" i="9" s="1"/>
  <c r="G227" i="9"/>
  <c r="F227" i="9"/>
  <c r="E227" i="9"/>
  <c r="D227" i="9"/>
  <c r="M226" i="9"/>
  <c r="L226" i="9"/>
  <c r="K226" i="9"/>
  <c r="J226" i="9"/>
  <c r="I226" i="9"/>
  <c r="H226" i="9"/>
  <c r="C226" i="9" s="1"/>
  <c r="G226" i="9"/>
  <c r="F226" i="9"/>
  <c r="E226" i="9"/>
  <c r="D226" i="9"/>
  <c r="M225" i="9"/>
  <c r="L225" i="9"/>
  <c r="K225" i="9"/>
  <c r="J225" i="9"/>
  <c r="I225" i="9"/>
  <c r="H225" i="9"/>
  <c r="C225" i="9" s="1"/>
  <c r="G225" i="9"/>
  <c r="F225" i="9"/>
  <c r="E225" i="9"/>
  <c r="D225" i="9"/>
  <c r="M224" i="9"/>
  <c r="L224" i="9"/>
  <c r="K224" i="9"/>
  <c r="J224" i="9"/>
  <c r="I224" i="9"/>
  <c r="H224" i="9"/>
  <c r="C224" i="9" s="1"/>
  <c r="G224" i="9"/>
  <c r="F224" i="9"/>
  <c r="E224" i="9"/>
  <c r="D224" i="9"/>
  <c r="M223" i="9"/>
  <c r="L223" i="9"/>
  <c r="K223" i="9"/>
  <c r="J223" i="9"/>
  <c r="I223" i="9"/>
  <c r="H223" i="9"/>
  <c r="C223" i="9" s="1"/>
  <c r="G223" i="9"/>
  <c r="F223" i="9"/>
  <c r="E223" i="9"/>
  <c r="D223" i="9"/>
  <c r="M222" i="9"/>
  <c r="L222" i="9"/>
  <c r="K222" i="9"/>
  <c r="J222" i="9"/>
  <c r="I222" i="9"/>
  <c r="H222" i="9"/>
  <c r="C222" i="9" s="1"/>
  <c r="G222" i="9"/>
  <c r="F222" i="9"/>
  <c r="E222" i="9"/>
  <c r="D222" i="9"/>
  <c r="M221" i="9"/>
  <c r="L221" i="9"/>
  <c r="K221" i="9"/>
  <c r="J221" i="9"/>
  <c r="I221" i="9"/>
  <c r="H221" i="9"/>
  <c r="C221" i="9" s="1"/>
  <c r="G221" i="9"/>
  <c r="F221" i="9"/>
  <c r="E221" i="9"/>
  <c r="D221" i="9"/>
  <c r="M220" i="9"/>
  <c r="L220" i="9"/>
  <c r="K220" i="9"/>
  <c r="J220" i="9"/>
  <c r="I220" i="9"/>
  <c r="H220" i="9"/>
  <c r="C220" i="9" s="1"/>
  <c r="G220" i="9"/>
  <c r="F220" i="9"/>
  <c r="E220" i="9"/>
  <c r="D220" i="9"/>
  <c r="M219" i="9"/>
  <c r="L219" i="9"/>
  <c r="K219" i="9"/>
  <c r="J219" i="9"/>
  <c r="I219" i="9"/>
  <c r="H219" i="9"/>
  <c r="C219" i="9" s="1"/>
  <c r="G219" i="9"/>
  <c r="F219" i="9"/>
  <c r="E219" i="9"/>
  <c r="D219" i="9"/>
  <c r="M218" i="9"/>
  <c r="L218" i="9"/>
  <c r="K218" i="9"/>
  <c r="J218" i="9"/>
  <c r="I218" i="9"/>
  <c r="H218" i="9"/>
  <c r="G218" i="9"/>
  <c r="F218" i="9"/>
  <c r="E218" i="9"/>
  <c r="D218" i="9"/>
  <c r="M217" i="9"/>
  <c r="L217" i="9"/>
  <c r="K217" i="9"/>
  <c r="J217" i="9"/>
  <c r="I217" i="9"/>
  <c r="H217" i="9"/>
  <c r="C217" i="9" s="1"/>
  <c r="G217" i="9"/>
  <c r="F217" i="9"/>
  <c r="E217" i="9"/>
  <c r="D217" i="9"/>
  <c r="M216" i="9"/>
  <c r="L216" i="9"/>
  <c r="K216" i="9"/>
  <c r="J216" i="9"/>
  <c r="I216" i="9"/>
  <c r="H216" i="9"/>
  <c r="C216" i="9" s="1"/>
  <c r="G216" i="9"/>
  <c r="F216" i="9"/>
  <c r="E216" i="9"/>
  <c r="D216" i="9"/>
  <c r="M215" i="9"/>
  <c r="L215" i="9"/>
  <c r="K215" i="9"/>
  <c r="J215" i="9"/>
  <c r="I215" i="9"/>
  <c r="H215" i="9"/>
  <c r="C215" i="9" s="1"/>
  <c r="G215" i="9"/>
  <c r="F215" i="9"/>
  <c r="E215" i="9"/>
  <c r="D215" i="9"/>
  <c r="M214" i="9"/>
  <c r="L214" i="9"/>
  <c r="K214" i="9"/>
  <c r="J214" i="9"/>
  <c r="I214" i="9"/>
  <c r="H214" i="9"/>
  <c r="C214" i="9" s="1"/>
  <c r="G214" i="9"/>
  <c r="F214" i="9"/>
  <c r="E214" i="9"/>
  <c r="D214" i="9"/>
  <c r="M213" i="9"/>
  <c r="L213" i="9"/>
  <c r="K213" i="9"/>
  <c r="J213" i="9"/>
  <c r="I213" i="9"/>
  <c r="H213" i="9"/>
  <c r="C213" i="9" s="1"/>
  <c r="G213" i="9"/>
  <c r="F213" i="9"/>
  <c r="E213" i="9"/>
  <c r="D213" i="9"/>
  <c r="M212" i="9"/>
  <c r="L212" i="9"/>
  <c r="K212" i="9"/>
  <c r="J212" i="9"/>
  <c r="I212" i="9"/>
  <c r="H212" i="9"/>
  <c r="C212" i="9" s="1"/>
  <c r="G212" i="9"/>
  <c r="F212" i="9"/>
  <c r="E212" i="9"/>
  <c r="D212" i="9"/>
  <c r="M211" i="9"/>
  <c r="L211" i="9"/>
  <c r="K211" i="9"/>
  <c r="J211" i="9"/>
  <c r="I211" i="9"/>
  <c r="H211" i="9"/>
  <c r="C211" i="9" s="1"/>
  <c r="G211" i="9"/>
  <c r="F211" i="9"/>
  <c r="E211" i="9"/>
  <c r="D211" i="9"/>
  <c r="M210" i="9"/>
  <c r="L210" i="9"/>
  <c r="K210" i="9"/>
  <c r="J210" i="9"/>
  <c r="I210" i="9"/>
  <c r="H210" i="9"/>
  <c r="C210" i="9" s="1"/>
  <c r="G210" i="9"/>
  <c r="F210" i="9"/>
  <c r="E210" i="9"/>
  <c r="D210" i="9"/>
  <c r="M209" i="9"/>
  <c r="L209" i="9"/>
  <c r="K209" i="9"/>
  <c r="J209" i="9"/>
  <c r="I209" i="9"/>
  <c r="H209" i="9"/>
  <c r="C209" i="9" s="1"/>
  <c r="G209" i="9"/>
  <c r="F209" i="9"/>
  <c r="E209" i="9"/>
  <c r="D209" i="9"/>
  <c r="M208" i="9"/>
  <c r="L208" i="9"/>
  <c r="K208" i="9"/>
  <c r="J208" i="9"/>
  <c r="I208" i="9"/>
  <c r="H208" i="9"/>
  <c r="C208" i="9" s="1"/>
  <c r="G208" i="9"/>
  <c r="F208" i="9"/>
  <c r="E208" i="9"/>
  <c r="D208" i="9"/>
  <c r="M207" i="9"/>
  <c r="L207" i="9"/>
  <c r="K207" i="9"/>
  <c r="J207" i="9"/>
  <c r="I207" i="9"/>
  <c r="H207" i="9"/>
  <c r="C207" i="9" s="1"/>
  <c r="G207" i="9"/>
  <c r="F207" i="9"/>
  <c r="E207" i="9"/>
  <c r="D207" i="9"/>
  <c r="M206" i="9"/>
  <c r="L206" i="9"/>
  <c r="K206" i="9"/>
  <c r="J206" i="9"/>
  <c r="I206" i="9"/>
  <c r="H206" i="9"/>
  <c r="C206" i="9" s="1"/>
  <c r="G206" i="9"/>
  <c r="F206" i="9"/>
  <c r="E206" i="9"/>
  <c r="D206" i="9"/>
  <c r="M205" i="9"/>
  <c r="L205" i="9"/>
  <c r="K205" i="9"/>
  <c r="J205" i="9"/>
  <c r="I205" i="9"/>
  <c r="H205" i="9"/>
  <c r="C205" i="9" s="1"/>
  <c r="G205" i="9"/>
  <c r="F205" i="9"/>
  <c r="E205" i="9"/>
  <c r="D205" i="9"/>
  <c r="M204" i="9"/>
  <c r="L204" i="9"/>
  <c r="K204" i="9"/>
  <c r="J204" i="9"/>
  <c r="I204" i="9"/>
  <c r="H204" i="9"/>
  <c r="C204" i="9" s="1"/>
  <c r="G204" i="9"/>
  <c r="F204" i="9"/>
  <c r="E204" i="9"/>
  <c r="D204" i="9"/>
  <c r="M203" i="9"/>
  <c r="L203" i="9"/>
  <c r="K203" i="9"/>
  <c r="J203" i="9"/>
  <c r="I203" i="9"/>
  <c r="H203" i="9"/>
  <c r="C203" i="9" s="1"/>
  <c r="G203" i="9"/>
  <c r="F203" i="9"/>
  <c r="E203" i="9"/>
  <c r="D203" i="9"/>
  <c r="M202" i="9"/>
  <c r="L202" i="9"/>
  <c r="K202" i="9"/>
  <c r="J202" i="9"/>
  <c r="I202" i="9"/>
  <c r="H202" i="9"/>
  <c r="C202" i="9" s="1"/>
  <c r="G202" i="9"/>
  <c r="F202" i="9"/>
  <c r="E202" i="9"/>
  <c r="D202" i="9"/>
  <c r="M201" i="9"/>
  <c r="L201" i="9"/>
  <c r="K201" i="9"/>
  <c r="J201" i="9"/>
  <c r="I201" i="9"/>
  <c r="H201" i="9"/>
  <c r="C201" i="9" s="1"/>
  <c r="G201" i="9"/>
  <c r="F201" i="9"/>
  <c r="E201" i="9"/>
  <c r="D201" i="9"/>
  <c r="M200" i="9"/>
  <c r="L200" i="9"/>
  <c r="K200" i="9"/>
  <c r="J200" i="9"/>
  <c r="I200" i="9"/>
  <c r="H200" i="9"/>
  <c r="C200" i="9" s="1"/>
  <c r="G200" i="9"/>
  <c r="F200" i="9"/>
  <c r="E200" i="9"/>
  <c r="D200" i="9"/>
  <c r="M199" i="9"/>
  <c r="L199" i="9"/>
  <c r="K199" i="9"/>
  <c r="J199" i="9"/>
  <c r="I199" i="9"/>
  <c r="H199" i="9"/>
  <c r="C199" i="9" s="1"/>
  <c r="G199" i="9"/>
  <c r="F199" i="9"/>
  <c r="E199" i="9"/>
  <c r="D199" i="9"/>
  <c r="M198" i="9"/>
  <c r="L198" i="9"/>
  <c r="K198" i="9"/>
  <c r="J198" i="9"/>
  <c r="I198" i="9"/>
  <c r="H198" i="9"/>
  <c r="C198" i="9" s="1"/>
  <c r="G198" i="9"/>
  <c r="F198" i="9"/>
  <c r="E198" i="9"/>
  <c r="D198" i="9"/>
  <c r="M197" i="9"/>
  <c r="L197" i="9"/>
  <c r="K197" i="9"/>
  <c r="J197" i="9"/>
  <c r="I197" i="9"/>
  <c r="H197" i="9"/>
  <c r="C197" i="9" s="1"/>
  <c r="G197" i="9"/>
  <c r="F197" i="9"/>
  <c r="E197" i="9"/>
  <c r="D197" i="9"/>
  <c r="M196" i="9"/>
  <c r="L196" i="9"/>
  <c r="K196" i="9"/>
  <c r="J196" i="9"/>
  <c r="I196" i="9"/>
  <c r="H196" i="9"/>
  <c r="C196" i="9" s="1"/>
  <c r="G196" i="9"/>
  <c r="F196" i="9"/>
  <c r="E196" i="9"/>
  <c r="D196" i="9"/>
  <c r="M195" i="9"/>
  <c r="L195" i="9"/>
  <c r="K195" i="9"/>
  <c r="J195" i="9"/>
  <c r="I195" i="9"/>
  <c r="H195" i="9"/>
  <c r="C195" i="9" s="1"/>
  <c r="G195" i="9"/>
  <c r="F195" i="9"/>
  <c r="E195" i="9"/>
  <c r="D195" i="9"/>
  <c r="M194" i="9"/>
  <c r="L194" i="9"/>
  <c r="K194" i="9"/>
  <c r="J194" i="9"/>
  <c r="I194" i="9"/>
  <c r="H194" i="9"/>
  <c r="C194" i="9" s="1"/>
  <c r="G194" i="9"/>
  <c r="F194" i="9"/>
  <c r="E194" i="9"/>
  <c r="D194" i="9"/>
  <c r="M193" i="9"/>
  <c r="L193" i="9"/>
  <c r="K193" i="9"/>
  <c r="J193" i="9"/>
  <c r="I193" i="9"/>
  <c r="H193" i="9"/>
  <c r="C193" i="9" s="1"/>
  <c r="G193" i="9"/>
  <c r="F193" i="9"/>
  <c r="E193" i="9"/>
  <c r="D193" i="9"/>
  <c r="M192" i="9"/>
  <c r="L192" i="9"/>
  <c r="K192" i="9"/>
  <c r="J192" i="9"/>
  <c r="I192" i="9"/>
  <c r="H192" i="9"/>
  <c r="C192" i="9" s="1"/>
  <c r="G192" i="9"/>
  <c r="F192" i="9"/>
  <c r="E192" i="9"/>
  <c r="D192" i="9"/>
  <c r="M191" i="9"/>
  <c r="L191" i="9"/>
  <c r="K191" i="9"/>
  <c r="J191" i="9"/>
  <c r="I191" i="9"/>
  <c r="H191" i="9"/>
  <c r="C191" i="9" s="1"/>
  <c r="G191" i="9"/>
  <c r="F191" i="9"/>
  <c r="E191" i="9"/>
  <c r="D191" i="9"/>
  <c r="M190" i="9"/>
  <c r="L190" i="9"/>
  <c r="K190" i="9"/>
  <c r="J190" i="9"/>
  <c r="I190" i="9"/>
  <c r="H190" i="9"/>
  <c r="C190" i="9" s="1"/>
  <c r="G190" i="9"/>
  <c r="F190" i="9"/>
  <c r="E190" i="9"/>
  <c r="D190" i="9"/>
  <c r="M189" i="9"/>
  <c r="L189" i="9"/>
  <c r="K189" i="9"/>
  <c r="J189" i="9"/>
  <c r="I189" i="9"/>
  <c r="H189" i="9"/>
  <c r="C189" i="9" s="1"/>
  <c r="G189" i="9"/>
  <c r="F189" i="9"/>
  <c r="E189" i="9"/>
  <c r="D189" i="9"/>
  <c r="M188" i="9"/>
  <c r="L188" i="9"/>
  <c r="K188" i="9"/>
  <c r="J188" i="9"/>
  <c r="I188" i="9"/>
  <c r="H188" i="9"/>
  <c r="C188" i="9" s="1"/>
  <c r="G188" i="9"/>
  <c r="F188" i="9"/>
  <c r="E188" i="9"/>
  <c r="D188" i="9"/>
  <c r="M187" i="9"/>
  <c r="L187" i="9"/>
  <c r="K187" i="9"/>
  <c r="J187" i="9"/>
  <c r="I187" i="9"/>
  <c r="H187" i="9"/>
  <c r="G187" i="9"/>
  <c r="F187" i="9"/>
  <c r="E187" i="9"/>
  <c r="D187" i="9"/>
  <c r="M186" i="9"/>
  <c r="L186" i="9"/>
  <c r="K186" i="9"/>
  <c r="J186" i="9"/>
  <c r="I186" i="9"/>
  <c r="H186" i="9"/>
  <c r="C186" i="9" s="1"/>
  <c r="G186" i="9"/>
  <c r="F186" i="9"/>
  <c r="E186" i="9"/>
  <c r="D186" i="9"/>
  <c r="M185" i="9"/>
  <c r="L185" i="9"/>
  <c r="K185" i="9"/>
  <c r="J185" i="9"/>
  <c r="I185" i="9"/>
  <c r="H185" i="9"/>
  <c r="C185" i="9" s="1"/>
  <c r="G185" i="9"/>
  <c r="F185" i="9"/>
  <c r="E185" i="9"/>
  <c r="D185" i="9"/>
  <c r="M184" i="9"/>
  <c r="L184" i="9"/>
  <c r="K184" i="9"/>
  <c r="J184" i="9"/>
  <c r="I184" i="9"/>
  <c r="H184" i="9"/>
  <c r="C184" i="9" s="1"/>
  <c r="G184" i="9"/>
  <c r="F184" i="9"/>
  <c r="E184" i="9"/>
  <c r="D184" i="9"/>
  <c r="M183" i="9"/>
  <c r="L183" i="9"/>
  <c r="K183" i="9"/>
  <c r="J183" i="9"/>
  <c r="I183" i="9"/>
  <c r="H183" i="9"/>
  <c r="C183" i="9" s="1"/>
  <c r="G183" i="9"/>
  <c r="F183" i="9"/>
  <c r="E183" i="9"/>
  <c r="D183" i="9"/>
  <c r="M182" i="9"/>
  <c r="L182" i="9"/>
  <c r="K182" i="9"/>
  <c r="J182" i="9"/>
  <c r="I182" i="9"/>
  <c r="H182" i="9"/>
  <c r="C182" i="9" s="1"/>
  <c r="G182" i="9"/>
  <c r="F182" i="9"/>
  <c r="E182" i="9"/>
  <c r="D182" i="9"/>
  <c r="M181" i="9"/>
  <c r="L181" i="9"/>
  <c r="K181" i="9"/>
  <c r="J181" i="9"/>
  <c r="I181" i="9"/>
  <c r="H181" i="9"/>
  <c r="C181" i="9" s="1"/>
  <c r="G181" i="9"/>
  <c r="F181" i="9"/>
  <c r="E181" i="9"/>
  <c r="D181" i="9"/>
  <c r="M180" i="9"/>
  <c r="L180" i="9"/>
  <c r="K180" i="9"/>
  <c r="J180" i="9"/>
  <c r="I180" i="9"/>
  <c r="H180" i="9"/>
  <c r="C180" i="9" s="1"/>
  <c r="G180" i="9"/>
  <c r="F180" i="9"/>
  <c r="E180" i="9"/>
  <c r="D180" i="9"/>
  <c r="M179" i="9"/>
  <c r="L179" i="9"/>
  <c r="K179" i="9"/>
  <c r="J179" i="9"/>
  <c r="I179" i="9"/>
  <c r="H179" i="9"/>
  <c r="C179" i="9" s="1"/>
  <c r="G179" i="9"/>
  <c r="F179" i="9"/>
  <c r="E179" i="9"/>
  <c r="D179" i="9"/>
  <c r="M178" i="9"/>
  <c r="L178" i="9"/>
  <c r="K178" i="9"/>
  <c r="J178" i="9"/>
  <c r="I178" i="9"/>
  <c r="H178" i="9"/>
  <c r="C178" i="9" s="1"/>
  <c r="G178" i="9"/>
  <c r="F178" i="9"/>
  <c r="E178" i="9"/>
  <c r="D178" i="9"/>
  <c r="M177" i="9"/>
  <c r="L177" i="9"/>
  <c r="K177" i="9"/>
  <c r="J177" i="9"/>
  <c r="I177" i="9"/>
  <c r="H177" i="9"/>
  <c r="C177" i="9" s="1"/>
  <c r="G177" i="9"/>
  <c r="F177" i="9"/>
  <c r="E177" i="9"/>
  <c r="D177" i="9"/>
  <c r="M176" i="9"/>
  <c r="L176" i="9"/>
  <c r="K176" i="9"/>
  <c r="J176" i="9"/>
  <c r="I176" i="9"/>
  <c r="H176" i="9"/>
  <c r="C176" i="9" s="1"/>
  <c r="G176" i="9"/>
  <c r="F176" i="9"/>
  <c r="E176" i="9"/>
  <c r="D176" i="9"/>
  <c r="M175" i="9"/>
  <c r="L175" i="9"/>
  <c r="K175" i="9"/>
  <c r="J175" i="9"/>
  <c r="I175" i="9"/>
  <c r="H175" i="9"/>
  <c r="C175" i="9" s="1"/>
  <c r="G175" i="9"/>
  <c r="F175" i="9"/>
  <c r="E175" i="9"/>
  <c r="D175" i="9"/>
  <c r="M174" i="9"/>
  <c r="L174" i="9"/>
  <c r="K174" i="9"/>
  <c r="J174" i="9"/>
  <c r="I174" i="9"/>
  <c r="H174" i="9"/>
  <c r="C174" i="9" s="1"/>
  <c r="G174" i="9"/>
  <c r="F174" i="9"/>
  <c r="E174" i="9"/>
  <c r="D174" i="9"/>
  <c r="M173" i="9"/>
  <c r="L173" i="9"/>
  <c r="K173" i="9"/>
  <c r="J173" i="9"/>
  <c r="I173" i="9"/>
  <c r="H173" i="9"/>
  <c r="C173" i="9" s="1"/>
  <c r="G173" i="9"/>
  <c r="F173" i="9"/>
  <c r="E173" i="9"/>
  <c r="D173" i="9"/>
  <c r="M172" i="9"/>
  <c r="L172" i="9"/>
  <c r="K172" i="9"/>
  <c r="J172" i="9"/>
  <c r="I172" i="9"/>
  <c r="H172" i="9"/>
  <c r="C172" i="9" s="1"/>
  <c r="G172" i="9"/>
  <c r="F172" i="9"/>
  <c r="E172" i="9"/>
  <c r="D172" i="9"/>
  <c r="M171" i="9"/>
  <c r="L171" i="9"/>
  <c r="K171" i="9"/>
  <c r="J171" i="9"/>
  <c r="I171" i="9"/>
  <c r="H171" i="9"/>
  <c r="C171" i="9" s="1"/>
  <c r="G171" i="9"/>
  <c r="F171" i="9"/>
  <c r="E171" i="9"/>
  <c r="D171" i="9"/>
  <c r="M170" i="9"/>
  <c r="L170" i="9"/>
  <c r="K170" i="9"/>
  <c r="J170" i="9"/>
  <c r="I170" i="9"/>
  <c r="H170" i="9"/>
  <c r="C170" i="9" s="1"/>
  <c r="G170" i="9"/>
  <c r="F170" i="9"/>
  <c r="E170" i="9"/>
  <c r="D170" i="9"/>
  <c r="M169" i="9"/>
  <c r="L169" i="9"/>
  <c r="K169" i="9"/>
  <c r="J169" i="9"/>
  <c r="I169" i="9"/>
  <c r="H169" i="9"/>
  <c r="C169" i="9" s="1"/>
  <c r="G169" i="9"/>
  <c r="F169" i="9"/>
  <c r="E169" i="9"/>
  <c r="D169" i="9"/>
  <c r="M168" i="9"/>
  <c r="L168" i="9"/>
  <c r="K168" i="9"/>
  <c r="J168" i="9"/>
  <c r="I168" i="9"/>
  <c r="H168" i="9"/>
  <c r="C168" i="9" s="1"/>
  <c r="G168" i="9"/>
  <c r="F168" i="9"/>
  <c r="E168" i="9"/>
  <c r="D168" i="9"/>
  <c r="M167" i="9"/>
  <c r="L167" i="9"/>
  <c r="K167" i="9"/>
  <c r="J167" i="9"/>
  <c r="I167" i="9"/>
  <c r="H167" i="9"/>
  <c r="C167" i="9" s="1"/>
  <c r="G167" i="9"/>
  <c r="F167" i="9"/>
  <c r="E167" i="9"/>
  <c r="D167" i="9"/>
  <c r="M166" i="9"/>
  <c r="L166" i="9"/>
  <c r="K166" i="9"/>
  <c r="J166" i="9"/>
  <c r="I166" i="9"/>
  <c r="H166" i="9"/>
  <c r="C166" i="9" s="1"/>
  <c r="G166" i="9"/>
  <c r="F166" i="9"/>
  <c r="E166" i="9"/>
  <c r="D166" i="9"/>
  <c r="M165" i="9"/>
  <c r="L165" i="9"/>
  <c r="K165" i="9"/>
  <c r="J165" i="9"/>
  <c r="I165" i="9"/>
  <c r="H165" i="9"/>
  <c r="C165" i="9" s="1"/>
  <c r="G165" i="9"/>
  <c r="F165" i="9"/>
  <c r="E165" i="9"/>
  <c r="D165" i="9"/>
  <c r="M164" i="9"/>
  <c r="L164" i="9"/>
  <c r="K164" i="9"/>
  <c r="J164" i="9"/>
  <c r="I164" i="9"/>
  <c r="H164" i="9"/>
  <c r="C164" i="9" s="1"/>
  <c r="G164" i="9"/>
  <c r="F164" i="9"/>
  <c r="E164" i="9"/>
  <c r="D164" i="9"/>
  <c r="M163" i="9"/>
  <c r="L163" i="9"/>
  <c r="K163" i="9"/>
  <c r="J163" i="9"/>
  <c r="I163" i="9"/>
  <c r="H163" i="9"/>
  <c r="C163" i="9" s="1"/>
  <c r="G163" i="9"/>
  <c r="F163" i="9"/>
  <c r="E163" i="9"/>
  <c r="D163" i="9"/>
  <c r="M162" i="9"/>
  <c r="L162" i="9"/>
  <c r="K162" i="9"/>
  <c r="J162" i="9"/>
  <c r="I162" i="9"/>
  <c r="H162" i="9"/>
  <c r="C162" i="9" s="1"/>
  <c r="G162" i="9"/>
  <c r="F162" i="9"/>
  <c r="E162" i="9"/>
  <c r="D162" i="9"/>
  <c r="M161" i="9"/>
  <c r="L161" i="9"/>
  <c r="K161" i="9"/>
  <c r="J161" i="9"/>
  <c r="I161" i="9"/>
  <c r="H161" i="9"/>
  <c r="C161" i="9" s="1"/>
  <c r="G161" i="9"/>
  <c r="F161" i="9"/>
  <c r="E161" i="9"/>
  <c r="D161" i="9"/>
  <c r="M160" i="9"/>
  <c r="L160" i="9"/>
  <c r="K160" i="9"/>
  <c r="J160" i="9"/>
  <c r="I160" i="9"/>
  <c r="H160" i="9"/>
  <c r="C160" i="9" s="1"/>
  <c r="G160" i="9"/>
  <c r="F160" i="9"/>
  <c r="E160" i="9"/>
  <c r="D160" i="9"/>
  <c r="M159" i="9"/>
  <c r="L159" i="9"/>
  <c r="K159" i="9"/>
  <c r="J159" i="9"/>
  <c r="I159" i="9"/>
  <c r="H159" i="9"/>
  <c r="C159" i="9" s="1"/>
  <c r="G159" i="9"/>
  <c r="F159" i="9"/>
  <c r="E159" i="9"/>
  <c r="D159" i="9"/>
  <c r="M158" i="9"/>
  <c r="L158" i="9"/>
  <c r="K158" i="9"/>
  <c r="J158" i="9"/>
  <c r="I158" i="9"/>
  <c r="H158" i="9"/>
  <c r="C158" i="9" s="1"/>
  <c r="G158" i="9"/>
  <c r="F158" i="9"/>
  <c r="E158" i="9"/>
  <c r="D158" i="9"/>
  <c r="M157" i="9"/>
  <c r="L157" i="9"/>
  <c r="K157" i="9"/>
  <c r="J157" i="9"/>
  <c r="I157" i="9"/>
  <c r="H157" i="9"/>
  <c r="G157" i="9"/>
  <c r="F157" i="9"/>
  <c r="E157" i="9"/>
  <c r="D157" i="9"/>
  <c r="M156" i="9"/>
  <c r="L156" i="9"/>
  <c r="K156" i="9"/>
  <c r="J156" i="9"/>
  <c r="I156" i="9"/>
  <c r="H156" i="9"/>
  <c r="C156" i="9" s="1"/>
  <c r="G156" i="9"/>
  <c r="F156" i="9"/>
  <c r="E156" i="9"/>
  <c r="D156" i="9"/>
  <c r="M155" i="9"/>
  <c r="L155" i="9"/>
  <c r="K155" i="9"/>
  <c r="J155" i="9"/>
  <c r="I155" i="9"/>
  <c r="H155" i="9"/>
  <c r="C155" i="9" s="1"/>
  <c r="G155" i="9"/>
  <c r="F155" i="9"/>
  <c r="E155" i="9"/>
  <c r="D155" i="9"/>
  <c r="M154" i="9"/>
  <c r="L154" i="9"/>
  <c r="K154" i="9"/>
  <c r="J154" i="9"/>
  <c r="I154" i="9"/>
  <c r="H154" i="9"/>
  <c r="C154" i="9" s="1"/>
  <c r="G154" i="9"/>
  <c r="F154" i="9"/>
  <c r="E154" i="9"/>
  <c r="D154" i="9"/>
  <c r="M153" i="9"/>
  <c r="L153" i="9"/>
  <c r="K153" i="9"/>
  <c r="J153" i="9"/>
  <c r="I153" i="9"/>
  <c r="H153" i="9"/>
  <c r="C153" i="9" s="1"/>
  <c r="G153" i="9"/>
  <c r="F153" i="9"/>
  <c r="E153" i="9"/>
  <c r="D153" i="9"/>
  <c r="M152" i="9"/>
  <c r="L152" i="9"/>
  <c r="K152" i="9"/>
  <c r="J152" i="9"/>
  <c r="I152" i="9"/>
  <c r="H152" i="9"/>
  <c r="C152" i="9" s="1"/>
  <c r="G152" i="9"/>
  <c r="F152" i="9"/>
  <c r="E152" i="9"/>
  <c r="D152" i="9"/>
  <c r="M151" i="9"/>
  <c r="L151" i="9"/>
  <c r="K151" i="9"/>
  <c r="J151" i="9"/>
  <c r="I151" i="9"/>
  <c r="H151" i="9"/>
  <c r="C151" i="9" s="1"/>
  <c r="G151" i="9"/>
  <c r="F151" i="9"/>
  <c r="E151" i="9"/>
  <c r="D151" i="9"/>
  <c r="M150" i="9"/>
  <c r="L150" i="9"/>
  <c r="K150" i="9"/>
  <c r="J150" i="9"/>
  <c r="I150" i="9"/>
  <c r="H150" i="9"/>
  <c r="C150" i="9" s="1"/>
  <c r="G150" i="9"/>
  <c r="F150" i="9"/>
  <c r="E150" i="9"/>
  <c r="D150" i="9"/>
  <c r="M149" i="9"/>
  <c r="L149" i="9"/>
  <c r="K149" i="9"/>
  <c r="J149" i="9"/>
  <c r="I149" i="9"/>
  <c r="H149" i="9"/>
  <c r="C149" i="9" s="1"/>
  <c r="G149" i="9"/>
  <c r="F149" i="9"/>
  <c r="E149" i="9"/>
  <c r="D149" i="9"/>
  <c r="M148" i="9"/>
  <c r="L148" i="9"/>
  <c r="K148" i="9"/>
  <c r="J148" i="9"/>
  <c r="I148" i="9"/>
  <c r="H148" i="9"/>
  <c r="C148" i="9" s="1"/>
  <c r="G148" i="9"/>
  <c r="F148" i="9"/>
  <c r="E148" i="9"/>
  <c r="D148" i="9"/>
  <c r="M147" i="9"/>
  <c r="L147" i="9"/>
  <c r="K147" i="9"/>
  <c r="J147" i="9"/>
  <c r="I147" i="9"/>
  <c r="H147" i="9"/>
  <c r="C147" i="9" s="1"/>
  <c r="G147" i="9"/>
  <c r="F147" i="9"/>
  <c r="E147" i="9"/>
  <c r="D147" i="9"/>
  <c r="M146" i="9"/>
  <c r="L146" i="9"/>
  <c r="K146" i="9"/>
  <c r="J146" i="9"/>
  <c r="I146" i="9"/>
  <c r="H146" i="9"/>
  <c r="C146" i="9" s="1"/>
  <c r="G146" i="9"/>
  <c r="F146" i="9"/>
  <c r="E146" i="9"/>
  <c r="D146" i="9"/>
  <c r="M145" i="9"/>
  <c r="L145" i="9"/>
  <c r="K145" i="9"/>
  <c r="J145" i="9"/>
  <c r="I145" i="9"/>
  <c r="H145" i="9"/>
  <c r="C145" i="9" s="1"/>
  <c r="G145" i="9"/>
  <c r="F145" i="9"/>
  <c r="E145" i="9"/>
  <c r="D145" i="9"/>
  <c r="M144" i="9"/>
  <c r="L144" i="9"/>
  <c r="K144" i="9"/>
  <c r="J144" i="9"/>
  <c r="I144" i="9"/>
  <c r="H144" i="9"/>
  <c r="C144" i="9" s="1"/>
  <c r="G144" i="9"/>
  <c r="F144" i="9"/>
  <c r="E144" i="9"/>
  <c r="D144" i="9"/>
  <c r="M143" i="9"/>
  <c r="L143" i="9"/>
  <c r="K143" i="9"/>
  <c r="J143" i="9"/>
  <c r="I143" i="9"/>
  <c r="H143" i="9"/>
  <c r="C143" i="9" s="1"/>
  <c r="G143" i="9"/>
  <c r="F143" i="9"/>
  <c r="E143" i="9"/>
  <c r="D143" i="9"/>
  <c r="M142" i="9"/>
  <c r="L142" i="9"/>
  <c r="K142" i="9"/>
  <c r="J142" i="9"/>
  <c r="I142" i="9"/>
  <c r="H142" i="9"/>
  <c r="C142" i="9" s="1"/>
  <c r="G142" i="9"/>
  <c r="F142" i="9"/>
  <c r="E142" i="9"/>
  <c r="D142" i="9"/>
  <c r="M141" i="9"/>
  <c r="L141" i="9"/>
  <c r="K141" i="9"/>
  <c r="J141" i="9"/>
  <c r="I141" i="9"/>
  <c r="H141" i="9"/>
  <c r="C141" i="9" s="1"/>
  <c r="G141" i="9"/>
  <c r="F141" i="9"/>
  <c r="E141" i="9"/>
  <c r="D141" i="9"/>
  <c r="M140" i="9"/>
  <c r="L140" i="9"/>
  <c r="K140" i="9"/>
  <c r="J140" i="9"/>
  <c r="I140" i="9"/>
  <c r="H140" i="9"/>
  <c r="C140" i="9" s="1"/>
  <c r="G140" i="9"/>
  <c r="F140" i="9"/>
  <c r="E140" i="9"/>
  <c r="D140" i="9"/>
  <c r="M139" i="9"/>
  <c r="L139" i="9"/>
  <c r="K139" i="9"/>
  <c r="J139" i="9"/>
  <c r="I139" i="9"/>
  <c r="H139" i="9"/>
  <c r="C139" i="9" s="1"/>
  <c r="G139" i="9"/>
  <c r="F139" i="9"/>
  <c r="E139" i="9"/>
  <c r="D139" i="9"/>
  <c r="M138" i="9"/>
  <c r="L138" i="9"/>
  <c r="K138" i="9"/>
  <c r="J138" i="9"/>
  <c r="I138" i="9"/>
  <c r="H138" i="9"/>
  <c r="C138" i="9" s="1"/>
  <c r="G138" i="9"/>
  <c r="F138" i="9"/>
  <c r="E138" i="9"/>
  <c r="D138" i="9"/>
  <c r="M137" i="9"/>
  <c r="L137" i="9"/>
  <c r="K137" i="9"/>
  <c r="J137" i="9"/>
  <c r="I137" i="9"/>
  <c r="H137" i="9"/>
  <c r="C137" i="9" s="1"/>
  <c r="G137" i="9"/>
  <c r="F137" i="9"/>
  <c r="E137" i="9"/>
  <c r="D137" i="9"/>
  <c r="M136" i="9"/>
  <c r="L136" i="9"/>
  <c r="K136" i="9"/>
  <c r="J136" i="9"/>
  <c r="I136" i="9"/>
  <c r="H136" i="9"/>
  <c r="C136" i="9" s="1"/>
  <c r="G136" i="9"/>
  <c r="F136" i="9"/>
  <c r="E136" i="9"/>
  <c r="D136" i="9"/>
  <c r="M135" i="9"/>
  <c r="L135" i="9"/>
  <c r="K135" i="9"/>
  <c r="J135" i="9"/>
  <c r="I135" i="9"/>
  <c r="H135" i="9"/>
  <c r="C135" i="9" s="1"/>
  <c r="G135" i="9"/>
  <c r="F135" i="9"/>
  <c r="E135" i="9"/>
  <c r="D135" i="9"/>
  <c r="M134" i="9"/>
  <c r="L134" i="9"/>
  <c r="K134" i="9"/>
  <c r="J134" i="9"/>
  <c r="I134" i="9"/>
  <c r="H134" i="9"/>
  <c r="C134" i="9" s="1"/>
  <c r="G134" i="9"/>
  <c r="F134" i="9"/>
  <c r="E134" i="9"/>
  <c r="D134" i="9"/>
  <c r="M133" i="9"/>
  <c r="L133" i="9"/>
  <c r="K133" i="9"/>
  <c r="J133" i="9"/>
  <c r="I133" i="9"/>
  <c r="H133" i="9"/>
  <c r="C133" i="9" s="1"/>
  <c r="G133" i="9"/>
  <c r="F133" i="9"/>
  <c r="E133" i="9"/>
  <c r="D133" i="9"/>
  <c r="M132" i="9"/>
  <c r="L132" i="9"/>
  <c r="K132" i="9"/>
  <c r="J132" i="9"/>
  <c r="I132" i="9"/>
  <c r="H132" i="9"/>
  <c r="C132" i="9" s="1"/>
  <c r="G132" i="9"/>
  <c r="F132" i="9"/>
  <c r="E132" i="9"/>
  <c r="D132" i="9"/>
  <c r="M131" i="9"/>
  <c r="L131" i="9"/>
  <c r="K131" i="9"/>
  <c r="J131" i="9"/>
  <c r="I131" i="9"/>
  <c r="H131" i="9"/>
  <c r="C131" i="9" s="1"/>
  <c r="G131" i="9"/>
  <c r="F131" i="9"/>
  <c r="E131" i="9"/>
  <c r="D131" i="9"/>
  <c r="M130" i="9"/>
  <c r="L130" i="9"/>
  <c r="K130" i="9"/>
  <c r="J130" i="9"/>
  <c r="I130" i="9"/>
  <c r="H130" i="9"/>
  <c r="C130" i="9" s="1"/>
  <c r="G130" i="9"/>
  <c r="F130" i="9"/>
  <c r="E130" i="9"/>
  <c r="D130" i="9"/>
  <c r="M129" i="9"/>
  <c r="L129" i="9"/>
  <c r="K129" i="9"/>
  <c r="J129" i="9"/>
  <c r="I129" i="9"/>
  <c r="H129" i="9"/>
  <c r="C129" i="9" s="1"/>
  <c r="G129" i="9"/>
  <c r="F129" i="9"/>
  <c r="E129" i="9"/>
  <c r="D129" i="9"/>
  <c r="M128" i="9"/>
  <c r="L128" i="9"/>
  <c r="K128" i="9"/>
  <c r="J128" i="9"/>
  <c r="I128" i="9"/>
  <c r="H128" i="9"/>
  <c r="C128" i="9" s="1"/>
  <c r="G128" i="9"/>
  <c r="F128" i="9"/>
  <c r="E128" i="9"/>
  <c r="D128" i="9"/>
  <c r="M127" i="9"/>
  <c r="L127" i="9"/>
  <c r="K127" i="9"/>
  <c r="J127" i="9"/>
  <c r="I127" i="9"/>
  <c r="H127" i="9"/>
  <c r="C127" i="9" s="1"/>
  <c r="G127" i="9"/>
  <c r="F127" i="9"/>
  <c r="E127" i="9"/>
  <c r="D127" i="9"/>
  <c r="M126" i="9"/>
  <c r="L126" i="9"/>
  <c r="K126" i="9"/>
  <c r="J126" i="9"/>
  <c r="I126" i="9"/>
  <c r="H126" i="9"/>
  <c r="G126" i="9"/>
  <c r="F126" i="9"/>
  <c r="E126" i="9"/>
  <c r="D126" i="9"/>
  <c r="M125" i="9"/>
  <c r="L125" i="9"/>
  <c r="K125" i="9"/>
  <c r="J125" i="9"/>
  <c r="I125" i="9"/>
  <c r="H125" i="9"/>
  <c r="C125" i="9" s="1"/>
  <c r="G125" i="9"/>
  <c r="F125" i="9"/>
  <c r="E125" i="9"/>
  <c r="D125" i="9"/>
  <c r="M124" i="9"/>
  <c r="L124" i="9"/>
  <c r="K124" i="9"/>
  <c r="J124" i="9"/>
  <c r="I124" i="9"/>
  <c r="H124" i="9"/>
  <c r="C124" i="9" s="1"/>
  <c r="G124" i="9"/>
  <c r="F124" i="9"/>
  <c r="E124" i="9"/>
  <c r="D124" i="9"/>
  <c r="M123" i="9"/>
  <c r="L123" i="9"/>
  <c r="K123" i="9"/>
  <c r="J123" i="9"/>
  <c r="I123" i="9"/>
  <c r="H123" i="9"/>
  <c r="C123" i="9" s="1"/>
  <c r="G123" i="9"/>
  <c r="F123" i="9"/>
  <c r="E123" i="9"/>
  <c r="D123" i="9"/>
  <c r="M122" i="9"/>
  <c r="L122" i="9"/>
  <c r="K122" i="9"/>
  <c r="J122" i="9"/>
  <c r="I122" i="9"/>
  <c r="H122" i="9"/>
  <c r="C122" i="9" s="1"/>
  <c r="G122" i="9"/>
  <c r="F122" i="9"/>
  <c r="E122" i="9"/>
  <c r="D122" i="9"/>
  <c r="M121" i="9"/>
  <c r="L121" i="9"/>
  <c r="K121" i="9"/>
  <c r="J121" i="9"/>
  <c r="I121" i="9"/>
  <c r="H121" i="9"/>
  <c r="C121" i="9" s="1"/>
  <c r="G121" i="9"/>
  <c r="F121" i="9"/>
  <c r="E121" i="9"/>
  <c r="D121" i="9"/>
  <c r="M120" i="9"/>
  <c r="L120" i="9"/>
  <c r="K120" i="9"/>
  <c r="J120" i="9"/>
  <c r="I120" i="9"/>
  <c r="H120" i="9"/>
  <c r="C120" i="9" s="1"/>
  <c r="G120" i="9"/>
  <c r="F120" i="9"/>
  <c r="E120" i="9"/>
  <c r="D120" i="9"/>
  <c r="M119" i="9"/>
  <c r="L119" i="9"/>
  <c r="K119" i="9"/>
  <c r="J119" i="9"/>
  <c r="I119" i="9"/>
  <c r="H119" i="9"/>
  <c r="C119" i="9" s="1"/>
  <c r="G119" i="9"/>
  <c r="F119" i="9"/>
  <c r="E119" i="9"/>
  <c r="D119" i="9"/>
  <c r="M118" i="9"/>
  <c r="L118" i="9"/>
  <c r="K118" i="9"/>
  <c r="J118" i="9"/>
  <c r="I118" i="9"/>
  <c r="H118" i="9"/>
  <c r="C118" i="9" s="1"/>
  <c r="G118" i="9"/>
  <c r="F118" i="9"/>
  <c r="E118" i="9"/>
  <c r="D118" i="9"/>
  <c r="M117" i="9"/>
  <c r="L117" i="9"/>
  <c r="K117" i="9"/>
  <c r="J117" i="9"/>
  <c r="I117" i="9"/>
  <c r="H117" i="9"/>
  <c r="C117" i="9" s="1"/>
  <c r="G117" i="9"/>
  <c r="F117" i="9"/>
  <c r="E117" i="9"/>
  <c r="D117" i="9"/>
  <c r="M116" i="9"/>
  <c r="L116" i="9"/>
  <c r="K116" i="9"/>
  <c r="J116" i="9"/>
  <c r="I116" i="9"/>
  <c r="H116" i="9"/>
  <c r="C116" i="9" s="1"/>
  <c r="G116" i="9"/>
  <c r="F116" i="9"/>
  <c r="E116" i="9"/>
  <c r="D116" i="9"/>
  <c r="M115" i="9"/>
  <c r="L115" i="9"/>
  <c r="K115" i="9"/>
  <c r="J115" i="9"/>
  <c r="I115" i="9"/>
  <c r="H115" i="9"/>
  <c r="C115" i="9" s="1"/>
  <c r="G115" i="9"/>
  <c r="F115" i="9"/>
  <c r="E115" i="9"/>
  <c r="D115" i="9"/>
  <c r="M114" i="9"/>
  <c r="L114" i="9"/>
  <c r="K114" i="9"/>
  <c r="J114" i="9"/>
  <c r="I114" i="9"/>
  <c r="H114" i="9"/>
  <c r="C114" i="9" s="1"/>
  <c r="G114" i="9"/>
  <c r="F114" i="9"/>
  <c r="E114" i="9"/>
  <c r="D114" i="9"/>
  <c r="M113" i="9"/>
  <c r="L113" i="9"/>
  <c r="K113" i="9"/>
  <c r="J113" i="9"/>
  <c r="I113" i="9"/>
  <c r="H113" i="9"/>
  <c r="C113" i="9" s="1"/>
  <c r="G113" i="9"/>
  <c r="F113" i="9"/>
  <c r="E113" i="9"/>
  <c r="D113" i="9"/>
  <c r="M112" i="9"/>
  <c r="L112" i="9"/>
  <c r="K112" i="9"/>
  <c r="J112" i="9"/>
  <c r="I112" i="9"/>
  <c r="H112" i="9"/>
  <c r="C112" i="9" s="1"/>
  <c r="G112" i="9"/>
  <c r="F112" i="9"/>
  <c r="E112" i="9"/>
  <c r="D112" i="9"/>
  <c r="M111" i="9"/>
  <c r="L111" i="9"/>
  <c r="K111" i="9"/>
  <c r="J111" i="9"/>
  <c r="I111" i="9"/>
  <c r="H111" i="9"/>
  <c r="C111" i="9" s="1"/>
  <c r="G111" i="9"/>
  <c r="F111" i="9"/>
  <c r="E111" i="9"/>
  <c r="D111" i="9"/>
  <c r="M110" i="9"/>
  <c r="L110" i="9"/>
  <c r="K110" i="9"/>
  <c r="J110" i="9"/>
  <c r="I110" i="9"/>
  <c r="H110" i="9"/>
  <c r="C110" i="9" s="1"/>
  <c r="G110" i="9"/>
  <c r="F110" i="9"/>
  <c r="E110" i="9"/>
  <c r="D110" i="9"/>
  <c r="M109" i="9"/>
  <c r="L109" i="9"/>
  <c r="K109" i="9"/>
  <c r="J109" i="9"/>
  <c r="I109" i="9"/>
  <c r="H109" i="9"/>
  <c r="C109" i="9" s="1"/>
  <c r="G109" i="9"/>
  <c r="F109" i="9"/>
  <c r="E109" i="9"/>
  <c r="D109" i="9"/>
  <c r="M108" i="9"/>
  <c r="L108" i="9"/>
  <c r="K108" i="9"/>
  <c r="J108" i="9"/>
  <c r="I108" i="9"/>
  <c r="H108" i="9"/>
  <c r="C108" i="9" s="1"/>
  <c r="G108" i="9"/>
  <c r="F108" i="9"/>
  <c r="E108" i="9"/>
  <c r="D108" i="9"/>
  <c r="M107" i="9"/>
  <c r="L107" i="9"/>
  <c r="K107" i="9"/>
  <c r="J107" i="9"/>
  <c r="I107" i="9"/>
  <c r="H107" i="9"/>
  <c r="C107" i="9" s="1"/>
  <c r="G107" i="9"/>
  <c r="F107" i="9"/>
  <c r="E107" i="9"/>
  <c r="D107" i="9"/>
  <c r="M106" i="9"/>
  <c r="L106" i="9"/>
  <c r="K106" i="9"/>
  <c r="J106" i="9"/>
  <c r="I106" i="9"/>
  <c r="H106" i="9"/>
  <c r="C106" i="9" s="1"/>
  <c r="G106" i="9"/>
  <c r="F106" i="9"/>
  <c r="E106" i="9"/>
  <c r="D106" i="9"/>
  <c r="M105" i="9"/>
  <c r="L105" i="9"/>
  <c r="K105" i="9"/>
  <c r="J105" i="9"/>
  <c r="I105" i="9"/>
  <c r="H105" i="9"/>
  <c r="C105" i="9" s="1"/>
  <c r="G105" i="9"/>
  <c r="F105" i="9"/>
  <c r="E105" i="9"/>
  <c r="D105" i="9"/>
  <c r="M104" i="9"/>
  <c r="L104" i="9"/>
  <c r="K104" i="9"/>
  <c r="J104" i="9"/>
  <c r="I104" i="9"/>
  <c r="H104" i="9"/>
  <c r="C104" i="9" s="1"/>
  <c r="G104" i="9"/>
  <c r="F104" i="9"/>
  <c r="E104" i="9"/>
  <c r="D104" i="9"/>
  <c r="M103" i="9"/>
  <c r="L103" i="9"/>
  <c r="K103" i="9"/>
  <c r="J103" i="9"/>
  <c r="I103" i="9"/>
  <c r="H103" i="9"/>
  <c r="C103" i="9" s="1"/>
  <c r="G103" i="9"/>
  <c r="F103" i="9"/>
  <c r="E103" i="9"/>
  <c r="D103" i="9"/>
  <c r="M102" i="9"/>
  <c r="L102" i="9"/>
  <c r="K102" i="9"/>
  <c r="J102" i="9"/>
  <c r="I102" i="9"/>
  <c r="H102" i="9"/>
  <c r="C102" i="9" s="1"/>
  <c r="G102" i="9"/>
  <c r="F102" i="9"/>
  <c r="E102" i="9"/>
  <c r="D102" i="9"/>
  <c r="M101" i="9"/>
  <c r="L101" i="9"/>
  <c r="K101" i="9"/>
  <c r="J101" i="9"/>
  <c r="I101" i="9"/>
  <c r="H101" i="9"/>
  <c r="C101" i="9" s="1"/>
  <c r="G101" i="9"/>
  <c r="F101" i="9"/>
  <c r="E101" i="9"/>
  <c r="D101" i="9"/>
  <c r="M100" i="9"/>
  <c r="L100" i="9"/>
  <c r="K100" i="9"/>
  <c r="J100" i="9"/>
  <c r="I100" i="9"/>
  <c r="H100" i="9"/>
  <c r="C100" i="9" s="1"/>
  <c r="G100" i="9"/>
  <c r="F100" i="9"/>
  <c r="E100" i="9"/>
  <c r="D100" i="9"/>
  <c r="M99" i="9"/>
  <c r="L99" i="9"/>
  <c r="K99" i="9"/>
  <c r="J99" i="9"/>
  <c r="I99" i="9"/>
  <c r="H99" i="9"/>
  <c r="C99" i="9" s="1"/>
  <c r="G99" i="9"/>
  <c r="F99" i="9"/>
  <c r="E99" i="9"/>
  <c r="D99" i="9"/>
  <c r="M98" i="9"/>
  <c r="L98" i="9"/>
  <c r="K98" i="9"/>
  <c r="J98" i="9"/>
  <c r="I98" i="9"/>
  <c r="H98" i="9"/>
  <c r="C98" i="9" s="1"/>
  <c r="G98" i="9"/>
  <c r="F98" i="9"/>
  <c r="E98" i="9"/>
  <c r="D98" i="9"/>
  <c r="M97" i="9"/>
  <c r="L97" i="9"/>
  <c r="K97" i="9"/>
  <c r="J97" i="9"/>
  <c r="I97" i="9"/>
  <c r="H97" i="9"/>
  <c r="C97" i="9" s="1"/>
  <c r="G97" i="9"/>
  <c r="F97" i="9"/>
  <c r="E97" i="9"/>
  <c r="D97" i="9"/>
  <c r="M96" i="9"/>
  <c r="L96" i="9"/>
  <c r="K96" i="9"/>
  <c r="J96" i="9"/>
  <c r="I96" i="9"/>
  <c r="H96" i="9"/>
  <c r="G96" i="9"/>
  <c r="F96" i="9"/>
  <c r="E96" i="9"/>
  <c r="D96" i="9"/>
  <c r="M95" i="9"/>
  <c r="L95" i="9"/>
  <c r="K95" i="9"/>
  <c r="J95" i="9"/>
  <c r="I95" i="9"/>
  <c r="H95" i="9"/>
  <c r="C95" i="9" s="1"/>
  <c r="G95" i="9"/>
  <c r="F95" i="9"/>
  <c r="E95" i="9"/>
  <c r="D95" i="9"/>
  <c r="M94" i="9"/>
  <c r="L94" i="9"/>
  <c r="K94" i="9"/>
  <c r="J94" i="9"/>
  <c r="I94" i="9"/>
  <c r="H94" i="9"/>
  <c r="C94" i="9" s="1"/>
  <c r="G94" i="9"/>
  <c r="F94" i="9"/>
  <c r="E94" i="9"/>
  <c r="D94" i="9"/>
  <c r="M93" i="9"/>
  <c r="L93" i="9"/>
  <c r="K93" i="9"/>
  <c r="J93" i="9"/>
  <c r="I93" i="9"/>
  <c r="H93" i="9"/>
  <c r="C93" i="9" s="1"/>
  <c r="G93" i="9"/>
  <c r="F93" i="9"/>
  <c r="E93" i="9"/>
  <c r="D93" i="9"/>
  <c r="M92" i="9"/>
  <c r="L92" i="9"/>
  <c r="K92" i="9"/>
  <c r="J92" i="9"/>
  <c r="I92" i="9"/>
  <c r="H92" i="9"/>
  <c r="C92" i="9" s="1"/>
  <c r="G92" i="9"/>
  <c r="F92" i="9"/>
  <c r="E92" i="9"/>
  <c r="D92" i="9"/>
  <c r="M91" i="9"/>
  <c r="L91" i="9"/>
  <c r="K91" i="9"/>
  <c r="J91" i="9"/>
  <c r="I91" i="9"/>
  <c r="H91" i="9"/>
  <c r="C91" i="9" s="1"/>
  <c r="G91" i="9"/>
  <c r="F91" i="9"/>
  <c r="E91" i="9"/>
  <c r="D91" i="9"/>
  <c r="M90" i="9"/>
  <c r="L90" i="9"/>
  <c r="K90" i="9"/>
  <c r="J90" i="9"/>
  <c r="I90" i="9"/>
  <c r="H90" i="9"/>
  <c r="C90" i="9" s="1"/>
  <c r="G90" i="9"/>
  <c r="F90" i="9"/>
  <c r="E90" i="9"/>
  <c r="D90" i="9"/>
  <c r="M89" i="9"/>
  <c r="L89" i="9"/>
  <c r="K89" i="9"/>
  <c r="J89" i="9"/>
  <c r="I89" i="9"/>
  <c r="H89" i="9"/>
  <c r="C89" i="9" s="1"/>
  <c r="G89" i="9"/>
  <c r="F89" i="9"/>
  <c r="E89" i="9"/>
  <c r="D89" i="9"/>
  <c r="M88" i="9"/>
  <c r="L88" i="9"/>
  <c r="K88" i="9"/>
  <c r="J88" i="9"/>
  <c r="I88" i="9"/>
  <c r="H88" i="9"/>
  <c r="C88" i="9" s="1"/>
  <c r="G88" i="9"/>
  <c r="F88" i="9"/>
  <c r="E88" i="9"/>
  <c r="D88" i="9"/>
  <c r="M87" i="9"/>
  <c r="L87" i="9"/>
  <c r="K87" i="9"/>
  <c r="J87" i="9"/>
  <c r="I87" i="9"/>
  <c r="H87" i="9"/>
  <c r="C87" i="9" s="1"/>
  <c r="G87" i="9"/>
  <c r="F87" i="9"/>
  <c r="E87" i="9"/>
  <c r="D87" i="9"/>
  <c r="M86" i="9"/>
  <c r="L86" i="9"/>
  <c r="K86" i="9"/>
  <c r="J86" i="9"/>
  <c r="I86" i="9"/>
  <c r="H86" i="9"/>
  <c r="C86" i="9" s="1"/>
  <c r="G86" i="9"/>
  <c r="F86" i="9"/>
  <c r="E86" i="9"/>
  <c r="D86" i="9"/>
  <c r="M85" i="9"/>
  <c r="L85" i="9"/>
  <c r="K85" i="9"/>
  <c r="J85" i="9"/>
  <c r="I85" i="9"/>
  <c r="H85" i="9"/>
  <c r="C85" i="9" s="1"/>
  <c r="G85" i="9"/>
  <c r="F85" i="9"/>
  <c r="E85" i="9"/>
  <c r="D85" i="9"/>
  <c r="M84" i="9"/>
  <c r="L84" i="9"/>
  <c r="K84" i="9"/>
  <c r="J84" i="9"/>
  <c r="I84" i="9"/>
  <c r="H84" i="9"/>
  <c r="C84" i="9" s="1"/>
  <c r="G84" i="9"/>
  <c r="F84" i="9"/>
  <c r="E84" i="9"/>
  <c r="D84" i="9"/>
  <c r="M83" i="9"/>
  <c r="L83" i="9"/>
  <c r="K83" i="9"/>
  <c r="J83" i="9"/>
  <c r="I83" i="9"/>
  <c r="H83" i="9"/>
  <c r="C83" i="9" s="1"/>
  <c r="G83" i="9"/>
  <c r="F83" i="9"/>
  <c r="E83" i="9"/>
  <c r="D83" i="9"/>
  <c r="M82" i="9"/>
  <c r="L82" i="9"/>
  <c r="K82" i="9"/>
  <c r="J82" i="9"/>
  <c r="I82" i="9"/>
  <c r="H82" i="9"/>
  <c r="C82" i="9" s="1"/>
  <c r="G82" i="9"/>
  <c r="F82" i="9"/>
  <c r="E82" i="9"/>
  <c r="D82" i="9"/>
  <c r="M81" i="9"/>
  <c r="L81" i="9"/>
  <c r="K81" i="9"/>
  <c r="J81" i="9"/>
  <c r="I81" i="9"/>
  <c r="H81" i="9"/>
  <c r="C81" i="9" s="1"/>
  <c r="G81" i="9"/>
  <c r="F81" i="9"/>
  <c r="E81" i="9"/>
  <c r="D81" i="9"/>
  <c r="M80" i="9"/>
  <c r="L80" i="9"/>
  <c r="K80" i="9"/>
  <c r="J80" i="9"/>
  <c r="I80" i="9"/>
  <c r="H80" i="9"/>
  <c r="C80" i="9" s="1"/>
  <c r="G80" i="9"/>
  <c r="F80" i="9"/>
  <c r="E80" i="9"/>
  <c r="D80" i="9"/>
  <c r="M79" i="9"/>
  <c r="L79" i="9"/>
  <c r="K79" i="9"/>
  <c r="J79" i="9"/>
  <c r="I79" i="9"/>
  <c r="H79" i="9"/>
  <c r="C79" i="9" s="1"/>
  <c r="G79" i="9"/>
  <c r="F79" i="9"/>
  <c r="E79" i="9"/>
  <c r="D79" i="9"/>
  <c r="M78" i="9"/>
  <c r="L78" i="9"/>
  <c r="K78" i="9"/>
  <c r="J78" i="9"/>
  <c r="I78" i="9"/>
  <c r="H78" i="9"/>
  <c r="C78" i="9" s="1"/>
  <c r="G78" i="9"/>
  <c r="F78" i="9"/>
  <c r="E78" i="9"/>
  <c r="D78" i="9"/>
  <c r="M77" i="9"/>
  <c r="L77" i="9"/>
  <c r="K77" i="9"/>
  <c r="J77" i="9"/>
  <c r="I77" i="9"/>
  <c r="H77" i="9"/>
  <c r="C77" i="9" s="1"/>
  <c r="G77" i="9"/>
  <c r="F77" i="9"/>
  <c r="E77" i="9"/>
  <c r="D77" i="9"/>
  <c r="M76" i="9"/>
  <c r="L76" i="9"/>
  <c r="K76" i="9"/>
  <c r="J76" i="9"/>
  <c r="I76" i="9"/>
  <c r="H76" i="9"/>
  <c r="C76" i="9" s="1"/>
  <c r="G76" i="9"/>
  <c r="F76" i="9"/>
  <c r="E76" i="9"/>
  <c r="D76" i="9"/>
  <c r="M75" i="9"/>
  <c r="L75" i="9"/>
  <c r="K75" i="9"/>
  <c r="J75" i="9"/>
  <c r="I75" i="9"/>
  <c r="H75" i="9"/>
  <c r="C75" i="9" s="1"/>
  <c r="G75" i="9"/>
  <c r="F75" i="9"/>
  <c r="E75" i="9"/>
  <c r="D75" i="9"/>
  <c r="M74" i="9"/>
  <c r="L74" i="9"/>
  <c r="K74" i="9"/>
  <c r="J74" i="9"/>
  <c r="I74" i="9"/>
  <c r="H74" i="9"/>
  <c r="C74" i="9" s="1"/>
  <c r="G74" i="9"/>
  <c r="F74" i="9"/>
  <c r="E74" i="9"/>
  <c r="D74" i="9"/>
  <c r="M73" i="9"/>
  <c r="L73" i="9"/>
  <c r="K73" i="9"/>
  <c r="J73" i="9"/>
  <c r="I73" i="9"/>
  <c r="H73" i="9"/>
  <c r="C73" i="9" s="1"/>
  <c r="G73" i="9"/>
  <c r="F73" i="9"/>
  <c r="E73" i="9"/>
  <c r="D73" i="9"/>
  <c r="M72" i="9"/>
  <c r="L72" i="9"/>
  <c r="K72" i="9"/>
  <c r="J72" i="9"/>
  <c r="I72" i="9"/>
  <c r="H72" i="9"/>
  <c r="C72" i="9" s="1"/>
  <c r="G72" i="9"/>
  <c r="F72" i="9"/>
  <c r="E72" i="9"/>
  <c r="D72" i="9"/>
  <c r="M71" i="9"/>
  <c r="L71" i="9"/>
  <c r="K71" i="9"/>
  <c r="J71" i="9"/>
  <c r="I71" i="9"/>
  <c r="H71" i="9"/>
  <c r="C71" i="9" s="1"/>
  <c r="G71" i="9"/>
  <c r="F71" i="9"/>
  <c r="E71" i="9"/>
  <c r="D71" i="9"/>
  <c r="M70" i="9"/>
  <c r="L70" i="9"/>
  <c r="K70" i="9"/>
  <c r="J70" i="9"/>
  <c r="I70" i="9"/>
  <c r="H70" i="9"/>
  <c r="C70" i="9" s="1"/>
  <c r="G70" i="9"/>
  <c r="F70" i="9"/>
  <c r="E70" i="9"/>
  <c r="D70" i="9"/>
  <c r="M69" i="9"/>
  <c r="L69" i="9"/>
  <c r="K69" i="9"/>
  <c r="J69" i="9"/>
  <c r="I69" i="9"/>
  <c r="H69" i="9"/>
  <c r="C69" i="9" s="1"/>
  <c r="G69" i="9"/>
  <c r="F69" i="9"/>
  <c r="E69" i="9"/>
  <c r="D69" i="9"/>
  <c r="M68" i="9"/>
  <c r="L68" i="9"/>
  <c r="K68" i="9"/>
  <c r="J68" i="9"/>
  <c r="I68" i="9"/>
  <c r="H68" i="9"/>
  <c r="C68" i="9" s="1"/>
  <c r="G68" i="9"/>
  <c r="F68" i="9"/>
  <c r="E68" i="9"/>
  <c r="D68" i="9"/>
  <c r="M67" i="9"/>
  <c r="L67" i="9"/>
  <c r="K67" i="9"/>
  <c r="J67" i="9"/>
  <c r="I67" i="9"/>
  <c r="H67" i="9"/>
  <c r="C67" i="9" s="1"/>
  <c r="G67" i="9"/>
  <c r="F67" i="9"/>
  <c r="E67" i="9"/>
  <c r="D67" i="9"/>
  <c r="M66" i="9"/>
  <c r="L66" i="9"/>
  <c r="K66" i="9"/>
  <c r="J66" i="9"/>
  <c r="I66" i="9"/>
  <c r="H66" i="9"/>
  <c r="C66" i="9" s="1"/>
  <c r="G66" i="9"/>
  <c r="F66" i="9"/>
  <c r="E66" i="9"/>
  <c r="D66" i="9"/>
  <c r="M65" i="9"/>
  <c r="L65" i="9"/>
  <c r="K65" i="9"/>
  <c r="J65" i="9"/>
  <c r="I65" i="9"/>
  <c r="H65" i="9"/>
  <c r="G65" i="9"/>
  <c r="F65" i="9"/>
  <c r="E65" i="9"/>
  <c r="D65" i="9"/>
  <c r="M64" i="9"/>
  <c r="L64" i="9"/>
  <c r="K64" i="9"/>
  <c r="J64" i="9"/>
  <c r="I64" i="9"/>
  <c r="H64" i="9"/>
  <c r="C64" i="9" s="1"/>
  <c r="G64" i="9"/>
  <c r="F64" i="9"/>
  <c r="E64" i="9"/>
  <c r="D64" i="9"/>
  <c r="M63" i="9"/>
  <c r="L63" i="9"/>
  <c r="K63" i="9"/>
  <c r="J63" i="9"/>
  <c r="I63" i="9"/>
  <c r="H63" i="9"/>
  <c r="C63" i="9" s="1"/>
  <c r="G63" i="9"/>
  <c r="F63" i="9"/>
  <c r="E63" i="9"/>
  <c r="D63" i="9"/>
  <c r="M62" i="9"/>
  <c r="L62" i="9"/>
  <c r="K62" i="9"/>
  <c r="J62" i="9"/>
  <c r="I62" i="9"/>
  <c r="H62" i="9"/>
  <c r="C62" i="9" s="1"/>
  <c r="G62" i="9"/>
  <c r="F62" i="9"/>
  <c r="E62" i="9"/>
  <c r="D62" i="9"/>
  <c r="M61" i="9"/>
  <c r="L61" i="9"/>
  <c r="K61" i="9"/>
  <c r="J61" i="9"/>
  <c r="I61" i="9"/>
  <c r="H61" i="9"/>
  <c r="C61" i="9" s="1"/>
  <c r="G61" i="9"/>
  <c r="F61" i="9"/>
  <c r="E61" i="9"/>
  <c r="D61" i="9"/>
  <c r="M60" i="9"/>
  <c r="L60" i="9"/>
  <c r="K60" i="9"/>
  <c r="J60" i="9"/>
  <c r="I60" i="9"/>
  <c r="H60" i="9"/>
  <c r="C60" i="9" s="1"/>
  <c r="G60" i="9"/>
  <c r="F60" i="9"/>
  <c r="E60" i="9"/>
  <c r="D60" i="9"/>
  <c r="M59" i="9"/>
  <c r="L59" i="9"/>
  <c r="K59" i="9"/>
  <c r="J59" i="9"/>
  <c r="I59" i="9"/>
  <c r="H59" i="9"/>
  <c r="C59" i="9" s="1"/>
  <c r="G59" i="9"/>
  <c r="F59" i="9"/>
  <c r="E59" i="9"/>
  <c r="D59" i="9"/>
  <c r="M58" i="9"/>
  <c r="L58" i="9"/>
  <c r="K58" i="9"/>
  <c r="J58" i="9"/>
  <c r="I58" i="9"/>
  <c r="H58" i="9"/>
  <c r="C58" i="9" s="1"/>
  <c r="G58" i="9"/>
  <c r="F58" i="9"/>
  <c r="E58" i="9"/>
  <c r="D58" i="9"/>
  <c r="M57" i="9"/>
  <c r="L57" i="9"/>
  <c r="K57" i="9"/>
  <c r="J57" i="9"/>
  <c r="I57" i="9"/>
  <c r="H57" i="9"/>
  <c r="C57" i="9" s="1"/>
  <c r="G57" i="9"/>
  <c r="F57" i="9"/>
  <c r="E57" i="9"/>
  <c r="D57" i="9"/>
  <c r="M56" i="9"/>
  <c r="L56" i="9"/>
  <c r="K56" i="9"/>
  <c r="J56" i="9"/>
  <c r="I56" i="9"/>
  <c r="H56" i="9"/>
  <c r="C56" i="9" s="1"/>
  <c r="G56" i="9"/>
  <c r="F56" i="9"/>
  <c r="E56" i="9"/>
  <c r="D56" i="9"/>
  <c r="M55" i="9"/>
  <c r="L55" i="9"/>
  <c r="K55" i="9"/>
  <c r="J55" i="9"/>
  <c r="I55" i="9"/>
  <c r="H55" i="9"/>
  <c r="C55" i="9" s="1"/>
  <c r="G55" i="9"/>
  <c r="F55" i="9"/>
  <c r="E55" i="9"/>
  <c r="D55" i="9"/>
  <c r="M54" i="9"/>
  <c r="L54" i="9"/>
  <c r="K54" i="9"/>
  <c r="J54" i="9"/>
  <c r="I54" i="9"/>
  <c r="H54" i="9"/>
  <c r="C54" i="9" s="1"/>
  <c r="G54" i="9"/>
  <c r="F54" i="9"/>
  <c r="E54" i="9"/>
  <c r="D54" i="9"/>
  <c r="M53" i="9"/>
  <c r="L53" i="9"/>
  <c r="K53" i="9"/>
  <c r="J53" i="9"/>
  <c r="I53" i="9"/>
  <c r="H53" i="9"/>
  <c r="C53" i="9" s="1"/>
  <c r="G53" i="9"/>
  <c r="F53" i="9"/>
  <c r="E53" i="9"/>
  <c r="D53" i="9"/>
  <c r="M52" i="9"/>
  <c r="L52" i="9"/>
  <c r="K52" i="9"/>
  <c r="J52" i="9"/>
  <c r="I52" i="9"/>
  <c r="H52" i="9"/>
  <c r="C52" i="9" s="1"/>
  <c r="G52" i="9"/>
  <c r="F52" i="9"/>
  <c r="E52" i="9"/>
  <c r="D52" i="9"/>
  <c r="M51" i="9"/>
  <c r="L51" i="9"/>
  <c r="K51" i="9"/>
  <c r="J51" i="9"/>
  <c r="I51" i="9"/>
  <c r="H51" i="9"/>
  <c r="C51" i="9" s="1"/>
  <c r="G51" i="9"/>
  <c r="F51" i="9"/>
  <c r="E51" i="9"/>
  <c r="D51" i="9"/>
  <c r="M50" i="9"/>
  <c r="L50" i="9"/>
  <c r="K50" i="9"/>
  <c r="J50" i="9"/>
  <c r="I50" i="9"/>
  <c r="H50" i="9"/>
  <c r="C50" i="9" s="1"/>
  <c r="G50" i="9"/>
  <c r="F50" i="9"/>
  <c r="E50" i="9"/>
  <c r="D50" i="9"/>
  <c r="M49" i="9"/>
  <c r="L49" i="9"/>
  <c r="K49" i="9"/>
  <c r="J49" i="9"/>
  <c r="I49" i="9"/>
  <c r="H49" i="9"/>
  <c r="C49" i="9" s="1"/>
  <c r="G49" i="9"/>
  <c r="F49" i="9"/>
  <c r="E49" i="9"/>
  <c r="D49" i="9"/>
  <c r="M48" i="9"/>
  <c r="L48" i="9"/>
  <c r="K48" i="9"/>
  <c r="J48" i="9"/>
  <c r="I48" i="9"/>
  <c r="H48" i="9"/>
  <c r="C48" i="9" s="1"/>
  <c r="G48" i="9"/>
  <c r="F48" i="9"/>
  <c r="E48" i="9"/>
  <c r="D48" i="9"/>
  <c r="M47" i="9"/>
  <c r="L47" i="9"/>
  <c r="K47" i="9"/>
  <c r="J47" i="9"/>
  <c r="I47" i="9"/>
  <c r="H47" i="9"/>
  <c r="C47" i="9" s="1"/>
  <c r="G47" i="9"/>
  <c r="F47" i="9"/>
  <c r="E47" i="9"/>
  <c r="D47" i="9"/>
  <c r="M46" i="9"/>
  <c r="L46" i="9"/>
  <c r="K46" i="9"/>
  <c r="J46" i="9"/>
  <c r="I46" i="9"/>
  <c r="H46" i="9"/>
  <c r="C46" i="9" s="1"/>
  <c r="G46" i="9"/>
  <c r="F46" i="9"/>
  <c r="E46" i="9"/>
  <c r="D46" i="9"/>
  <c r="M45" i="9"/>
  <c r="L45" i="9"/>
  <c r="K45" i="9"/>
  <c r="J45" i="9"/>
  <c r="I45" i="9"/>
  <c r="H45" i="9"/>
  <c r="C45" i="9" s="1"/>
  <c r="G45" i="9"/>
  <c r="F45" i="9"/>
  <c r="E45" i="9"/>
  <c r="D45" i="9"/>
  <c r="M44" i="9"/>
  <c r="L44" i="9"/>
  <c r="K44" i="9"/>
  <c r="J44" i="9"/>
  <c r="I44" i="9"/>
  <c r="H44" i="9"/>
  <c r="C44" i="9" s="1"/>
  <c r="G44" i="9"/>
  <c r="F44" i="9"/>
  <c r="E44" i="9"/>
  <c r="D44" i="9"/>
  <c r="M43" i="9"/>
  <c r="L43" i="9"/>
  <c r="K43" i="9"/>
  <c r="J43" i="9"/>
  <c r="I43" i="9"/>
  <c r="H43" i="9"/>
  <c r="C43" i="9" s="1"/>
  <c r="G43" i="9"/>
  <c r="F43" i="9"/>
  <c r="E43" i="9"/>
  <c r="D43" i="9"/>
  <c r="M42" i="9"/>
  <c r="L42" i="9"/>
  <c r="K42" i="9"/>
  <c r="J42" i="9"/>
  <c r="I42" i="9"/>
  <c r="H42" i="9"/>
  <c r="C42" i="9" s="1"/>
  <c r="G42" i="9"/>
  <c r="F42" i="9"/>
  <c r="E42" i="9"/>
  <c r="D42" i="9"/>
  <c r="M41" i="9"/>
  <c r="L41" i="9"/>
  <c r="K41" i="9"/>
  <c r="J41" i="9"/>
  <c r="I41" i="9"/>
  <c r="H41" i="9"/>
  <c r="C41" i="9" s="1"/>
  <c r="G41" i="9"/>
  <c r="F41" i="9"/>
  <c r="E41" i="9"/>
  <c r="D41" i="9"/>
  <c r="M40" i="9"/>
  <c r="L40" i="9"/>
  <c r="K40" i="9"/>
  <c r="J40" i="9"/>
  <c r="I40" i="9"/>
  <c r="H40" i="9"/>
  <c r="C40" i="9" s="1"/>
  <c r="G40" i="9"/>
  <c r="F40" i="9"/>
  <c r="E40" i="9"/>
  <c r="D40" i="9"/>
  <c r="M39" i="9"/>
  <c r="L39" i="9"/>
  <c r="K39" i="9"/>
  <c r="J39" i="9"/>
  <c r="I39" i="9"/>
  <c r="H39" i="9"/>
  <c r="C39" i="9" s="1"/>
  <c r="G39" i="9"/>
  <c r="F39" i="9"/>
  <c r="E39" i="9"/>
  <c r="D39" i="9"/>
  <c r="M38" i="9"/>
  <c r="L38" i="9"/>
  <c r="K38" i="9"/>
  <c r="J38" i="9"/>
  <c r="I38" i="9"/>
  <c r="H38" i="9"/>
  <c r="C38" i="9" s="1"/>
  <c r="G38" i="9"/>
  <c r="F38" i="9"/>
  <c r="E38" i="9"/>
  <c r="D38" i="9"/>
  <c r="M37" i="9"/>
  <c r="L37" i="9"/>
  <c r="K37" i="9"/>
  <c r="J37" i="9"/>
  <c r="I37" i="9"/>
  <c r="H37" i="9"/>
  <c r="G37" i="9"/>
  <c r="F37" i="9"/>
  <c r="E37" i="9"/>
  <c r="D37" i="9"/>
  <c r="M36" i="9"/>
  <c r="L36" i="9"/>
  <c r="K36" i="9"/>
  <c r="J36" i="9"/>
  <c r="I36" i="9"/>
  <c r="H36" i="9"/>
  <c r="C36" i="9" s="1"/>
  <c r="G36" i="9"/>
  <c r="F36" i="9"/>
  <c r="E36" i="9"/>
  <c r="D36" i="9"/>
  <c r="M35" i="9"/>
  <c r="L35" i="9"/>
  <c r="K35" i="9"/>
  <c r="J35" i="9"/>
  <c r="I35" i="9"/>
  <c r="H35" i="9"/>
  <c r="C35" i="9" s="1"/>
  <c r="G35" i="9"/>
  <c r="F35" i="9"/>
  <c r="E35" i="9"/>
  <c r="D35" i="9"/>
  <c r="M34" i="9"/>
  <c r="L34" i="9"/>
  <c r="K34" i="9"/>
  <c r="J34" i="9"/>
  <c r="I34" i="9"/>
  <c r="H34" i="9"/>
  <c r="C34" i="9" s="1"/>
  <c r="G34" i="9"/>
  <c r="F34" i="9"/>
  <c r="E34" i="9"/>
  <c r="D34" i="9"/>
  <c r="M33" i="9"/>
  <c r="L33" i="9"/>
  <c r="K33" i="9"/>
  <c r="J33" i="9"/>
  <c r="I33" i="9"/>
  <c r="H33" i="9"/>
  <c r="C33" i="9" s="1"/>
  <c r="G33" i="9"/>
  <c r="F33" i="9"/>
  <c r="E33" i="9"/>
  <c r="D33" i="9"/>
  <c r="M32" i="9"/>
  <c r="L32" i="9"/>
  <c r="K32" i="9"/>
  <c r="J32" i="9"/>
  <c r="I32" i="9"/>
  <c r="H32" i="9"/>
  <c r="C32" i="9" s="1"/>
  <c r="G32" i="9"/>
  <c r="F32" i="9"/>
  <c r="E32" i="9"/>
  <c r="D32" i="9"/>
  <c r="M31" i="9"/>
  <c r="L31" i="9"/>
  <c r="K31" i="9"/>
  <c r="J31" i="9"/>
  <c r="I31" i="9"/>
  <c r="H31" i="9"/>
  <c r="C31" i="9" s="1"/>
  <c r="G31" i="9"/>
  <c r="F31" i="9"/>
  <c r="E31" i="9"/>
  <c r="D31" i="9"/>
  <c r="M30" i="9"/>
  <c r="L30" i="9"/>
  <c r="K30" i="9"/>
  <c r="J30" i="9"/>
  <c r="I30" i="9"/>
  <c r="H30" i="9"/>
  <c r="C30" i="9" s="1"/>
  <c r="G30" i="9"/>
  <c r="F30" i="9"/>
  <c r="E30" i="9"/>
  <c r="D30" i="9"/>
  <c r="M29" i="9"/>
  <c r="L29" i="9"/>
  <c r="K29" i="9"/>
  <c r="J29" i="9"/>
  <c r="I29" i="9"/>
  <c r="H29" i="9"/>
  <c r="C29" i="9" s="1"/>
  <c r="G29" i="9"/>
  <c r="F29" i="9"/>
  <c r="E29" i="9"/>
  <c r="D29" i="9"/>
  <c r="M28" i="9"/>
  <c r="L28" i="9"/>
  <c r="K28" i="9"/>
  <c r="J28" i="9"/>
  <c r="I28" i="9"/>
  <c r="H28" i="9"/>
  <c r="C28" i="9" s="1"/>
  <c r="G28" i="9"/>
  <c r="F28" i="9"/>
  <c r="E28" i="9"/>
  <c r="D28" i="9"/>
  <c r="M27" i="9"/>
  <c r="L27" i="9"/>
  <c r="K27" i="9"/>
  <c r="J27" i="9"/>
  <c r="I27" i="9"/>
  <c r="H27" i="9"/>
  <c r="C27" i="9" s="1"/>
  <c r="G27" i="9"/>
  <c r="F27" i="9"/>
  <c r="E27" i="9"/>
  <c r="D27" i="9"/>
  <c r="M26" i="9"/>
  <c r="L26" i="9"/>
  <c r="K26" i="9"/>
  <c r="J26" i="9"/>
  <c r="I26" i="9"/>
  <c r="H26" i="9"/>
  <c r="C26" i="9" s="1"/>
  <c r="G26" i="9"/>
  <c r="F26" i="9"/>
  <c r="E26" i="9"/>
  <c r="D26" i="9"/>
  <c r="M25" i="9"/>
  <c r="L25" i="9"/>
  <c r="K25" i="9"/>
  <c r="J25" i="9"/>
  <c r="I25" i="9"/>
  <c r="H25" i="9"/>
  <c r="C25" i="9" s="1"/>
  <c r="G25" i="9"/>
  <c r="F25" i="9"/>
  <c r="E25" i="9"/>
  <c r="D25" i="9"/>
  <c r="M24" i="9"/>
  <c r="L24" i="9"/>
  <c r="K24" i="9"/>
  <c r="J24" i="9"/>
  <c r="I24" i="9"/>
  <c r="H24" i="9"/>
  <c r="C24" i="9" s="1"/>
  <c r="G24" i="9"/>
  <c r="F24" i="9"/>
  <c r="E24" i="9"/>
  <c r="D24" i="9"/>
  <c r="M23" i="9"/>
  <c r="L23" i="9"/>
  <c r="K23" i="9"/>
  <c r="J23" i="9"/>
  <c r="I23" i="9"/>
  <c r="H23" i="9"/>
  <c r="C23" i="9" s="1"/>
  <c r="G23" i="9"/>
  <c r="F23" i="9"/>
  <c r="E23" i="9"/>
  <c r="D23" i="9"/>
  <c r="M22" i="9"/>
  <c r="L22" i="9"/>
  <c r="K22" i="9"/>
  <c r="J22" i="9"/>
  <c r="I22" i="9"/>
  <c r="H22" i="9"/>
  <c r="C22" i="9" s="1"/>
  <c r="G22" i="9"/>
  <c r="F22" i="9"/>
  <c r="E22" i="9"/>
  <c r="D22" i="9"/>
  <c r="M21" i="9"/>
  <c r="L21" i="9"/>
  <c r="K21" i="9"/>
  <c r="J21" i="9"/>
  <c r="I21" i="9"/>
  <c r="H21" i="9"/>
  <c r="C21" i="9" s="1"/>
  <c r="G21" i="9"/>
  <c r="F21" i="9"/>
  <c r="E21" i="9"/>
  <c r="D21" i="9"/>
  <c r="M20" i="9"/>
  <c r="L20" i="9"/>
  <c r="K20" i="9"/>
  <c r="J20" i="9"/>
  <c r="I20" i="9"/>
  <c r="H20" i="9"/>
  <c r="C20" i="9" s="1"/>
  <c r="G20" i="9"/>
  <c r="F20" i="9"/>
  <c r="E20" i="9"/>
  <c r="D20" i="9"/>
  <c r="M19" i="9"/>
  <c r="L19" i="9"/>
  <c r="K19" i="9"/>
  <c r="J19" i="9"/>
  <c r="I19" i="9"/>
  <c r="H19" i="9"/>
  <c r="C19" i="9" s="1"/>
  <c r="G19" i="9"/>
  <c r="F19" i="9"/>
  <c r="E19" i="9"/>
  <c r="D19" i="9"/>
  <c r="M18" i="9"/>
  <c r="L18" i="9"/>
  <c r="K18" i="9"/>
  <c r="J18" i="9"/>
  <c r="I18" i="9"/>
  <c r="H18" i="9"/>
  <c r="C18" i="9" s="1"/>
  <c r="G18" i="9"/>
  <c r="F18" i="9"/>
  <c r="E18" i="9"/>
  <c r="D18" i="9"/>
  <c r="M17" i="9"/>
  <c r="L17" i="9"/>
  <c r="K17" i="9"/>
  <c r="J17" i="9"/>
  <c r="I17" i="9"/>
  <c r="H17" i="9"/>
  <c r="C17" i="9" s="1"/>
  <c r="G17" i="9"/>
  <c r="F17" i="9"/>
  <c r="E17" i="9"/>
  <c r="D17" i="9"/>
  <c r="M16" i="9"/>
  <c r="L16" i="9"/>
  <c r="K16" i="9"/>
  <c r="J16" i="9"/>
  <c r="I16" i="9"/>
  <c r="H16" i="9"/>
  <c r="C16" i="9" s="1"/>
  <c r="G16" i="9"/>
  <c r="F16" i="9"/>
  <c r="E16" i="9"/>
  <c r="D16" i="9"/>
  <c r="M15" i="9"/>
  <c r="L15" i="9"/>
  <c r="K15" i="9"/>
  <c r="J15" i="9"/>
  <c r="I15" i="9"/>
  <c r="H15" i="9"/>
  <c r="C15" i="9" s="1"/>
  <c r="G15" i="9"/>
  <c r="F15" i="9"/>
  <c r="E15" i="9"/>
  <c r="D15" i="9"/>
  <c r="M14" i="9"/>
  <c r="L14" i="9"/>
  <c r="K14" i="9"/>
  <c r="J14" i="9"/>
  <c r="I14" i="9"/>
  <c r="H14" i="9"/>
  <c r="C14" i="9" s="1"/>
  <c r="G14" i="9"/>
  <c r="F14" i="9"/>
  <c r="E14" i="9"/>
  <c r="D14" i="9"/>
  <c r="M13" i="9"/>
  <c r="L13" i="9"/>
  <c r="K13" i="9"/>
  <c r="J13" i="9"/>
  <c r="I13" i="9"/>
  <c r="H13" i="9"/>
  <c r="C13" i="9" s="1"/>
  <c r="G13" i="9"/>
  <c r="F13" i="9"/>
  <c r="E13" i="9"/>
  <c r="D13" i="9"/>
  <c r="M12" i="9"/>
  <c r="L12" i="9"/>
  <c r="K12" i="9"/>
  <c r="J12" i="9"/>
  <c r="I12" i="9"/>
  <c r="H12" i="9"/>
  <c r="C12" i="9" s="1"/>
  <c r="G12" i="9"/>
  <c r="F12" i="9"/>
  <c r="E12" i="9"/>
  <c r="D12" i="9"/>
  <c r="M11" i="9"/>
  <c r="L11" i="9"/>
  <c r="K11" i="9"/>
  <c r="J11" i="9"/>
  <c r="I11" i="9"/>
  <c r="H11" i="9"/>
  <c r="C11" i="9" s="1"/>
  <c r="G11" i="9"/>
  <c r="F11" i="9"/>
  <c r="E11" i="9"/>
  <c r="D11" i="9"/>
  <c r="M10" i="9"/>
  <c r="L10" i="9"/>
  <c r="K10" i="9"/>
  <c r="J10" i="9"/>
  <c r="I10" i="9"/>
  <c r="H10" i="9"/>
  <c r="C10" i="9" s="1"/>
  <c r="G10" i="9"/>
  <c r="F10" i="9"/>
  <c r="E10" i="9"/>
  <c r="D10" i="9"/>
  <c r="M9" i="9"/>
  <c r="L9" i="9"/>
  <c r="K9" i="9"/>
  <c r="J9" i="9"/>
  <c r="I9" i="9"/>
  <c r="H9" i="9"/>
  <c r="C9" i="9" s="1"/>
  <c r="G9" i="9"/>
  <c r="F9" i="9"/>
  <c r="E9" i="9"/>
  <c r="D9" i="9"/>
  <c r="M8" i="9"/>
  <c r="L8" i="9"/>
  <c r="K8" i="9"/>
  <c r="J8" i="9"/>
  <c r="I8" i="9"/>
  <c r="H8" i="9"/>
  <c r="C8" i="9" s="1"/>
  <c r="G8" i="9"/>
  <c r="F8" i="9"/>
  <c r="E8" i="9"/>
  <c r="D8" i="9"/>
  <c r="M7" i="9"/>
  <c r="L7" i="9"/>
  <c r="K7" i="9"/>
  <c r="J7" i="9"/>
  <c r="I7" i="9"/>
  <c r="H7" i="9"/>
  <c r="C7" i="9" s="1"/>
  <c r="G7" i="9"/>
  <c r="F7" i="9"/>
  <c r="E7" i="9"/>
  <c r="D7" i="9"/>
  <c r="M6" i="9"/>
  <c r="L6" i="9"/>
  <c r="K6" i="9"/>
  <c r="J6" i="9"/>
  <c r="I6" i="9"/>
  <c r="H6" i="9"/>
  <c r="G6" i="9"/>
  <c r="F6" i="9"/>
  <c r="E6" i="9"/>
  <c r="D6" i="9"/>
  <c r="M369" i="13"/>
  <c r="L369" i="13"/>
  <c r="K369" i="13"/>
  <c r="J369" i="13"/>
  <c r="I369" i="13"/>
  <c r="H369" i="13"/>
  <c r="C369" i="13" s="1"/>
  <c r="G369" i="13"/>
  <c r="F369" i="13"/>
  <c r="E369" i="13"/>
  <c r="D369" i="13"/>
  <c r="M368" i="13"/>
  <c r="L368" i="13"/>
  <c r="K368" i="13"/>
  <c r="J368" i="13"/>
  <c r="I368" i="13"/>
  <c r="H368" i="13"/>
  <c r="C368" i="13" s="1"/>
  <c r="G368" i="13"/>
  <c r="F368" i="13"/>
  <c r="E368" i="13"/>
  <c r="D368" i="13"/>
  <c r="M367" i="13"/>
  <c r="L367" i="13"/>
  <c r="K367" i="13"/>
  <c r="J367" i="13"/>
  <c r="I367" i="13"/>
  <c r="H367" i="13"/>
  <c r="C367" i="13" s="1"/>
  <c r="G367" i="13"/>
  <c r="F367" i="13"/>
  <c r="E367" i="13"/>
  <c r="D367" i="13"/>
  <c r="M366" i="13"/>
  <c r="L366" i="13"/>
  <c r="K366" i="13"/>
  <c r="J366" i="13"/>
  <c r="I366" i="13"/>
  <c r="H366" i="13"/>
  <c r="C366" i="13" s="1"/>
  <c r="G366" i="13"/>
  <c r="F366" i="13"/>
  <c r="E366" i="13"/>
  <c r="D366" i="13"/>
  <c r="M365" i="13"/>
  <c r="L365" i="13"/>
  <c r="K365" i="13"/>
  <c r="J365" i="13"/>
  <c r="I365" i="13"/>
  <c r="H365" i="13"/>
  <c r="C365" i="13" s="1"/>
  <c r="G365" i="13"/>
  <c r="F365" i="13"/>
  <c r="E365" i="13"/>
  <c r="D365" i="13"/>
  <c r="M364" i="13"/>
  <c r="L364" i="13"/>
  <c r="K364" i="13"/>
  <c r="J364" i="13"/>
  <c r="I364" i="13"/>
  <c r="H364" i="13"/>
  <c r="C364" i="13" s="1"/>
  <c r="G364" i="13"/>
  <c r="F364" i="13"/>
  <c r="E364" i="13"/>
  <c r="D364" i="13"/>
  <c r="M363" i="13"/>
  <c r="L363" i="13"/>
  <c r="K363" i="13"/>
  <c r="J363" i="13"/>
  <c r="I363" i="13"/>
  <c r="H363" i="13"/>
  <c r="C363" i="13" s="1"/>
  <c r="G363" i="13"/>
  <c r="F363" i="13"/>
  <c r="E363" i="13"/>
  <c r="D363" i="13"/>
  <c r="M362" i="13"/>
  <c r="L362" i="13"/>
  <c r="K362" i="13"/>
  <c r="J362" i="13"/>
  <c r="I362" i="13"/>
  <c r="H362" i="13"/>
  <c r="C362" i="13" s="1"/>
  <c r="G362" i="13"/>
  <c r="F362" i="13"/>
  <c r="E362" i="13"/>
  <c r="D362" i="13"/>
  <c r="M361" i="13"/>
  <c r="L361" i="13"/>
  <c r="K361" i="13"/>
  <c r="J361" i="13"/>
  <c r="I361" i="13"/>
  <c r="H361" i="13"/>
  <c r="C361" i="13" s="1"/>
  <c r="G361" i="13"/>
  <c r="F361" i="13"/>
  <c r="E361" i="13"/>
  <c r="D361" i="13"/>
  <c r="M360" i="13"/>
  <c r="L360" i="13"/>
  <c r="K360" i="13"/>
  <c r="J360" i="13"/>
  <c r="I360" i="13"/>
  <c r="H360" i="13"/>
  <c r="C360" i="13" s="1"/>
  <c r="G360" i="13"/>
  <c r="F360" i="13"/>
  <c r="E360" i="13"/>
  <c r="D360" i="13"/>
  <c r="M359" i="13"/>
  <c r="L359" i="13"/>
  <c r="K359" i="13"/>
  <c r="J359" i="13"/>
  <c r="I359" i="13"/>
  <c r="H359" i="13"/>
  <c r="C359" i="13" s="1"/>
  <c r="G359" i="13"/>
  <c r="F359" i="13"/>
  <c r="E359" i="13"/>
  <c r="D359" i="13"/>
  <c r="M358" i="13"/>
  <c r="L358" i="13"/>
  <c r="K358" i="13"/>
  <c r="J358" i="13"/>
  <c r="I358" i="13"/>
  <c r="H358" i="13"/>
  <c r="C358" i="13" s="1"/>
  <c r="G358" i="13"/>
  <c r="F358" i="13"/>
  <c r="E358" i="13"/>
  <c r="D358" i="13"/>
  <c r="M357" i="13"/>
  <c r="L357" i="13"/>
  <c r="K357" i="13"/>
  <c r="J357" i="13"/>
  <c r="I357" i="13"/>
  <c r="H357" i="13"/>
  <c r="C357" i="13" s="1"/>
  <c r="G357" i="13"/>
  <c r="F357" i="13"/>
  <c r="E357" i="13"/>
  <c r="D357" i="13"/>
  <c r="M356" i="13"/>
  <c r="L356" i="13"/>
  <c r="K356" i="13"/>
  <c r="J356" i="13"/>
  <c r="I356" i="13"/>
  <c r="H356" i="13"/>
  <c r="C356" i="13" s="1"/>
  <c r="G356" i="13"/>
  <c r="F356" i="13"/>
  <c r="E356" i="13"/>
  <c r="D356" i="13"/>
  <c r="M355" i="13"/>
  <c r="L355" i="13"/>
  <c r="K355" i="13"/>
  <c r="J355" i="13"/>
  <c r="I355" i="13"/>
  <c r="H355" i="13"/>
  <c r="C355" i="13" s="1"/>
  <c r="G355" i="13"/>
  <c r="F355" i="13"/>
  <c r="E355" i="13"/>
  <c r="D355" i="13"/>
  <c r="M354" i="13"/>
  <c r="L354" i="13"/>
  <c r="K354" i="13"/>
  <c r="J354" i="13"/>
  <c r="I354" i="13"/>
  <c r="H354" i="13"/>
  <c r="C354" i="13" s="1"/>
  <c r="G354" i="13"/>
  <c r="F354" i="13"/>
  <c r="E354" i="13"/>
  <c r="D354" i="13"/>
  <c r="M353" i="13"/>
  <c r="L353" i="13"/>
  <c r="K353" i="13"/>
  <c r="J353" i="13"/>
  <c r="I353" i="13"/>
  <c r="H353" i="13"/>
  <c r="C353" i="13" s="1"/>
  <c r="G353" i="13"/>
  <c r="F353" i="13"/>
  <c r="E353" i="13"/>
  <c r="D353" i="13"/>
  <c r="M352" i="13"/>
  <c r="L352" i="13"/>
  <c r="K352" i="13"/>
  <c r="J352" i="13"/>
  <c r="I352" i="13"/>
  <c r="H352" i="13"/>
  <c r="C352" i="13" s="1"/>
  <c r="G352" i="13"/>
  <c r="F352" i="13"/>
  <c r="E352" i="13"/>
  <c r="D352" i="13"/>
  <c r="M351" i="13"/>
  <c r="L351" i="13"/>
  <c r="K351" i="13"/>
  <c r="J351" i="13"/>
  <c r="I351" i="13"/>
  <c r="H351" i="13"/>
  <c r="C351" i="13" s="1"/>
  <c r="G351" i="13"/>
  <c r="F351" i="13"/>
  <c r="E351" i="13"/>
  <c r="D351" i="13"/>
  <c r="M350" i="13"/>
  <c r="L350" i="13"/>
  <c r="K350" i="13"/>
  <c r="J350" i="13"/>
  <c r="I350" i="13"/>
  <c r="H350" i="13"/>
  <c r="C350" i="13" s="1"/>
  <c r="G350" i="13"/>
  <c r="F350" i="13"/>
  <c r="E350" i="13"/>
  <c r="D350" i="13"/>
  <c r="M349" i="13"/>
  <c r="L349" i="13"/>
  <c r="K349" i="13"/>
  <c r="J349" i="13"/>
  <c r="I349" i="13"/>
  <c r="H349" i="13"/>
  <c r="C349" i="13" s="1"/>
  <c r="G349" i="13"/>
  <c r="F349" i="13"/>
  <c r="E349" i="13"/>
  <c r="D349" i="13"/>
  <c r="M348" i="13"/>
  <c r="L348" i="13"/>
  <c r="K348" i="13"/>
  <c r="J348" i="13"/>
  <c r="I348" i="13"/>
  <c r="H348" i="13"/>
  <c r="C348" i="13" s="1"/>
  <c r="G348" i="13"/>
  <c r="F348" i="13"/>
  <c r="E348" i="13"/>
  <c r="D348" i="13"/>
  <c r="M347" i="13"/>
  <c r="L347" i="13"/>
  <c r="K347" i="13"/>
  <c r="J347" i="13"/>
  <c r="I347" i="13"/>
  <c r="H347" i="13"/>
  <c r="C347" i="13" s="1"/>
  <c r="G347" i="13"/>
  <c r="F347" i="13"/>
  <c r="E347" i="13"/>
  <c r="D347" i="13"/>
  <c r="M346" i="13"/>
  <c r="L346" i="13"/>
  <c r="K346" i="13"/>
  <c r="J346" i="13"/>
  <c r="I346" i="13"/>
  <c r="H346" i="13"/>
  <c r="C346" i="13" s="1"/>
  <c r="G346" i="13"/>
  <c r="F346" i="13"/>
  <c r="E346" i="13"/>
  <c r="D346" i="13"/>
  <c r="M345" i="13"/>
  <c r="L345" i="13"/>
  <c r="K345" i="13"/>
  <c r="J345" i="13"/>
  <c r="I345" i="13"/>
  <c r="H345" i="13"/>
  <c r="C345" i="13" s="1"/>
  <c r="G345" i="13"/>
  <c r="F345" i="13"/>
  <c r="E345" i="13"/>
  <c r="D345" i="13"/>
  <c r="M344" i="13"/>
  <c r="L344" i="13"/>
  <c r="K344" i="13"/>
  <c r="J344" i="13"/>
  <c r="I344" i="13"/>
  <c r="H344" i="13"/>
  <c r="C344" i="13" s="1"/>
  <c r="G344" i="13"/>
  <c r="F344" i="13"/>
  <c r="E344" i="13"/>
  <c r="D344" i="13"/>
  <c r="M343" i="13"/>
  <c r="L343" i="13"/>
  <c r="K343" i="13"/>
  <c r="J343" i="13"/>
  <c r="I343" i="13"/>
  <c r="H343" i="13"/>
  <c r="C343" i="13" s="1"/>
  <c r="G343" i="13"/>
  <c r="F343" i="13"/>
  <c r="E343" i="13"/>
  <c r="D343" i="13"/>
  <c r="M342" i="13"/>
  <c r="L342" i="13"/>
  <c r="K342" i="13"/>
  <c r="J342" i="13"/>
  <c r="I342" i="13"/>
  <c r="H342" i="13"/>
  <c r="C342" i="13" s="1"/>
  <c r="G342" i="13"/>
  <c r="F342" i="13"/>
  <c r="E342" i="13"/>
  <c r="D342" i="13"/>
  <c r="M341" i="13"/>
  <c r="L341" i="13"/>
  <c r="K341" i="13"/>
  <c r="J341" i="13"/>
  <c r="I341" i="13"/>
  <c r="H341" i="13"/>
  <c r="C341" i="13" s="1"/>
  <c r="G341" i="13"/>
  <c r="F341" i="13"/>
  <c r="E341" i="13"/>
  <c r="D341" i="13"/>
  <c r="M340" i="13"/>
  <c r="L340" i="13"/>
  <c r="K340" i="13"/>
  <c r="J340" i="13"/>
  <c r="I340" i="13"/>
  <c r="H340" i="13"/>
  <c r="G340" i="13"/>
  <c r="F340" i="13"/>
  <c r="E340" i="13"/>
  <c r="D340" i="13"/>
  <c r="M339" i="13"/>
  <c r="L339" i="13"/>
  <c r="K339" i="13"/>
  <c r="J339" i="13"/>
  <c r="I339" i="13"/>
  <c r="H339" i="13"/>
  <c r="C339" i="13" s="1"/>
  <c r="G339" i="13"/>
  <c r="F339" i="13"/>
  <c r="E339" i="13"/>
  <c r="D339" i="13"/>
  <c r="M338" i="13"/>
  <c r="L338" i="13"/>
  <c r="K338" i="13"/>
  <c r="J338" i="13"/>
  <c r="I338" i="13"/>
  <c r="H338" i="13"/>
  <c r="C338" i="13" s="1"/>
  <c r="G338" i="13"/>
  <c r="F338" i="13"/>
  <c r="E338" i="13"/>
  <c r="D338" i="13"/>
  <c r="M337" i="13"/>
  <c r="L337" i="13"/>
  <c r="K337" i="13"/>
  <c r="J337" i="13"/>
  <c r="I337" i="13"/>
  <c r="H337" i="13"/>
  <c r="C337" i="13" s="1"/>
  <c r="G337" i="13"/>
  <c r="F337" i="13"/>
  <c r="E337" i="13"/>
  <c r="D337" i="13"/>
  <c r="M336" i="13"/>
  <c r="L336" i="13"/>
  <c r="K336" i="13"/>
  <c r="J336" i="13"/>
  <c r="I336" i="13"/>
  <c r="H336" i="13"/>
  <c r="C336" i="13" s="1"/>
  <c r="G336" i="13"/>
  <c r="F336" i="13"/>
  <c r="E336" i="13"/>
  <c r="D336" i="13"/>
  <c r="M335" i="13"/>
  <c r="L335" i="13"/>
  <c r="K335" i="13"/>
  <c r="J335" i="13"/>
  <c r="I335" i="13"/>
  <c r="H335" i="13"/>
  <c r="C335" i="13" s="1"/>
  <c r="G335" i="13"/>
  <c r="F335" i="13"/>
  <c r="E335" i="13"/>
  <c r="D335" i="13"/>
  <c r="M334" i="13"/>
  <c r="L334" i="13"/>
  <c r="K334" i="13"/>
  <c r="J334" i="13"/>
  <c r="I334" i="13"/>
  <c r="H334" i="13"/>
  <c r="C334" i="13" s="1"/>
  <c r="G334" i="13"/>
  <c r="F334" i="13"/>
  <c r="E334" i="13"/>
  <c r="D334" i="13"/>
  <c r="M333" i="13"/>
  <c r="L333" i="13"/>
  <c r="K333" i="13"/>
  <c r="J333" i="13"/>
  <c r="I333" i="13"/>
  <c r="H333" i="13"/>
  <c r="C333" i="13" s="1"/>
  <c r="G333" i="13"/>
  <c r="F333" i="13"/>
  <c r="E333" i="13"/>
  <c r="D333" i="13"/>
  <c r="M332" i="13"/>
  <c r="L332" i="13"/>
  <c r="K332" i="13"/>
  <c r="J332" i="13"/>
  <c r="I332" i="13"/>
  <c r="H332" i="13"/>
  <c r="C332" i="13" s="1"/>
  <c r="G332" i="13"/>
  <c r="F332" i="13"/>
  <c r="E332" i="13"/>
  <c r="D332" i="13"/>
  <c r="M331" i="13"/>
  <c r="L331" i="13"/>
  <c r="K331" i="13"/>
  <c r="J331" i="13"/>
  <c r="I331" i="13"/>
  <c r="H331" i="13"/>
  <c r="C331" i="13" s="1"/>
  <c r="G331" i="13"/>
  <c r="F331" i="13"/>
  <c r="E331" i="13"/>
  <c r="D331" i="13"/>
  <c r="M330" i="13"/>
  <c r="L330" i="13"/>
  <c r="K330" i="13"/>
  <c r="J330" i="13"/>
  <c r="I330" i="13"/>
  <c r="H330" i="13"/>
  <c r="C330" i="13" s="1"/>
  <c r="G330" i="13"/>
  <c r="F330" i="13"/>
  <c r="E330" i="13"/>
  <c r="D330" i="13"/>
  <c r="M329" i="13"/>
  <c r="L329" i="13"/>
  <c r="K329" i="13"/>
  <c r="J329" i="13"/>
  <c r="I329" i="13"/>
  <c r="H329" i="13"/>
  <c r="C329" i="13" s="1"/>
  <c r="G329" i="13"/>
  <c r="F329" i="13"/>
  <c r="E329" i="13"/>
  <c r="D329" i="13"/>
  <c r="M328" i="13"/>
  <c r="L328" i="13"/>
  <c r="K328" i="13"/>
  <c r="J328" i="13"/>
  <c r="I328" i="13"/>
  <c r="H328" i="13"/>
  <c r="C328" i="13" s="1"/>
  <c r="G328" i="13"/>
  <c r="F328" i="13"/>
  <c r="E328" i="13"/>
  <c r="D328" i="13"/>
  <c r="M327" i="13"/>
  <c r="L327" i="13"/>
  <c r="K327" i="13"/>
  <c r="J327" i="13"/>
  <c r="I327" i="13"/>
  <c r="H327" i="13"/>
  <c r="C327" i="13" s="1"/>
  <c r="G327" i="13"/>
  <c r="F327" i="13"/>
  <c r="E327" i="13"/>
  <c r="D327" i="13"/>
  <c r="M326" i="13"/>
  <c r="L326" i="13"/>
  <c r="K326" i="13"/>
  <c r="J326" i="13"/>
  <c r="I326" i="13"/>
  <c r="H326" i="13"/>
  <c r="C326" i="13" s="1"/>
  <c r="G326" i="13"/>
  <c r="F326" i="13"/>
  <c r="E326" i="13"/>
  <c r="D326" i="13"/>
  <c r="M325" i="13"/>
  <c r="L325" i="13"/>
  <c r="K325" i="13"/>
  <c r="J325" i="13"/>
  <c r="I325" i="13"/>
  <c r="H325" i="13"/>
  <c r="C325" i="13" s="1"/>
  <c r="G325" i="13"/>
  <c r="F325" i="13"/>
  <c r="E325" i="13"/>
  <c r="D325" i="13"/>
  <c r="M324" i="13"/>
  <c r="L324" i="13"/>
  <c r="K324" i="13"/>
  <c r="J324" i="13"/>
  <c r="I324" i="13"/>
  <c r="H324" i="13"/>
  <c r="C324" i="13" s="1"/>
  <c r="G324" i="13"/>
  <c r="F324" i="13"/>
  <c r="E324" i="13"/>
  <c r="D324" i="13"/>
  <c r="M323" i="13"/>
  <c r="L323" i="13"/>
  <c r="K323" i="13"/>
  <c r="J323" i="13"/>
  <c r="I323" i="13"/>
  <c r="H323" i="13"/>
  <c r="C323" i="13" s="1"/>
  <c r="G323" i="13"/>
  <c r="F323" i="13"/>
  <c r="E323" i="13"/>
  <c r="D323" i="13"/>
  <c r="M322" i="13"/>
  <c r="L322" i="13"/>
  <c r="K322" i="13"/>
  <c r="J322" i="13"/>
  <c r="I322" i="13"/>
  <c r="H322" i="13"/>
  <c r="C322" i="13" s="1"/>
  <c r="G322" i="13"/>
  <c r="F322" i="13"/>
  <c r="E322" i="13"/>
  <c r="D322" i="13"/>
  <c r="M321" i="13"/>
  <c r="L321" i="13"/>
  <c r="K321" i="13"/>
  <c r="J321" i="13"/>
  <c r="I321" i="13"/>
  <c r="H321" i="13"/>
  <c r="C321" i="13" s="1"/>
  <c r="G321" i="13"/>
  <c r="F321" i="13"/>
  <c r="E321" i="13"/>
  <c r="D321" i="13"/>
  <c r="M320" i="13"/>
  <c r="L320" i="13"/>
  <c r="K320" i="13"/>
  <c r="J320" i="13"/>
  <c r="I320" i="13"/>
  <c r="H320" i="13"/>
  <c r="C320" i="13" s="1"/>
  <c r="G320" i="13"/>
  <c r="F320" i="13"/>
  <c r="E320" i="13"/>
  <c r="D320" i="13"/>
  <c r="M319" i="13"/>
  <c r="L319" i="13"/>
  <c r="K319" i="13"/>
  <c r="J319" i="13"/>
  <c r="I319" i="13"/>
  <c r="H319" i="13"/>
  <c r="C319" i="13" s="1"/>
  <c r="G319" i="13"/>
  <c r="F319" i="13"/>
  <c r="E319" i="13"/>
  <c r="D319" i="13"/>
  <c r="M318" i="13"/>
  <c r="L318" i="13"/>
  <c r="K318" i="13"/>
  <c r="J318" i="13"/>
  <c r="I318" i="13"/>
  <c r="H318" i="13"/>
  <c r="C318" i="13" s="1"/>
  <c r="G318" i="13"/>
  <c r="F318" i="13"/>
  <c r="E318" i="13"/>
  <c r="D318" i="13"/>
  <c r="M317" i="13"/>
  <c r="L317" i="13"/>
  <c r="K317" i="13"/>
  <c r="J317" i="13"/>
  <c r="I317" i="13"/>
  <c r="H317" i="13"/>
  <c r="C317" i="13" s="1"/>
  <c r="G317" i="13"/>
  <c r="F317" i="13"/>
  <c r="E317" i="13"/>
  <c r="D317" i="13"/>
  <c r="M316" i="13"/>
  <c r="L316" i="13"/>
  <c r="K316" i="13"/>
  <c r="J316" i="13"/>
  <c r="I316" i="13"/>
  <c r="H316" i="13"/>
  <c r="C316" i="13" s="1"/>
  <c r="G316" i="13"/>
  <c r="F316" i="13"/>
  <c r="E316" i="13"/>
  <c r="D316" i="13"/>
  <c r="M315" i="13"/>
  <c r="L315" i="13"/>
  <c r="K315" i="13"/>
  <c r="J315" i="13"/>
  <c r="I315" i="13"/>
  <c r="H315" i="13"/>
  <c r="C315" i="13" s="1"/>
  <c r="G315" i="13"/>
  <c r="F315" i="13"/>
  <c r="E315" i="13"/>
  <c r="D315" i="13"/>
  <c r="M314" i="13"/>
  <c r="L314" i="13"/>
  <c r="K314" i="13"/>
  <c r="J314" i="13"/>
  <c r="I314" i="13"/>
  <c r="H314" i="13"/>
  <c r="C314" i="13" s="1"/>
  <c r="G314" i="13"/>
  <c r="F314" i="13"/>
  <c r="E314" i="13"/>
  <c r="D314" i="13"/>
  <c r="M313" i="13"/>
  <c r="L313" i="13"/>
  <c r="K313" i="13"/>
  <c r="J313" i="13"/>
  <c r="I313" i="13"/>
  <c r="H313" i="13"/>
  <c r="C313" i="13" s="1"/>
  <c r="G313" i="13"/>
  <c r="F313" i="13"/>
  <c r="E313" i="13"/>
  <c r="D313" i="13"/>
  <c r="M312" i="13"/>
  <c r="L312" i="13"/>
  <c r="K312" i="13"/>
  <c r="J312" i="13"/>
  <c r="I312" i="13"/>
  <c r="H312" i="13"/>
  <c r="C312" i="13" s="1"/>
  <c r="G312" i="13"/>
  <c r="F312" i="13"/>
  <c r="E312" i="13"/>
  <c r="D312" i="13"/>
  <c r="M311" i="13"/>
  <c r="L311" i="13"/>
  <c r="K311" i="13"/>
  <c r="J311" i="13"/>
  <c r="I311" i="13"/>
  <c r="H311" i="13"/>
  <c r="C311" i="13" s="1"/>
  <c r="G311" i="13"/>
  <c r="F311" i="13"/>
  <c r="E311" i="13"/>
  <c r="D311" i="13"/>
  <c r="M310" i="13"/>
  <c r="L310" i="13"/>
  <c r="K310" i="13"/>
  <c r="J310" i="13"/>
  <c r="I310" i="13"/>
  <c r="H310" i="13"/>
  <c r="G310" i="13"/>
  <c r="F310" i="13"/>
  <c r="E310" i="13"/>
  <c r="D310" i="13"/>
  <c r="M309" i="13"/>
  <c r="L309" i="13"/>
  <c r="K309" i="13"/>
  <c r="J309" i="13"/>
  <c r="I309" i="13"/>
  <c r="H309" i="13"/>
  <c r="C309" i="13" s="1"/>
  <c r="G309" i="13"/>
  <c r="F309" i="13"/>
  <c r="E309" i="13"/>
  <c r="D309" i="13"/>
  <c r="M308" i="13"/>
  <c r="L308" i="13"/>
  <c r="K308" i="13"/>
  <c r="J308" i="13"/>
  <c r="I308" i="13"/>
  <c r="H308" i="13"/>
  <c r="C308" i="13" s="1"/>
  <c r="G308" i="13"/>
  <c r="F308" i="13"/>
  <c r="E308" i="13"/>
  <c r="D308" i="13"/>
  <c r="M307" i="13"/>
  <c r="L307" i="13"/>
  <c r="K307" i="13"/>
  <c r="J307" i="13"/>
  <c r="I307" i="13"/>
  <c r="H307" i="13"/>
  <c r="C307" i="13" s="1"/>
  <c r="G307" i="13"/>
  <c r="F307" i="13"/>
  <c r="E307" i="13"/>
  <c r="D307" i="13"/>
  <c r="M306" i="13"/>
  <c r="L306" i="13"/>
  <c r="K306" i="13"/>
  <c r="J306" i="13"/>
  <c r="I306" i="13"/>
  <c r="H306" i="13"/>
  <c r="C306" i="13" s="1"/>
  <c r="G306" i="13"/>
  <c r="F306" i="13"/>
  <c r="E306" i="13"/>
  <c r="D306" i="13"/>
  <c r="M305" i="13"/>
  <c r="L305" i="13"/>
  <c r="K305" i="13"/>
  <c r="J305" i="13"/>
  <c r="I305" i="13"/>
  <c r="H305" i="13"/>
  <c r="C305" i="13" s="1"/>
  <c r="G305" i="13"/>
  <c r="F305" i="13"/>
  <c r="E305" i="13"/>
  <c r="D305" i="13"/>
  <c r="M304" i="13"/>
  <c r="L304" i="13"/>
  <c r="K304" i="13"/>
  <c r="J304" i="13"/>
  <c r="I304" i="13"/>
  <c r="H304" i="13"/>
  <c r="C304" i="13" s="1"/>
  <c r="G304" i="13"/>
  <c r="F304" i="13"/>
  <c r="E304" i="13"/>
  <c r="D304" i="13"/>
  <c r="M303" i="13"/>
  <c r="L303" i="13"/>
  <c r="K303" i="13"/>
  <c r="J303" i="13"/>
  <c r="I303" i="13"/>
  <c r="H303" i="13"/>
  <c r="C303" i="13" s="1"/>
  <c r="G303" i="13"/>
  <c r="F303" i="13"/>
  <c r="E303" i="13"/>
  <c r="D303" i="13"/>
  <c r="M302" i="13"/>
  <c r="L302" i="13"/>
  <c r="K302" i="13"/>
  <c r="J302" i="13"/>
  <c r="I302" i="13"/>
  <c r="H302" i="13"/>
  <c r="C302" i="13" s="1"/>
  <c r="G302" i="13"/>
  <c r="F302" i="13"/>
  <c r="E302" i="13"/>
  <c r="D302" i="13"/>
  <c r="M301" i="13"/>
  <c r="L301" i="13"/>
  <c r="K301" i="13"/>
  <c r="J301" i="13"/>
  <c r="I301" i="13"/>
  <c r="H301" i="13"/>
  <c r="C301" i="13" s="1"/>
  <c r="G301" i="13"/>
  <c r="F301" i="13"/>
  <c r="E301" i="13"/>
  <c r="D301" i="13"/>
  <c r="M300" i="13"/>
  <c r="L300" i="13"/>
  <c r="K300" i="13"/>
  <c r="J300" i="13"/>
  <c r="I300" i="13"/>
  <c r="H300" i="13"/>
  <c r="C300" i="13" s="1"/>
  <c r="G300" i="13"/>
  <c r="F300" i="13"/>
  <c r="E300" i="13"/>
  <c r="D300" i="13"/>
  <c r="M299" i="13"/>
  <c r="L299" i="13"/>
  <c r="K299" i="13"/>
  <c r="J299" i="13"/>
  <c r="I299" i="13"/>
  <c r="H299" i="13"/>
  <c r="C299" i="13" s="1"/>
  <c r="G299" i="13"/>
  <c r="F299" i="13"/>
  <c r="E299" i="13"/>
  <c r="D299" i="13"/>
  <c r="M298" i="13"/>
  <c r="L298" i="13"/>
  <c r="K298" i="13"/>
  <c r="J298" i="13"/>
  <c r="I298" i="13"/>
  <c r="H298" i="13"/>
  <c r="C298" i="13" s="1"/>
  <c r="G298" i="13"/>
  <c r="F298" i="13"/>
  <c r="E298" i="13"/>
  <c r="D298" i="13"/>
  <c r="M297" i="13"/>
  <c r="L297" i="13"/>
  <c r="K297" i="13"/>
  <c r="J297" i="13"/>
  <c r="I297" i="13"/>
  <c r="H297" i="13"/>
  <c r="C297" i="13" s="1"/>
  <c r="G297" i="13"/>
  <c r="F297" i="13"/>
  <c r="E297" i="13"/>
  <c r="D297" i="13"/>
  <c r="M296" i="13"/>
  <c r="L296" i="13"/>
  <c r="K296" i="13"/>
  <c r="J296" i="13"/>
  <c r="I296" i="13"/>
  <c r="H296" i="13"/>
  <c r="C296" i="13" s="1"/>
  <c r="G296" i="13"/>
  <c r="F296" i="13"/>
  <c r="E296" i="13"/>
  <c r="D296" i="13"/>
  <c r="M295" i="13"/>
  <c r="L295" i="13"/>
  <c r="K295" i="13"/>
  <c r="J295" i="13"/>
  <c r="I295" i="13"/>
  <c r="H295" i="13"/>
  <c r="C295" i="13" s="1"/>
  <c r="G295" i="13"/>
  <c r="F295" i="13"/>
  <c r="E295" i="13"/>
  <c r="D295" i="13"/>
  <c r="M294" i="13"/>
  <c r="L294" i="13"/>
  <c r="K294" i="13"/>
  <c r="J294" i="13"/>
  <c r="I294" i="13"/>
  <c r="H294" i="13"/>
  <c r="C294" i="13" s="1"/>
  <c r="G294" i="13"/>
  <c r="F294" i="13"/>
  <c r="E294" i="13"/>
  <c r="D294" i="13"/>
  <c r="M293" i="13"/>
  <c r="L293" i="13"/>
  <c r="K293" i="13"/>
  <c r="J293" i="13"/>
  <c r="I293" i="13"/>
  <c r="H293" i="13"/>
  <c r="C293" i="13" s="1"/>
  <c r="G293" i="13"/>
  <c r="F293" i="13"/>
  <c r="E293" i="13"/>
  <c r="D293" i="13"/>
  <c r="M292" i="13"/>
  <c r="L292" i="13"/>
  <c r="K292" i="13"/>
  <c r="J292" i="13"/>
  <c r="I292" i="13"/>
  <c r="H292" i="13"/>
  <c r="C292" i="13" s="1"/>
  <c r="G292" i="13"/>
  <c r="F292" i="13"/>
  <c r="E292" i="13"/>
  <c r="D292" i="13"/>
  <c r="M291" i="13"/>
  <c r="L291" i="13"/>
  <c r="K291" i="13"/>
  <c r="J291" i="13"/>
  <c r="I291" i="13"/>
  <c r="H291" i="13"/>
  <c r="C291" i="13" s="1"/>
  <c r="G291" i="13"/>
  <c r="F291" i="13"/>
  <c r="E291" i="13"/>
  <c r="D291" i="13"/>
  <c r="M290" i="13"/>
  <c r="L290" i="13"/>
  <c r="K290" i="13"/>
  <c r="J290" i="13"/>
  <c r="I290" i="13"/>
  <c r="H290" i="13"/>
  <c r="C290" i="13" s="1"/>
  <c r="G290" i="13"/>
  <c r="F290" i="13"/>
  <c r="E290" i="13"/>
  <c r="D290" i="13"/>
  <c r="M289" i="13"/>
  <c r="L289" i="13"/>
  <c r="K289" i="13"/>
  <c r="J289" i="13"/>
  <c r="I289" i="13"/>
  <c r="H289" i="13"/>
  <c r="C289" i="13" s="1"/>
  <c r="G289" i="13"/>
  <c r="F289" i="13"/>
  <c r="E289" i="13"/>
  <c r="D289" i="13"/>
  <c r="M288" i="13"/>
  <c r="L288" i="13"/>
  <c r="K288" i="13"/>
  <c r="J288" i="13"/>
  <c r="I288" i="13"/>
  <c r="H288" i="13"/>
  <c r="C288" i="13" s="1"/>
  <c r="G288" i="13"/>
  <c r="F288" i="13"/>
  <c r="E288" i="13"/>
  <c r="D288" i="13"/>
  <c r="M287" i="13"/>
  <c r="L287" i="13"/>
  <c r="K287" i="13"/>
  <c r="J287" i="13"/>
  <c r="I287" i="13"/>
  <c r="H287" i="13"/>
  <c r="C287" i="13" s="1"/>
  <c r="G287" i="13"/>
  <c r="F287" i="13"/>
  <c r="E287" i="13"/>
  <c r="D287" i="13"/>
  <c r="M286" i="13"/>
  <c r="L286" i="13"/>
  <c r="K286" i="13"/>
  <c r="J286" i="13"/>
  <c r="I286" i="13"/>
  <c r="H286" i="13"/>
  <c r="C286" i="13" s="1"/>
  <c r="G286" i="13"/>
  <c r="F286" i="13"/>
  <c r="E286" i="13"/>
  <c r="D286" i="13"/>
  <c r="M285" i="13"/>
  <c r="L285" i="13"/>
  <c r="K285" i="13"/>
  <c r="J285" i="13"/>
  <c r="I285" i="13"/>
  <c r="H285" i="13"/>
  <c r="C285" i="13" s="1"/>
  <c r="G285" i="13"/>
  <c r="F285" i="13"/>
  <c r="E285" i="13"/>
  <c r="D285" i="13"/>
  <c r="M284" i="13"/>
  <c r="L284" i="13"/>
  <c r="K284" i="13"/>
  <c r="J284" i="13"/>
  <c r="I284" i="13"/>
  <c r="H284" i="13"/>
  <c r="C284" i="13" s="1"/>
  <c r="G284" i="13"/>
  <c r="F284" i="13"/>
  <c r="E284" i="13"/>
  <c r="D284" i="13"/>
  <c r="M283" i="13"/>
  <c r="L283" i="13"/>
  <c r="K283" i="13"/>
  <c r="J283" i="13"/>
  <c r="I283" i="13"/>
  <c r="H283" i="13"/>
  <c r="C283" i="13" s="1"/>
  <c r="G283" i="13"/>
  <c r="F283" i="13"/>
  <c r="E283" i="13"/>
  <c r="D283" i="13"/>
  <c r="M282" i="13"/>
  <c r="L282" i="13"/>
  <c r="K282" i="13"/>
  <c r="J282" i="13"/>
  <c r="I282" i="13"/>
  <c r="H282" i="13"/>
  <c r="C282" i="13" s="1"/>
  <c r="G282" i="13"/>
  <c r="F282" i="13"/>
  <c r="E282" i="13"/>
  <c r="D282" i="13"/>
  <c r="M281" i="13"/>
  <c r="L281" i="13"/>
  <c r="K281" i="13"/>
  <c r="J281" i="13"/>
  <c r="I281" i="13"/>
  <c r="H281" i="13"/>
  <c r="C281" i="13" s="1"/>
  <c r="G281" i="13"/>
  <c r="F281" i="13"/>
  <c r="E281" i="13"/>
  <c r="D281" i="13"/>
  <c r="M280" i="13"/>
  <c r="L280" i="13"/>
  <c r="K280" i="13"/>
  <c r="J280" i="13"/>
  <c r="I280" i="13"/>
  <c r="H280" i="13"/>
  <c r="C280" i="13" s="1"/>
  <c r="G280" i="13"/>
  <c r="F280" i="13"/>
  <c r="E280" i="13"/>
  <c r="D280" i="13"/>
  <c r="M279" i="13"/>
  <c r="L279" i="13"/>
  <c r="K279" i="13"/>
  <c r="J279" i="13"/>
  <c r="I279" i="13"/>
  <c r="H279" i="13"/>
  <c r="G279" i="13"/>
  <c r="F279" i="13"/>
  <c r="E279" i="13"/>
  <c r="D279" i="13"/>
  <c r="M278" i="13"/>
  <c r="L278" i="13"/>
  <c r="K278" i="13"/>
  <c r="J278" i="13"/>
  <c r="I278" i="13"/>
  <c r="H278" i="13"/>
  <c r="C278" i="13" s="1"/>
  <c r="G278" i="13"/>
  <c r="F278" i="13"/>
  <c r="E278" i="13"/>
  <c r="D278" i="13"/>
  <c r="M277" i="13"/>
  <c r="L277" i="13"/>
  <c r="K277" i="13"/>
  <c r="J277" i="13"/>
  <c r="I277" i="13"/>
  <c r="H277" i="13"/>
  <c r="C277" i="13" s="1"/>
  <c r="G277" i="13"/>
  <c r="F277" i="13"/>
  <c r="E277" i="13"/>
  <c r="D277" i="13"/>
  <c r="M276" i="13"/>
  <c r="L276" i="13"/>
  <c r="K276" i="13"/>
  <c r="J276" i="13"/>
  <c r="I276" i="13"/>
  <c r="H276" i="13"/>
  <c r="C276" i="13" s="1"/>
  <c r="G276" i="13"/>
  <c r="F276" i="13"/>
  <c r="E276" i="13"/>
  <c r="D276" i="13"/>
  <c r="M275" i="13"/>
  <c r="L275" i="13"/>
  <c r="K275" i="13"/>
  <c r="J275" i="13"/>
  <c r="I275" i="13"/>
  <c r="H275" i="13"/>
  <c r="C275" i="13" s="1"/>
  <c r="G275" i="13"/>
  <c r="F275" i="13"/>
  <c r="E275" i="13"/>
  <c r="D275" i="13"/>
  <c r="M274" i="13"/>
  <c r="L274" i="13"/>
  <c r="K274" i="13"/>
  <c r="J274" i="13"/>
  <c r="I274" i="13"/>
  <c r="H274" i="13"/>
  <c r="C274" i="13" s="1"/>
  <c r="G274" i="13"/>
  <c r="F274" i="13"/>
  <c r="E274" i="13"/>
  <c r="D274" i="13"/>
  <c r="M273" i="13"/>
  <c r="L273" i="13"/>
  <c r="K273" i="13"/>
  <c r="J273" i="13"/>
  <c r="I273" i="13"/>
  <c r="H273" i="13"/>
  <c r="C273" i="13" s="1"/>
  <c r="G273" i="13"/>
  <c r="F273" i="13"/>
  <c r="E273" i="13"/>
  <c r="D273" i="13"/>
  <c r="M272" i="13"/>
  <c r="L272" i="13"/>
  <c r="K272" i="13"/>
  <c r="J272" i="13"/>
  <c r="I272" i="13"/>
  <c r="H272" i="13"/>
  <c r="C272" i="13" s="1"/>
  <c r="G272" i="13"/>
  <c r="F272" i="13"/>
  <c r="E272" i="13"/>
  <c r="D272" i="13"/>
  <c r="M271" i="13"/>
  <c r="L271" i="13"/>
  <c r="K271" i="13"/>
  <c r="J271" i="13"/>
  <c r="I271" i="13"/>
  <c r="H271" i="13"/>
  <c r="C271" i="13" s="1"/>
  <c r="G271" i="13"/>
  <c r="F271" i="13"/>
  <c r="E271" i="13"/>
  <c r="D271" i="13"/>
  <c r="M270" i="13"/>
  <c r="L270" i="13"/>
  <c r="K270" i="13"/>
  <c r="J270" i="13"/>
  <c r="I270" i="13"/>
  <c r="H270" i="13"/>
  <c r="C270" i="13" s="1"/>
  <c r="G270" i="13"/>
  <c r="F270" i="13"/>
  <c r="E270" i="13"/>
  <c r="D270" i="13"/>
  <c r="M269" i="13"/>
  <c r="L269" i="13"/>
  <c r="K269" i="13"/>
  <c r="J269" i="13"/>
  <c r="I269" i="13"/>
  <c r="H269" i="13"/>
  <c r="C269" i="13" s="1"/>
  <c r="G269" i="13"/>
  <c r="F269" i="13"/>
  <c r="E269" i="13"/>
  <c r="D269" i="13"/>
  <c r="M268" i="13"/>
  <c r="L268" i="13"/>
  <c r="K268" i="13"/>
  <c r="J268" i="13"/>
  <c r="I268" i="13"/>
  <c r="H268" i="13"/>
  <c r="C268" i="13" s="1"/>
  <c r="G268" i="13"/>
  <c r="F268" i="13"/>
  <c r="E268" i="13"/>
  <c r="D268" i="13"/>
  <c r="M267" i="13"/>
  <c r="L267" i="13"/>
  <c r="K267" i="13"/>
  <c r="J267" i="13"/>
  <c r="I267" i="13"/>
  <c r="H267" i="13"/>
  <c r="C267" i="13" s="1"/>
  <c r="G267" i="13"/>
  <c r="F267" i="13"/>
  <c r="E267" i="13"/>
  <c r="D267" i="13"/>
  <c r="M266" i="13"/>
  <c r="L266" i="13"/>
  <c r="K266" i="13"/>
  <c r="J266" i="13"/>
  <c r="I266" i="13"/>
  <c r="H266" i="13"/>
  <c r="C266" i="13" s="1"/>
  <c r="G266" i="13"/>
  <c r="F266" i="13"/>
  <c r="E266" i="13"/>
  <c r="D266" i="13"/>
  <c r="M265" i="13"/>
  <c r="L265" i="13"/>
  <c r="K265" i="13"/>
  <c r="J265" i="13"/>
  <c r="I265" i="13"/>
  <c r="H265" i="13"/>
  <c r="C265" i="13" s="1"/>
  <c r="G265" i="13"/>
  <c r="F265" i="13"/>
  <c r="E265" i="13"/>
  <c r="D265" i="13"/>
  <c r="M264" i="13"/>
  <c r="L264" i="13"/>
  <c r="K264" i="13"/>
  <c r="J264" i="13"/>
  <c r="I264" i="13"/>
  <c r="H264" i="13"/>
  <c r="C264" i="13" s="1"/>
  <c r="G264" i="13"/>
  <c r="F264" i="13"/>
  <c r="E264" i="13"/>
  <c r="D264" i="13"/>
  <c r="M263" i="13"/>
  <c r="L263" i="13"/>
  <c r="K263" i="13"/>
  <c r="J263" i="13"/>
  <c r="I263" i="13"/>
  <c r="H263" i="13"/>
  <c r="C263" i="13" s="1"/>
  <c r="G263" i="13"/>
  <c r="F263" i="13"/>
  <c r="E263" i="13"/>
  <c r="D263" i="13"/>
  <c r="M262" i="13"/>
  <c r="L262" i="13"/>
  <c r="K262" i="13"/>
  <c r="J262" i="13"/>
  <c r="I262" i="13"/>
  <c r="H262" i="13"/>
  <c r="C262" i="13" s="1"/>
  <c r="G262" i="13"/>
  <c r="F262" i="13"/>
  <c r="E262" i="13"/>
  <c r="D262" i="13"/>
  <c r="M261" i="13"/>
  <c r="L261" i="13"/>
  <c r="K261" i="13"/>
  <c r="J261" i="13"/>
  <c r="I261" i="13"/>
  <c r="H261" i="13"/>
  <c r="C261" i="13" s="1"/>
  <c r="G261" i="13"/>
  <c r="F261" i="13"/>
  <c r="E261" i="13"/>
  <c r="D261" i="13"/>
  <c r="M260" i="13"/>
  <c r="L260" i="13"/>
  <c r="K260" i="13"/>
  <c r="J260" i="13"/>
  <c r="I260" i="13"/>
  <c r="H260" i="13"/>
  <c r="C260" i="13" s="1"/>
  <c r="G260" i="13"/>
  <c r="F260" i="13"/>
  <c r="E260" i="13"/>
  <c r="D260" i="13"/>
  <c r="M259" i="13"/>
  <c r="L259" i="13"/>
  <c r="K259" i="13"/>
  <c r="J259" i="13"/>
  <c r="I259" i="13"/>
  <c r="H259" i="13"/>
  <c r="C259" i="13" s="1"/>
  <c r="G259" i="13"/>
  <c r="F259" i="13"/>
  <c r="E259" i="13"/>
  <c r="D259" i="13"/>
  <c r="M258" i="13"/>
  <c r="L258" i="13"/>
  <c r="K258" i="13"/>
  <c r="J258" i="13"/>
  <c r="I258" i="13"/>
  <c r="H258" i="13"/>
  <c r="C258" i="13" s="1"/>
  <c r="G258" i="13"/>
  <c r="F258" i="13"/>
  <c r="E258" i="13"/>
  <c r="D258" i="13"/>
  <c r="M257" i="13"/>
  <c r="L257" i="13"/>
  <c r="K257" i="13"/>
  <c r="J257" i="13"/>
  <c r="I257" i="13"/>
  <c r="H257" i="13"/>
  <c r="C257" i="13" s="1"/>
  <c r="G257" i="13"/>
  <c r="F257" i="13"/>
  <c r="E257" i="13"/>
  <c r="D257" i="13"/>
  <c r="M256" i="13"/>
  <c r="L256" i="13"/>
  <c r="K256" i="13"/>
  <c r="J256" i="13"/>
  <c r="I256" i="13"/>
  <c r="H256" i="13"/>
  <c r="C256" i="13" s="1"/>
  <c r="G256" i="13"/>
  <c r="F256" i="13"/>
  <c r="E256" i="13"/>
  <c r="D256" i="13"/>
  <c r="M255" i="13"/>
  <c r="L255" i="13"/>
  <c r="K255" i="13"/>
  <c r="J255" i="13"/>
  <c r="I255" i="13"/>
  <c r="H255" i="13"/>
  <c r="C255" i="13" s="1"/>
  <c r="G255" i="13"/>
  <c r="F255" i="13"/>
  <c r="E255" i="13"/>
  <c r="D255" i="13"/>
  <c r="M254" i="13"/>
  <c r="L254" i="13"/>
  <c r="K254" i="13"/>
  <c r="J254" i="13"/>
  <c r="I254" i="13"/>
  <c r="H254" i="13"/>
  <c r="C254" i="13" s="1"/>
  <c r="G254" i="13"/>
  <c r="F254" i="13"/>
  <c r="E254" i="13"/>
  <c r="D254" i="13"/>
  <c r="M253" i="13"/>
  <c r="L253" i="13"/>
  <c r="K253" i="13"/>
  <c r="J253" i="13"/>
  <c r="I253" i="13"/>
  <c r="H253" i="13"/>
  <c r="C253" i="13" s="1"/>
  <c r="G253" i="13"/>
  <c r="F253" i="13"/>
  <c r="E253" i="13"/>
  <c r="D253" i="13"/>
  <c r="M252" i="13"/>
  <c r="L252" i="13"/>
  <c r="K252" i="13"/>
  <c r="J252" i="13"/>
  <c r="I252" i="13"/>
  <c r="H252" i="13"/>
  <c r="C252" i="13" s="1"/>
  <c r="G252" i="13"/>
  <c r="F252" i="13"/>
  <c r="E252" i="13"/>
  <c r="D252" i="13"/>
  <c r="M251" i="13"/>
  <c r="L251" i="13"/>
  <c r="K251" i="13"/>
  <c r="J251" i="13"/>
  <c r="I251" i="13"/>
  <c r="H251" i="13"/>
  <c r="C251" i="13" s="1"/>
  <c r="G251" i="13"/>
  <c r="F251" i="13"/>
  <c r="E251" i="13"/>
  <c r="D251" i="13"/>
  <c r="M250" i="13"/>
  <c r="L250" i="13"/>
  <c r="K250" i="13"/>
  <c r="J250" i="13"/>
  <c r="I250" i="13"/>
  <c r="H250" i="13"/>
  <c r="C250" i="13" s="1"/>
  <c r="G250" i="13"/>
  <c r="F250" i="13"/>
  <c r="E250" i="13"/>
  <c r="D250" i="13"/>
  <c r="M249" i="13"/>
  <c r="L249" i="13"/>
  <c r="K249" i="13"/>
  <c r="J249" i="13"/>
  <c r="I249" i="13"/>
  <c r="H249" i="13"/>
  <c r="G249" i="13"/>
  <c r="F249" i="13"/>
  <c r="E249" i="13"/>
  <c r="D249" i="13"/>
  <c r="M248" i="13"/>
  <c r="L248" i="13"/>
  <c r="K248" i="13"/>
  <c r="J248" i="13"/>
  <c r="I248" i="13"/>
  <c r="H248" i="13"/>
  <c r="C248" i="13" s="1"/>
  <c r="G248" i="13"/>
  <c r="F248" i="13"/>
  <c r="E248" i="13"/>
  <c r="D248" i="13"/>
  <c r="M247" i="13"/>
  <c r="L247" i="13"/>
  <c r="K247" i="13"/>
  <c r="J247" i="13"/>
  <c r="I247" i="13"/>
  <c r="H247" i="13"/>
  <c r="C247" i="13" s="1"/>
  <c r="G247" i="13"/>
  <c r="F247" i="13"/>
  <c r="E247" i="13"/>
  <c r="D247" i="13"/>
  <c r="M246" i="13"/>
  <c r="L246" i="13"/>
  <c r="K246" i="13"/>
  <c r="J246" i="13"/>
  <c r="I246" i="13"/>
  <c r="H246" i="13"/>
  <c r="C246" i="13" s="1"/>
  <c r="G246" i="13"/>
  <c r="F246" i="13"/>
  <c r="E246" i="13"/>
  <c r="D246" i="13"/>
  <c r="M245" i="13"/>
  <c r="L245" i="13"/>
  <c r="K245" i="13"/>
  <c r="J245" i="13"/>
  <c r="I245" i="13"/>
  <c r="H245" i="13"/>
  <c r="C245" i="13" s="1"/>
  <c r="G245" i="13"/>
  <c r="F245" i="13"/>
  <c r="E245" i="13"/>
  <c r="D245" i="13"/>
  <c r="M244" i="13"/>
  <c r="L244" i="13"/>
  <c r="K244" i="13"/>
  <c r="J244" i="13"/>
  <c r="I244" i="13"/>
  <c r="H244" i="13"/>
  <c r="C244" i="13" s="1"/>
  <c r="G244" i="13"/>
  <c r="F244" i="13"/>
  <c r="E244" i="13"/>
  <c r="D244" i="13"/>
  <c r="M243" i="13"/>
  <c r="L243" i="13"/>
  <c r="K243" i="13"/>
  <c r="J243" i="13"/>
  <c r="I243" i="13"/>
  <c r="H243" i="13"/>
  <c r="C243" i="13" s="1"/>
  <c r="G243" i="13"/>
  <c r="F243" i="13"/>
  <c r="E243" i="13"/>
  <c r="D243" i="13"/>
  <c r="M242" i="13"/>
  <c r="L242" i="13"/>
  <c r="K242" i="13"/>
  <c r="J242" i="13"/>
  <c r="I242" i="13"/>
  <c r="H242" i="13"/>
  <c r="C242" i="13" s="1"/>
  <c r="G242" i="13"/>
  <c r="F242" i="13"/>
  <c r="E242" i="13"/>
  <c r="D242" i="13"/>
  <c r="M241" i="13"/>
  <c r="L241" i="13"/>
  <c r="K241" i="13"/>
  <c r="J241" i="13"/>
  <c r="I241" i="13"/>
  <c r="H241" i="13"/>
  <c r="C241" i="13" s="1"/>
  <c r="G241" i="13"/>
  <c r="F241" i="13"/>
  <c r="E241" i="13"/>
  <c r="D241" i="13"/>
  <c r="M240" i="13"/>
  <c r="L240" i="13"/>
  <c r="K240" i="13"/>
  <c r="J240" i="13"/>
  <c r="I240" i="13"/>
  <c r="H240" i="13"/>
  <c r="C240" i="13" s="1"/>
  <c r="G240" i="13"/>
  <c r="F240" i="13"/>
  <c r="E240" i="13"/>
  <c r="D240" i="13"/>
  <c r="M239" i="13"/>
  <c r="L239" i="13"/>
  <c r="K239" i="13"/>
  <c r="J239" i="13"/>
  <c r="I239" i="13"/>
  <c r="H239" i="13"/>
  <c r="C239" i="13" s="1"/>
  <c r="G239" i="13"/>
  <c r="F239" i="13"/>
  <c r="E239" i="13"/>
  <c r="D239" i="13"/>
  <c r="M238" i="13"/>
  <c r="L238" i="13"/>
  <c r="K238" i="13"/>
  <c r="J238" i="13"/>
  <c r="I238" i="13"/>
  <c r="H238" i="13"/>
  <c r="C238" i="13" s="1"/>
  <c r="G238" i="13"/>
  <c r="F238" i="13"/>
  <c r="E238" i="13"/>
  <c r="D238" i="13"/>
  <c r="M237" i="13"/>
  <c r="L237" i="13"/>
  <c r="K237" i="13"/>
  <c r="J237" i="13"/>
  <c r="I237" i="13"/>
  <c r="H237" i="13"/>
  <c r="C237" i="13" s="1"/>
  <c r="G237" i="13"/>
  <c r="F237" i="13"/>
  <c r="E237" i="13"/>
  <c r="D237" i="13"/>
  <c r="M236" i="13"/>
  <c r="L236" i="13"/>
  <c r="K236" i="13"/>
  <c r="J236" i="13"/>
  <c r="I236" i="13"/>
  <c r="H236" i="13"/>
  <c r="C236" i="13" s="1"/>
  <c r="G236" i="13"/>
  <c r="F236" i="13"/>
  <c r="E236" i="13"/>
  <c r="D236" i="13"/>
  <c r="M235" i="13"/>
  <c r="L235" i="13"/>
  <c r="K235" i="13"/>
  <c r="J235" i="13"/>
  <c r="I235" i="13"/>
  <c r="H235" i="13"/>
  <c r="C235" i="13" s="1"/>
  <c r="G235" i="13"/>
  <c r="F235" i="13"/>
  <c r="E235" i="13"/>
  <c r="D235" i="13"/>
  <c r="M234" i="13"/>
  <c r="L234" i="13"/>
  <c r="K234" i="13"/>
  <c r="J234" i="13"/>
  <c r="I234" i="13"/>
  <c r="H234" i="13"/>
  <c r="C234" i="13" s="1"/>
  <c r="G234" i="13"/>
  <c r="F234" i="13"/>
  <c r="E234" i="13"/>
  <c r="D234" i="13"/>
  <c r="M233" i="13"/>
  <c r="L233" i="13"/>
  <c r="K233" i="13"/>
  <c r="J233" i="13"/>
  <c r="I233" i="13"/>
  <c r="H233" i="13"/>
  <c r="C233" i="13" s="1"/>
  <c r="G233" i="13"/>
  <c r="F233" i="13"/>
  <c r="E233" i="13"/>
  <c r="D233" i="13"/>
  <c r="M232" i="13"/>
  <c r="L232" i="13"/>
  <c r="K232" i="13"/>
  <c r="J232" i="13"/>
  <c r="I232" i="13"/>
  <c r="H232" i="13"/>
  <c r="C232" i="13" s="1"/>
  <c r="G232" i="13"/>
  <c r="F232" i="13"/>
  <c r="E232" i="13"/>
  <c r="D232" i="13"/>
  <c r="M231" i="13"/>
  <c r="L231" i="13"/>
  <c r="K231" i="13"/>
  <c r="J231" i="13"/>
  <c r="I231" i="13"/>
  <c r="H231" i="13"/>
  <c r="C231" i="13" s="1"/>
  <c r="G231" i="13"/>
  <c r="F231" i="13"/>
  <c r="E231" i="13"/>
  <c r="D231" i="13"/>
  <c r="M230" i="13"/>
  <c r="L230" i="13"/>
  <c r="K230" i="13"/>
  <c r="J230" i="13"/>
  <c r="I230" i="13"/>
  <c r="H230" i="13"/>
  <c r="C230" i="13" s="1"/>
  <c r="G230" i="13"/>
  <c r="F230" i="13"/>
  <c r="E230" i="13"/>
  <c r="D230" i="13"/>
  <c r="M229" i="13"/>
  <c r="L229" i="13"/>
  <c r="K229" i="13"/>
  <c r="J229" i="13"/>
  <c r="I229" i="13"/>
  <c r="H229" i="13"/>
  <c r="C229" i="13" s="1"/>
  <c r="G229" i="13"/>
  <c r="F229" i="13"/>
  <c r="E229" i="13"/>
  <c r="D229" i="13"/>
  <c r="M228" i="13"/>
  <c r="L228" i="13"/>
  <c r="K228" i="13"/>
  <c r="J228" i="13"/>
  <c r="I228" i="13"/>
  <c r="H228" i="13"/>
  <c r="C228" i="13" s="1"/>
  <c r="G228" i="13"/>
  <c r="F228" i="13"/>
  <c r="E228" i="13"/>
  <c r="D228" i="13"/>
  <c r="M227" i="13"/>
  <c r="L227" i="13"/>
  <c r="K227" i="13"/>
  <c r="J227" i="13"/>
  <c r="I227" i="13"/>
  <c r="H227" i="13"/>
  <c r="C227" i="13" s="1"/>
  <c r="G227" i="13"/>
  <c r="F227" i="13"/>
  <c r="E227" i="13"/>
  <c r="D227" i="13"/>
  <c r="M226" i="13"/>
  <c r="L226" i="13"/>
  <c r="K226" i="13"/>
  <c r="J226" i="13"/>
  <c r="I226" i="13"/>
  <c r="H226" i="13"/>
  <c r="C226" i="13" s="1"/>
  <c r="G226" i="13"/>
  <c r="F226" i="13"/>
  <c r="E226" i="13"/>
  <c r="D226" i="13"/>
  <c r="M225" i="13"/>
  <c r="L225" i="13"/>
  <c r="K225" i="13"/>
  <c r="J225" i="13"/>
  <c r="I225" i="13"/>
  <c r="H225" i="13"/>
  <c r="C225" i="13" s="1"/>
  <c r="G225" i="13"/>
  <c r="F225" i="13"/>
  <c r="E225" i="13"/>
  <c r="D225" i="13"/>
  <c r="M224" i="13"/>
  <c r="L224" i="13"/>
  <c r="K224" i="13"/>
  <c r="J224" i="13"/>
  <c r="I224" i="13"/>
  <c r="H224" i="13"/>
  <c r="C224" i="13" s="1"/>
  <c r="G224" i="13"/>
  <c r="F224" i="13"/>
  <c r="E224" i="13"/>
  <c r="D224" i="13"/>
  <c r="M223" i="13"/>
  <c r="L223" i="13"/>
  <c r="K223" i="13"/>
  <c r="J223" i="13"/>
  <c r="I223" i="13"/>
  <c r="H223" i="13"/>
  <c r="C223" i="13" s="1"/>
  <c r="G223" i="13"/>
  <c r="F223" i="13"/>
  <c r="E223" i="13"/>
  <c r="D223" i="13"/>
  <c r="M222" i="13"/>
  <c r="L222" i="13"/>
  <c r="K222" i="13"/>
  <c r="J222" i="13"/>
  <c r="I222" i="13"/>
  <c r="H222" i="13"/>
  <c r="C222" i="13" s="1"/>
  <c r="G222" i="13"/>
  <c r="F222" i="13"/>
  <c r="E222" i="13"/>
  <c r="D222" i="13"/>
  <c r="M221" i="13"/>
  <c r="L221" i="13"/>
  <c r="K221" i="13"/>
  <c r="J221" i="13"/>
  <c r="I221" i="13"/>
  <c r="H221" i="13"/>
  <c r="C221" i="13" s="1"/>
  <c r="G221" i="13"/>
  <c r="F221" i="13"/>
  <c r="E221" i="13"/>
  <c r="D221" i="13"/>
  <c r="M220" i="13"/>
  <c r="L220" i="13"/>
  <c r="K220" i="13"/>
  <c r="J220" i="13"/>
  <c r="I220" i="13"/>
  <c r="H220" i="13"/>
  <c r="C220" i="13" s="1"/>
  <c r="G220" i="13"/>
  <c r="F220" i="13"/>
  <c r="E220" i="13"/>
  <c r="D220" i="13"/>
  <c r="M219" i="13"/>
  <c r="L219" i="13"/>
  <c r="K219" i="13"/>
  <c r="J219" i="13"/>
  <c r="I219" i="13"/>
  <c r="H219" i="13"/>
  <c r="C219" i="13" s="1"/>
  <c r="G219" i="13"/>
  <c r="F219" i="13"/>
  <c r="E219" i="13"/>
  <c r="D219" i="13"/>
  <c r="M218" i="13"/>
  <c r="L218" i="13"/>
  <c r="K218" i="13"/>
  <c r="J218" i="13"/>
  <c r="I218" i="13"/>
  <c r="H218" i="13"/>
  <c r="G218" i="13"/>
  <c r="F218" i="13"/>
  <c r="E218" i="13"/>
  <c r="D218" i="13"/>
  <c r="M217" i="13"/>
  <c r="L217" i="13"/>
  <c r="K217" i="13"/>
  <c r="J217" i="13"/>
  <c r="I217" i="13"/>
  <c r="H217" i="13"/>
  <c r="C217" i="13" s="1"/>
  <c r="G217" i="13"/>
  <c r="F217" i="13"/>
  <c r="E217" i="13"/>
  <c r="D217" i="13"/>
  <c r="M216" i="13"/>
  <c r="L216" i="13"/>
  <c r="K216" i="13"/>
  <c r="J216" i="13"/>
  <c r="I216" i="13"/>
  <c r="H216" i="13"/>
  <c r="C216" i="13" s="1"/>
  <c r="G216" i="13"/>
  <c r="F216" i="13"/>
  <c r="E216" i="13"/>
  <c r="D216" i="13"/>
  <c r="M215" i="13"/>
  <c r="L215" i="13"/>
  <c r="K215" i="13"/>
  <c r="J215" i="13"/>
  <c r="I215" i="13"/>
  <c r="H215" i="13"/>
  <c r="C215" i="13" s="1"/>
  <c r="G215" i="13"/>
  <c r="F215" i="13"/>
  <c r="E215" i="13"/>
  <c r="D215" i="13"/>
  <c r="M214" i="13"/>
  <c r="L214" i="13"/>
  <c r="K214" i="13"/>
  <c r="J214" i="13"/>
  <c r="I214" i="13"/>
  <c r="H214" i="13"/>
  <c r="C214" i="13" s="1"/>
  <c r="G214" i="13"/>
  <c r="F214" i="13"/>
  <c r="E214" i="13"/>
  <c r="D214" i="13"/>
  <c r="M213" i="13"/>
  <c r="L213" i="13"/>
  <c r="K213" i="13"/>
  <c r="J213" i="13"/>
  <c r="I213" i="13"/>
  <c r="H213" i="13"/>
  <c r="C213" i="13" s="1"/>
  <c r="G213" i="13"/>
  <c r="F213" i="13"/>
  <c r="E213" i="13"/>
  <c r="D213" i="13"/>
  <c r="M212" i="13"/>
  <c r="L212" i="13"/>
  <c r="K212" i="13"/>
  <c r="J212" i="13"/>
  <c r="I212" i="13"/>
  <c r="H212" i="13"/>
  <c r="C212" i="13" s="1"/>
  <c r="G212" i="13"/>
  <c r="F212" i="13"/>
  <c r="E212" i="13"/>
  <c r="D212" i="13"/>
  <c r="M211" i="13"/>
  <c r="L211" i="13"/>
  <c r="K211" i="13"/>
  <c r="J211" i="13"/>
  <c r="I211" i="13"/>
  <c r="H211" i="13"/>
  <c r="C211" i="13" s="1"/>
  <c r="G211" i="13"/>
  <c r="F211" i="13"/>
  <c r="E211" i="13"/>
  <c r="D211" i="13"/>
  <c r="M210" i="13"/>
  <c r="L210" i="13"/>
  <c r="K210" i="13"/>
  <c r="J210" i="13"/>
  <c r="I210" i="13"/>
  <c r="H210" i="13"/>
  <c r="C210" i="13" s="1"/>
  <c r="G210" i="13"/>
  <c r="F210" i="13"/>
  <c r="E210" i="13"/>
  <c r="D210" i="13"/>
  <c r="M209" i="13"/>
  <c r="L209" i="13"/>
  <c r="K209" i="13"/>
  <c r="J209" i="13"/>
  <c r="I209" i="13"/>
  <c r="H209" i="13"/>
  <c r="C209" i="13" s="1"/>
  <c r="G209" i="13"/>
  <c r="F209" i="13"/>
  <c r="E209" i="13"/>
  <c r="D209" i="13"/>
  <c r="M208" i="13"/>
  <c r="L208" i="13"/>
  <c r="K208" i="13"/>
  <c r="J208" i="13"/>
  <c r="I208" i="13"/>
  <c r="H208" i="13"/>
  <c r="C208" i="13" s="1"/>
  <c r="G208" i="13"/>
  <c r="F208" i="13"/>
  <c r="E208" i="13"/>
  <c r="D208" i="13"/>
  <c r="M207" i="13"/>
  <c r="L207" i="13"/>
  <c r="K207" i="13"/>
  <c r="J207" i="13"/>
  <c r="I207" i="13"/>
  <c r="H207" i="13"/>
  <c r="C207" i="13" s="1"/>
  <c r="G207" i="13"/>
  <c r="F207" i="13"/>
  <c r="E207" i="13"/>
  <c r="D207" i="13"/>
  <c r="M206" i="13"/>
  <c r="L206" i="13"/>
  <c r="K206" i="13"/>
  <c r="J206" i="13"/>
  <c r="I206" i="13"/>
  <c r="H206" i="13"/>
  <c r="C206" i="13" s="1"/>
  <c r="G206" i="13"/>
  <c r="F206" i="13"/>
  <c r="E206" i="13"/>
  <c r="D206" i="13"/>
  <c r="M205" i="13"/>
  <c r="L205" i="13"/>
  <c r="K205" i="13"/>
  <c r="J205" i="13"/>
  <c r="I205" i="13"/>
  <c r="H205" i="13"/>
  <c r="C205" i="13" s="1"/>
  <c r="G205" i="13"/>
  <c r="F205" i="13"/>
  <c r="E205" i="13"/>
  <c r="D205" i="13"/>
  <c r="M204" i="13"/>
  <c r="L204" i="13"/>
  <c r="K204" i="13"/>
  <c r="J204" i="13"/>
  <c r="I204" i="13"/>
  <c r="H204" i="13"/>
  <c r="C204" i="13" s="1"/>
  <c r="G204" i="13"/>
  <c r="F204" i="13"/>
  <c r="E204" i="13"/>
  <c r="D204" i="13"/>
  <c r="M203" i="13"/>
  <c r="L203" i="13"/>
  <c r="K203" i="13"/>
  <c r="J203" i="13"/>
  <c r="I203" i="13"/>
  <c r="H203" i="13"/>
  <c r="C203" i="13" s="1"/>
  <c r="G203" i="13"/>
  <c r="F203" i="13"/>
  <c r="E203" i="13"/>
  <c r="D203" i="13"/>
  <c r="M202" i="13"/>
  <c r="L202" i="13"/>
  <c r="K202" i="13"/>
  <c r="J202" i="13"/>
  <c r="I202" i="13"/>
  <c r="H202" i="13"/>
  <c r="C202" i="13" s="1"/>
  <c r="G202" i="13"/>
  <c r="F202" i="13"/>
  <c r="E202" i="13"/>
  <c r="D202" i="13"/>
  <c r="M201" i="13"/>
  <c r="L201" i="13"/>
  <c r="K201" i="13"/>
  <c r="J201" i="13"/>
  <c r="I201" i="13"/>
  <c r="H201" i="13"/>
  <c r="C201" i="13" s="1"/>
  <c r="G201" i="13"/>
  <c r="F201" i="13"/>
  <c r="E201" i="13"/>
  <c r="D201" i="13"/>
  <c r="M200" i="13"/>
  <c r="L200" i="13"/>
  <c r="K200" i="13"/>
  <c r="J200" i="13"/>
  <c r="I200" i="13"/>
  <c r="H200" i="13"/>
  <c r="C200" i="13" s="1"/>
  <c r="G200" i="13"/>
  <c r="F200" i="13"/>
  <c r="E200" i="13"/>
  <c r="D200" i="13"/>
  <c r="M199" i="13"/>
  <c r="L199" i="13"/>
  <c r="K199" i="13"/>
  <c r="J199" i="13"/>
  <c r="I199" i="13"/>
  <c r="H199" i="13"/>
  <c r="C199" i="13" s="1"/>
  <c r="G199" i="13"/>
  <c r="F199" i="13"/>
  <c r="E199" i="13"/>
  <c r="D199" i="13"/>
  <c r="M198" i="13"/>
  <c r="L198" i="13"/>
  <c r="K198" i="13"/>
  <c r="J198" i="13"/>
  <c r="I198" i="13"/>
  <c r="H198" i="13"/>
  <c r="C198" i="13" s="1"/>
  <c r="G198" i="13"/>
  <c r="F198" i="13"/>
  <c r="E198" i="13"/>
  <c r="D198" i="13"/>
  <c r="M197" i="13"/>
  <c r="L197" i="13"/>
  <c r="K197" i="13"/>
  <c r="J197" i="13"/>
  <c r="I197" i="13"/>
  <c r="H197" i="13"/>
  <c r="C197" i="13" s="1"/>
  <c r="G197" i="13"/>
  <c r="F197" i="13"/>
  <c r="E197" i="13"/>
  <c r="D197" i="13"/>
  <c r="M196" i="13"/>
  <c r="L196" i="13"/>
  <c r="K196" i="13"/>
  <c r="J196" i="13"/>
  <c r="I196" i="13"/>
  <c r="H196" i="13"/>
  <c r="C196" i="13" s="1"/>
  <c r="G196" i="13"/>
  <c r="F196" i="13"/>
  <c r="E196" i="13"/>
  <c r="D196" i="13"/>
  <c r="M195" i="13"/>
  <c r="L195" i="13"/>
  <c r="K195" i="13"/>
  <c r="J195" i="13"/>
  <c r="I195" i="13"/>
  <c r="H195" i="13"/>
  <c r="C195" i="13" s="1"/>
  <c r="G195" i="13"/>
  <c r="F195" i="13"/>
  <c r="E195" i="13"/>
  <c r="D195" i="13"/>
  <c r="M194" i="13"/>
  <c r="L194" i="13"/>
  <c r="K194" i="13"/>
  <c r="J194" i="13"/>
  <c r="I194" i="13"/>
  <c r="H194" i="13"/>
  <c r="C194" i="13" s="1"/>
  <c r="G194" i="13"/>
  <c r="F194" i="13"/>
  <c r="E194" i="13"/>
  <c r="D194" i="13"/>
  <c r="M193" i="13"/>
  <c r="L193" i="13"/>
  <c r="K193" i="13"/>
  <c r="J193" i="13"/>
  <c r="I193" i="13"/>
  <c r="H193" i="13"/>
  <c r="C193" i="13" s="1"/>
  <c r="G193" i="13"/>
  <c r="F193" i="13"/>
  <c r="E193" i="13"/>
  <c r="D193" i="13"/>
  <c r="M192" i="13"/>
  <c r="L192" i="13"/>
  <c r="K192" i="13"/>
  <c r="J192" i="13"/>
  <c r="I192" i="13"/>
  <c r="H192" i="13"/>
  <c r="C192" i="13" s="1"/>
  <c r="G192" i="13"/>
  <c r="F192" i="13"/>
  <c r="E192" i="13"/>
  <c r="D192" i="13"/>
  <c r="M191" i="13"/>
  <c r="L191" i="13"/>
  <c r="K191" i="13"/>
  <c r="J191" i="13"/>
  <c r="I191" i="13"/>
  <c r="H191" i="13"/>
  <c r="C191" i="13" s="1"/>
  <c r="G191" i="13"/>
  <c r="F191" i="13"/>
  <c r="E191" i="13"/>
  <c r="D191" i="13"/>
  <c r="M190" i="13"/>
  <c r="L190" i="13"/>
  <c r="K190" i="13"/>
  <c r="J190" i="13"/>
  <c r="I190" i="13"/>
  <c r="H190" i="13"/>
  <c r="C190" i="13" s="1"/>
  <c r="G190" i="13"/>
  <c r="F190" i="13"/>
  <c r="E190" i="13"/>
  <c r="D190" i="13"/>
  <c r="M189" i="13"/>
  <c r="L189" i="13"/>
  <c r="K189" i="13"/>
  <c r="J189" i="13"/>
  <c r="I189" i="13"/>
  <c r="H189" i="13"/>
  <c r="C189" i="13" s="1"/>
  <c r="G189" i="13"/>
  <c r="F189" i="13"/>
  <c r="E189" i="13"/>
  <c r="D189" i="13"/>
  <c r="M188" i="13"/>
  <c r="L188" i="13"/>
  <c r="K188" i="13"/>
  <c r="J188" i="13"/>
  <c r="I188" i="13"/>
  <c r="H188" i="13"/>
  <c r="C188" i="13" s="1"/>
  <c r="G188" i="13"/>
  <c r="F188" i="13"/>
  <c r="E188" i="13"/>
  <c r="D188" i="13"/>
  <c r="M187" i="13"/>
  <c r="L187" i="13"/>
  <c r="K187" i="13"/>
  <c r="J187" i="13"/>
  <c r="I187" i="13"/>
  <c r="H187" i="13"/>
  <c r="G187" i="13"/>
  <c r="F187" i="13"/>
  <c r="E187" i="13"/>
  <c r="D187" i="13"/>
  <c r="M186" i="13"/>
  <c r="L186" i="13"/>
  <c r="K186" i="13"/>
  <c r="J186" i="13"/>
  <c r="I186" i="13"/>
  <c r="H186" i="13"/>
  <c r="C186" i="13" s="1"/>
  <c r="G186" i="13"/>
  <c r="F186" i="13"/>
  <c r="E186" i="13"/>
  <c r="D186" i="13"/>
  <c r="M185" i="13"/>
  <c r="L185" i="13"/>
  <c r="K185" i="13"/>
  <c r="J185" i="13"/>
  <c r="I185" i="13"/>
  <c r="H185" i="13"/>
  <c r="C185" i="13" s="1"/>
  <c r="G185" i="13"/>
  <c r="F185" i="13"/>
  <c r="E185" i="13"/>
  <c r="D185" i="13"/>
  <c r="M184" i="13"/>
  <c r="L184" i="13"/>
  <c r="K184" i="13"/>
  <c r="J184" i="13"/>
  <c r="I184" i="13"/>
  <c r="H184" i="13"/>
  <c r="C184" i="13" s="1"/>
  <c r="G184" i="13"/>
  <c r="F184" i="13"/>
  <c r="E184" i="13"/>
  <c r="D184" i="13"/>
  <c r="M183" i="13"/>
  <c r="L183" i="13"/>
  <c r="K183" i="13"/>
  <c r="J183" i="13"/>
  <c r="I183" i="13"/>
  <c r="H183" i="13"/>
  <c r="C183" i="13" s="1"/>
  <c r="G183" i="13"/>
  <c r="F183" i="13"/>
  <c r="E183" i="13"/>
  <c r="D183" i="13"/>
  <c r="M182" i="13"/>
  <c r="L182" i="13"/>
  <c r="K182" i="13"/>
  <c r="J182" i="13"/>
  <c r="I182" i="13"/>
  <c r="H182" i="13"/>
  <c r="C182" i="13" s="1"/>
  <c r="G182" i="13"/>
  <c r="F182" i="13"/>
  <c r="E182" i="13"/>
  <c r="D182" i="13"/>
  <c r="M181" i="13"/>
  <c r="L181" i="13"/>
  <c r="K181" i="13"/>
  <c r="J181" i="13"/>
  <c r="I181" i="13"/>
  <c r="H181" i="13"/>
  <c r="C181" i="13" s="1"/>
  <c r="G181" i="13"/>
  <c r="F181" i="13"/>
  <c r="E181" i="13"/>
  <c r="D181" i="13"/>
  <c r="M180" i="13"/>
  <c r="L180" i="13"/>
  <c r="K180" i="13"/>
  <c r="J180" i="13"/>
  <c r="I180" i="13"/>
  <c r="H180" i="13"/>
  <c r="C180" i="13" s="1"/>
  <c r="G180" i="13"/>
  <c r="F180" i="13"/>
  <c r="E180" i="13"/>
  <c r="D180" i="13"/>
  <c r="M179" i="13"/>
  <c r="L179" i="13"/>
  <c r="K179" i="13"/>
  <c r="J179" i="13"/>
  <c r="I179" i="13"/>
  <c r="H179" i="13"/>
  <c r="C179" i="13" s="1"/>
  <c r="G179" i="13"/>
  <c r="F179" i="13"/>
  <c r="E179" i="13"/>
  <c r="D179" i="13"/>
  <c r="M178" i="13"/>
  <c r="L178" i="13"/>
  <c r="K178" i="13"/>
  <c r="J178" i="13"/>
  <c r="I178" i="13"/>
  <c r="H178" i="13"/>
  <c r="C178" i="13" s="1"/>
  <c r="G178" i="13"/>
  <c r="F178" i="13"/>
  <c r="E178" i="13"/>
  <c r="D178" i="13"/>
  <c r="M177" i="13"/>
  <c r="L177" i="13"/>
  <c r="K177" i="13"/>
  <c r="J177" i="13"/>
  <c r="I177" i="13"/>
  <c r="H177" i="13"/>
  <c r="C177" i="13" s="1"/>
  <c r="G177" i="13"/>
  <c r="F177" i="13"/>
  <c r="E177" i="13"/>
  <c r="D177" i="13"/>
  <c r="M176" i="13"/>
  <c r="L176" i="13"/>
  <c r="K176" i="13"/>
  <c r="J176" i="13"/>
  <c r="I176" i="13"/>
  <c r="H176" i="13"/>
  <c r="C176" i="13" s="1"/>
  <c r="G176" i="13"/>
  <c r="F176" i="13"/>
  <c r="E176" i="13"/>
  <c r="D176" i="13"/>
  <c r="M175" i="13"/>
  <c r="L175" i="13"/>
  <c r="K175" i="13"/>
  <c r="J175" i="13"/>
  <c r="I175" i="13"/>
  <c r="H175" i="13"/>
  <c r="C175" i="13" s="1"/>
  <c r="G175" i="13"/>
  <c r="F175" i="13"/>
  <c r="E175" i="13"/>
  <c r="D175" i="13"/>
  <c r="M174" i="13"/>
  <c r="L174" i="13"/>
  <c r="K174" i="13"/>
  <c r="J174" i="13"/>
  <c r="I174" i="13"/>
  <c r="H174" i="13"/>
  <c r="C174" i="13" s="1"/>
  <c r="G174" i="13"/>
  <c r="F174" i="13"/>
  <c r="E174" i="13"/>
  <c r="D174" i="13"/>
  <c r="M173" i="13"/>
  <c r="L173" i="13"/>
  <c r="K173" i="13"/>
  <c r="J173" i="13"/>
  <c r="I173" i="13"/>
  <c r="H173" i="13"/>
  <c r="C173" i="13" s="1"/>
  <c r="G173" i="13"/>
  <c r="F173" i="13"/>
  <c r="E173" i="13"/>
  <c r="D173" i="13"/>
  <c r="M172" i="13"/>
  <c r="L172" i="13"/>
  <c r="K172" i="13"/>
  <c r="J172" i="13"/>
  <c r="I172" i="13"/>
  <c r="H172" i="13"/>
  <c r="C172" i="13" s="1"/>
  <c r="G172" i="13"/>
  <c r="F172" i="13"/>
  <c r="E172" i="13"/>
  <c r="D172" i="13"/>
  <c r="M171" i="13"/>
  <c r="L171" i="13"/>
  <c r="K171" i="13"/>
  <c r="J171" i="13"/>
  <c r="I171" i="13"/>
  <c r="H171" i="13"/>
  <c r="C171" i="13" s="1"/>
  <c r="G171" i="13"/>
  <c r="F171" i="13"/>
  <c r="E171" i="13"/>
  <c r="D171" i="13"/>
  <c r="M170" i="13"/>
  <c r="L170" i="13"/>
  <c r="K170" i="13"/>
  <c r="J170" i="13"/>
  <c r="I170" i="13"/>
  <c r="H170" i="13"/>
  <c r="C170" i="13" s="1"/>
  <c r="G170" i="13"/>
  <c r="F170" i="13"/>
  <c r="E170" i="13"/>
  <c r="D170" i="13"/>
  <c r="M169" i="13"/>
  <c r="L169" i="13"/>
  <c r="K169" i="13"/>
  <c r="J169" i="13"/>
  <c r="I169" i="13"/>
  <c r="H169" i="13"/>
  <c r="C169" i="13" s="1"/>
  <c r="G169" i="13"/>
  <c r="F169" i="13"/>
  <c r="E169" i="13"/>
  <c r="D169" i="13"/>
  <c r="M168" i="13"/>
  <c r="L168" i="13"/>
  <c r="K168" i="13"/>
  <c r="J168" i="13"/>
  <c r="I168" i="13"/>
  <c r="H168" i="13"/>
  <c r="C168" i="13" s="1"/>
  <c r="G168" i="13"/>
  <c r="F168" i="13"/>
  <c r="E168" i="13"/>
  <c r="D168" i="13"/>
  <c r="M167" i="13"/>
  <c r="L167" i="13"/>
  <c r="K167" i="13"/>
  <c r="J167" i="13"/>
  <c r="I167" i="13"/>
  <c r="H167" i="13"/>
  <c r="C167" i="13" s="1"/>
  <c r="G167" i="13"/>
  <c r="F167" i="13"/>
  <c r="E167" i="13"/>
  <c r="D167" i="13"/>
  <c r="M166" i="13"/>
  <c r="L166" i="13"/>
  <c r="K166" i="13"/>
  <c r="J166" i="13"/>
  <c r="I166" i="13"/>
  <c r="H166" i="13"/>
  <c r="C166" i="13" s="1"/>
  <c r="G166" i="13"/>
  <c r="F166" i="13"/>
  <c r="E166" i="13"/>
  <c r="D166" i="13"/>
  <c r="M165" i="13"/>
  <c r="L165" i="13"/>
  <c r="K165" i="13"/>
  <c r="J165" i="13"/>
  <c r="I165" i="13"/>
  <c r="H165" i="13"/>
  <c r="C165" i="13" s="1"/>
  <c r="G165" i="13"/>
  <c r="F165" i="13"/>
  <c r="E165" i="13"/>
  <c r="D165" i="13"/>
  <c r="M164" i="13"/>
  <c r="L164" i="13"/>
  <c r="K164" i="13"/>
  <c r="J164" i="13"/>
  <c r="I164" i="13"/>
  <c r="H164" i="13"/>
  <c r="C164" i="13" s="1"/>
  <c r="G164" i="13"/>
  <c r="F164" i="13"/>
  <c r="E164" i="13"/>
  <c r="D164" i="13"/>
  <c r="M163" i="13"/>
  <c r="L163" i="13"/>
  <c r="K163" i="13"/>
  <c r="J163" i="13"/>
  <c r="I163" i="13"/>
  <c r="H163" i="13"/>
  <c r="C163" i="13" s="1"/>
  <c r="G163" i="13"/>
  <c r="F163" i="13"/>
  <c r="E163" i="13"/>
  <c r="D163" i="13"/>
  <c r="M162" i="13"/>
  <c r="L162" i="13"/>
  <c r="K162" i="13"/>
  <c r="J162" i="13"/>
  <c r="I162" i="13"/>
  <c r="H162" i="13"/>
  <c r="C162" i="13" s="1"/>
  <c r="G162" i="13"/>
  <c r="F162" i="13"/>
  <c r="E162" i="13"/>
  <c r="D162" i="13"/>
  <c r="M161" i="13"/>
  <c r="L161" i="13"/>
  <c r="K161" i="13"/>
  <c r="J161" i="13"/>
  <c r="I161" i="13"/>
  <c r="H161" i="13"/>
  <c r="C161" i="13" s="1"/>
  <c r="G161" i="13"/>
  <c r="F161" i="13"/>
  <c r="E161" i="13"/>
  <c r="D161" i="13"/>
  <c r="M160" i="13"/>
  <c r="L160" i="13"/>
  <c r="K160" i="13"/>
  <c r="J160" i="13"/>
  <c r="I160" i="13"/>
  <c r="H160" i="13"/>
  <c r="C160" i="13" s="1"/>
  <c r="G160" i="13"/>
  <c r="F160" i="13"/>
  <c r="E160" i="13"/>
  <c r="D160" i="13"/>
  <c r="M159" i="13"/>
  <c r="L159" i="13"/>
  <c r="K159" i="13"/>
  <c r="J159" i="13"/>
  <c r="I159" i="13"/>
  <c r="H159" i="13"/>
  <c r="C159" i="13" s="1"/>
  <c r="G159" i="13"/>
  <c r="F159" i="13"/>
  <c r="E159" i="13"/>
  <c r="D159" i="13"/>
  <c r="M158" i="13"/>
  <c r="L158" i="13"/>
  <c r="K158" i="13"/>
  <c r="J158" i="13"/>
  <c r="I158" i="13"/>
  <c r="H158" i="13"/>
  <c r="C158" i="13" s="1"/>
  <c r="G158" i="13"/>
  <c r="F158" i="13"/>
  <c r="E158" i="13"/>
  <c r="D158" i="13"/>
  <c r="M157" i="13"/>
  <c r="L157" i="13"/>
  <c r="K157" i="13"/>
  <c r="J157" i="13"/>
  <c r="I157" i="13"/>
  <c r="H157" i="13"/>
  <c r="G157" i="13"/>
  <c r="F157" i="13"/>
  <c r="E157" i="13"/>
  <c r="D157" i="13"/>
  <c r="M156" i="13"/>
  <c r="L156" i="13"/>
  <c r="K156" i="13"/>
  <c r="J156" i="13"/>
  <c r="I156" i="13"/>
  <c r="H156" i="13"/>
  <c r="C156" i="13" s="1"/>
  <c r="G156" i="13"/>
  <c r="F156" i="13"/>
  <c r="E156" i="13"/>
  <c r="D156" i="13"/>
  <c r="M155" i="13"/>
  <c r="L155" i="13"/>
  <c r="K155" i="13"/>
  <c r="J155" i="13"/>
  <c r="I155" i="13"/>
  <c r="H155" i="13"/>
  <c r="C155" i="13" s="1"/>
  <c r="G155" i="13"/>
  <c r="F155" i="13"/>
  <c r="E155" i="13"/>
  <c r="D155" i="13"/>
  <c r="M154" i="13"/>
  <c r="L154" i="13"/>
  <c r="K154" i="13"/>
  <c r="J154" i="13"/>
  <c r="I154" i="13"/>
  <c r="H154" i="13"/>
  <c r="C154" i="13" s="1"/>
  <c r="G154" i="13"/>
  <c r="F154" i="13"/>
  <c r="E154" i="13"/>
  <c r="D154" i="13"/>
  <c r="M153" i="13"/>
  <c r="L153" i="13"/>
  <c r="K153" i="13"/>
  <c r="J153" i="13"/>
  <c r="I153" i="13"/>
  <c r="H153" i="13"/>
  <c r="C153" i="13" s="1"/>
  <c r="G153" i="13"/>
  <c r="F153" i="13"/>
  <c r="E153" i="13"/>
  <c r="D153" i="13"/>
  <c r="M152" i="13"/>
  <c r="L152" i="13"/>
  <c r="K152" i="13"/>
  <c r="J152" i="13"/>
  <c r="I152" i="13"/>
  <c r="H152" i="13"/>
  <c r="C152" i="13" s="1"/>
  <c r="G152" i="13"/>
  <c r="F152" i="13"/>
  <c r="E152" i="13"/>
  <c r="D152" i="13"/>
  <c r="M151" i="13"/>
  <c r="L151" i="13"/>
  <c r="K151" i="13"/>
  <c r="J151" i="13"/>
  <c r="I151" i="13"/>
  <c r="H151" i="13"/>
  <c r="C151" i="13" s="1"/>
  <c r="G151" i="13"/>
  <c r="F151" i="13"/>
  <c r="E151" i="13"/>
  <c r="D151" i="13"/>
  <c r="M150" i="13"/>
  <c r="L150" i="13"/>
  <c r="K150" i="13"/>
  <c r="J150" i="13"/>
  <c r="I150" i="13"/>
  <c r="H150" i="13"/>
  <c r="C150" i="13" s="1"/>
  <c r="G150" i="13"/>
  <c r="F150" i="13"/>
  <c r="E150" i="13"/>
  <c r="D150" i="13"/>
  <c r="M149" i="13"/>
  <c r="L149" i="13"/>
  <c r="K149" i="13"/>
  <c r="J149" i="13"/>
  <c r="I149" i="13"/>
  <c r="H149" i="13"/>
  <c r="C149" i="13" s="1"/>
  <c r="G149" i="13"/>
  <c r="F149" i="13"/>
  <c r="E149" i="13"/>
  <c r="D149" i="13"/>
  <c r="M148" i="13"/>
  <c r="L148" i="13"/>
  <c r="K148" i="13"/>
  <c r="J148" i="13"/>
  <c r="I148" i="13"/>
  <c r="H148" i="13"/>
  <c r="C148" i="13" s="1"/>
  <c r="G148" i="13"/>
  <c r="F148" i="13"/>
  <c r="E148" i="13"/>
  <c r="D148" i="13"/>
  <c r="M147" i="13"/>
  <c r="L147" i="13"/>
  <c r="K147" i="13"/>
  <c r="J147" i="13"/>
  <c r="I147" i="13"/>
  <c r="H147" i="13"/>
  <c r="C147" i="13" s="1"/>
  <c r="G147" i="13"/>
  <c r="F147" i="13"/>
  <c r="E147" i="13"/>
  <c r="D147" i="13"/>
  <c r="M146" i="13"/>
  <c r="L146" i="13"/>
  <c r="K146" i="13"/>
  <c r="J146" i="13"/>
  <c r="I146" i="13"/>
  <c r="H146" i="13"/>
  <c r="C146" i="13" s="1"/>
  <c r="G146" i="13"/>
  <c r="F146" i="13"/>
  <c r="E146" i="13"/>
  <c r="D146" i="13"/>
  <c r="M145" i="13"/>
  <c r="L145" i="13"/>
  <c r="K145" i="13"/>
  <c r="J145" i="13"/>
  <c r="I145" i="13"/>
  <c r="H145" i="13"/>
  <c r="C145" i="13" s="1"/>
  <c r="G145" i="13"/>
  <c r="F145" i="13"/>
  <c r="E145" i="13"/>
  <c r="D145" i="13"/>
  <c r="M144" i="13"/>
  <c r="L144" i="13"/>
  <c r="K144" i="13"/>
  <c r="J144" i="13"/>
  <c r="I144" i="13"/>
  <c r="H144" i="13"/>
  <c r="C144" i="13" s="1"/>
  <c r="G144" i="13"/>
  <c r="F144" i="13"/>
  <c r="E144" i="13"/>
  <c r="D144" i="13"/>
  <c r="M143" i="13"/>
  <c r="L143" i="13"/>
  <c r="K143" i="13"/>
  <c r="J143" i="13"/>
  <c r="I143" i="13"/>
  <c r="H143" i="13"/>
  <c r="C143" i="13" s="1"/>
  <c r="G143" i="13"/>
  <c r="F143" i="13"/>
  <c r="E143" i="13"/>
  <c r="D143" i="13"/>
  <c r="M142" i="13"/>
  <c r="L142" i="13"/>
  <c r="K142" i="13"/>
  <c r="J142" i="13"/>
  <c r="I142" i="13"/>
  <c r="H142" i="13"/>
  <c r="C142" i="13" s="1"/>
  <c r="G142" i="13"/>
  <c r="F142" i="13"/>
  <c r="E142" i="13"/>
  <c r="D142" i="13"/>
  <c r="M141" i="13"/>
  <c r="L141" i="13"/>
  <c r="K141" i="13"/>
  <c r="J141" i="13"/>
  <c r="I141" i="13"/>
  <c r="H141" i="13"/>
  <c r="C141" i="13" s="1"/>
  <c r="G141" i="13"/>
  <c r="F141" i="13"/>
  <c r="E141" i="13"/>
  <c r="D141" i="13"/>
  <c r="M140" i="13"/>
  <c r="L140" i="13"/>
  <c r="K140" i="13"/>
  <c r="J140" i="13"/>
  <c r="I140" i="13"/>
  <c r="H140" i="13"/>
  <c r="C140" i="13" s="1"/>
  <c r="G140" i="13"/>
  <c r="F140" i="13"/>
  <c r="E140" i="13"/>
  <c r="D140" i="13"/>
  <c r="M139" i="13"/>
  <c r="L139" i="13"/>
  <c r="K139" i="13"/>
  <c r="J139" i="13"/>
  <c r="I139" i="13"/>
  <c r="H139" i="13"/>
  <c r="C139" i="13" s="1"/>
  <c r="G139" i="13"/>
  <c r="F139" i="13"/>
  <c r="E139" i="13"/>
  <c r="D139" i="13"/>
  <c r="M138" i="13"/>
  <c r="L138" i="13"/>
  <c r="K138" i="13"/>
  <c r="J138" i="13"/>
  <c r="I138" i="13"/>
  <c r="H138" i="13"/>
  <c r="C138" i="13" s="1"/>
  <c r="G138" i="13"/>
  <c r="F138" i="13"/>
  <c r="E138" i="13"/>
  <c r="D138" i="13"/>
  <c r="M137" i="13"/>
  <c r="L137" i="13"/>
  <c r="K137" i="13"/>
  <c r="J137" i="13"/>
  <c r="I137" i="13"/>
  <c r="H137" i="13"/>
  <c r="C137" i="13" s="1"/>
  <c r="G137" i="13"/>
  <c r="F137" i="13"/>
  <c r="E137" i="13"/>
  <c r="D137" i="13"/>
  <c r="M136" i="13"/>
  <c r="L136" i="13"/>
  <c r="K136" i="13"/>
  <c r="J136" i="13"/>
  <c r="I136" i="13"/>
  <c r="H136" i="13"/>
  <c r="C136" i="13" s="1"/>
  <c r="G136" i="13"/>
  <c r="F136" i="13"/>
  <c r="E136" i="13"/>
  <c r="D136" i="13"/>
  <c r="M135" i="13"/>
  <c r="L135" i="13"/>
  <c r="K135" i="13"/>
  <c r="J135" i="13"/>
  <c r="I135" i="13"/>
  <c r="H135" i="13"/>
  <c r="C135" i="13" s="1"/>
  <c r="G135" i="13"/>
  <c r="F135" i="13"/>
  <c r="E135" i="13"/>
  <c r="D135" i="13"/>
  <c r="M134" i="13"/>
  <c r="L134" i="13"/>
  <c r="K134" i="13"/>
  <c r="J134" i="13"/>
  <c r="I134" i="13"/>
  <c r="H134" i="13"/>
  <c r="C134" i="13" s="1"/>
  <c r="G134" i="13"/>
  <c r="F134" i="13"/>
  <c r="E134" i="13"/>
  <c r="D134" i="13"/>
  <c r="M133" i="13"/>
  <c r="L133" i="13"/>
  <c r="K133" i="13"/>
  <c r="J133" i="13"/>
  <c r="I133" i="13"/>
  <c r="H133" i="13"/>
  <c r="C133" i="13" s="1"/>
  <c r="G133" i="13"/>
  <c r="F133" i="13"/>
  <c r="E133" i="13"/>
  <c r="D133" i="13"/>
  <c r="M132" i="13"/>
  <c r="L132" i="13"/>
  <c r="K132" i="13"/>
  <c r="J132" i="13"/>
  <c r="I132" i="13"/>
  <c r="H132" i="13"/>
  <c r="C132" i="13" s="1"/>
  <c r="G132" i="13"/>
  <c r="F132" i="13"/>
  <c r="E132" i="13"/>
  <c r="D132" i="13"/>
  <c r="M131" i="13"/>
  <c r="L131" i="13"/>
  <c r="K131" i="13"/>
  <c r="J131" i="13"/>
  <c r="I131" i="13"/>
  <c r="H131" i="13"/>
  <c r="C131" i="13" s="1"/>
  <c r="G131" i="13"/>
  <c r="F131" i="13"/>
  <c r="E131" i="13"/>
  <c r="D131" i="13"/>
  <c r="M130" i="13"/>
  <c r="L130" i="13"/>
  <c r="K130" i="13"/>
  <c r="J130" i="13"/>
  <c r="I130" i="13"/>
  <c r="H130" i="13"/>
  <c r="C130" i="13" s="1"/>
  <c r="G130" i="13"/>
  <c r="F130" i="13"/>
  <c r="E130" i="13"/>
  <c r="D130" i="13"/>
  <c r="M129" i="13"/>
  <c r="L129" i="13"/>
  <c r="K129" i="13"/>
  <c r="J129" i="13"/>
  <c r="I129" i="13"/>
  <c r="H129" i="13"/>
  <c r="C129" i="13" s="1"/>
  <c r="G129" i="13"/>
  <c r="F129" i="13"/>
  <c r="E129" i="13"/>
  <c r="D129" i="13"/>
  <c r="M128" i="13"/>
  <c r="L128" i="13"/>
  <c r="K128" i="13"/>
  <c r="J128" i="13"/>
  <c r="I128" i="13"/>
  <c r="H128" i="13"/>
  <c r="C128" i="13" s="1"/>
  <c r="G128" i="13"/>
  <c r="F128" i="13"/>
  <c r="E128" i="13"/>
  <c r="D128" i="13"/>
  <c r="M127" i="13"/>
  <c r="L127" i="13"/>
  <c r="K127" i="13"/>
  <c r="J127" i="13"/>
  <c r="I127" i="13"/>
  <c r="H127" i="13"/>
  <c r="C127" i="13" s="1"/>
  <c r="G127" i="13"/>
  <c r="F127" i="13"/>
  <c r="E127" i="13"/>
  <c r="D127" i="13"/>
  <c r="M126" i="13"/>
  <c r="L126" i="13"/>
  <c r="K126" i="13"/>
  <c r="J126" i="13"/>
  <c r="I126" i="13"/>
  <c r="H126" i="13"/>
  <c r="G126" i="13"/>
  <c r="F126" i="13"/>
  <c r="E126" i="13"/>
  <c r="D126" i="13"/>
  <c r="M125" i="13"/>
  <c r="L125" i="13"/>
  <c r="K125" i="13"/>
  <c r="J125" i="13"/>
  <c r="I125" i="13"/>
  <c r="H125" i="13"/>
  <c r="C125" i="13" s="1"/>
  <c r="G125" i="13"/>
  <c r="F125" i="13"/>
  <c r="E125" i="13"/>
  <c r="D125" i="13"/>
  <c r="M124" i="13"/>
  <c r="L124" i="13"/>
  <c r="K124" i="13"/>
  <c r="J124" i="13"/>
  <c r="I124" i="13"/>
  <c r="H124" i="13"/>
  <c r="C124" i="13" s="1"/>
  <c r="G124" i="13"/>
  <c r="F124" i="13"/>
  <c r="E124" i="13"/>
  <c r="D124" i="13"/>
  <c r="M123" i="13"/>
  <c r="L123" i="13"/>
  <c r="K123" i="13"/>
  <c r="J123" i="13"/>
  <c r="I123" i="13"/>
  <c r="H123" i="13"/>
  <c r="C123" i="13" s="1"/>
  <c r="G123" i="13"/>
  <c r="F123" i="13"/>
  <c r="E123" i="13"/>
  <c r="D123" i="13"/>
  <c r="M122" i="13"/>
  <c r="L122" i="13"/>
  <c r="K122" i="13"/>
  <c r="J122" i="13"/>
  <c r="I122" i="13"/>
  <c r="H122" i="13"/>
  <c r="C122" i="13" s="1"/>
  <c r="G122" i="13"/>
  <c r="F122" i="13"/>
  <c r="E122" i="13"/>
  <c r="D122" i="13"/>
  <c r="M121" i="13"/>
  <c r="L121" i="13"/>
  <c r="K121" i="13"/>
  <c r="J121" i="13"/>
  <c r="I121" i="13"/>
  <c r="H121" i="13"/>
  <c r="C121" i="13" s="1"/>
  <c r="G121" i="13"/>
  <c r="F121" i="13"/>
  <c r="E121" i="13"/>
  <c r="D121" i="13"/>
  <c r="M120" i="13"/>
  <c r="L120" i="13"/>
  <c r="K120" i="13"/>
  <c r="J120" i="13"/>
  <c r="I120" i="13"/>
  <c r="H120" i="13"/>
  <c r="C120" i="13" s="1"/>
  <c r="G120" i="13"/>
  <c r="F120" i="13"/>
  <c r="E120" i="13"/>
  <c r="D120" i="13"/>
  <c r="M119" i="13"/>
  <c r="L119" i="13"/>
  <c r="K119" i="13"/>
  <c r="J119" i="13"/>
  <c r="I119" i="13"/>
  <c r="H119" i="13"/>
  <c r="C119" i="13" s="1"/>
  <c r="G119" i="13"/>
  <c r="F119" i="13"/>
  <c r="E119" i="13"/>
  <c r="D119" i="13"/>
  <c r="M118" i="13"/>
  <c r="L118" i="13"/>
  <c r="K118" i="13"/>
  <c r="J118" i="13"/>
  <c r="I118" i="13"/>
  <c r="H118" i="13"/>
  <c r="C118" i="13" s="1"/>
  <c r="G118" i="13"/>
  <c r="F118" i="13"/>
  <c r="E118" i="13"/>
  <c r="D118" i="13"/>
  <c r="M117" i="13"/>
  <c r="L117" i="13"/>
  <c r="K117" i="13"/>
  <c r="J117" i="13"/>
  <c r="I117" i="13"/>
  <c r="H117" i="13"/>
  <c r="C117" i="13" s="1"/>
  <c r="G117" i="13"/>
  <c r="F117" i="13"/>
  <c r="E117" i="13"/>
  <c r="D117" i="13"/>
  <c r="M116" i="13"/>
  <c r="L116" i="13"/>
  <c r="K116" i="13"/>
  <c r="J116" i="13"/>
  <c r="I116" i="13"/>
  <c r="H116" i="13"/>
  <c r="C116" i="13" s="1"/>
  <c r="G116" i="13"/>
  <c r="F116" i="13"/>
  <c r="E116" i="13"/>
  <c r="D116" i="13"/>
  <c r="M115" i="13"/>
  <c r="L115" i="13"/>
  <c r="K115" i="13"/>
  <c r="J115" i="13"/>
  <c r="I115" i="13"/>
  <c r="H115" i="13"/>
  <c r="C115" i="13" s="1"/>
  <c r="G115" i="13"/>
  <c r="F115" i="13"/>
  <c r="E115" i="13"/>
  <c r="D115" i="13"/>
  <c r="M114" i="13"/>
  <c r="L114" i="13"/>
  <c r="K114" i="13"/>
  <c r="J114" i="13"/>
  <c r="I114" i="13"/>
  <c r="H114" i="13"/>
  <c r="C114" i="13" s="1"/>
  <c r="G114" i="13"/>
  <c r="F114" i="13"/>
  <c r="E114" i="13"/>
  <c r="D114" i="13"/>
  <c r="M113" i="13"/>
  <c r="L113" i="13"/>
  <c r="K113" i="13"/>
  <c r="J113" i="13"/>
  <c r="I113" i="13"/>
  <c r="H113" i="13"/>
  <c r="C113" i="13" s="1"/>
  <c r="G113" i="13"/>
  <c r="F113" i="13"/>
  <c r="E113" i="13"/>
  <c r="D113" i="13"/>
  <c r="M112" i="13"/>
  <c r="L112" i="13"/>
  <c r="K112" i="13"/>
  <c r="J112" i="13"/>
  <c r="I112" i="13"/>
  <c r="H112" i="13"/>
  <c r="C112" i="13" s="1"/>
  <c r="G112" i="13"/>
  <c r="F112" i="13"/>
  <c r="E112" i="13"/>
  <c r="D112" i="13"/>
  <c r="M111" i="13"/>
  <c r="L111" i="13"/>
  <c r="K111" i="13"/>
  <c r="J111" i="13"/>
  <c r="I111" i="13"/>
  <c r="H111" i="13"/>
  <c r="C111" i="13" s="1"/>
  <c r="G111" i="13"/>
  <c r="F111" i="13"/>
  <c r="E111" i="13"/>
  <c r="D111" i="13"/>
  <c r="M110" i="13"/>
  <c r="L110" i="13"/>
  <c r="K110" i="13"/>
  <c r="J110" i="13"/>
  <c r="I110" i="13"/>
  <c r="H110" i="13"/>
  <c r="C110" i="13" s="1"/>
  <c r="G110" i="13"/>
  <c r="F110" i="13"/>
  <c r="E110" i="13"/>
  <c r="D110" i="13"/>
  <c r="M109" i="13"/>
  <c r="L109" i="13"/>
  <c r="K109" i="13"/>
  <c r="J109" i="13"/>
  <c r="I109" i="13"/>
  <c r="H109" i="13"/>
  <c r="C109" i="13" s="1"/>
  <c r="G109" i="13"/>
  <c r="F109" i="13"/>
  <c r="E109" i="13"/>
  <c r="D109" i="13"/>
  <c r="M108" i="13"/>
  <c r="L108" i="13"/>
  <c r="K108" i="13"/>
  <c r="J108" i="13"/>
  <c r="I108" i="13"/>
  <c r="H108" i="13"/>
  <c r="C108" i="13" s="1"/>
  <c r="G108" i="13"/>
  <c r="F108" i="13"/>
  <c r="E108" i="13"/>
  <c r="D108" i="13"/>
  <c r="M107" i="13"/>
  <c r="L107" i="13"/>
  <c r="K107" i="13"/>
  <c r="J107" i="13"/>
  <c r="I107" i="13"/>
  <c r="H107" i="13"/>
  <c r="C107" i="13" s="1"/>
  <c r="G107" i="13"/>
  <c r="F107" i="13"/>
  <c r="E107" i="13"/>
  <c r="D107" i="13"/>
  <c r="M106" i="13"/>
  <c r="L106" i="13"/>
  <c r="K106" i="13"/>
  <c r="J106" i="13"/>
  <c r="I106" i="13"/>
  <c r="H106" i="13"/>
  <c r="C106" i="13" s="1"/>
  <c r="G106" i="13"/>
  <c r="F106" i="13"/>
  <c r="E106" i="13"/>
  <c r="D106" i="13"/>
  <c r="M105" i="13"/>
  <c r="L105" i="13"/>
  <c r="K105" i="13"/>
  <c r="J105" i="13"/>
  <c r="I105" i="13"/>
  <c r="H105" i="13"/>
  <c r="C105" i="13" s="1"/>
  <c r="G105" i="13"/>
  <c r="F105" i="13"/>
  <c r="E105" i="13"/>
  <c r="D105" i="13"/>
  <c r="M104" i="13"/>
  <c r="L104" i="13"/>
  <c r="K104" i="13"/>
  <c r="J104" i="13"/>
  <c r="I104" i="13"/>
  <c r="H104" i="13"/>
  <c r="C104" i="13" s="1"/>
  <c r="G104" i="13"/>
  <c r="F104" i="13"/>
  <c r="E104" i="13"/>
  <c r="D104" i="13"/>
  <c r="M103" i="13"/>
  <c r="L103" i="13"/>
  <c r="K103" i="13"/>
  <c r="J103" i="13"/>
  <c r="I103" i="13"/>
  <c r="H103" i="13"/>
  <c r="C103" i="13" s="1"/>
  <c r="G103" i="13"/>
  <c r="F103" i="13"/>
  <c r="E103" i="13"/>
  <c r="D103" i="13"/>
  <c r="M102" i="13"/>
  <c r="L102" i="13"/>
  <c r="K102" i="13"/>
  <c r="J102" i="13"/>
  <c r="I102" i="13"/>
  <c r="H102" i="13"/>
  <c r="C102" i="13" s="1"/>
  <c r="G102" i="13"/>
  <c r="F102" i="13"/>
  <c r="E102" i="13"/>
  <c r="D102" i="13"/>
  <c r="M101" i="13"/>
  <c r="L101" i="13"/>
  <c r="K101" i="13"/>
  <c r="J101" i="13"/>
  <c r="I101" i="13"/>
  <c r="H101" i="13"/>
  <c r="C101" i="13" s="1"/>
  <c r="G101" i="13"/>
  <c r="F101" i="13"/>
  <c r="E101" i="13"/>
  <c r="D101" i="13"/>
  <c r="M100" i="13"/>
  <c r="L100" i="13"/>
  <c r="K100" i="13"/>
  <c r="J100" i="13"/>
  <c r="I100" i="13"/>
  <c r="H100" i="13"/>
  <c r="C100" i="13" s="1"/>
  <c r="G100" i="13"/>
  <c r="F100" i="13"/>
  <c r="E100" i="13"/>
  <c r="D100" i="13"/>
  <c r="M99" i="13"/>
  <c r="L99" i="13"/>
  <c r="K99" i="13"/>
  <c r="J99" i="13"/>
  <c r="I99" i="13"/>
  <c r="H99" i="13"/>
  <c r="C99" i="13" s="1"/>
  <c r="G99" i="13"/>
  <c r="F99" i="13"/>
  <c r="E99" i="13"/>
  <c r="D99" i="13"/>
  <c r="M98" i="13"/>
  <c r="L98" i="13"/>
  <c r="K98" i="13"/>
  <c r="J98" i="13"/>
  <c r="I98" i="13"/>
  <c r="H98" i="13"/>
  <c r="C98" i="13" s="1"/>
  <c r="G98" i="13"/>
  <c r="F98" i="13"/>
  <c r="E98" i="13"/>
  <c r="D98" i="13"/>
  <c r="M97" i="13"/>
  <c r="L97" i="13"/>
  <c r="K97" i="13"/>
  <c r="J97" i="13"/>
  <c r="I97" i="13"/>
  <c r="H97" i="13"/>
  <c r="C97" i="13" s="1"/>
  <c r="G97" i="13"/>
  <c r="F97" i="13"/>
  <c r="E97" i="13"/>
  <c r="D97" i="13"/>
  <c r="M96" i="13"/>
  <c r="L96" i="13"/>
  <c r="K96" i="13"/>
  <c r="J96" i="13"/>
  <c r="I96" i="13"/>
  <c r="H96" i="13"/>
  <c r="G96" i="13"/>
  <c r="F96" i="13"/>
  <c r="E96" i="13"/>
  <c r="D96" i="13"/>
  <c r="M95" i="13"/>
  <c r="L95" i="13"/>
  <c r="K95" i="13"/>
  <c r="J95" i="13"/>
  <c r="I95" i="13"/>
  <c r="H95" i="13"/>
  <c r="C95" i="13" s="1"/>
  <c r="G95" i="13"/>
  <c r="F95" i="13"/>
  <c r="E95" i="13"/>
  <c r="D95" i="13"/>
  <c r="M94" i="13"/>
  <c r="L94" i="13"/>
  <c r="K94" i="13"/>
  <c r="J94" i="13"/>
  <c r="I94" i="13"/>
  <c r="H94" i="13"/>
  <c r="C94" i="13" s="1"/>
  <c r="G94" i="13"/>
  <c r="F94" i="13"/>
  <c r="E94" i="13"/>
  <c r="D94" i="13"/>
  <c r="M93" i="13"/>
  <c r="L93" i="13"/>
  <c r="K93" i="13"/>
  <c r="J93" i="13"/>
  <c r="I93" i="13"/>
  <c r="H93" i="13"/>
  <c r="C93" i="13" s="1"/>
  <c r="G93" i="13"/>
  <c r="F93" i="13"/>
  <c r="E93" i="13"/>
  <c r="D93" i="13"/>
  <c r="M92" i="13"/>
  <c r="L92" i="13"/>
  <c r="K92" i="13"/>
  <c r="J92" i="13"/>
  <c r="I92" i="13"/>
  <c r="H92" i="13"/>
  <c r="C92" i="13" s="1"/>
  <c r="G92" i="13"/>
  <c r="F92" i="13"/>
  <c r="E92" i="13"/>
  <c r="D92" i="13"/>
  <c r="M91" i="13"/>
  <c r="L91" i="13"/>
  <c r="K91" i="13"/>
  <c r="J91" i="13"/>
  <c r="I91" i="13"/>
  <c r="H91" i="13"/>
  <c r="C91" i="13" s="1"/>
  <c r="G91" i="13"/>
  <c r="F91" i="13"/>
  <c r="E91" i="13"/>
  <c r="D91" i="13"/>
  <c r="M90" i="13"/>
  <c r="L90" i="13"/>
  <c r="K90" i="13"/>
  <c r="J90" i="13"/>
  <c r="I90" i="13"/>
  <c r="H90" i="13"/>
  <c r="C90" i="13" s="1"/>
  <c r="G90" i="13"/>
  <c r="F90" i="13"/>
  <c r="E90" i="13"/>
  <c r="D90" i="13"/>
  <c r="M89" i="13"/>
  <c r="L89" i="13"/>
  <c r="K89" i="13"/>
  <c r="J89" i="13"/>
  <c r="I89" i="13"/>
  <c r="H89" i="13"/>
  <c r="C89" i="13" s="1"/>
  <c r="G89" i="13"/>
  <c r="F89" i="13"/>
  <c r="E89" i="13"/>
  <c r="D89" i="13"/>
  <c r="M88" i="13"/>
  <c r="L88" i="13"/>
  <c r="K88" i="13"/>
  <c r="J88" i="13"/>
  <c r="I88" i="13"/>
  <c r="H88" i="13"/>
  <c r="C88" i="13" s="1"/>
  <c r="G88" i="13"/>
  <c r="F88" i="13"/>
  <c r="E88" i="13"/>
  <c r="D88" i="13"/>
  <c r="M87" i="13"/>
  <c r="L87" i="13"/>
  <c r="K87" i="13"/>
  <c r="J87" i="13"/>
  <c r="I87" i="13"/>
  <c r="H87" i="13"/>
  <c r="C87" i="13" s="1"/>
  <c r="G87" i="13"/>
  <c r="F87" i="13"/>
  <c r="E87" i="13"/>
  <c r="D87" i="13"/>
  <c r="M86" i="13"/>
  <c r="L86" i="13"/>
  <c r="K86" i="13"/>
  <c r="J86" i="13"/>
  <c r="I86" i="13"/>
  <c r="H86" i="13"/>
  <c r="C86" i="13" s="1"/>
  <c r="G86" i="13"/>
  <c r="F86" i="13"/>
  <c r="E86" i="13"/>
  <c r="D86" i="13"/>
  <c r="M85" i="13"/>
  <c r="L85" i="13"/>
  <c r="K85" i="13"/>
  <c r="J85" i="13"/>
  <c r="I85" i="13"/>
  <c r="H85" i="13"/>
  <c r="C85" i="13" s="1"/>
  <c r="G85" i="13"/>
  <c r="F85" i="13"/>
  <c r="E85" i="13"/>
  <c r="D85" i="13"/>
  <c r="M84" i="13"/>
  <c r="L84" i="13"/>
  <c r="K84" i="13"/>
  <c r="J84" i="13"/>
  <c r="I84" i="13"/>
  <c r="H84" i="13"/>
  <c r="C84" i="13" s="1"/>
  <c r="G84" i="13"/>
  <c r="F84" i="13"/>
  <c r="E84" i="13"/>
  <c r="D84" i="13"/>
  <c r="M83" i="13"/>
  <c r="L83" i="13"/>
  <c r="K83" i="13"/>
  <c r="J83" i="13"/>
  <c r="I83" i="13"/>
  <c r="H83" i="13"/>
  <c r="C83" i="13" s="1"/>
  <c r="G83" i="13"/>
  <c r="F83" i="13"/>
  <c r="E83" i="13"/>
  <c r="D83" i="13"/>
  <c r="M82" i="13"/>
  <c r="L82" i="13"/>
  <c r="K82" i="13"/>
  <c r="J82" i="13"/>
  <c r="I82" i="13"/>
  <c r="H82" i="13"/>
  <c r="C82" i="13" s="1"/>
  <c r="G82" i="13"/>
  <c r="F82" i="13"/>
  <c r="E82" i="13"/>
  <c r="D82" i="13"/>
  <c r="M81" i="13"/>
  <c r="L81" i="13"/>
  <c r="K81" i="13"/>
  <c r="J81" i="13"/>
  <c r="I81" i="13"/>
  <c r="H81" i="13"/>
  <c r="C81" i="13" s="1"/>
  <c r="G81" i="13"/>
  <c r="F81" i="13"/>
  <c r="E81" i="13"/>
  <c r="D81" i="13"/>
  <c r="M80" i="13"/>
  <c r="L80" i="13"/>
  <c r="K80" i="13"/>
  <c r="J80" i="13"/>
  <c r="I80" i="13"/>
  <c r="H80" i="13"/>
  <c r="C80" i="13" s="1"/>
  <c r="G80" i="13"/>
  <c r="F80" i="13"/>
  <c r="E80" i="13"/>
  <c r="D80" i="13"/>
  <c r="M79" i="13"/>
  <c r="L79" i="13"/>
  <c r="K79" i="13"/>
  <c r="J79" i="13"/>
  <c r="I79" i="13"/>
  <c r="H79" i="13"/>
  <c r="C79" i="13" s="1"/>
  <c r="G79" i="13"/>
  <c r="F79" i="13"/>
  <c r="E79" i="13"/>
  <c r="D79" i="13"/>
  <c r="M78" i="13"/>
  <c r="L78" i="13"/>
  <c r="K78" i="13"/>
  <c r="J78" i="13"/>
  <c r="I78" i="13"/>
  <c r="H78" i="13"/>
  <c r="C78" i="13" s="1"/>
  <c r="G78" i="13"/>
  <c r="F78" i="13"/>
  <c r="E78" i="13"/>
  <c r="D78" i="13"/>
  <c r="M77" i="13"/>
  <c r="L77" i="13"/>
  <c r="K77" i="13"/>
  <c r="J77" i="13"/>
  <c r="I77" i="13"/>
  <c r="H77" i="13"/>
  <c r="C77" i="13" s="1"/>
  <c r="G77" i="13"/>
  <c r="F77" i="13"/>
  <c r="E77" i="13"/>
  <c r="D77" i="13"/>
  <c r="M76" i="13"/>
  <c r="L76" i="13"/>
  <c r="K76" i="13"/>
  <c r="J76" i="13"/>
  <c r="I76" i="13"/>
  <c r="H76" i="13"/>
  <c r="C76" i="13" s="1"/>
  <c r="G76" i="13"/>
  <c r="F76" i="13"/>
  <c r="E76" i="13"/>
  <c r="D76" i="13"/>
  <c r="M75" i="13"/>
  <c r="L75" i="13"/>
  <c r="K75" i="13"/>
  <c r="J75" i="13"/>
  <c r="I75" i="13"/>
  <c r="H75" i="13"/>
  <c r="C75" i="13" s="1"/>
  <c r="G75" i="13"/>
  <c r="F75" i="13"/>
  <c r="E75" i="13"/>
  <c r="D75" i="13"/>
  <c r="M74" i="13"/>
  <c r="L74" i="13"/>
  <c r="K74" i="13"/>
  <c r="J74" i="13"/>
  <c r="I74" i="13"/>
  <c r="H74" i="13"/>
  <c r="C74" i="13" s="1"/>
  <c r="G74" i="13"/>
  <c r="F74" i="13"/>
  <c r="E74" i="13"/>
  <c r="D74" i="13"/>
  <c r="M73" i="13"/>
  <c r="L73" i="13"/>
  <c r="K73" i="13"/>
  <c r="J73" i="13"/>
  <c r="I73" i="13"/>
  <c r="H73" i="13"/>
  <c r="C73" i="13" s="1"/>
  <c r="G73" i="13"/>
  <c r="F73" i="13"/>
  <c r="E73" i="13"/>
  <c r="D73" i="13"/>
  <c r="M72" i="13"/>
  <c r="L72" i="13"/>
  <c r="K72" i="13"/>
  <c r="J72" i="13"/>
  <c r="I72" i="13"/>
  <c r="H72" i="13"/>
  <c r="C72" i="13" s="1"/>
  <c r="G72" i="13"/>
  <c r="F72" i="13"/>
  <c r="E72" i="13"/>
  <c r="D72" i="13"/>
  <c r="M71" i="13"/>
  <c r="L71" i="13"/>
  <c r="K71" i="13"/>
  <c r="J71" i="13"/>
  <c r="I71" i="13"/>
  <c r="H71" i="13"/>
  <c r="C71" i="13" s="1"/>
  <c r="G71" i="13"/>
  <c r="F71" i="13"/>
  <c r="E71" i="13"/>
  <c r="D71" i="13"/>
  <c r="M70" i="13"/>
  <c r="L70" i="13"/>
  <c r="K70" i="13"/>
  <c r="J70" i="13"/>
  <c r="I70" i="13"/>
  <c r="H70" i="13"/>
  <c r="C70" i="13" s="1"/>
  <c r="G70" i="13"/>
  <c r="F70" i="13"/>
  <c r="E70" i="13"/>
  <c r="D70" i="13"/>
  <c r="M69" i="13"/>
  <c r="L69" i="13"/>
  <c r="K69" i="13"/>
  <c r="J69" i="13"/>
  <c r="I69" i="13"/>
  <c r="H69" i="13"/>
  <c r="C69" i="13" s="1"/>
  <c r="G69" i="13"/>
  <c r="F69" i="13"/>
  <c r="E69" i="13"/>
  <c r="D69" i="13"/>
  <c r="M68" i="13"/>
  <c r="L68" i="13"/>
  <c r="K68" i="13"/>
  <c r="J68" i="13"/>
  <c r="I68" i="13"/>
  <c r="H68" i="13"/>
  <c r="C68" i="13" s="1"/>
  <c r="G68" i="13"/>
  <c r="F68" i="13"/>
  <c r="E68" i="13"/>
  <c r="D68" i="13"/>
  <c r="M67" i="13"/>
  <c r="L67" i="13"/>
  <c r="K67" i="13"/>
  <c r="J67" i="13"/>
  <c r="I67" i="13"/>
  <c r="H67" i="13"/>
  <c r="C67" i="13" s="1"/>
  <c r="G67" i="13"/>
  <c r="F67" i="13"/>
  <c r="E67" i="13"/>
  <c r="D67" i="13"/>
  <c r="M66" i="13"/>
  <c r="L66" i="13"/>
  <c r="K66" i="13"/>
  <c r="J66" i="13"/>
  <c r="I66" i="13"/>
  <c r="H66" i="13"/>
  <c r="C66" i="13" s="1"/>
  <c r="G66" i="13"/>
  <c r="F66" i="13"/>
  <c r="E66" i="13"/>
  <c r="D66" i="13"/>
  <c r="M65" i="13"/>
  <c r="L65" i="13"/>
  <c r="K65" i="13"/>
  <c r="J65" i="13"/>
  <c r="I65" i="13"/>
  <c r="H65" i="13"/>
  <c r="G65" i="13"/>
  <c r="F65" i="13"/>
  <c r="E65" i="13"/>
  <c r="D65" i="13"/>
  <c r="M64" i="13"/>
  <c r="L64" i="13"/>
  <c r="K64" i="13"/>
  <c r="J64" i="13"/>
  <c r="I64" i="13"/>
  <c r="H64" i="13"/>
  <c r="C64" i="13" s="1"/>
  <c r="G64" i="13"/>
  <c r="F64" i="13"/>
  <c r="E64" i="13"/>
  <c r="D64" i="13"/>
  <c r="M63" i="13"/>
  <c r="L63" i="13"/>
  <c r="K63" i="13"/>
  <c r="J63" i="13"/>
  <c r="I63" i="13"/>
  <c r="H63" i="13"/>
  <c r="C63" i="13" s="1"/>
  <c r="G63" i="13"/>
  <c r="F63" i="13"/>
  <c r="E63" i="13"/>
  <c r="D63" i="13"/>
  <c r="M62" i="13"/>
  <c r="L62" i="13"/>
  <c r="K62" i="13"/>
  <c r="J62" i="13"/>
  <c r="I62" i="13"/>
  <c r="H62" i="13"/>
  <c r="C62" i="13" s="1"/>
  <c r="G62" i="13"/>
  <c r="F62" i="13"/>
  <c r="E62" i="13"/>
  <c r="D62" i="13"/>
  <c r="M61" i="13"/>
  <c r="L61" i="13"/>
  <c r="K61" i="13"/>
  <c r="J61" i="13"/>
  <c r="I61" i="13"/>
  <c r="H61" i="13"/>
  <c r="C61" i="13" s="1"/>
  <c r="G61" i="13"/>
  <c r="F61" i="13"/>
  <c r="E61" i="13"/>
  <c r="D61" i="13"/>
  <c r="M60" i="13"/>
  <c r="L60" i="13"/>
  <c r="K60" i="13"/>
  <c r="J60" i="13"/>
  <c r="I60" i="13"/>
  <c r="H60" i="13"/>
  <c r="C60" i="13" s="1"/>
  <c r="G60" i="13"/>
  <c r="F60" i="13"/>
  <c r="E60" i="13"/>
  <c r="D60" i="13"/>
  <c r="M59" i="13"/>
  <c r="L59" i="13"/>
  <c r="K59" i="13"/>
  <c r="J59" i="13"/>
  <c r="I59" i="13"/>
  <c r="H59" i="13"/>
  <c r="C59" i="13" s="1"/>
  <c r="G59" i="13"/>
  <c r="F59" i="13"/>
  <c r="E59" i="13"/>
  <c r="D59" i="13"/>
  <c r="M58" i="13"/>
  <c r="L58" i="13"/>
  <c r="K58" i="13"/>
  <c r="J58" i="13"/>
  <c r="I58" i="13"/>
  <c r="H58" i="13"/>
  <c r="C58" i="13" s="1"/>
  <c r="G58" i="13"/>
  <c r="F58" i="13"/>
  <c r="E58" i="13"/>
  <c r="D58" i="13"/>
  <c r="M57" i="13"/>
  <c r="L57" i="13"/>
  <c r="K57" i="13"/>
  <c r="J57" i="13"/>
  <c r="I57" i="13"/>
  <c r="H57" i="13"/>
  <c r="C57" i="13" s="1"/>
  <c r="G57" i="13"/>
  <c r="F57" i="13"/>
  <c r="E57" i="13"/>
  <c r="D57" i="13"/>
  <c r="M56" i="13"/>
  <c r="L56" i="13"/>
  <c r="K56" i="13"/>
  <c r="J56" i="13"/>
  <c r="I56" i="13"/>
  <c r="H56" i="13"/>
  <c r="C56" i="13" s="1"/>
  <c r="G56" i="13"/>
  <c r="F56" i="13"/>
  <c r="E56" i="13"/>
  <c r="D56" i="13"/>
  <c r="M55" i="13"/>
  <c r="L55" i="13"/>
  <c r="K55" i="13"/>
  <c r="J55" i="13"/>
  <c r="I55" i="13"/>
  <c r="H55" i="13"/>
  <c r="C55" i="13" s="1"/>
  <c r="G55" i="13"/>
  <c r="F55" i="13"/>
  <c r="E55" i="13"/>
  <c r="D55" i="13"/>
  <c r="M54" i="13"/>
  <c r="L54" i="13"/>
  <c r="K54" i="13"/>
  <c r="J54" i="13"/>
  <c r="I54" i="13"/>
  <c r="H54" i="13"/>
  <c r="C54" i="13" s="1"/>
  <c r="G54" i="13"/>
  <c r="F54" i="13"/>
  <c r="E54" i="13"/>
  <c r="D54" i="13"/>
  <c r="M53" i="13"/>
  <c r="L53" i="13"/>
  <c r="K53" i="13"/>
  <c r="J53" i="13"/>
  <c r="I53" i="13"/>
  <c r="H53" i="13"/>
  <c r="C53" i="13" s="1"/>
  <c r="G53" i="13"/>
  <c r="F53" i="13"/>
  <c r="E53" i="13"/>
  <c r="D53" i="13"/>
  <c r="M52" i="13"/>
  <c r="L52" i="13"/>
  <c r="K52" i="13"/>
  <c r="J52" i="13"/>
  <c r="I52" i="13"/>
  <c r="H52" i="13"/>
  <c r="C52" i="13" s="1"/>
  <c r="G52" i="13"/>
  <c r="F52" i="13"/>
  <c r="E52" i="13"/>
  <c r="D52" i="13"/>
  <c r="M51" i="13"/>
  <c r="L51" i="13"/>
  <c r="K51" i="13"/>
  <c r="J51" i="13"/>
  <c r="I51" i="13"/>
  <c r="H51" i="13"/>
  <c r="C51" i="13" s="1"/>
  <c r="G51" i="13"/>
  <c r="F51" i="13"/>
  <c r="E51" i="13"/>
  <c r="D51" i="13"/>
  <c r="M50" i="13"/>
  <c r="L50" i="13"/>
  <c r="K50" i="13"/>
  <c r="J50" i="13"/>
  <c r="I50" i="13"/>
  <c r="H50" i="13"/>
  <c r="C50" i="13" s="1"/>
  <c r="G50" i="13"/>
  <c r="F50" i="13"/>
  <c r="E50" i="13"/>
  <c r="D50" i="13"/>
  <c r="M49" i="13"/>
  <c r="L49" i="13"/>
  <c r="K49" i="13"/>
  <c r="J49" i="13"/>
  <c r="I49" i="13"/>
  <c r="H49" i="13"/>
  <c r="C49" i="13" s="1"/>
  <c r="G49" i="13"/>
  <c r="F49" i="13"/>
  <c r="E49" i="13"/>
  <c r="D49" i="13"/>
  <c r="M48" i="13"/>
  <c r="L48" i="13"/>
  <c r="K48" i="13"/>
  <c r="J48" i="13"/>
  <c r="I48" i="13"/>
  <c r="H48" i="13"/>
  <c r="C48" i="13" s="1"/>
  <c r="G48" i="13"/>
  <c r="F48" i="13"/>
  <c r="E48" i="13"/>
  <c r="D48" i="13"/>
  <c r="M47" i="13"/>
  <c r="L47" i="13"/>
  <c r="K47" i="13"/>
  <c r="J47" i="13"/>
  <c r="I47" i="13"/>
  <c r="H47" i="13"/>
  <c r="C47" i="13" s="1"/>
  <c r="G47" i="13"/>
  <c r="F47" i="13"/>
  <c r="E47" i="13"/>
  <c r="D47" i="13"/>
  <c r="M46" i="13"/>
  <c r="L46" i="13"/>
  <c r="K46" i="13"/>
  <c r="J46" i="13"/>
  <c r="I46" i="13"/>
  <c r="H46" i="13"/>
  <c r="C46" i="13" s="1"/>
  <c r="G46" i="13"/>
  <c r="F46" i="13"/>
  <c r="E46" i="13"/>
  <c r="D46" i="13"/>
  <c r="M45" i="13"/>
  <c r="L45" i="13"/>
  <c r="K45" i="13"/>
  <c r="J45" i="13"/>
  <c r="I45" i="13"/>
  <c r="H45" i="13"/>
  <c r="C45" i="13" s="1"/>
  <c r="G45" i="13"/>
  <c r="F45" i="13"/>
  <c r="E45" i="13"/>
  <c r="D45" i="13"/>
  <c r="M44" i="13"/>
  <c r="L44" i="13"/>
  <c r="K44" i="13"/>
  <c r="J44" i="13"/>
  <c r="I44" i="13"/>
  <c r="H44" i="13"/>
  <c r="C44" i="13" s="1"/>
  <c r="G44" i="13"/>
  <c r="F44" i="13"/>
  <c r="E44" i="13"/>
  <c r="D44" i="13"/>
  <c r="M43" i="13"/>
  <c r="L43" i="13"/>
  <c r="K43" i="13"/>
  <c r="J43" i="13"/>
  <c r="I43" i="13"/>
  <c r="H43" i="13"/>
  <c r="C43" i="13" s="1"/>
  <c r="G43" i="13"/>
  <c r="F43" i="13"/>
  <c r="E43" i="13"/>
  <c r="D43" i="13"/>
  <c r="M42" i="13"/>
  <c r="L42" i="13"/>
  <c r="K42" i="13"/>
  <c r="J42" i="13"/>
  <c r="I42" i="13"/>
  <c r="H42" i="13"/>
  <c r="C42" i="13" s="1"/>
  <c r="G42" i="13"/>
  <c r="F42" i="13"/>
  <c r="E42" i="13"/>
  <c r="D42" i="13"/>
  <c r="M41" i="13"/>
  <c r="L41" i="13"/>
  <c r="K41" i="13"/>
  <c r="J41" i="13"/>
  <c r="I41" i="13"/>
  <c r="H41" i="13"/>
  <c r="C41" i="13" s="1"/>
  <c r="G41" i="13"/>
  <c r="F41" i="13"/>
  <c r="E41" i="13"/>
  <c r="D41" i="13"/>
  <c r="M40" i="13"/>
  <c r="L40" i="13"/>
  <c r="K40" i="13"/>
  <c r="J40" i="13"/>
  <c r="I40" i="13"/>
  <c r="H40" i="13"/>
  <c r="C40" i="13" s="1"/>
  <c r="G40" i="13"/>
  <c r="F40" i="13"/>
  <c r="E40" i="13"/>
  <c r="D40" i="13"/>
  <c r="M39" i="13"/>
  <c r="L39" i="13"/>
  <c r="K39" i="13"/>
  <c r="J39" i="13"/>
  <c r="I39" i="13"/>
  <c r="H39" i="13"/>
  <c r="C39" i="13" s="1"/>
  <c r="G39" i="13"/>
  <c r="F39" i="13"/>
  <c r="E39" i="13"/>
  <c r="D39" i="13"/>
  <c r="M38" i="13"/>
  <c r="L38" i="13"/>
  <c r="K38" i="13"/>
  <c r="J38" i="13"/>
  <c r="I38" i="13"/>
  <c r="H38" i="13"/>
  <c r="C38" i="13" s="1"/>
  <c r="G38" i="13"/>
  <c r="F38" i="13"/>
  <c r="E38" i="13"/>
  <c r="D38" i="13"/>
  <c r="M37" i="13"/>
  <c r="L37" i="13"/>
  <c r="K37" i="13"/>
  <c r="J37" i="13"/>
  <c r="I37" i="13"/>
  <c r="H37" i="13"/>
  <c r="G37" i="13"/>
  <c r="F37" i="13"/>
  <c r="E37" i="13"/>
  <c r="D37" i="13"/>
  <c r="M36" i="13"/>
  <c r="L36" i="13"/>
  <c r="K36" i="13"/>
  <c r="J36" i="13"/>
  <c r="I36" i="13"/>
  <c r="H36" i="13"/>
  <c r="C36" i="13" s="1"/>
  <c r="G36" i="13"/>
  <c r="F36" i="13"/>
  <c r="E36" i="13"/>
  <c r="D36" i="13"/>
  <c r="M35" i="13"/>
  <c r="L35" i="13"/>
  <c r="K35" i="13"/>
  <c r="J35" i="13"/>
  <c r="I35" i="13"/>
  <c r="H35" i="13"/>
  <c r="C35" i="13" s="1"/>
  <c r="G35" i="13"/>
  <c r="F35" i="13"/>
  <c r="E35" i="13"/>
  <c r="D35" i="13"/>
  <c r="M34" i="13"/>
  <c r="L34" i="13"/>
  <c r="K34" i="13"/>
  <c r="J34" i="13"/>
  <c r="I34" i="13"/>
  <c r="H34" i="13"/>
  <c r="C34" i="13" s="1"/>
  <c r="G34" i="13"/>
  <c r="F34" i="13"/>
  <c r="E34" i="13"/>
  <c r="D34" i="13"/>
  <c r="M33" i="13"/>
  <c r="L33" i="13"/>
  <c r="K33" i="13"/>
  <c r="J33" i="13"/>
  <c r="I33" i="13"/>
  <c r="H33" i="13"/>
  <c r="C33" i="13" s="1"/>
  <c r="G33" i="13"/>
  <c r="F33" i="13"/>
  <c r="E33" i="13"/>
  <c r="D33" i="13"/>
  <c r="M32" i="13"/>
  <c r="L32" i="13"/>
  <c r="K32" i="13"/>
  <c r="J32" i="13"/>
  <c r="I32" i="13"/>
  <c r="H32" i="13"/>
  <c r="C32" i="13" s="1"/>
  <c r="G32" i="13"/>
  <c r="F32" i="13"/>
  <c r="E32" i="13"/>
  <c r="D32" i="13"/>
  <c r="M31" i="13"/>
  <c r="L31" i="13"/>
  <c r="K31" i="13"/>
  <c r="J31" i="13"/>
  <c r="I31" i="13"/>
  <c r="H31" i="13"/>
  <c r="C31" i="13" s="1"/>
  <c r="G31" i="13"/>
  <c r="F31" i="13"/>
  <c r="E31" i="13"/>
  <c r="D31" i="13"/>
  <c r="M30" i="13"/>
  <c r="L30" i="13"/>
  <c r="K30" i="13"/>
  <c r="J30" i="13"/>
  <c r="I30" i="13"/>
  <c r="H30" i="13"/>
  <c r="C30" i="13" s="1"/>
  <c r="G30" i="13"/>
  <c r="F30" i="13"/>
  <c r="E30" i="13"/>
  <c r="D30" i="13"/>
  <c r="M29" i="13"/>
  <c r="L29" i="13"/>
  <c r="K29" i="13"/>
  <c r="J29" i="13"/>
  <c r="I29" i="13"/>
  <c r="H29" i="13"/>
  <c r="C29" i="13" s="1"/>
  <c r="G29" i="13"/>
  <c r="F29" i="13"/>
  <c r="E29" i="13"/>
  <c r="D29" i="13"/>
  <c r="M28" i="13"/>
  <c r="L28" i="13"/>
  <c r="K28" i="13"/>
  <c r="J28" i="13"/>
  <c r="I28" i="13"/>
  <c r="H28" i="13"/>
  <c r="C28" i="13" s="1"/>
  <c r="G28" i="13"/>
  <c r="F28" i="13"/>
  <c r="E28" i="13"/>
  <c r="D28" i="13"/>
  <c r="M27" i="13"/>
  <c r="L27" i="13"/>
  <c r="K27" i="13"/>
  <c r="J27" i="13"/>
  <c r="I27" i="13"/>
  <c r="H27" i="13"/>
  <c r="C27" i="13" s="1"/>
  <c r="G27" i="13"/>
  <c r="F27" i="13"/>
  <c r="E27" i="13"/>
  <c r="D27" i="13"/>
  <c r="M26" i="13"/>
  <c r="L26" i="13"/>
  <c r="K26" i="13"/>
  <c r="J26" i="13"/>
  <c r="I26" i="13"/>
  <c r="H26" i="13"/>
  <c r="C26" i="13" s="1"/>
  <c r="G26" i="13"/>
  <c r="F26" i="13"/>
  <c r="E26" i="13"/>
  <c r="D26" i="13"/>
  <c r="M25" i="13"/>
  <c r="L25" i="13"/>
  <c r="K25" i="13"/>
  <c r="J25" i="13"/>
  <c r="I25" i="13"/>
  <c r="H25" i="13"/>
  <c r="C25" i="13" s="1"/>
  <c r="G25" i="13"/>
  <c r="F25" i="13"/>
  <c r="E25" i="13"/>
  <c r="D25" i="13"/>
  <c r="M24" i="13"/>
  <c r="L24" i="13"/>
  <c r="K24" i="13"/>
  <c r="J24" i="13"/>
  <c r="I24" i="13"/>
  <c r="H24" i="13"/>
  <c r="C24" i="13" s="1"/>
  <c r="G24" i="13"/>
  <c r="F24" i="13"/>
  <c r="E24" i="13"/>
  <c r="D24" i="13"/>
  <c r="M23" i="13"/>
  <c r="L23" i="13"/>
  <c r="K23" i="13"/>
  <c r="J23" i="13"/>
  <c r="I23" i="13"/>
  <c r="H23" i="13"/>
  <c r="C23" i="13" s="1"/>
  <c r="G23" i="13"/>
  <c r="F23" i="13"/>
  <c r="E23" i="13"/>
  <c r="D23" i="13"/>
  <c r="M22" i="13"/>
  <c r="L22" i="13"/>
  <c r="K22" i="13"/>
  <c r="J22" i="13"/>
  <c r="I22" i="13"/>
  <c r="H22" i="13"/>
  <c r="C22" i="13" s="1"/>
  <c r="G22" i="13"/>
  <c r="F22" i="13"/>
  <c r="E22" i="13"/>
  <c r="D22" i="13"/>
  <c r="M21" i="13"/>
  <c r="L21" i="13"/>
  <c r="K21" i="13"/>
  <c r="J21" i="13"/>
  <c r="I21" i="13"/>
  <c r="H21" i="13"/>
  <c r="C21" i="13" s="1"/>
  <c r="G21" i="13"/>
  <c r="F21" i="13"/>
  <c r="E21" i="13"/>
  <c r="D21" i="13"/>
  <c r="M20" i="13"/>
  <c r="L20" i="13"/>
  <c r="K20" i="13"/>
  <c r="J20" i="13"/>
  <c r="I20" i="13"/>
  <c r="H20" i="13"/>
  <c r="C20" i="13" s="1"/>
  <c r="G20" i="13"/>
  <c r="F20" i="13"/>
  <c r="E20" i="13"/>
  <c r="D20" i="13"/>
  <c r="M19" i="13"/>
  <c r="L19" i="13"/>
  <c r="K19" i="13"/>
  <c r="J19" i="13"/>
  <c r="I19" i="13"/>
  <c r="H19" i="13"/>
  <c r="C19" i="13" s="1"/>
  <c r="G19" i="13"/>
  <c r="F19" i="13"/>
  <c r="E19" i="13"/>
  <c r="D19" i="13"/>
  <c r="M18" i="13"/>
  <c r="L18" i="13"/>
  <c r="K18" i="13"/>
  <c r="J18" i="13"/>
  <c r="I18" i="13"/>
  <c r="H18" i="13"/>
  <c r="C18" i="13" s="1"/>
  <c r="G18" i="13"/>
  <c r="F18" i="13"/>
  <c r="E18" i="13"/>
  <c r="D18" i="13"/>
  <c r="M17" i="13"/>
  <c r="L17" i="13"/>
  <c r="K17" i="13"/>
  <c r="J17" i="13"/>
  <c r="I17" i="13"/>
  <c r="H17" i="13"/>
  <c r="C17" i="13" s="1"/>
  <c r="G17" i="13"/>
  <c r="F17" i="13"/>
  <c r="E17" i="13"/>
  <c r="D17" i="13"/>
  <c r="M16" i="13"/>
  <c r="L16" i="13"/>
  <c r="K16" i="13"/>
  <c r="J16" i="13"/>
  <c r="I16" i="13"/>
  <c r="H16" i="13"/>
  <c r="C16" i="13" s="1"/>
  <c r="G16" i="13"/>
  <c r="F16" i="13"/>
  <c r="E16" i="13"/>
  <c r="D16" i="13"/>
  <c r="M15" i="13"/>
  <c r="L15" i="13"/>
  <c r="K15" i="13"/>
  <c r="J15" i="13"/>
  <c r="I15" i="13"/>
  <c r="H15" i="13"/>
  <c r="C15" i="13" s="1"/>
  <c r="G15" i="13"/>
  <c r="F15" i="13"/>
  <c r="E15" i="13"/>
  <c r="D15" i="13"/>
  <c r="M14" i="13"/>
  <c r="L14" i="13"/>
  <c r="K14" i="13"/>
  <c r="J14" i="13"/>
  <c r="I14" i="13"/>
  <c r="H14" i="13"/>
  <c r="C14" i="13" s="1"/>
  <c r="G14" i="13"/>
  <c r="F14" i="13"/>
  <c r="E14" i="13"/>
  <c r="D14" i="13"/>
  <c r="M13" i="13"/>
  <c r="L13" i="13"/>
  <c r="K13" i="13"/>
  <c r="J13" i="13"/>
  <c r="I13" i="13"/>
  <c r="H13" i="13"/>
  <c r="C13" i="13" s="1"/>
  <c r="G13" i="13"/>
  <c r="F13" i="13"/>
  <c r="E13" i="13"/>
  <c r="D13" i="13"/>
  <c r="M12" i="13"/>
  <c r="L12" i="13"/>
  <c r="K12" i="13"/>
  <c r="J12" i="13"/>
  <c r="I12" i="13"/>
  <c r="H12" i="13"/>
  <c r="C12" i="13" s="1"/>
  <c r="G12" i="13"/>
  <c r="F12" i="13"/>
  <c r="E12" i="13"/>
  <c r="D12" i="13"/>
  <c r="M11" i="13"/>
  <c r="L11" i="13"/>
  <c r="K11" i="13"/>
  <c r="J11" i="13"/>
  <c r="I11" i="13"/>
  <c r="H11" i="13"/>
  <c r="C11" i="13" s="1"/>
  <c r="G11" i="13"/>
  <c r="F11" i="13"/>
  <c r="E11" i="13"/>
  <c r="D11" i="13"/>
  <c r="M10" i="13"/>
  <c r="L10" i="13"/>
  <c r="K10" i="13"/>
  <c r="J10" i="13"/>
  <c r="I10" i="13"/>
  <c r="H10" i="13"/>
  <c r="C10" i="13" s="1"/>
  <c r="G10" i="13"/>
  <c r="F10" i="13"/>
  <c r="E10" i="13"/>
  <c r="D10" i="13"/>
  <c r="M9" i="13"/>
  <c r="L9" i="13"/>
  <c r="K9" i="13"/>
  <c r="J9" i="13"/>
  <c r="I9" i="13"/>
  <c r="H9" i="13"/>
  <c r="C9" i="13" s="1"/>
  <c r="G9" i="13"/>
  <c r="F9" i="13"/>
  <c r="E9" i="13"/>
  <c r="D9" i="13"/>
  <c r="M8" i="13"/>
  <c r="L8" i="13"/>
  <c r="K8" i="13"/>
  <c r="J8" i="13"/>
  <c r="I8" i="13"/>
  <c r="H8" i="13"/>
  <c r="C8" i="13" s="1"/>
  <c r="G8" i="13"/>
  <c r="F8" i="13"/>
  <c r="E8" i="13"/>
  <c r="D8" i="13"/>
  <c r="M7" i="13"/>
  <c r="L7" i="13"/>
  <c r="K7" i="13"/>
  <c r="J7" i="13"/>
  <c r="I7" i="13"/>
  <c r="H7" i="13"/>
  <c r="C7" i="13" s="1"/>
  <c r="G7" i="13"/>
  <c r="F7" i="13"/>
  <c r="E7" i="13"/>
  <c r="D7" i="13"/>
  <c r="M6" i="13"/>
  <c r="L6" i="13"/>
  <c r="K6" i="13"/>
  <c r="J6" i="13"/>
  <c r="I6" i="13"/>
  <c r="H6" i="13"/>
  <c r="G6" i="13"/>
  <c r="F6" i="13"/>
  <c r="E6" i="13"/>
  <c r="D6" i="13"/>
  <c r="T388" i="11"/>
  <c r="S388" i="11"/>
  <c r="R388" i="11"/>
  <c r="T387" i="11"/>
  <c r="S387" i="11"/>
  <c r="R387" i="11"/>
  <c r="T386" i="11"/>
  <c r="S386" i="11"/>
  <c r="R386" i="11"/>
  <c r="T385" i="11"/>
  <c r="S385" i="11"/>
  <c r="R385" i="11"/>
  <c r="T384" i="11"/>
  <c r="S384" i="11"/>
  <c r="R384" i="11"/>
  <c r="T383" i="11"/>
  <c r="S383" i="11"/>
  <c r="R383" i="11"/>
  <c r="T382" i="11"/>
  <c r="S382" i="11"/>
  <c r="R382" i="11"/>
  <c r="T381" i="11"/>
  <c r="S381" i="11"/>
  <c r="R381" i="11"/>
  <c r="T380" i="11"/>
  <c r="S380" i="11"/>
  <c r="R380" i="11"/>
  <c r="T379" i="11"/>
  <c r="S379" i="11"/>
  <c r="R379" i="11"/>
  <c r="T378" i="11"/>
  <c r="S378" i="11"/>
  <c r="R378" i="11"/>
  <c r="T377" i="11"/>
  <c r="S377" i="11"/>
  <c r="R377" i="11"/>
  <c r="M368" i="11"/>
  <c r="L368" i="11"/>
  <c r="K368" i="11"/>
  <c r="J368" i="11"/>
  <c r="I368" i="11"/>
  <c r="H368" i="11"/>
  <c r="C368" i="11" s="1"/>
  <c r="G368" i="11"/>
  <c r="D368" i="11"/>
  <c r="M367" i="11"/>
  <c r="L367" i="11"/>
  <c r="K367" i="11"/>
  <c r="J367" i="11"/>
  <c r="I367" i="11"/>
  <c r="H367" i="11"/>
  <c r="C367" i="11" s="1"/>
  <c r="G367" i="11"/>
  <c r="D367" i="11"/>
  <c r="M366" i="11"/>
  <c r="L366" i="11"/>
  <c r="K366" i="11"/>
  <c r="J366" i="11"/>
  <c r="I366" i="11"/>
  <c r="H366" i="11"/>
  <c r="C366" i="11" s="1"/>
  <c r="G366" i="11"/>
  <c r="F366" i="11"/>
  <c r="E366" i="11"/>
  <c r="D366" i="11"/>
  <c r="M365" i="11"/>
  <c r="L365" i="11"/>
  <c r="K365" i="11"/>
  <c r="J365" i="11"/>
  <c r="I365" i="11"/>
  <c r="H365" i="11"/>
  <c r="C365" i="11" s="1"/>
  <c r="G365" i="11"/>
  <c r="F365" i="11"/>
  <c r="E365" i="11"/>
  <c r="D365" i="11"/>
  <c r="M364" i="11"/>
  <c r="L364" i="11"/>
  <c r="K364" i="11"/>
  <c r="J364" i="11"/>
  <c r="I364" i="11"/>
  <c r="H364" i="11"/>
  <c r="C364" i="11" s="1"/>
  <c r="G364" i="11"/>
  <c r="F364" i="11"/>
  <c r="E364" i="11"/>
  <c r="D364" i="11"/>
  <c r="M363" i="11"/>
  <c r="L363" i="11"/>
  <c r="K363" i="11"/>
  <c r="J363" i="11"/>
  <c r="I363" i="11"/>
  <c r="H363" i="11"/>
  <c r="C363" i="11" s="1"/>
  <c r="G363" i="11"/>
  <c r="F363" i="11"/>
  <c r="E363" i="11"/>
  <c r="D363" i="11"/>
  <c r="M362" i="11"/>
  <c r="L362" i="11"/>
  <c r="K362" i="11"/>
  <c r="J362" i="11"/>
  <c r="I362" i="11"/>
  <c r="H362" i="11"/>
  <c r="C362" i="11" s="1"/>
  <c r="G362" i="11"/>
  <c r="F362" i="11"/>
  <c r="E362" i="11"/>
  <c r="D362" i="11"/>
  <c r="M361" i="11"/>
  <c r="L361" i="11"/>
  <c r="K361" i="11"/>
  <c r="J361" i="11"/>
  <c r="I361" i="11"/>
  <c r="H361" i="11"/>
  <c r="C361" i="11" s="1"/>
  <c r="G361" i="11"/>
  <c r="F361" i="11"/>
  <c r="E361" i="11"/>
  <c r="D361" i="11"/>
  <c r="M360" i="11"/>
  <c r="L360" i="11"/>
  <c r="K360" i="11"/>
  <c r="J360" i="11"/>
  <c r="I360" i="11"/>
  <c r="H360" i="11"/>
  <c r="C360" i="11" s="1"/>
  <c r="G360" i="11"/>
  <c r="F360" i="11"/>
  <c r="E360" i="11"/>
  <c r="D360" i="11"/>
  <c r="M359" i="11"/>
  <c r="L359" i="11"/>
  <c r="K359" i="11"/>
  <c r="J359" i="11"/>
  <c r="I359" i="11"/>
  <c r="H359" i="11"/>
  <c r="C359" i="11" s="1"/>
  <c r="G359" i="11"/>
  <c r="F359" i="11"/>
  <c r="E359" i="11"/>
  <c r="D359" i="11"/>
  <c r="M358" i="11"/>
  <c r="L358" i="11"/>
  <c r="K358" i="11"/>
  <c r="J358" i="11"/>
  <c r="I358" i="11"/>
  <c r="H358" i="11"/>
  <c r="C358" i="11" s="1"/>
  <c r="G358" i="11"/>
  <c r="F358" i="11"/>
  <c r="E358" i="11"/>
  <c r="D358" i="11"/>
  <c r="M357" i="11"/>
  <c r="L357" i="11"/>
  <c r="K357" i="11"/>
  <c r="J357" i="11"/>
  <c r="I357" i="11"/>
  <c r="H357" i="11"/>
  <c r="C357" i="11" s="1"/>
  <c r="G357" i="11"/>
  <c r="F357" i="11"/>
  <c r="E357" i="11"/>
  <c r="D357" i="11"/>
  <c r="M356" i="11"/>
  <c r="L356" i="11"/>
  <c r="K356" i="11"/>
  <c r="J356" i="11"/>
  <c r="I356" i="11"/>
  <c r="H356" i="11"/>
  <c r="C356" i="11" s="1"/>
  <c r="G356" i="11"/>
  <c r="F356" i="11"/>
  <c r="E356" i="11"/>
  <c r="D356" i="11"/>
  <c r="M355" i="11"/>
  <c r="L355" i="11"/>
  <c r="K355" i="11"/>
  <c r="J355" i="11"/>
  <c r="I355" i="11"/>
  <c r="H355" i="11"/>
  <c r="C355" i="11" s="1"/>
  <c r="G355" i="11"/>
  <c r="F355" i="11"/>
  <c r="E355" i="11"/>
  <c r="D355" i="11"/>
  <c r="M354" i="11"/>
  <c r="L354" i="11"/>
  <c r="K354" i="11"/>
  <c r="J354" i="11"/>
  <c r="I354" i="11"/>
  <c r="H354" i="11"/>
  <c r="C354" i="11" s="1"/>
  <c r="G354" i="11"/>
  <c r="F354" i="11"/>
  <c r="E354" i="11"/>
  <c r="D354" i="11"/>
  <c r="M353" i="11"/>
  <c r="L353" i="11"/>
  <c r="K353" i="11"/>
  <c r="J353" i="11"/>
  <c r="I353" i="11"/>
  <c r="H353" i="11"/>
  <c r="C353" i="11" s="1"/>
  <c r="G353" i="11"/>
  <c r="F353" i="11"/>
  <c r="E353" i="11"/>
  <c r="D353" i="11"/>
  <c r="M352" i="11"/>
  <c r="L352" i="11"/>
  <c r="K352" i="11"/>
  <c r="J352" i="11"/>
  <c r="I352" i="11"/>
  <c r="H352" i="11"/>
  <c r="C352" i="11" s="1"/>
  <c r="G352" i="11"/>
  <c r="F352" i="11"/>
  <c r="E352" i="11"/>
  <c r="D352" i="11"/>
  <c r="M351" i="11"/>
  <c r="L351" i="11"/>
  <c r="K351" i="11"/>
  <c r="J351" i="11"/>
  <c r="I351" i="11"/>
  <c r="H351" i="11"/>
  <c r="C351" i="11" s="1"/>
  <c r="G351" i="11"/>
  <c r="F351" i="11"/>
  <c r="E351" i="11"/>
  <c r="D351" i="11"/>
  <c r="M350" i="11"/>
  <c r="L350" i="11"/>
  <c r="K350" i="11"/>
  <c r="J350" i="11"/>
  <c r="I350" i="11"/>
  <c r="H350" i="11"/>
  <c r="C350" i="11" s="1"/>
  <c r="G350" i="11"/>
  <c r="F350" i="11"/>
  <c r="E350" i="11"/>
  <c r="D350" i="11"/>
  <c r="M349" i="11"/>
  <c r="L349" i="11"/>
  <c r="K349" i="11"/>
  <c r="J349" i="11"/>
  <c r="I349" i="11"/>
  <c r="H349" i="11"/>
  <c r="C349" i="11" s="1"/>
  <c r="G349" i="11"/>
  <c r="F349" i="11"/>
  <c r="E349" i="11"/>
  <c r="D349" i="11"/>
  <c r="M348" i="11"/>
  <c r="L348" i="11"/>
  <c r="K348" i="11"/>
  <c r="J348" i="11"/>
  <c r="I348" i="11"/>
  <c r="H348" i="11"/>
  <c r="C348" i="11" s="1"/>
  <c r="G348" i="11"/>
  <c r="F348" i="11"/>
  <c r="E348" i="11"/>
  <c r="D348" i="11"/>
  <c r="M347" i="11"/>
  <c r="L347" i="11"/>
  <c r="K347" i="11"/>
  <c r="J347" i="11"/>
  <c r="I347" i="11"/>
  <c r="H347" i="11"/>
  <c r="C347" i="11" s="1"/>
  <c r="G347" i="11"/>
  <c r="F347" i="11"/>
  <c r="E347" i="11"/>
  <c r="D347" i="11"/>
  <c r="M346" i="11"/>
  <c r="L346" i="11"/>
  <c r="K346" i="11"/>
  <c r="J346" i="11"/>
  <c r="I346" i="11"/>
  <c r="H346" i="11"/>
  <c r="C346" i="11" s="1"/>
  <c r="G346" i="11"/>
  <c r="F346" i="11"/>
  <c r="E346" i="11"/>
  <c r="D346" i="11"/>
  <c r="M345" i="11"/>
  <c r="L345" i="11"/>
  <c r="K345" i="11"/>
  <c r="J345" i="11"/>
  <c r="I345" i="11"/>
  <c r="H345" i="11"/>
  <c r="C345" i="11" s="1"/>
  <c r="G345" i="11"/>
  <c r="F345" i="11"/>
  <c r="E345" i="11"/>
  <c r="D345" i="11"/>
  <c r="M344" i="11"/>
  <c r="L344" i="11"/>
  <c r="K344" i="11"/>
  <c r="J344" i="11"/>
  <c r="I344" i="11"/>
  <c r="H344" i="11"/>
  <c r="C344" i="11" s="1"/>
  <c r="G344" i="11"/>
  <c r="F344" i="11"/>
  <c r="E344" i="11"/>
  <c r="D344" i="11"/>
  <c r="M343" i="11"/>
  <c r="L343" i="11"/>
  <c r="K343" i="11"/>
  <c r="J343" i="11"/>
  <c r="I343" i="11"/>
  <c r="H343" i="11"/>
  <c r="C343" i="11" s="1"/>
  <c r="G343" i="11"/>
  <c r="F343" i="11"/>
  <c r="E343" i="11"/>
  <c r="D343" i="11"/>
  <c r="M342" i="11"/>
  <c r="L342" i="11"/>
  <c r="K342" i="11"/>
  <c r="J342" i="11"/>
  <c r="I342" i="11"/>
  <c r="H342" i="11"/>
  <c r="C342" i="11" s="1"/>
  <c r="G342" i="11"/>
  <c r="F342" i="11"/>
  <c r="E342" i="11"/>
  <c r="D342" i="11"/>
  <c r="M341" i="11"/>
  <c r="L341" i="11"/>
  <c r="K341" i="11"/>
  <c r="J341" i="11"/>
  <c r="I341" i="11"/>
  <c r="H341" i="11"/>
  <c r="C341" i="11" s="1"/>
  <c r="G341" i="11"/>
  <c r="F341" i="11"/>
  <c r="E341" i="11"/>
  <c r="D341" i="11"/>
  <c r="M340" i="11"/>
  <c r="L340" i="11"/>
  <c r="K340" i="11"/>
  <c r="J340" i="11"/>
  <c r="I340" i="11"/>
  <c r="H340" i="11"/>
  <c r="G340" i="11"/>
  <c r="F340" i="11"/>
  <c r="E340" i="11"/>
  <c r="D340" i="11"/>
  <c r="M339" i="11"/>
  <c r="L339" i="11"/>
  <c r="K339" i="11"/>
  <c r="J339" i="11"/>
  <c r="I339" i="11"/>
  <c r="H339" i="11"/>
  <c r="C339" i="11" s="1"/>
  <c r="G339" i="11"/>
  <c r="F339" i="11"/>
  <c r="E339" i="11"/>
  <c r="D339" i="11"/>
  <c r="M338" i="11"/>
  <c r="L338" i="11"/>
  <c r="K338" i="11"/>
  <c r="J338" i="11"/>
  <c r="I338" i="11"/>
  <c r="H338" i="11"/>
  <c r="C338" i="11" s="1"/>
  <c r="G338" i="11"/>
  <c r="F338" i="11"/>
  <c r="E338" i="11"/>
  <c r="D338" i="11"/>
  <c r="M337" i="11"/>
  <c r="L337" i="11"/>
  <c r="K337" i="11"/>
  <c r="J337" i="11"/>
  <c r="I337" i="11"/>
  <c r="H337" i="11"/>
  <c r="C337" i="11" s="1"/>
  <c r="G337" i="11"/>
  <c r="F337" i="11"/>
  <c r="E337" i="11"/>
  <c r="D337" i="11"/>
  <c r="M336" i="11"/>
  <c r="L336" i="11"/>
  <c r="K336" i="11"/>
  <c r="J336" i="11"/>
  <c r="I336" i="11"/>
  <c r="H336" i="11"/>
  <c r="C336" i="11" s="1"/>
  <c r="G336" i="11"/>
  <c r="F336" i="11"/>
  <c r="E336" i="11"/>
  <c r="D336" i="11"/>
  <c r="M335" i="11"/>
  <c r="L335" i="11"/>
  <c r="K335" i="11"/>
  <c r="J335" i="11"/>
  <c r="I335" i="11"/>
  <c r="H335" i="11"/>
  <c r="C335" i="11" s="1"/>
  <c r="G335" i="11"/>
  <c r="F335" i="11"/>
  <c r="E335" i="11"/>
  <c r="D335" i="11"/>
  <c r="M334" i="11"/>
  <c r="L334" i="11"/>
  <c r="K334" i="11"/>
  <c r="J334" i="11"/>
  <c r="I334" i="11"/>
  <c r="H334" i="11"/>
  <c r="C334" i="11" s="1"/>
  <c r="G334" i="11"/>
  <c r="F334" i="11"/>
  <c r="E334" i="11"/>
  <c r="D334" i="11"/>
  <c r="M333" i="11"/>
  <c r="L333" i="11"/>
  <c r="K333" i="11"/>
  <c r="J333" i="11"/>
  <c r="I333" i="11"/>
  <c r="H333" i="11"/>
  <c r="C333" i="11" s="1"/>
  <c r="G333" i="11"/>
  <c r="F333" i="11"/>
  <c r="E333" i="11"/>
  <c r="D333" i="11"/>
  <c r="M332" i="11"/>
  <c r="L332" i="11"/>
  <c r="K332" i="11"/>
  <c r="J332" i="11"/>
  <c r="I332" i="11"/>
  <c r="H332" i="11"/>
  <c r="C332" i="11" s="1"/>
  <c r="G332" i="11"/>
  <c r="F332" i="11"/>
  <c r="E332" i="11"/>
  <c r="D332" i="11"/>
  <c r="M331" i="11"/>
  <c r="L331" i="11"/>
  <c r="K331" i="11"/>
  <c r="J331" i="11"/>
  <c r="I331" i="11"/>
  <c r="H331" i="11"/>
  <c r="C331" i="11" s="1"/>
  <c r="G331" i="11"/>
  <c r="F331" i="11"/>
  <c r="E331" i="11"/>
  <c r="D331" i="11"/>
  <c r="M330" i="11"/>
  <c r="L330" i="11"/>
  <c r="K330" i="11"/>
  <c r="J330" i="11"/>
  <c r="I330" i="11"/>
  <c r="H330" i="11"/>
  <c r="C330" i="11" s="1"/>
  <c r="G330" i="11"/>
  <c r="F330" i="11"/>
  <c r="E330" i="11"/>
  <c r="D330" i="11"/>
  <c r="M329" i="11"/>
  <c r="L329" i="11"/>
  <c r="K329" i="11"/>
  <c r="J329" i="11"/>
  <c r="I329" i="11"/>
  <c r="H329" i="11"/>
  <c r="C329" i="11" s="1"/>
  <c r="G329" i="11"/>
  <c r="F329" i="11"/>
  <c r="E329" i="11"/>
  <c r="D329" i="11"/>
  <c r="M328" i="11"/>
  <c r="L328" i="11"/>
  <c r="K328" i="11"/>
  <c r="J328" i="11"/>
  <c r="I328" i="11"/>
  <c r="H328" i="11"/>
  <c r="C328" i="11" s="1"/>
  <c r="G328" i="11"/>
  <c r="F328" i="11"/>
  <c r="E328" i="11"/>
  <c r="D328" i="11"/>
  <c r="M327" i="11"/>
  <c r="L327" i="11"/>
  <c r="K327" i="11"/>
  <c r="J327" i="11"/>
  <c r="I327" i="11"/>
  <c r="H327" i="11"/>
  <c r="C327" i="11" s="1"/>
  <c r="G327" i="11"/>
  <c r="F327" i="11"/>
  <c r="E327" i="11"/>
  <c r="D327" i="11"/>
  <c r="M326" i="11"/>
  <c r="L326" i="11"/>
  <c r="K326" i="11"/>
  <c r="J326" i="11"/>
  <c r="I326" i="11"/>
  <c r="H326" i="11"/>
  <c r="C326" i="11" s="1"/>
  <c r="G326" i="11"/>
  <c r="F326" i="11"/>
  <c r="E326" i="11"/>
  <c r="D326" i="11"/>
  <c r="M325" i="11"/>
  <c r="L325" i="11"/>
  <c r="K325" i="11"/>
  <c r="J325" i="11"/>
  <c r="I325" i="11"/>
  <c r="H325" i="11"/>
  <c r="C325" i="11" s="1"/>
  <c r="G325" i="11"/>
  <c r="F325" i="11"/>
  <c r="E325" i="11"/>
  <c r="D325" i="11"/>
  <c r="M324" i="11"/>
  <c r="L324" i="11"/>
  <c r="K324" i="11"/>
  <c r="J324" i="11"/>
  <c r="I324" i="11"/>
  <c r="H324" i="11"/>
  <c r="C324" i="11" s="1"/>
  <c r="G324" i="11"/>
  <c r="F324" i="11"/>
  <c r="E324" i="11"/>
  <c r="D324" i="11"/>
  <c r="M323" i="11"/>
  <c r="L323" i="11"/>
  <c r="K323" i="11"/>
  <c r="J323" i="11"/>
  <c r="I323" i="11"/>
  <c r="H323" i="11"/>
  <c r="C323" i="11" s="1"/>
  <c r="G323" i="11"/>
  <c r="F323" i="11"/>
  <c r="E323" i="11"/>
  <c r="D323" i="11"/>
  <c r="M322" i="11"/>
  <c r="L322" i="11"/>
  <c r="K322" i="11"/>
  <c r="J322" i="11"/>
  <c r="I322" i="11"/>
  <c r="H322" i="11"/>
  <c r="C322" i="11" s="1"/>
  <c r="G322" i="11"/>
  <c r="F322" i="11"/>
  <c r="E322" i="11"/>
  <c r="D322" i="11"/>
  <c r="M321" i="11"/>
  <c r="L321" i="11"/>
  <c r="K321" i="11"/>
  <c r="J321" i="11"/>
  <c r="I321" i="11"/>
  <c r="H321" i="11"/>
  <c r="C321" i="11" s="1"/>
  <c r="G321" i="11"/>
  <c r="F321" i="11"/>
  <c r="E321" i="11"/>
  <c r="D321" i="11"/>
  <c r="M320" i="11"/>
  <c r="L320" i="11"/>
  <c r="K320" i="11"/>
  <c r="J320" i="11"/>
  <c r="I320" i="11"/>
  <c r="H320" i="11"/>
  <c r="C320" i="11" s="1"/>
  <c r="G320" i="11"/>
  <c r="F320" i="11"/>
  <c r="E320" i="11"/>
  <c r="D320" i="11"/>
  <c r="M319" i="11"/>
  <c r="L319" i="11"/>
  <c r="K319" i="11"/>
  <c r="J319" i="11"/>
  <c r="I319" i="11"/>
  <c r="H319" i="11"/>
  <c r="C319" i="11" s="1"/>
  <c r="G319" i="11"/>
  <c r="F319" i="11"/>
  <c r="E319" i="11"/>
  <c r="D319" i="11"/>
  <c r="M318" i="11"/>
  <c r="L318" i="11"/>
  <c r="K318" i="11"/>
  <c r="J318" i="11"/>
  <c r="I318" i="11"/>
  <c r="H318" i="11"/>
  <c r="C318" i="11" s="1"/>
  <c r="G318" i="11"/>
  <c r="F318" i="11"/>
  <c r="E318" i="11"/>
  <c r="D318" i="11"/>
  <c r="M317" i="11"/>
  <c r="L317" i="11"/>
  <c r="K317" i="11"/>
  <c r="J317" i="11"/>
  <c r="I317" i="11"/>
  <c r="H317" i="11"/>
  <c r="C317" i="11" s="1"/>
  <c r="G317" i="11"/>
  <c r="F317" i="11"/>
  <c r="E317" i="11"/>
  <c r="D317" i="11"/>
  <c r="M316" i="11"/>
  <c r="L316" i="11"/>
  <c r="K316" i="11"/>
  <c r="J316" i="11"/>
  <c r="I316" i="11"/>
  <c r="H316" i="11"/>
  <c r="C316" i="11" s="1"/>
  <c r="G316" i="11"/>
  <c r="F316" i="11"/>
  <c r="E316" i="11"/>
  <c r="D316" i="11"/>
  <c r="M315" i="11"/>
  <c r="L315" i="11"/>
  <c r="K315" i="11"/>
  <c r="J315" i="11"/>
  <c r="I315" i="11"/>
  <c r="H315" i="11"/>
  <c r="C315" i="11" s="1"/>
  <c r="G315" i="11"/>
  <c r="F315" i="11"/>
  <c r="E315" i="11"/>
  <c r="D315" i="11"/>
  <c r="M314" i="11"/>
  <c r="L314" i="11"/>
  <c r="K314" i="11"/>
  <c r="J314" i="11"/>
  <c r="I314" i="11"/>
  <c r="H314" i="11"/>
  <c r="C314" i="11" s="1"/>
  <c r="G314" i="11"/>
  <c r="F314" i="11"/>
  <c r="E314" i="11"/>
  <c r="D314" i="11"/>
  <c r="M313" i="11"/>
  <c r="L313" i="11"/>
  <c r="K313" i="11"/>
  <c r="J313" i="11"/>
  <c r="I313" i="11"/>
  <c r="H313" i="11"/>
  <c r="C313" i="11" s="1"/>
  <c r="G313" i="11"/>
  <c r="F313" i="11"/>
  <c r="E313" i="11"/>
  <c r="D313" i="11"/>
  <c r="M312" i="11"/>
  <c r="L312" i="11"/>
  <c r="K312" i="11"/>
  <c r="J312" i="11"/>
  <c r="I312" i="11"/>
  <c r="H312" i="11"/>
  <c r="C312" i="11" s="1"/>
  <c r="G312" i="11"/>
  <c r="F312" i="11"/>
  <c r="E312" i="11"/>
  <c r="D312" i="11"/>
  <c r="M311" i="11"/>
  <c r="L311" i="11"/>
  <c r="K311" i="11"/>
  <c r="J311" i="11"/>
  <c r="I311" i="11"/>
  <c r="H311" i="11"/>
  <c r="C311" i="11" s="1"/>
  <c r="G311" i="11"/>
  <c r="F311" i="11"/>
  <c r="E311" i="11"/>
  <c r="D311" i="11"/>
  <c r="M310" i="11"/>
  <c r="L310" i="11"/>
  <c r="K310" i="11"/>
  <c r="J310" i="11"/>
  <c r="I310" i="11"/>
  <c r="H310" i="11"/>
  <c r="G310" i="11"/>
  <c r="F310" i="11"/>
  <c r="E310" i="11"/>
  <c r="D310" i="11"/>
  <c r="M309" i="11"/>
  <c r="L309" i="11"/>
  <c r="K309" i="11"/>
  <c r="J309" i="11"/>
  <c r="I309" i="11"/>
  <c r="H309" i="11"/>
  <c r="C309" i="11" s="1"/>
  <c r="G309" i="11"/>
  <c r="F309" i="11"/>
  <c r="E309" i="11"/>
  <c r="D309" i="11"/>
  <c r="M308" i="11"/>
  <c r="L308" i="11"/>
  <c r="K308" i="11"/>
  <c r="J308" i="11"/>
  <c r="I308" i="11"/>
  <c r="H308" i="11"/>
  <c r="C308" i="11" s="1"/>
  <c r="G308" i="11"/>
  <c r="F308" i="11"/>
  <c r="E308" i="11"/>
  <c r="D308" i="11"/>
  <c r="M307" i="11"/>
  <c r="L307" i="11"/>
  <c r="K307" i="11"/>
  <c r="J307" i="11"/>
  <c r="I307" i="11"/>
  <c r="H307" i="11"/>
  <c r="C307" i="11" s="1"/>
  <c r="G307" i="11"/>
  <c r="F307" i="11"/>
  <c r="E307" i="11"/>
  <c r="D307" i="11"/>
  <c r="M306" i="11"/>
  <c r="L306" i="11"/>
  <c r="K306" i="11"/>
  <c r="J306" i="11"/>
  <c r="I306" i="11"/>
  <c r="H306" i="11"/>
  <c r="C306" i="11" s="1"/>
  <c r="G306" i="11"/>
  <c r="F306" i="11"/>
  <c r="E306" i="11"/>
  <c r="D306" i="11"/>
  <c r="M305" i="11"/>
  <c r="L305" i="11"/>
  <c r="K305" i="11"/>
  <c r="J305" i="11"/>
  <c r="I305" i="11"/>
  <c r="H305" i="11"/>
  <c r="C305" i="11" s="1"/>
  <c r="G305" i="11"/>
  <c r="F305" i="11"/>
  <c r="E305" i="11"/>
  <c r="D305" i="11"/>
  <c r="M304" i="11"/>
  <c r="L304" i="11"/>
  <c r="K304" i="11"/>
  <c r="J304" i="11"/>
  <c r="I304" i="11"/>
  <c r="H304" i="11"/>
  <c r="C304" i="11" s="1"/>
  <c r="G304" i="11"/>
  <c r="F304" i="11"/>
  <c r="E304" i="11"/>
  <c r="D304" i="11"/>
  <c r="M303" i="11"/>
  <c r="L303" i="11"/>
  <c r="K303" i="11"/>
  <c r="J303" i="11"/>
  <c r="I303" i="11"/>
  <c r="H303" i="11"/>
  <c r="C303" i="11" s="1"/>
  <c r="G303" i="11"/>
  <c r="F303" i="11"/>
  <c r="E303" i="11"/>
  <c r="D303" i="11"/>
  <c r="M302" i="11"/>
  <c r="L302" i="11"/>
  <c r="K302" i="11"/>
  <c r="J302" i="11"/>
  <c r="I302" i="11"/>
  <c r="H302" i="11"/>
  <c r="C302" i="11" s="1"/>
  <c r="G302" i="11"/>
  <c r="F302" i="11"/>
  <c r="E302" i="11"/>
  <c r="D302" i="11"/>
  <c r="M301" i="11"/>
  <c r="L301" i="11"/>
  <c r="K301" i="11"/>
  <c r="J301" i="11"/>
  <c r="I301" i="11"/>
  <c r="H301" i="11"/>
  <c r="C301" i="11" s="1"/>
  <c r="G301" i="11"/>
  <c r="F301" i="11"/>
  <c r="E301" i="11"/>
  <c r="D301" i="11"/>
  <c r="M300" i="11"/>
  <c r="L300" i="11"/>
  <c r="K300" i="11"/>
  <c r="J300" i="11"/>
  <c r="I300" i="11"/>
  <c r="H300" i="11"/>
  <c r="C300" i="11" s="1"/>
  <c r="G300" i="11"/>
  <c r="F300" i="11"/>
  <c r="E300" i="11"/>
  <c r="D300" i="11"/>
  <c r="M299" i="11"/>
  <c r="L299" i="11"/>
  <c r="K299" i="11"/>
  <c r="J299" i="11"/>
  <c r="I299" i="11"/>
  <c r="H299" i="11"/>
  <c r="C299" i="11" s="1"/>
  <c r="G299" i="11"/>
  <c r="F299" i="11"/>
  <c r="E299" i="11"/>
  <c r="D299" i="11"/>
  <c r="M298" i="11"/>
  <c r="L298" i="11"/>
  <c r="K298" i="11"/>
  <c r="J298" i="11"/>
  <c r="I298" i="11"/>
  <c r="H298" i="11"/>
  <c r="C298" i="11" s="1"/>
  <c r="G298" i="11"/>
  <c r="F298" i="11"/>
  <c r="E298" i="11"/>
  <c r="D298" i="11"/>
  <c r="M297" i="11"/>
  <c r="L297" i="11"/>
  <c r="K297" i="11"/>
  <c r="J297" i="11"/>
  <c r="I297" i="11"/>
  <c r="H297" i="11"/>
  <c r="C297" i="11" s="1"/>
  <c r="G297" i="11"/>
  <c r="F297" i="11"/>
  <c r="E297" i="11"/>
  <c r="D297" i="11"/>
  <c r="M296" i="11"/>
  <c r="L296" i="11"/>
  <c r="K296" i="11"/>
  <c r="J296" i="11"/>
  <c r="I296" i="11"/>
  <c r="H296" i="11"/>
  <c r="C296" i="11" s="1"/>
  <c r="G296" i="11"/>
  <c r="F296" i="11"/>
  <c r="E296" i="11"/>
  <c r="D296" i="11"/>
  <c r="M295" i="11"/>
  <c r="L295" i="11"/>
  <c r="K295" i="11"/>
  <c r="J295" i="11"/>
  <c r="I295" i="11"/>
  <c r="H295" i="11"/>
  <c r="C295" i="11" s="1"/>
  <c r="G295" i="11"/>
  <c r="F295" i="11"/>
  <c r="E295" i="11"/>
  <c r="D295" i="11"/>
  <c r="M294" i="11"/>
  <c r="L294" i="11"/>
  <c r="K294" i="11"/>
  <c r="J294" i="11"/>
  <c r="I294" i="11"/>
  <c r="H294" i="11"/>
  <c r="C294" i="11" s="1"/>
  <c r="G294" i="11"/>
  <c r="F294" i="11"/>
  <c r="E294" i="11"/>
  <c r="D294" i="11"/>
  <c r="M293" i="11"/>
  <c r="L293" i="11"/>
  <c r="K293" i="11"/>
  <c r="J293" i="11"/>
  <c r="I293" i="11"/>
  <c r="H293" i="11"/>
  <c r="C293" i="11" s="1"/>
  <c r="G293" i="11"/>
  <c r="F293" i="11"/>
  <c r="E293" i="11"/>
  <c r="D293" i="11"/>
  <c r="M292" i="11"/>
  <c r="L292" i="11"/>
  <c r="K292" i="11"/>
  <c r="J292" i="11"/>
  <c r="I292" i="11"/>
  <c r="H292" i="11"/>
  <c r="C292" i="11" s="1"/>
  <c r="G292" i="11"/>
  <c r="F292" i="11"/>
  <c r="E292" i="11"/>
  <c r="D292" i="11"/>
  <c r="M291" i="11"/>
  <c r="L291" i="11"/>
  <c r="K291" i="11"/>
  <c r="J291" i="11"/>
  <c r="I291" i="11"/>
  <c r="H291" i="11"/>
  <c r="C291" i="11" s="1"/>
  <c r="G291" i="11"/>
  <c r="F291" i="11"/>
  <c r="E291" i="11"/>
  <c r="D291" i="11"/>
  <c r="M290" i="11"/>
  <c r="L290" i="11"/>
  <c r="K290" i="11"/>
  <c r="J290" i="11"/>
  <c r="I290" i="11"/>
  <c r="H290" i="11"/>
  <c r="C290" i="11" s="1"/>
  <c r="G290" i="11"/>
  <c r="F290" i="11"/>
  <c r="E290" i="11"/>
  <c r="D290" i="11"/>
  <c r="M289" i="11"/>
  <c r="L289" i="11"/>
  <c r="K289" i="11"/>
  <c r="J289" i="11"/>
  <c r="I289" i="11"/>
  <c r="H289" i="11"/>
  <c r="C289" i="11" s="1"/>
  <c r="G289" i="11"/>
  <c r="F289" i="11"/>
  <c r="E289" i="11"/>
  <c r="D289" i="11"/>
  <c r="M288" i="11"/>
  <c r="L288" i="11"/>
  <c r="K288" i="11"/>
  <c r="J288" i="11"/>
  <c r="I288" i="11"/>
  <c r="H288" i="11"/>
  <c r="C288" i="11" s="1"/>
  <c r="G288" i="11"/>
  <c r="F288" i="11"/>
  <c r="E288" i="11"/>
  <c r="D288" i="11"/>
  <c r="M287" i="11"/>
  <c r="L287" i="11"/>
  <c r="K287" i="11"/>
  <c r="J287" i="11"/>
  <c r="I287" i="11"/>
  <c r="H287" i="11"/>
  <c r="C287" i="11" s="1"/>
  <c r="G287" i="11"/>
  <c r="F287" i="11"/>
  <c r="E287" i="11"/>
  <c r="D287" i="11"/>
  <c r="M286" i="11"/>
  <c r="L286" i="11"/>
  <c r="K286" i="11"/>
  <c r="J286" i="11"/>
  <c r="I286" i="11"/>
  <c r="H286" i="11"/>
  <c r="C286" i="11" s="1"/>
  <c r="G286" i="11"/>
  <c r="F286" i="11"/>
  <c r="E286" i="11"/>
  <c r="D286" i="11"/>
  <c r="M285" i="11"/>
  <c r="L285" i="11"/>
  <c r="K285" i="11"/>
  <c r="J285" i="11"/>
  <c r="I285" i="11"/>
  <c r="H285" i="11"/>
  <c r="C285" i="11" s="1"/>
  <c r="G285" i="11"/>
  <c r="F285" i="11"/>
  <c r="E285" i="11"/>
  <c r="D285" i="11"/>
  <c r="M284" i="11"/>
  <c r="L284" i="11"/>
  <c r="K284" i="11"/>
  <c r="J284" i="11"/>
  <c r="I284" i="11"/>
  <c r="H284" i="11"/>
  <c r="C284" i="11" s="1"/>
  <c r="G284" i="11"/>
  <c r="F284" i="11"/>
  <c r="E284" i="11"/>
  <c r="D284" i="11"/>
  <c r="M283" i="11"/>
  <c r="L283" i="11"/>
  <c r="K283" i="11"/>
  <c r="J283" i="11"/>
  <c r="I283" i="11"/>
  <c r="H283" i="11"/>
  <c r="C283" i="11" s="1"/>
  <c r="G283" i="11"/>
  <c r="F283" i="11"/>
  <c r="E283" i="11"/>
  <c r="D283" i="11"/>
  <c r="M282" i="11"/>
  <c r="L282" i="11"/>
  <c r="K282" i="11"/>
  <c r="J282" i="11"/>
  <c r="I282" i="11"/>
  <c r="H282" i="11"/>
  <c r="C282" i="11" s="1"/>
  <c r="G282" i="11"/>
  <c r="F282" i="11"/>
  <c r="E282" i="11"/>
  <c r="D282" i="11"/>
  <c r="M281" i="11"/>
  <c r="L281" i="11"/>
  <c r="K281" i="11"/>
  <c r="J281" i="11"/>
  <c r="I281" i="11"/>
  <c r="H281" i="11"/>
  <c r="C281" i="11" s="1"/>
  <c r="G281" i="11"/>
  <c r="F281" i="11"/>
  <c r="E281" i="11"/>
  <c r="D281" i="11"/>
  <c r="M280" i="11"/>
  <c r="L280" i="11"/>
  <c r="K280" i="11"/>
  <c r="J280" i="11"/>
  <c r="I280" i="11"/>
  <c r="H280" i="11"/>
  <c r="C280" i="11" s="1"/>
  <c r="G280" i="11"/>
  <c r="F280" i="11"/>
  <c r="E280" i="11"/>
  <c r="D280" i="11"/>
  <c r="M279" i="11"/>
  <c r="L279" i="11"/>
  <c r="K279" i="11"/>
  <c r="J279" i="11"/>
  <c r="I279" i="11"/>
  <c r="H279" i="11"/>
  <c r="G279" i="11"/>
  <c r="F279" i="11"/>
  <c r="E279" i="11"/>
  <c r="D279" i="11"/>
  <c r="M278" i="11"/>
  <c r="L278" i="11"/>
  <c r="K278" i="11"/>
  <c r="J278" i="11"/>
  <c r="I278" i="11"/>
  <c r="H278" i="11"/>
  <c r="C278" i="11" s="1"/>
  <c r="G278" i="11"/>
  <c r="F278" i="11"/>
  <c r="E278" i="11"/>
  <c r="D278" i="11"/>
  <c r="M277" i="11"/>
  <c r="L277" i="11"/>
  <c r="K277" i="11"/>
  <c r="J277" i="11"/>
  <c r="I277" i="11"/>
  <c r="H277" i="11"/>
  <c r="C277" i="11" s="1"/>
  <c r="G277" i="11"/>
  <c r="F277" i="11"/>
  <c r="E277" i="11"/>
  <c r="D277" i="11"/>
  <c r="M276" i="11"/>
  <c r="L276" i="11"/>
  <c r="K276" i="11"/>
  <c r="J276" i="11"/>
  <c r="I276" i="11"/>
  <c r="H276" i="11"/>
  <c r="C276" i="11" s="1"/>
  <c r="G276" i="11"/>
  <c r="F276" i="11"/>
  <c r="E276" i="11"/>
  <c r="D276" i="11"/>
  <c r="M275" i="11"/>
  <c r="L275" i="11"/>
  <c r="K275" i="11"/>
  <c r="J275" i="11"/>
  <c r="I275" i="11"/>
  <c r="H275" i="11"/>
  <c r="C275" i="11" s="1"/>
  <c r="G275" i="11"/>
  <c r="F275" i="11"/>
  <c r="E275" i="11"/>
  <c r="D275" i="11"/>
  <c r="M274" i="11"/>
  <c r="L274" i="11"/>
  <c r="K274" i="11"/>
  <c r="J274" i="11"/>
  <c r="I274" i="11"/>
  <c r="H274" i="11"/>
  <c r="C274" i="11" s="1"/>
  <c r="G274" i="11"/>
  <c r="F274" i="11"/>
  <c r="E274" i="11"/>
  <c r="D274" i="11"/>
  <c r="M273" i="11"/>
  <c r="L273" i="11"/>
  <c r="K273" i="11"/>
  <c r="J273" i="11"/>
  <c r="I273" i="11"/>
  <c r="H273" i="11"/>
  <c r="C273" i="11" s="1"/>
  <c r="G273" i="11"/>
  <c r="F273" i="11"/>
  <c r="E273" i="11"/>
  <c r="D273" i="11"/>
  <c r="M272" i="11"/>
  <c r="L272" i="11"/>
  <c r="K272" i="11"/>
  <c r="J272" i="11"/>
  <c r="I272" i="11"/>
  <c r="H272" i="11"/>
  <c r="C272" i="11" s="1"/>
  <c r="G272" i="11"/>
  <c r="F272" i="11"/>
  <c r="E272" i="11"/>
  <c r="D272" i="11"/>
  <c r="M271" i="11"/>
  <c r="L271" i="11"/>
  <c r="K271" i="11"/>
  <c r="J271" i="11"/>
  <c r="I271" i="11"/>
  <c r="H271" i="11"/>
  <c r="C271" i="11" s="1"/>
  <c r="G271" i="11"/>
  <c r="F271" i="11"/>
  <c r="E271" i="11"/>
  <c r="D271" i="11"/>
  <c r="M270" i="11"/>
  <c r="L270" i="11"/>
  <c r="K270" i="11"/>
  <c r="J270" i="11"/>
  <c r="I270" i="11"/>
  <c r="H270" i="11"/>
  <c r="C270" i="11" s="1"/>
  <c r="G270" i="11"/>
  <c r="F270" i="11"/>
  <c r="E270" i="11"/>
  <c r="D270" i="11"/>
  <c r="M269" i="11"/>
  <c r="L269" i="11"/>
  <c r="K269" i="11"/>
  <c r="J269" i="11"/>
  <c r="I269" i="11"/>
  <c r="H269" i="11"/>
  <c r="C269" i="11" s="1"/>
  <c r="G269" i="11"/>
  <c r="F269" i="11"/>
  <c r="E269" i="11"/>
  <c r="D269" i="11"/>
  <c r="M268" i="11"/>
  <c r="L268" i="11"/>
  <c r="K268" i="11"/>
  <c r="J268" i="11"/>
  <c r="I268" i="11"/>
  <c r="H268" i="11"/>
  <c r="C268" i="11" s="1"/>
  <c r="G268" i="11"/>
  <c r="F268" i="11"/>
  <c r="E268" i="11"/>
  <c r="D268" i="11"/>
  <c r="M267" i="11"/>
  <c r="L267" i="11"/>
  <c r="K267" i="11"/>
  <c r="J267" i="11"/>
  <c r="I267" i="11"/>
  <c r="H267" i="11"/>
  <c r="C267" i="11" s="1"/>
  <c r="G267" i="11"/>
  <c r="F267" i="11"/>
  <c r="E267" i="11"/>
  <c r="D267" i="11"/>
  <c r="M266" i="11"/>
  <c r="L266" i="11"/>
  <c r="K266" i="11"/>
  <c r="J266" i="11"/>
  <c r="I266" i="11"/>
  <c r="H266" i="11"/>
  <c r="C266" i="11" s="1"/>
  <c r="G266" i="11"/>
  <c r="F266" i="11"/>
  <c r="E266" i="11"/>
  <c r="D266" i="11"/>
  <c r="M265" i="11"/>
  <c r="L265" i="11"/>
  <c r="K265" i="11"/>
  <c r="J265" i="11"/>
  <c r="I265" i="11"/>
  <c r="H265" i="11"/>
  <c r="C265" i="11" s="1"/>
  <c r="G265" i="11"/>
  <c r="F265" i="11"/>
  <c r="E265" i="11"/>
  <c r="D265" i="11"/>
  <c r="M264" i="11"/>
  <c r="L264" i="11"/>
  <c r="K264" i="11"/>
  <c r="J264" i="11"/>
  <c r="I264" i="11"/>
  <c r="H264" i="11"/>
  <c r="C264" i="11" s="1"/>
  <c r="G264" i="11"/>
  <c r="F264" i="11"/>
  <c r="E264" i="11"/>
  <c r="D264" i="11"/>
  <c r="M263" i="11"/>
  <c r="L263" i="11"/>
  <c r="K263" i="11"/>
  <c r="J263" i="11"/>
  <c r="I263" i="11"/>
  <c r="H263" i="11"/>
  <c r="C263" i="11" s="1"/>
  <c r="G263" i="11"/>
  <c r="F263" i="11"/>
  <c r="E263" i="11"/>
  <c r="D263" i="11"/>
  <c r="M262" i="11"/>
  <c r="L262" i="11"/>
  <c r="K262" i="11"/>
  <c r="J262" i="11"/>
  <c r="I262" i="11"/>
  <c r="H262" i="11"/>
  <c r="C262" i="11" s="1"/>
  <c r="G262" i="11"/>
  <c r="F262" i="11"/>
  <c r="E262" i="11"/>
  <c r="D262" i="11"/>
  <c r="M261" i="11"/>
  <c r="L261" i="11"/>
  <c r="K261" i="11"/>
  <c r="J261" i="11"/>
  <c r="I261" i="11"/>
  <c r="H261" i="11"/>
  <c r="C261" i="11" s="1"/>
  <c r="G261" i="11"/>
  <c r="F261" i="11"/>
  <c r="E261" i="11"/>
  <c r="D261" i="11"/>
  <c r="M260" i="11"/>
  <c r="L260" i="11"/>
  <c r="K260" i="11"/>
  <c r="J260" i="11"/>
  <c r="I260" i="11"/>
  <c r="H260" i="11"/>
  <c r="C260" i="11" s="1"/>
  <c r="G260" i="11"/>
  <c r="F260" i="11"/>
  <c r="E260" i="11"/>
  <c r="D260" i="11"/>
  <c r="M259" i="11"/>
  <c r="L259" i="11"/>
  <c r="K259" i="11"/>
  <c r="J259" i="11"/>
  <c r="I259" i="11"/>
  <c r="H259" i="11"/>
  <c r="C259" i="11" s="1"/>
  <c r="G259" i="11"/>
  <c r="F259" i="11"/>
  <c r="E259" i="11"/>
  <c r="D259" i="11"/>
  <c r="M258" i="11"/>
  <c r="L258" i="11"/>
  <c r="K258" i="11"/>
  <c r="J258" i="11"/>
  <c r="I258" i="11"/>
  <c r="H258" i="11"/>
  <c r="C258" i="11" s="1"/>
  <c r="G258" i="11"/>
  <c r="F258" i="11"/>
  <c r="E258" i="11"/>
  <c r="D258" i="11"/>
  <c r="M257" i="11"/>
  <c r="L257" i="11"/>
  <c r="K257" i="11"/>
  <c r="J257" i="11"/>
  <c r="I257" i="11"/>
  <c r="H257" i="11"/>
  <c r="C257" i="11" s="1"/>
  <c r="G257" i="11"/>
  <c r="F257" i="11"/>
  <c r="E257" i="11"/>
  <c r="D257" i="11"/>
  <c r="M256" i="11"/>
  <c r="L256" i="11"/>
  <c r="K256" i="11"/>
  <c r="J256" i="11"/>
  <c r="I256" i="11"/>
  <c r="H256" i="11"/>
  <c r="C256" i="11" s="1"/>
  <c r="G256" i="11"/>
  <c r="F256" i="11"/>
  <c r="E256" i="11"/>
  <c r="D256" i="11"/>
  <c r="M255" i="11"/>
  <c r="L255" i="11"/>
  <c r="K255" i="11"/>
  <c r="J255" i="11"/>
  <c r="I255" i="11"/>
  <c r="H255" i="11"/>
  <c r="C255" i="11" s="1"/>
  <c r="G255" i="11"/>
  <c r="F255" i="11"/>
  <c r="E255" i="11"/>
  <c r="D255" i="11"/>
  <c r="M254" i="11"/>
  <c r="L254" i="11"/>
  <c r="K254" i="11"/>
  <c r="J254" i="11"/>
  <c r="I254" i="11"/>
  <c r="H254" i="11"/>
  <c r="C254" i="11" s="1"/>
  <c r="G254" i="11"/>
  <c r="F254" i="11"/>
  <c r="E254" i="11"/>
  <c r="D254" i="11"/>
  <c r="M253" i="11"/>
  <c r="L253" i="11"/>
  <c r="K253" i="11"/>
  <c r="J253" i="11"/>
  <c r="I253" i="11"/>
  <c r="H253" i="11"/>
  <c r="C253" i="11" s="1"/>
  <c r="G253" i="11"/>
  <c r="F253" i="11"/>
  <c r="E253" i="11"/>
  <c r="D253" i="11"/>
  <c r="M252" i="11"/>
  <c r="L252" i="11"/>
  <c r="K252" i="11"/>
  <c r="J252" i="11"/>
  <c r="I252" i="11"/>
  <c r="H252" i="11"/>
  <c r="C252" i="11" s="1"/>
  <c r="G252" i="11"/>
  <c r="F252" i="11"/>
  <c r="E252" i="11"/>
  <c r="D252" i="11"/>
  <c r="M251" i="11"/>
  <c r="L251" i="11"/>
  <c r="K251" i="11"/>
  <c r="J251" i="11"/>
  <c r="I251" i="11"/>
  <c r="H251" i="11"/>
  <c r="C251" i="11" s="1"/>
  <c r="G251" i="11"/>
  <c r="F251" i="11"/>
  <c r="E251" i="11"/>
  <c r="D251" i="11"/>
  <c r="M250" i="11"/>
  <c r="L250" i="11"/>
  <c r="K250" i="11"/>
  <c r="J250" i="11"/>
  <c r="I250" i="11"/>
  <c r="H250" i="11"/>
  <c r="C250" i="11" s="1"/>
  <c r="G250" i="11"/>
  <c r="F250" i="11"/>
  <c r="E250" i="11"/>
  <c r="D250" i="11"/>
  <c r="M249" i="11"/>
  <c r="L249" i="11"/>
  <c r="K249" i="11"/>
  <c r="J249" i="11"/>
  <c r="I249" i="11"/>
  <c r="H249" i="11"/>
  <c r="G249" i="11"/>
  <c r="F249" i="11"/>
  <c r="E249" i="11"/>
  <c r="D249" i="11"/>
  <c r="M248" i="11"/>
  <c r="L248" i="11"/>
  <c r="K248" i="11"/>
  <c r="J248" i="11"/>
  <c r="I248" i="11"/>
  <c r="H248" i="11"/>
  <c r="C248" i="11" s="1"/>
  <c r="G248" i="11"/>
  <c r="F248" i="11"/>
  <c r="E248" i="11"/>
  <c r="D248" i="11"/>
  <c r="M247" i="11"/>
  <c r="L247" i="11"/>
  <c r="K247" i="11"/>
  <c r="J247" i="11"/>
  <c r="I247" i="11"/>
  <c r="H247" i="11"/>
  <c r="C247" i="11" s="1"/>
  <c r="G247" i="11"/>
  <c r="F247" i="11"/>
  <c r="E247" i="11"/>
  <c r="D247" i="11"/>
  <c r="M246" i="11"/>
  <c r="L246" i="11"/>
  <c r="K246" i="11"/>
  <c r="J246" i="11"/>
  <c r="I246" i="11"/>
  <c r="H246" i="11"/>
  <c r="C246" i="11" s="1"/>
  <c r="G246" i="11"/>
  <c r="F246" i="11"/>
  <c r="E246" i="11"/>
  <c r="D246" i="11"/>
  <c r="M245" i="11"/>
  <c r="L245" i="11"/>
  <c r="K245" i="11"/>
  <c r="J245" i="11"/>
  <c r="I245" i="11"/>
  <c r="H245" i="11"/>
  <c r="C245" i="11" s="1"/>
  <c r="G245" i="11"/>
  <c r="F245" i="11"/>
  <c r="E245" i="11"/>
  <c r="D245" i="11"/>
  <c r="M244" i="11"/>
  <c r="L244" i="11"/>
  <c r="K244" i="11"/>
  <c r="J244" i="11"/>
  <c r="I244" i="11"/>
  <c r="H244" i="11"/>
  <c r="C244" i="11" s="1"/>
  <c r="G244" i="11"/>
  <c r="F244" i="11"/>
  <c r="E244" i="11"/>
  <c r="D244" i="11"/>
  <c r="M243" i="11"/>
  <c r="L243" i="11"/>
  <c r="K243" i="11"/>
  <c r="J243" i="11"/>
  <c r="I243" i="11"/>
  <c r="H243" i="11"/>
  <c r="C243" i="11" s="1"/>
  <c r="G243" i="11"/>
  <c r="F243" i="11"/>
  <c r="E243" i="11"/>
  <c r="D243" i="11"/>
  <c r="M242" i="11"/>
  <c r="L242" i="11"/>
  <c r="K242" i="11"/>
  <c r="J242" i="11"/>
  <c r="I242" i="11"/>
  <c r="H242" i="11"/>
  <c r="C242" i="11" s="1"/>
  <c r="G242" i="11"/>
  <c r="F242" i="11"/>
  <c r="E242" i="11"/>
  <c r="D242" i="11"/>
  <c r="M241" i="11"/>
  <c r="L241" i="11"/>
  <c r="K241" i="11"/>
  <c r="J241" i="11"/>
  <c r="I241" i="11"/>
  <c r="H241" i="11"/>
  <c r="C241" i="11" s="1"/>
  <c r="G241" i="11"/>
  <c r="F241" i="11"/>
  <c r="E241" i="11"/>
  <c r="D241" i="11"/>
  <c r="M240" i="11"/>
  <c r="L240" i="11"/>
  <c r="K240" i="11"/>
  <c r="J240" i="11"/>
  <c r="I240" i="11"/>
  <c r="H240" i="11"/>
  <c r="C240" i="11" s="1"/>
  <c r="G240" i="11"/>
  <c r="F240" i="11"/>
  <c r="E240" i="11"/>
  <c r="D240" i="11"/>
  <c r="M239" i="11"/>
  <c r="L239" i="11"/>
  <c r="K239" i="11"/>
  <c r="J239" i="11"/>
  <c r="I239" i="11"/>
  <c r="H239" i="11"/>
  <c r="C239" i="11" s="1"/>
  <c r="G239" i="11"/>
  <c r="F239" i="11"/>
  <c r="E239" i="11"/>
  <c r="D239" i="11"/>
  <c r="M238" i="11"/>
  <c r="L238" i="11"/>
  <c r="K238" i="11"/>
  <c r="J238" i="11"/>
  <c r="I238" i="11"/>
  <c r="H238" i="11"/>
  <c r="C238" i="11" s="1"/>
  <c r="G238" i="11"/>
  <c r="F238" i="11"/>
  <c r="E238" i="11"/>
  <c r="D238" i="11"/>
  <c r="M237" i="11"/>
  <c r="L237" i="11"/>
  <c r="K237" i="11"/>
  <c r="J237" i="11"/>
  <c r="I237" i="11"/>
  <c r="H237" i="11"/>
  <c r="C237" i="11" s="1"/>
  <c r="G237" i="11"/>
  <c r="F237" i="11"/>
  <c r="E237" i="11"/>
  <c r="D237" i="11"/>
  <c r="M236" i="11"/>
  <c r="L236" i="11"/>
  <c r="K236" i="11"/>
  <c r="J236" i="11"/>
  <c r="I236" i="11"/>
  <c r="H236" i="11"/>
  <c r="C236" i="11" s="1"/>
  <c r="G236" i="11"/>
  <c r="F236" i="11"/>
  <c r="E236" i="11"/>
  <c r="D236" i="11"/>
  <c r="M235" i="11"/>
  <c r="L235" i="11"/>
  <c r="K235" i="11"/>
  <c r="J235" i="11"/>
  <c r="I235" i="11"/>
  <c r="H235" i="11"/>
  <c r="C235" i="11" s="1"/>
  <c r="G235" i="11"/>
  <c r="F235" i="11"/>
  <c r="E235" i="11"/>
  <c r="D235" i="11"/>
  <c r="M234" i="11"/>
  <c r="L234" i="11"/>
  <c r="K234" i="11"/>
  <c r="J234" i="11"/>
  <c r="I234" i="11"/>
  <c r="H234" i="11"/>
  <c r="C234" i="11" s="1"/>
  <c r="G234" i="11"/>
  <c r="F234" i="11"/>
  <c r="E234" i="11"/>
  <c r="D234" i="11"/>
  <c r="M233" i="11"/>
  <c r="L233" i="11"/>
  <c r="K233" i="11"/>
  <c r="J233" i="11"/>
  <c r="I233" i="11"/>
  <c r="H233" i="11"/>
  <c r="C233" i="11" s="1"/>
  <c r="G233" i="11"/>
  <c r="F233" i="11"/>
  <c r="E233" i="11"/>
  <c r="D233" i="11"/>
  <c r="M232" i="11"/>
  <c r="L232" i="11"/>
  <c r="K232" i="11"/>
  <c r="J232" i="11"/>
  <c r="I232" i="11"/>
  <c r="H232" i="11"/>
  <c r="C232" i="11" s="1"/>
  <c r="G232" i="11"/>
  <c r="F232" i="11"/>
  <c r="E232" i="11"/>
  <c r="D232" i="11"/>
  <c r="M231" i="11"/>
  <c r="L231" i="11"/>
  <c r="K231" i="11"/>
  <c r="J231" i="11"/>
  <c r="I231" i="11"/>
  <c r="H231" i="11"/>
  <c r="C231" i="11" s="1"/>
  <c r="G231" i="11"/>
  <c r="F231" i="11"/>
  <c r="E231" i="11"/>
  <c r="D231" i="11"/>
  <c r="M230" i="11"/>
  <c r="L230" i="11"/>
  <c r="K230" i="11"/>
  <c r="J230" i="11"/>
  <c r="I230" i="11"/>
  <c r="H230" i="11"/>
  <c r="C230" i="11" s="1"/>
  <c r="G230" i="11"/>
  <c r="F230" i="11"/>
  <c r="E230" i="11"/>
  <c r="D230" i="11"/>
  <c r="M229" i="11"/>
  <c r="L229" i="11"/>
  <c r="K229" i="11"/>
  <c r="J229" i="11"/>
  <c r="I229" i="11"/>
  <c r="H229" i="11"/>
  <c r="C229" i="11" s="1"/>
  <c r="G229" i="11"/>
  <c r="F229" i="11"/>
  <c r="E229" i="11"/>
  <c r="D229" i="11"/>
  <c r="M228" i="11"/>
  <c r="L228" i="11"/>
  <c r="K228" i="11"/>
  <c r="J228" i="11"/>
  <c r="I228" i="11"/>
  <c r="H228" i="11"/>
  <c r="C228" i="11" s="1"/>
  <c r="G228" i="11"/>
  <c r="F228" i="11"/>
  <c r="E228" i="11"/>
  <c r="D228" i="11"/>
  <c r="M227" i="11"/>
  <c r="L227" i="11"/>
  <c r="K227" i="11"/>
  <c r="J227" i="11"/>
  <c r="I227" i="11"/>
  <c r="H227" i="11"/>
  <c r="C227" i="11" s="1"/>
  <c r="G227" i="11"/>
  <c r="F227" i="11"/>
  <c r="E227" i="11"/>
  <c r="D227" i="11"/>
  <c r="M226" i="11"/>
  <c r="L226" i="11"/>
  <c r="K226" i="11"/>
  <c r="J226" i="11"/>
  <c r="I226" i="11"/>
  <c r="H226" i="11"/>
  <c r="C226" i="11" s="1"/>
  <c r="G226" i="11"/>
  <c r="F226" i="11"/>
  <c r="E226" i="11"/>
  <c r="D226" i="11"/>
  <c r="M225" i="11"/>
  <c r="L225" i="11"/>
  <c r="K225" i="11"/>
  <c r="J225" i="11"/>
  <c r="I225" i="11"/>
  <c r="H225" i="11"/>
  <c r="C225" i="11" s="1"/>
  <c r="G225" i="11"/>
  <c r="F225" i="11"/>
  <c r="E225" i="11"/>
  <c r="D225" i="11"/>
  <c r="M224" i="11"/>
  <c r="L224" i="11"/>
  <c r="K224" i="11"/>
  <c r="J224" i="11"/>
  <c r="I224" i="11"/>
  <c r="H224" i="11"/>
  <c r="C224" i="11" s="1"/>
  <c r="G224" i="11"/>
  <c r="F224" i="11"/>
  <c r="E224" i="11"/>
  <c r="D224" i="11"/>
  <c r="M223" i="11"/>
  <c r="L223" i="11"/>
  <c r="K223" i="11"/>
  <c r="J223" i="11"/>
  <c r="I223" i="11"/>
  <c r="H223" i="11"/>
  <c r="C223" i="11" s="1"/>
  <c r="G223" i="11"/>
  <c r="F223" i="11"/>
  <c r="E223" i="11"/>
  <c r="D223" i="11"/>
  <c r="M222" i="11"/>
  <c r="L222" i="11"/>
  <c r="K222" i="11"/>
  <c r="J222" i="11"/>
  <c r="I222" i="11"/>
  <c r="H222" i="11"/>
  <c r="C222" i="11" s="1"/>
  <c r="G222" i="11"/>
  <c r="F222" i="11"/>
  <c r="E222" i="11"/>
  <c r="D222" i="11"/>
  <c r="M221" i="11"/>
  <c r="L221" i="11"/>
  <c r="K221" i="11"/>
  <c r="J221" i="11"/>
  <c r="I221" i="11"/>
  <c r="H221" i="11"/>
  <c r="C221" i="11" s="1"/>
  <c r="G221" i="11"/>
  <c r="F221" i="11"/>
  <c r="E221" i="11"/>
  <c r="D221" i="11"/>
  <c r="M220" i="11"/>
  <c r="L220" i="11"/>
  <c r="K220" i="11"/>
  <c r="J220" i="11"/>
  <c r="I220" i="11"/>
  <c r="H220" i="11"/>
  <c r="C220" i="11" s="1"/>
  <c r="G220" i="11"/>
  <c r="F220" i="11"/>
  <c r="E220" i="11"/>
  <c r="D220" i="11"/>
  <c r="M219" i="11"/>
  <c r="L219" i="11"/>
  <c r="K219" i="11"/>
  <c r="J219" i="11"/>
  <c r="I219" i="11"/>
  <c r="H219" i="11"/>
  <c r="C219" i="11" s="1"/>
  <c r="G219" i="11"/>
  <c r="F219" i="11"/>
  <c r="E219" i="11"/>
  <c r="D219" i="11"/>
  <c r="M218" i="11"/>
  <c r="L218" i="11"/>
  <c r="K218" i="11"/>
  <c r="J218" i="11"/>
  <c r="I218" i="11"/>
  <c r="H218" i="11"/>
  <c r="G218" i="11"/>
  <c r="F218" i="11"/>
  <c r="E218" i="11"/>
  <c r="D218" i="11"/>
  <c r="M217" i="11"/>
  <c r="L217" i="11"/>
  <c r="K217" i="11"/>
  <c r="J217" i="11"/>
  <c r="I217" i="11"/>
  <c r="H217" i="11"/>
  <c r="C217" i="11" s="1"/>
  <c r="G217" i="11"/>
  <c r="F217" i="11"/>
  <c r="E217" i="11"/>
  <c r="D217" i="11"/>
  <c r="M216" i="11"/>
  <c r="L216" i="11"/>
  <c r="K216" i="11"/>
  <c r="J216" i="11"/>
  <c r="I216" i="11"/>
  <c r="H216" i="11"/>
  <c r="C216" i="11" s="1"/>
  <c r="G216" i="11"/>
  <c r="F216" i="11"/>
  <c r="E216" i="11"/>
  <c r="D216" i="11"/>
  <c r="M215" i="11"/>
  <c r="L215" i="11"/>
  <c r="K215" i="11"/>
  <c r="J215" i="11"/>
  <c r="I215" i="11"/>
  <c r="H215" i="11"/>
  <c r="C215" i="11" s="1"/>
  <c r="G215" i="11"/>
  <c r="F215" i="11"/>
  <c r="E215" i="11"/>
  <c r="D215" i="11"/>
  <c r="M214" i="11"/>
  <c r="L214" i="11"/>
  <c r="K214" i="11"/>
  <c r="J214" i="11"/>
  <c r="I214" i="11"/>
  <c r="H214" i="11"/>
  <c r="C214" i="11" s="1"/>
  <c r="G214" i="11"/>
  <c r="F214" i="11"/>
  <c r="E214" i="11"/>
  <c r="D214" i="11"/>
  <c r="M213" i="11"/>
  <c r="L213" i="11"/>
  <c r="K213" i="11"/>
  <c r="J213" i="11"/>
  <c r="I213" i="11"/>
  <c r="H213" i="11"/>
  <c r="C213" i="11" s="1"/>
  <c r="G213" i="11"/>
  <c r="F213" i="11"/>
  <c r="E213" i="11"/>
  <c r="D213" i="11"/>
  <c r="M212" i="11"/>
  <c r="L212" i="11"/>
  <c r="K212" i="11"/>
  <c r="J212" i="11"/>
  <c r="I212" i="11"/>
  <c r="H212" i="11"/>
  <c r="C212" i="11" s="1"/>
  <c r="G212" i="11"/>
  <c r="F212" i="11"/>
  <c r="E212" i="11"/>
  <c r="D212" i="11"/>
  <c r="M211" i="11"/>
  <c r="L211" i="11"/>
  <c r="K211" i="11"/>
  <c r="J211" i="11"/>
  <c r="I211" i="11"/>
  <c r="H211" i="11"/>
  <c r="C211" i="11" s="1"/>
  <c r="G211" i="11"/>
  <c r="F211" i="11"/>
  <c r="E211" i="11"/>
  <c r="D211" i="11"/>
  <c r="M210" i="11"/>
  <c r="L210" i="11"/>
  <c r="K210" i="11"/>
  <c r="J210" i="11"/>
  <c r="I210" i="11"/>
  <c r="H210" i="11"/>
  <c r="C210" i="11" s="1"/>
  <c r="G210" i="11"/>
  <c r="F210" i="11"/>
  <c r="E210" i="11"/>
  <c r="D210" i="11"/>
  <c r="M209" i="11"/>
  <c r="L209" i="11"/>
  <c r="K209" i="11"/>
  <c r="J209" i="11"/>
  <c r="I209" i="11"/>
  <c r="H209" i="11"/>
  <c r="C209" i="11" s="1"/>
  <c r="G209" i="11"/>
  <c r="F209" i="11"/>
  <c r="E209" i="11"/>
  <c r="D209" i="11"/>
  <c r="M208" i="11"/>
  <c r="L208" i="11"/>
  <c r="K208" i="11"/>
  <c r="J208" i="11"/>
  <c r="I208" i="11"/>
  <c r="H208" i="11"/>
  <c r="C208" i="11" s="1"/>
  <c r="G208" i="11"/>
  <c r="F208" i="11"/>
  <c r="E208" i="11"/>
  <c r="D208" i="11"/>
  <c r="M207" i="11"/>
  <c r="L207" i="11"/>
  <c r="K207" i="11"/>
  <c r="J207" i="11"/>
  <c r="I207" i="11"/>
  <c r="H207" i="11"/>
  <c r="C207" i="11" s="1"/>
  <c r="G207" i="11"/>
  <c r="F207" i="11"/>
  <c r="E207" i="11"/>
  <c r="D207" i="11"/>
  <c r="M206" i="11"/>
  <c r="L206" i="11"/>
  <c r="K206" i="11"/>
  <c r="J206" i="11"/>
  <c r="I206" i="11"/>
  <c r="H206" i="11"/>
  <c r="C206" i="11" s="1"/>
  <c r="G206" i="11"/>
  <c r="F206" i="11"/>
  <c r="E206" i="11"/>
  <c r="D206" i="11"/>
  <c r="M205" i="11"/>
  <c r="L205" i="11"/>
  <c r="K205" i="11"/>
  <c r="J205" i="11"/>
  <c r="I205" i="11"/>
  <c r="H205" i="11"/>
  <c r="C205" i="11" s="1"/>
  <c r="G205" i="11"/>
  <c r="F205" i="11"/>
  <c r="E205" i="11"/>
  <c r="D205" i="11"/>
  <c r="M204" i="11"/>
  <c r="L204" i="11"/>
  <c r="K204" i="11"/>
  <c r="J204" i="11"/>
  <c r="I204" i="11"/>
  <c r="H204" i="11"/>
  <c r="C204" i="11" s="1"/>
  <c r="G204" i="11"/>
  <c r="F204" i="11"/>
  <c r="E204" i="11"/>
  <c r="D204" i="11"/>
  <c r="M203" i="11"/>
  <c r="L203" i="11"/>
  <c r="K203" i="11"/>
  <c r="J203" i="11"/>
  <c r="I203" i="11"/>
  <c r="H203" i="11"/>
  <c r="C203" i="11" s="1"/>
  <c r="G203" i="11"/>
  <c r="F203" i="11"/>
  <c r="E203" i="11"/>
  <c r="D203" i="11"/>
  <c r="M202" i="11"/>
  <c r="L202" i="11"/>
  <c r="K202" i="11"/>
  <c r="J202" i="11"/>
  <c r="I202" i="11"/>
  <c r="H202" i="11"/>
  <c r="C202" i="11" s="1"/>
  <c r="G202" i="11"/>
  <c r="F202" i="11"/>
  <c r="E202" i="11"/>
  <c r="D202" i="11"/>
  <c r="M201" i="11"/>
  <c r="L201" i="11"/>
  <c r="K201" i="11"/>
  <c r="J201" i="11"/>
  <c r="I201" i="11"/>
  <c r="H201" i="11"/>
  <c r="C201" i="11" s="1"/>
  <c r="G201" i="11"/>
  <c r="F201" i="11"/>
  <c r="E201" i="11"/>
  <c r="D201" i="11"/>
  <c r="M200" i="11"/>
  <c r="L200" i="11"/>
  <c r="K200" i="11"/>
  <c r="J200" i="11"/>
  <c r="I200" i="11"/>
  <c r="H200" i="11"/>
  <c r="C200" i="11" s="1"/>
  <c r="G200" i="11"/>
  <c r="F200" i="11"/>
  <c r="E200" i="11"/>
  <c r="D200" i="11"/>
  <c r="M199" i="11"/>
  <c r="L199" i="11"/>
  <c r="K199" i="11"/>
  <c r="J199" i="11"/>
  <c r="I199" i="11"/>
  <c r="H199" i="11"/>
  <c r="C199" i="11" s="1"/>
  <c r="G199" i="11"/>
  <c r="F199" i="11"/>
  <c r="E199" i="11"/>
  <c r="D199" i="11"/>
  <c r="M198" i="11"/>
  <c r="L198" i="11"/>
  <c r="K198" i="11"/>
  <c r="J198" i="11"/>
  <c r="I198" i="11"/>
  <c r="H198" i="11"/>
  <c r="C198" i="11" s="1"/>
  <c r="G198" i="11"/>
  <c r="F198" i="11"/>
  <c r="E198" i="11"/>
  <c r="D198" i="11"/>
  <c r="M197" i="11"/>
  <c r="L197" i="11"/>
  <c r="K197" i="11"/>
  <c r="J197" i="11"/>
  <c r="I197" i="11"/>
  <c r="H197" i="11"/>
  <c r="C197" i="11" s="1"/>
  <c r="G197" i="11"/>
  <c r="F197" i="11"/>
  <c r="E197" i="11"/>
  <c r="D197" i="11"/>
  <c r="M196" i="11"/>
  <c r="L196" i="11"/>
  <c r="K196" i="11"/>
  <c r="J196" i="11"/>
  <c r="I196" i="11"/>
  <c r="H196" i="11"/>
  <c r="C196" i="11" s="1"/>
  <c r="G196" i="11"/>
  <c r="F196" i="11"/>
  <c r="E196" i="11"/>
  <c r="D196" i="11"/>
  <c r="M195" i="11"/>
  <c r="L195" i="11"/>
  <c r="K195" i="11"/>
  <c r="J195" i="11"/>
  <c r="I195" i="11"/>
  <c r="H195" i="11"/>
  <c r="C195" i="11" s="1"/>
  <c r="G195" i="11"/>
  <c r="F195" i="11"/>
  <c r="E195" i="11"/>
  <c r="D195" i="11"/>
  <c r="M194" i="11"/>
  <c r="L194" i="11"/>
  <c r="K194" i="11"/>
  <c r="J194" i="11"/>
  <c r="I194" i="11"/>
  <c r="H194" i="11"/>
  <c r="C194" i="11" s="1"/>
  <c r="G194" i="11"/>
  <c r="F194" i="11"/>
  <c r="E194" i="11"/>
  <c r="D194" i="11"/>
  <c r="M193" i="11"/>
  <c r="L193" i="11"/>
  <c r="K193" i="11"/>
  <c r="J193" i="11"/>
  <c r="I193" i="11"/>
  <c r="H193" i="11"/>
  <c r="C193" i="11" s="1"/>
  <c r="G193" i="11"/>
  <c r="F193" i="11"/>
  <c r="E193" i="11"/>
  <c r="D193" i="11"/>
  <c r="M192" i="11"/>
  <c r="L192" i="11"/>
  <c r="K192" i="11"/>
  <c r="J192" i="11"/>
  <c r="I192" i="11"/>
  <c r="H192" i="11"/>
  <c r="C192" i="11" s="1"/>
  <c r="G192" i="11"/>
  <c r="F192" i="11"/>
  <c r="E192" i="11"/>
  <c r="D192" i="11"/>
  <c r="M191" i="11"/>
  <c r="L191" i="11"/>
  <c r="K191" i="11"/>
  <c r="J191" i="11"/>
  <c r="I191" i="11"/>
  <c r="H191" i="11"/>
  <c r="C191" i="11" s="1"/>
  <c r="G191" i="11"/>
  <c r="F191" i="11"/>
  <c r="E191" i="11"/>
  <c r="D191" i="11"/>
  <c r="M190" i="11"/>
  <c r="L190" i="11"/>
  <c r="K190" i="11"/>
  <c r="J190" i="11"/>
  <c r="I190" i="11"/>
  <c r="H190" i="11"/>
  <c r="C190" i="11" s="1"/>
  <c r="G190" i="11"/>
  <c r="F190" i="11"/>
  <c r="E190" i="11"/>
  <c r="D190" i="11"/>
  <c r="M189" i="11"/>
  <c r="L189" i="11"/>
  <c r="K189" i="11"/>
  <c r="J189" i="11"/>
  <c r="I189" i="11"/>
  <c r="H189" i="11"/>
  <c r="C189" i="11" s="1"/>
  <c r="G189" i="11"/>
  <c r="F189" i="11"/>
  <c r="E189" i="11"/>
  <c r="D189" i="11"/>
  <c r="M188" i="11"/>
  <c r="L188" i="11"/>
  <c r="K188" i="11"/>
  <c r="J188" i="11"/>
  <c r="I188" i="11"/>
  <c r="H188" i="11"/>
  <c r="C188" i="11" s="1"/>
  <c r="G188" i="11"/>
  <c r="F188" i="11"/>
  <c r="E188" i="11"/>
  <c r="D188" i="11"/>
  <c r="M187" i="11"/>
  <c r="L187" i="11"/>
  <c r="K187" i="11"/>
  <c r="J187" i="11"/>
  <c r="I187" i="11"/>
  <c r="H187" i="11"/>
  <c r="G187" i="11"/>
  <c r="F187" i="11"/>
  <c r="E187" i="11"/>
  <c r="D187" i="11"/>
  <c r="M186" i="11"/>
  <c r="L186" i="11"/>
  <c r="K186" i="11"/>
  <c r="J186" i="11"/>
  <c r="I186" i="11"/>
  <c r="H186" i="11"/>
  <c r="C186" i="11" s="1"/>
  <c r="G186" i="11"/>
  <c r="F186" i="11"/>
  <c r="E186" i="11"/>
  <c r="D186" i="11"/>
  <c r="M185" i="11"/>
  <c r="L185" i="11"/>
  <c r="K185" i="11"/>
  <c r="J185" i="11"/>
  <c r="I185" i="11"/>
  <c r="H185" i="11"/>
  <c r="C185" i="11" s="1"/>
  <c r="G185" i="11"/>
  <c r="F185" i="11"/>
  <c r="E185" i="11"/>
  <c r="D185" i="11"/>
  <c r="M184" i="11"/>
  <c r="L184" i="11"/>
  <c r="K184" i="11"/>
  <c r="J184" i="11"/>
  <c r="I184" i="11"/>
  <c r="H184" i="11"/>
  <c r="C184" i="11" s="1"/>
  <c r="G184" i="11"/>
  <c r="F184" i="11"/>
  <c r="E184" i="11"/>
  <c r="D184" i="11"/>
  <c r="M183" i="11"/>
  <c r="L183" i="11"/>
  <c r="K183" i="11"/>
  <c r="J183" i="11"/>
  <c r="I183" i="11"/>
  <c r="H183" i="11"/>
  <c r="C183" i="11" s="1"/>
  <c r="G183" i="11"/>
  <c r="F183" i="11"/>
  <c r="E183" i="11"/>
  <c r="D183" i="11"/>
  <c r="M182" i="11"/>
  <c r="L182" i="11"/>
  <c r="K182" i="11"/>
  <c r="J182" i="11"/>
  <c r="I182" i="11"/>
  <c r="H182" i="11"/>
  <c r="C182" i="11" s="1"/>
  <c r="G182" i="11"/>
  <c r="F182" i="11"/>
  <c r="E182" i="11"/>
  <c r="D182" i="11"/>
  <c r="M181" i="11"/>
  <c r="L181" i="11"/>
  <c r="K181" i="11"/>
  <c r="J181" i="11"/>
  <c r="I181" i="11"/>
  <c r="H181" i="11"/>
  <c r="C181" i="11" s="1"/>
  <c r="G181" i="11"/>
  <c r="F181" i="11"/>
  <c r="E181" i="11"/>
  <c r="D181" i="11"/>
  <c r="M180" i="11"/>
  <c r="L180" i="11"/>
  <c r="K180" i="11"/>
  <c r="J180" i="11"/>
  <c r="I180" i="11"/>
  <c r="H180" i="11"/>
  <c r="C180" i="11" s="1"/>
  <c r="G180" i="11"/>
  <c r="F180" i="11"/>
  <c r="E180" i="11"/>
  <c r="D180" i="11"/>
  <c r="M179" i="11"/>
  <c r="L179" i="11"/>
  <c r="K179" i="11"/>
  <c r="J179" i="11"/>
  <c r="I179" i="11"/>
  <c r="H179" i="11"/>
  <c r="C179" i="11" s="1"/>
  <c r="G179" i="11"/>
  <c r="F179" i="11"/>
  <c r="E179" i="11"/>
  <c r="D179" i="11"/>
  <c r="M178" i="11"/>
  <c r="L178" i="11"/>
  <c r="K178" i="11"/>
  <c r="J178" i="11"/>
  <c r="I178" i="11"/>
  <c r="H178" i="11"/>
  <c r="C178" i="11" s="1"/>
  <c r="G178" i="11"/>
  <c r="F178" i="11"/>
  <c r="E178" i="11"/>
  <c r="D178" i="11"/>
  <c r="M177" i="11"/>
  <c r="L177" i="11"/>
  <c r="K177" i="11"/>
  <c r="J177" i="11"/>
  <c r="I177" i="11"/>
  <c r="H177" i="11"/>
  <c r="C177" i="11" s="1"/>
  <c r="G177" i="11"/>
  <c r="F177" i="11"/>
  <c r="E177" i="11"/>
  <c r="D177" i="11"/>
  <c r="M176" i="11"/>
  <c r="L176" i="11"/>
  <c r="K176" i="11"/>
  <c r="J176" i="11"/>
  <c r="I176" i="11"/>
  <c r="H176" i="11"/>
  <c r="C176" i="11" s="1"/>
  <c r="G176" i="11"/>
  <c r="F176" i="11"/>
  <c r="E176" i="11"/>
  <c r="D176" i="11"/>
  <c r="M175" i="11"/>
  <c r="L175" i="11"/>
  <c r="K175" i="11"/>
  <c r="J175" i="11"/>
  <c r="I175" i="11"/>
  <c r="H175" i="11"/>
  <c r="C175" i="11" s="1"/>
  <c r="G175" i="11"/>
  <c r="F175" i="11"/>
  <c r="E175" i="11"/>
  <c r="D175" i="11"/>
  <c r="M174" i="11"/>
  <c r="L174" i="11"/>
  <c r="K174" i="11"/>
  <c r="J174" i="11"/>
  <c r="I174" i="11"/>
  <c r="H174" i="11"/>
  <c r="C174" i="11" s="1"/>
  <c r="G174" i="11"/>
  <c r="F174" i="11"/>
  <c r="E174" i="11"/>
  <c r="D174" i="11"/>
  <c r="M173" i="11"/>
  <c r="L173" i="11"/>
  <c r="K173" i="11"/>
  <c r="J173" i="11"/>
  <c r="I173" i="11"/>
  <c r="H173" i="11"/>
  <c r="C173" i="11" s="1"/>
  <c r="G173" i="11"/>
  <c r="F173" i="11"/>
  <c r="E173" i="11"/>
  <c r="D173" i="11"/>
  <c r="M172" i="11"/>
  <c r="L172" i="11"/>
  <c r="K172" i="11"/>
  <c r="J172" i="11"/>
  <c r="I172" i="11"/>
  <c r="H172" i="11"/>
  <c r="C172" i="11" s="1"/>
  <c r="G172" i="11"/>
  <c r="F172" i="11"/>
  <c r="E172" i="11"/>
  <c r="D172" i="11"/>
  <c r="M171" i="11"/>
  <c r="L171" i="11"/>
  <c r="K171" i="11"/>
  <c r="J171" i="11"/>
  <c r="I171" i="11"/>
  <c r="H171" i="11"/>
  <c r="C171" i="11" s="1"/>
  <c r="G171" i="11"/>
  <c r="F171" i="11"/>
  <c r="E171" i="11"/>
  <c r="D171" i="11"/>
  <c r="M170" i="11"/>
  <c r="L170" i="11"/>
  <c r="K170" i="11"/>
  <c r="J170" i="11"/>
  <c r="I170" i="11"/>
  <c r="H170" i="11"/>
  <c r="C170" i="11" s="1"/>
  <c r="G170" i="11"/>
  <c r="F170" i="11"/>
  <c r="E170" i="11"/>
  <c r="D170" i="11"/>
  <c r="M169" i="11"/>
  <c r="L169" i="11"/>
  <c r="K169" i="11"/>
  <c r="J169" i="11"/>
  <c r="I169" i="11"/>
  <c r="H169" i="11"/>
  <c r="C169" i="11" s="1"/>
  <c r="G169" i="11"/>
  <c r="F169" i="11"/>
  <c r="E169" i="11"/>
  <c r="D169" i="11"/>
  <c r="M168" i="11"/>
  <c r="L168" i="11"/>
  <c r="K168" i="11"/>
  <c r="J168" i="11"/>
  <c r="I168" i="11"/>
  <c r="H168" i="11"/>
  <c r="C168" i="11" s="1"/>
  <c r="G168" i="11"/>
  <c r="F168" i="11"/>
  <c r="E168" i="11"/>
  <c r="D168" i="11"/>
  <c r="M167" i="11"/>
  <c r="L167" i="11"/>
  <c r="K167" i="11"/>
  <c r="J167" i="11"/>
  <c r="I167" i="11"/>
  <c r="H167" i="11"/>
  <c r="C167" i="11" s="1"/>
  <c r="G167" i="11"/>
  <c r="F167" i="11"/>
  <c r="E167" i="11"/>
  <c r="D167" i="11"/>
  <c r="M166" i="11"/>
  <c r="L166" i="11"/>
  <c r="K166" i="11"/>
  <c r="J166" i="11"/>
  <c r="I166" i="11"/>
  <c r="H166" i="11"/>
  <c r="C166" i="11" s="1"/>
  <c r="G166" i="11"/>
  <c r="F166" i="11"/>
  <c r="E166" i="11"/>
  <c r="D166" i="11"/>
  <c r="M165" i="11"/>
  <c r="L165" i="11"/>
  <c r="K165" i="11"/>
  <c r="J165" i="11"/>
  <c r="I165" i="11"/>
  <c r="H165" i="11"/>
  <c r="C165" i="11" s="1"/>
  <c r="G165" i="11"/>
  <c r="F165" i="11"/>
  <c r="E165" i="11"/>
  <c r="D165" i="11"/>
  <c r="M164" i="11"/>
  <c r="L164" i="11"/>
  <c r="K164" i="11"/>
  <c r="J164" i="11"/>
  <c r="I164" i="11"/>
  <c r="H164" i="11"/>
  <c r="C164" i="11" s="1"/>
  <c r="G164" i="11"/>
  <c r="F164" i="11"/>
  <c r="E164" i="11"/>
  <c r="D164" i="11"/>
  <c r="M163" i="11"/>
  <c r="L163" i="11"/>
  <c r="K163" i="11"/>
  <c r="J163" i="11"/>
  <c r="I163" i="11"/>
  <c r="H163" i="11"/>
  <c r="C163" i="11" s="1"/>
  <c r="G163" i="11"/>
  <c r="F163" i="11"/>
  <c r="E163" i="11"/>
  <c r="D163" i="11"/>
  <c r="M162" i="11"/>
  <c r="L162" i="11"/>
  <c r="K162" i="11"/>
  <c r="J162" i="11"/>
  <c r="I162" i="11"/>
  <c r="H162" i="11"/>
  <c r="C162" i="11" s="1"/>
  <c r="G162" i="11"/>
  <c r="F162" i="11"/>
  <c r="E162" i="11"/>
  <c r="D162" i="11"/>
  <c r="M161" i="11"/>
  <c r="L161" i="11"/>
  <c r="K161" i="11"/>
  <c r="J161" i="11"/>
  <c r="I161" i="11"/>
  <c r="H161" i="11"/>
  <c r="C161" i="11" s="1"/>
  <c r="G161" i="11"/>
  <c r="F161" i="11"/>
  <c r="E161" i="11"/>
  <c r="D161" i="11"/>
  <c r="M160" i="11"/>
  <c r="L160" i="11"/>
  <c r="K160" i="11"/>
  <c r="J160" i="11"/>
  <c r="I160" i="11"/>
  <c r="H160" i="11"/>
  <c r="C160" i="11" s="1"/>
  <c r="G160" i="11"/>
  <c r="F160" i="11"/>
  <c r="E160" i="11"/>
  <c r="D160" i="11"/>
  <c r="M159" i="11"/>
  <c r="L159" i="11"/>
  <c r="K159" i="11"/>
  <c r="J159" i="11"/>
  <c r="I159" i="11"/>
  <c r="H159" i="11"/>
  <c r="C159" i="11" s="1"/>
  <c r="G159" i="11"/>
  <c r="F159" i="11"/>
  <c r="E159" i="11"/>
  <c r="D159" i="11"/>
  <c r="M158" i="11"/>
  <c r="L158" i="11"/>
  <c r="K158" i="11"/>
  <c r="J158" i="11"/>
  <c r="I158" i="11"/>
  <c r="H158" i="11"/>
  <c r="C158" i="11" s="1"/>
  <c r="G158" i="11"/>
  <c r="F158" i="11"/>
  <c r="E158" i="11"/>
  <c r="D158" i="11"/>
  <c r="M157" i="11"/>
  <c r="L157" i="11"/>
  <c r="K157" i="11"/>
  <c r="J157" i="11"/>
  <c r="I157" i="11"/>
  <c r="H157" i="11"/>
  <c r="G157" i="11"/>
  <c r="F157" i="11"/>
  <c r="E157" i="11"/>
  <c r="D157" i="11"/>
  <c r="M156" i="11"/>
  <c r="L156" i="11"/>
  <c r="K156" i="11"/>
  <c r="J156" i="11"/>
  <c r="I156" i="11"/>
  <c r="H156" i="11"/>
  <c r="C156" i="11" s="1"/>
  <c r="G156" i="11"/>
  <c r="F156" i="11"/>
  <c r="E156" i="11"/>
  <c r="D156" i="11"/>
  <c r="M155" i="11"/>
  <c r="L155" i="11"/>
  <c r="K155" i="11"/>
  <c r="J155" i="11"/>
  <c r="I155" i="11"/>
  <c r="H155" i="11"/>
  <c r="C155" i="11" s="1"/>
  <c r="G155" i="11"/>
  <c r="F155" i="11"/>
  <c r="E155" i="11"/>
  <c r="D155" i="11"/>
  <c r="M154" i="11"/>
  <c r="L154" i="11"/>
  <c r="K154" i="11"/>
  <c r="J154" i="11"/>
  <c r="I154" i="11"/>
  <c r="H154" i="11"/>
  <c r="C154" i="11" s="1"/>
  <c r="G154" i="11"/>
  <c r="F154" i="11"/>
  <c r="E154" i="11"/>
  <c r="D154" i="11"/>
  <c r="M153" i="11"/>
  <c r="L153" i="11"/>
  <c r="K153" i="11"/>
  <c r="J153" i="11"/>
  <c r="I153" i="11"/>
  <c r="H153" i="11"/>
  <c r="C153" i="11" s="1"/>
  <c r="G153" i="11"/>
  <c r="F153" i="11"/>
  <c r="E153" i="11"/>
  <c r="D153" i="11"/>
  <c r="M152" i="11"/>
  <c r="L152" i="11"/>
  <c r="K152" i="11"/>
  <c r="J152" i="11"/>
  <c r="I152" i="11"/>
  <c r="H152" i="11"/>
  <c r="C152" i="11" s="1"/>
  <c r="G152" i="11"/>
  <c r="F152" i="11"/>
  <c r="E152" i="11"/>
  <c r="D152" i="11"/>
  <c r="M151" i="11"/>
  <c r="L151" i="11"/>
  <c r="K151" i="11"/>
  <c r="J151" i="11"/>
  <c r="I151" i="11"/>
  <c r="H151" i="11"/>
  <c r="C151" i="11" s="1"/>
  <c r="G151" i="11"/>
  <c r="F151" i="11"/>
  <c r="E151" i="11"/>
  <c r="D151" i="11"/>
  <c r="M150" i="11"/>
  <c r="L150" i="11"/>
  <c r="K150" i="11"/>
  <c r="J150" i="11"/>
  <c r="I150" i="11"/>
  <c r="H150" i="11"/>
  <c r="C150" i="11" s="1"/>
  <c r="G150" i="11"/>
  <c r="F150" i="11"/>
  <c r="E150" i="11"/>
  <c r="D150" i="11"/>
  <c r="M149" i="11"/>
  <c r="L149" i="11"/>
  <c r="K149" i="11"/>
  <c r="J149" i="11"/>
  <c r="I149" i="11"/>
  <c r="H149" i="11"/>
  <c r="C149" i="11" s="1"/>
  <c r="G149" i="11"/>
  <c r="F149" i="11"/>
  <c r="E149" i="11"/>
  <c r="D149" i="11"/>
  <c r="M148" i="11"/>
  <c r="L148" i="11"/>
  <c r="K148" i="11"/>
  <c r="J148" i="11"/>
  <c r="I148" i="11"/>
  <c r="H148" i="11"/>
  <c r="C148" i="11" s="1"/>
  <c r="G148" i="11"/>
  <c r="F148" i="11"/>
  <c r="E148" i="11"/>
  <c r="D148" i="11"/>
  <c r="M147" i="11"/>
  <c r="L147" i="11"/>
  <c r="K147" i="11"/>
  <c r="J147" i="11"/>
  <c r="I147" i="11"/>
  <c r="H147" i="11"/>
  <c r="C147" i="11" s="1"/>
  <c r="G147" i="11"/>
  <c r="F147" i="11"/>
  <c r="E147" i="11"/>
  <c r="D147" i="11"/>
  <c r="M146" i="11"/>
  <c r="L146" i="11"/>
  <c r="K146" i="11"/>
  <c r="J146" i="11"/>
  <c r="I146" i="11"/>
  <c r="H146" i="11"/>
  <c r="C146" i="11" s="1"/>
  <c r="G146" i="11"/>
  <c r="F146" i="11"/>
  <c r="E146" i="11"/>
  <c r="D146" i="11"/>
  <c r="M145" i="11"/>
  <c r="L145" i="11"/>
  <c r="K145" i="11"/>
  <c r="J145" i="11"/>
  <c r="I145" i="11"/>
  <c r="H145" i="11"/>
  <c r="C145" i="11" s="1"/>
  <c r="G145" i="11"/>
  <c r="F145" i="11"/>
  <c r="E145" i="11"/>
  <c r="D145" i="11"/>
  <c r="M144" i="11"/>
  <c r="L144" i="11"/>
  <c r="K144" i="11"/>
  <c r="J144" i="11"/>
  <c r="I144" i="11"/>
  <c r="H144" i="11"/>
  <c r="C144" i="11" s="1"/>
  <c r="G144" i="11"/>
  <c r="F144" i="11"/>
  <c r="E144" i="11"/>
  <c r="D144" i="11"/>
  <c r="M143" i="11"/>
  <c r="L143" i="11"/>
  <c r="K143" i="11"/>
  <c r="J143" i="11"/>
  <c r="I143" i="11"/>
  <c r="H143" i="11"/>
  <c r="C143" i="11" s="1"/>
  <c r="G143" i="11"/>
  <c r="F143" i="11"/>
  <c r="E143" i="11"/>
  <c r="D143" i="11"/>
  <c r="M142" i="11"/>
  <c r="L142" i="11"/>
  <c r="K142" i="11"/>
  <c r="J142" i="11"/>
  <c r="I142" i="11"/>
  <c r="H142" i="11"/>
  <c r="C142" i="11" s="1"/>
  <c r="G142" i="11"/>
  <c r="F142" i="11"/>
  <c r="E142" i="11"/>
  <c r="D142" i="11"/>
  <c r="M141" i="11"/>
  <c r="L141" i="11"/>
  <c r="K141" i="11"/>
  <c r="J141" i="11"/>
  <c r="I141" i="11"/>
  <c r="H141" i="11"/>
  <c r="C141" i="11" s="1"/>
  <c r="G141" i="11"/>
  <c r="F141" i="11"/>
  <c r="E141" i="11"/>
  <c r="D141" i="11"/>
  <c r="M140" i="11"/>
  <c r="L140" i="11"/>
  <c r="K140" i="11"/>
  <c r="J140" i="11"/>
  <c r="I140" i="11"/>
  <c r="H140" i="11"/>
  <c r="C140" i="11" s="1"/>
  <c r="G140" i="11"/>
  <c r="F140" i="11"/>
  <c r="E140" i="11"/>
  <c r="D140" i="11"/>
  <c r="M139" i="11"/>
  <c r="L139" i="11"/>
  <c r="K139" i="11"/>
  <c r="J139" i="11"/>
  <c r="I139" i="11"/>
  <c r="H139" i="11"/>
  <c r="C139" i="11" s="1"/>
  <c r="G139" i="11"/>
  <c r="F139" i="11"/>
  <c r="E139" i="11"/>
  <c r="D139" i="11"/>
  <c r="M138" i="11"/>
  <c r="L138" i="11"/>
  <c r="K138" i="11"/>
  <c r="J138" i="11"/>
  <c r="I138" i="11"/>
  <c r="H138" i="11"/>
  <c r="C138" i="11" s="1"/>
  <c r="G138" i="11"/>
  <c r="F138" i="11"/>
  <c r="E138" i="11"/>
  <c r="D138" i="11"/>
  <c r="M137" i="11"/>
  <c r="L137" i="11"/>
  <c r="K137" i="11"/>
  <c r="J137" i="11"/>
  <c r="I137" i="11"/>
  <c r="H137" i="11"/>
  <c r="C137" i="11" s="1"/>
  <c r="G137" i="11"/>
  <c r="F137" i="11"/>
  <c r="E137" i="11"/>
  <c r="D137" i="11"/>
  <c r="M136" i="11"/>
  <c r="L136" i="11"/>
  <c r="K136" i="11"/>
  <c r="J136" i="11"/>
  <c r="I136" i="11"/>
  <c r="H136" i="11"/>
  <c r="C136" i="11" s="1"/>
  <c r="G136" i="11"/>
  <c r="F136" i="11"/>
  <c r="E136" i="11"/>
  <c r="D136" i="11"/>
  <c r="M135" i="11"/>
  <c r="L135" i="11"/>
  <c r="K135" i="11"/>
  <c r="J135" i="11"/>
  <c r="I135" i="11"/>
  <c r="H135" i="11"/>
  <c r="C135" i="11" s="1"/>
  <c r="G135" i="11"/>
  <c r="F135" i="11"/>
  <c r="E135" i="11"/>
  <c r="D135" i="11"/>
  <c r="M134" i="11"/>
  <c r="L134" i="11"/>
  <c r="K134" i="11"/>
  <c r="J134" i="11"/>
  <c r="I134" i="11"/>
  <c r="H134" i="11"/>
  <c r="C134" i="11" s="1"/>
  <c r="G134" i="11"/>
  <c r="F134" i="11"/>
  <c r="E134" i="11"/>
  <c r="D134" i="11"/>
  <c r="M133" i="11"/>
  <c r="L133" i="11"/>
  <c r="K133" i="11"/>
  <c r="J133" i="11"/>
  <c r="I133" i="11"/>
  <c r="H133" i="11"/>
  <c r="C133" i="11" s="1"/>
  <c r="G133" i="11"/>
  <c r="F133" i="11"/>
  <c r="E133" i="11"/>
  <c r="D133" i="11"/>
  <c r="M132" i="11"/>
  <c r="L132" i="11"/>
  <c r="K132" i="11"/>
  <c r="J132" i="11"/>
  <c r="I132" i="11"/>
  <c r="H132" i="11"/>
  <c r="C132" i="11" s="1"/>
  <c r="G132" i="11"/>
  <c r="F132" i="11"/>
  <c r="E132" i="11"/>
  <c r="D132" i="11"/>
  <c r="M131" i="11"/>
  <c r="L131" i="11"/>
  <c r="K131" i="11"/>
  <c r="J131" i="11"/>
  <c r="I131" i="11"/>
  <c r="H131" i="11"/>
  <c r="C131" i="11" s="1"/>
  <c r="G131" i="11"/>
  <c r="F131" i="11"/>
  <c r="E131" i="11"/>
  <c r="D131" i="11"/>
  <c r="M130" i="11"/>
  <c r="L130" i="11"/>
  <c r="K130" i="11"/>
  <c r="J130" i="11"/>
  <c r="I130" i="11"/>
  <c r="H130" i="11"/>
  <c r="C130" i="11" s="1"/>
  <c r="G130" i="11"/>
  <c r="F130" i="11"/>
  <c r="E130" i="11"/>
  <c r="D130" i="11"/>
  <c r="M129" i="11"/>
  <c r="L129" i="11"/>
  <c r="K129" i="11"/>
  <c r="J129" i="11"/>
  <c r="I129" i="11"/>
  <c r="H129" i="11"/>
  <c r="C129" i="11" s="1"/>
  <c r="G129" i="11"/>
  <c r="F129" i="11"/>
  <c r="E129" i="11"/>
  <c r="D129" i="11"/>
  <c r="M128" i="11"/>
  <c r="L128" i="11"/>
  <c r="K128" i="11"/>
  <c r="J128" i="11"/>
  <c r="I128" i="11"/>
  <c r="H128" i="11"/>
  <c r="C128" i="11" s="1"/>
  <c r="G128" i="11"/>
  <c r="F128" i="11"/>
  <c r="E128" i="11"/>
  <c r="D128" i="11"/>
  <c r="M127" i="11"/>
  <c r="L127" i="11"/>
  <c r="K127" i="11"/>
  <c r="J127" i="11"/>
  <c r="I127" i="11"/>
  <c r="H127" i="11"/>
  <c r="C127" i="11" s="1"/>
  <c r="G127" i="11"/>
  <c r="F127" i="11"/>
  <c r="E127" i="11"/>
  <c r="D127" i="11"/>
  <c r="M126" i="11"/>
  <c r="L126" i="11"/>
  <c r="K126" i="11"/>
  <c r="J126" i="11"/>
  <c r="I126" i="11"/>
  <c r="H126" i="11"/>
  <c r="G126" i="11"/>
  <c r="F126" i="11"/>
  <c r="E126" i="11"/>
  <c r="D126" i="11"/>
  <c r="M125" i="11"/>
  <c r="L125" i="11"/>
  <c r="K125" i="11"/>
  <c r="J125" i="11"/>
  <c r="I125" i="11"/>
  <c r="H125" i="11"/>
  <c r="C125" i="11" s="1"/>
  <c r="G125" i="11"/>
  <c r="F125" i="11"/>
  <c r="E125" i="11"/>
  <c r="D125" i="11"/>
  <c r="M124" i="11"/>
  <c r="L124" i="11"/>
  <c r="K124" i="11"/>
  <c r="J124" i="11"/>
  <c r="I124" i="11"/>
  <c r="H124" i="11"/>
  <c r="C124" i="11" s="1"/>
  <c r="G124" i="11"/>
  <c r="F124" i="11"/>
  <c r="E124" i="11"/>
  <c r="D124" i="11"/>
  <c r="M123" i="11"/>
  <c r="L123" i="11"/>
  <c r="K123" i="11"/>
  <c r="J123" i="11"/>
  <c r="I123" i="11"/>
  <c r="H123" i="11"/>
  <c r="C123" i="11" s="1"/>
  <c r="G123" i="11"/>
  <c r="F123" i="11"/>
  <c r="E123" i="11"/>
  <c r="D123" i="11"/>
  <c r="M122" i="11"/>
  <c r="L122" i="11"/>
  <c r="K122" i="11"/>
  <c r="J122" i="11"/>
  <c r="I122" i="11"/>
  <c r="H122" i="11"/>
  <c r="C122" i="11" s="1"/>
  <c r="G122" i="11"/>
  <c r="F122" i="11"/>
  <c r="E122" i="11"/>
  <c r="D122" i="11"/>
  <c r="M121" i="11"/>
  <c r="L121" i="11"/>
  <c r="K121" i="11"/>
  <c r="J121" i="11"/>
  <c r="I121" i="11"/>
  <c r="H121" i="11"/>
  <c r="C121" i="11" s="1"/>
  <c r="G121" i="11"/>
  <c r="F121" i="11"/>
  <c r="E121" i="11"/>
  <c r="D121" i="11"/>
  <c r="M120" i="11"/>
  <c r="L120" i="11"/>
  <c r="K120" i="11"/>
  <c r="J120" i="11"/>
  <c r="I120" i="11"/>
  <c r="H120" i="11"/>
  <c r="C120" i="11" s="1"/>
  <c r="G120" i="11"/>
  <c r="F120" i="11"/>
  <c r="E120" i="11"/>
  <c r="D120" i="11"/>
  <c r="M119" i="11"/>
  <c r="L119" i="11"/>
  <c r="K119" i="11"/>
  <c r="J119" i="11"/>
  <c r="I119" i="11"/>
  <c r="H119" i="11"/>
  <c r="C119" i="11" s="1"/>
  <c r="G119" i="11"/>
  <c r="F119" i="11"/>
  <c r="E119" i="11"/>
  <c r="D119" i="11"/>
  <c r="M118" i="11"/>
  <c r="L118" i="11"/>
  <c r="K118" i="11"/>
  <c r="J118" i="11"/>
  <c r="I118" i="11"/>
  <c r="H118" i="11"/>
  <c r="C118" i="11" s="1"/>
  <c r="G118" i="11"/>
  <c r="F118" i="11"/>
  <c r="E118" i="11"/>
  <c r="D118" i="11"/>
  <c r="M117" i="11"/>
  <c r="L117" i="11"/>
  <c r="K117" i="11"/>
  <c r="J117" i="11"/>
  <c r="I117" i="11"/>
  <c r="H117" i="11"/>
  <c r="C117" i="11" s="1"/>
  <c r="G117" i="11"/>
  <c r="F117" i="11"/>
  <c r="E117" i="11"/>
  <c r="D117" i="11"/>
  <c r="M116" i="11"/>
  <c r="L116" i="11"/>
  <c r="K116" i="11"/>
  <c r="J116" i="11"/>
  <c r="I116" i="11"/>
  <c r="H116" i="11"/>
  <c r="C116" i="11" s="1"/>
  <c r="G116" i="11"/>
  <c r="F116" i="11"/>
  <c r="E116" i="11"/>
  <c r="D116" i="11"/>
  <c r="M115" i="11"/>
  <c r="L115" i="11"/>
  <c r="K115" i="11"/>
  <c r="J115" i="11"/>
  <c r="I115" i="11"/>
  <c r="H115" i="11"/>
  <c r="C115" i="11" s="1"/>
  <c r="G115" i="11"/>
  <c r="F115" i="11"/>
  <c r="E115" i="11"/>
  <c r="D115" i="11"/>
  <c r="M114" i="11"/>
  <c r="L114" i="11"/>
  <c r="K114" i="11"/>
  <c r="J114" i="11"/>
  <c r="I114" i="11"/>
  <c r="H114" i="11"/>
  <c r="C114" i="11" s="1"/>
  <c r="G114" i="11"/>
  <c r="F114" i="11"/>
  <c r="E114" i="11"/>
  <c r="D114" i="11"/>
  <c r="M113" i="11"/>
  <c r="L113" i="11"/>
  <c r="K113" i="11"/>
  <c r="J113" i="11"/>
  <c r="I113" i="11"/>
  <c r="H113" i="11"/>
  <c r="C113" i="11" s="1"/>
  <c r="G113" i="11"/>
  <c r="F113" i="11"/>
  <c r="E113" i="11"/>
  <c r="D113" i="11"/>
  <c r="M112" i="11"/>
  <c r="L112" i="11"/>
  <c r="K112" i="11"/>
  <c r="J112" i="11"/>
  <c r="I112" i="11"/>
  <c r="H112" i="11"/>
  <c r="C112" i="11" s="1"/>
  <c r="G112" i="11"/>
  <c r="F112" i="11"/>
  <c r="E112" i="11"/>
  <c r="D112" i="11"/>
  <c r="M111" i="11"/>
  <c r="L111" i="11"/>
  <c r="K111" i="11"/>
  <c r="J111" i="11"/>
  <c r="I111" i="11"/>
  <c r="H111" i="11"/>
  <c r="C111" i="11" s="1"/>
  <c r="G111" i="11"/>
  <c r="F111" i="11"/>
  <c r="E111" i="11"/>
  <c r="D111" i="11"/>
  <c r="M110" i="11"/>
  <c r="L110" i="11"/>
  <c r="K110" i="11"/>
  <c r="J110" i="11"/>
  <c r="I110" i="11"/>
  <c r="H110" i="11"/>
  <c r="C110" i="11" s="1"/>
  <c r="G110" i="11"/>
  <c r="F110" i="11"/>
  <c r="E110" i="11"/>
  <c r="D110" i="11"/>
  <c r="M109" i="11"/>
  <c r="L109" i="11"/>
  <c r="K109" i="11"/>
  <c r="J109" i="11"/>
  <c r="I109" i="11"/>
  <c r="H109" i="11"/>
  <c r="C109" i="11" s="1"/>
  <c r="G109" i="11"/>
  <c r="F109" i="11"/>
  <c r="E109" i="11"/>
  <c r="D109" i="11"/>
  <c r="M108" i="11"/>
  <c r="L108" i="11"/>
  <c r="K108" i="11"/>
  <c r="J108" i="11"/>
  <c r="I108" i="11"/>
  <c r="H108" i="11"/>
  <c r="C108" i="11" s="1"/>
  <c r="G108" i="11"/>
  <c r="F108" i="11"/>
  <c r="E108" i="11"/>
  <c r="D108" i="11"/>
  <c r="M107" i="11"/>
  <c r="L107" i="11"/>
  <c r="K107" i="11"/>
  <c r="J107" i="11"/>
  <c r="I107" i="11"/>
  <c r="H107" i="11"/>
  <c r="C107" i="11" s="1"/>
  <c r="G107" i="11"/>
  <c r="F107" i="11"/>
  <c r="E107" i="11"/>
  <c r="D107" i="11"/>
  <c r="M106" i="11"/>
  <c r="L106" i="11"/>
  <c r="K106" i="11"/>
  <c r="J106" i="11"/>
  <c r="I106" i="11"/>
  <c r="H106" i="11"/>
  <c r="C106" i="11" s="1"/>
  <c r="G106" i="11"/>
  <c r="F106" i="11"/>
  <c r="E106" i="11"/>
  <c r="D106" i="11"/>
  <c r="M105" i="11"/>
  <c r="L105" i="11"/>
  <c r="K105" i="11"/>
  <c r="J105" i="11"/>
  <c r="I105" i="11"/>
  <c r="H105" i="11"/>
  <c r="C105" i="11" s="1"/>
  <c r="G105" i="11"/>
  <c r="F105" i="11"/>
  <c r="E105" i="11"/>
  <c r="D105" i="11"/>
  <c r="M104" i="11"/>
  <c r="L104" i="11"/>
  <c r="K104" i="11"/>
  <c r="J104" i="11"/>
  <c r="I104" i="11"/>
  <c r="H104" i="11"/>
  <c r="C104" i="11" s="1"/>
  <c r="G104" i="11"/>
  <c r="F104" i="11"/>
  <c r="E104" i="11"/>
  <c r="D104" i="11"/>
  <c r="M103" i="11"/>
  <c r="L103" i="11"/>
  <c r="K103" i="11"/>
  <c r="J103" i="11"/>
  <c r="I103" i="11"/>
  <c r="H103" i="11"/>
  <c r="C103" i="11" s="1"/>
  <c r="G103" i="11"/>
  <c r="F103" i="11"/>
  <c r="E103" i="11"/>
  <c r="D103" i="11"/>
  <c r="M102" i="11"/>
  <c r="L102" i="11"/>
  <c r="K102" i="11"/>
  <c r="J102" i="11"/>
  <c r="I102" i="11"/>
  <c r="H102" i="11"/>
  <c r="C102" i="11" s="1"/>
  <c r="G102" i="11"/>
  <c r="F102" i="11"/>
  <c r="E102" i="11"/>
  <c r="D102" i="11"/>
  <c r="M101" i="11"/>
  <c r="L101" i="11"/>
  <c r="K101" i="11"/>
  <c r="J101" i="11"/>
  <c r="I101" i="11"/>
  <c r="H101" i="11"/>
  <c r="C101" i="11" s="1"/>
  <c r="G101" i="11"/>
  <c r="F101" i="11"/>
  <c r="E101" i="11"/>
  <c r="D101" i="11"/>
  <c r="M100" i="11"/>
  <c r="L100" i="11"/>
  <c r="K100" i="11"/>
  <c r="J100" i="11"/>
  <c r="I100" i="11"/>
  <c r="H100" i="11"/>
  <c r="C100" i="11" s="1"/>
  <c r="G100" i="11"/>
  <c r="F100" i="11"/>
  <c r="E100" i="11"/>
  <c r="D100" i="11"/>
  <c r="M99" i="11"/>
  <c r="L99" i="11"/>
  <c r="K99" i="11"/>
  <c r="J99" i="11"/>
  <c r="I99" i="11"/>
  <c r="H99" i="11"/>
  <c r="C99" i="11" s="1"/>
  <c r="G99" i="11"/>
  <c r="F99" i="11"/>
  <c r="E99" i="11"/>
  <c r="D99" i="11"/>
  <c r="M98" i="11"/>
  <c r="L98" i="11"/>
  <c r="K98" i="11"/>
  <c r="J98" i="11"/>
  <c r="I98" i="11"/>
  <c r="H98" i="11"/>
  <c r="C98" i="11" s="1"/>
  <c r="G98" i="11"/>
  <c r="F98" i="11"/>
  <c r="E98" i="11"/>
  <c r="D98" i="11"/>
  <c r="M97" i="11"/>
  <c r="L97" i="11"/>
  <c r="K97" i="11"/>
  <c r="J97" i="11"/>
  <c r="I97" i="11"/>
  <c r="H97" i="11"/>
  <c r="C97" i="11" s="1"/>
  <c r="G97" i="11"/>
  <c r="F97" i="11"/>
  <c r="E97" i="11"/>
  <c r="D97" i="11"/>
  <c r="M96" i="11"/>
  <c r="L96" i="11"/>
  <c r="K96" i="11"/>
  <c r="J96" i="11"/>
  <c r="I96" i="11"/>
  <c r="H96" i="11"/>
  <c r="G96" i="11"/>
  <c r="F96" i="11"/>
  <c r="E96" i="11"/>
  <c r="D96" i="11"/>
  <c r="M95" i="11"/>
  <c r="L95" i="11"/>
  <c r="K95" i="11"/>
  <c r="J95" i="11"/>
  <c r="I95" i="11"/>
  <c r="H95" i="11"/>
  <c r="C95" i="11" s="1"/>
  <c r="G95" i="11"/>
  <c r="F95" i="11"/>
  <c r="E95" i="11"/>
  <c r="D95" i="11"/>
  <c r="M94" i="11"/>
  <c r="L94" i="11"/>
  <c r="K94" i="11"/>
  <c r="J94" i="11"/>
  <c r="I94" i="11"/>
  <c r="H94" i="11"/>
  <c r="C94" i="11" s="1"/>
  <c r="G94" i="11"/>
  <c r="F94" i="11"/>
  <c r="E94" i="11"/>
  <c r="D94" i="11"/>
  <c r="M93" i="11"/>
  <c r="L93" i="11"/>
  <c r="K93" i="11"/>
  <c r="J93" i="11"/>
  <c r="I93" i="11"/>
  <c r="H93" i="11"/>
  <c r="C93" i="11" s="1"/>
  <c r="G93" i="11"/>
  <c r="F93" i="11"/>
  <c r="E93" i="11"/>
  <c r="D93" i="11"/>
  <c r="M92" i="11"/>
  <c r="L92" i="11"/>
  <c r="K92" i="11"/>
  <c r="J92" i="11"/>
  <c r="I92" i="11"/>
  <c r="H92" i="11"/>
  <c r="C92" i="11" s="1"/>
  <c r="G92" i="11"/>
  <c r="F92" i="11"/>
  <c r="E92" i="11"/>
  <c r="D92" i="11"/>
  <c r="M91" i="11"/>
  <c r="L91" i="11"/>
  <c r="K91" i="11"/>
  <c r="J91" i="11"/>
  <c r="I91" i="11"/>
  <c r="H91" i="11"/>
  <c r="C91" i="11" s="1"/>
  <c r="G91" i="11"/>
  <c r="F91" i="11"/>
  <c r="E91" i="11"/>
  <c r="D91" i="11"/>
  <c r="M90" i="11"/>
  <c r="L90" i="11"/>
  <c r="K90" i="11"/>
  <c r="J90" i="11"/>
  <c r="I90" i="11"/>
  <c r="H90" i="11"/>
  <c r="C90" i="11" s="1"/>
  <c r="G90" i="11"/>
  <c r="F90" i="11"/>
  <c r="E90" i="11"/>
  <c r="D90" i="11"/>
  <c r="M89" i="11"/>
  <c r="L89" i="11"/>
  <c r="K89" i="11"/>
  <c r="J89" i="11"/>
  <c r="I89" i="11"/>
  <c r="H89" i="11"/>
  <c r="C89" i="11" s="1"/>
  <c r="G89" i="11"/>
  <c r="F89" i="11"/>
  <c r="E89" i="11"/>
  <c r="D89" i="11"/>
  <c r="M88" i="11"/>
  <c r="L88" i="11"/>
  <c r="K88" i="11"/>
  <c r="J88" i="11"/>
  <c r="I88" i="11"/>
  <c r="H88" i="11"/>
  <c r="C88" i="11" s="1"/>
  <c r="G88" i="11"/>
  <c r="F88" i="11"/>
  <c r="E88" i="11"/>
  <c r="D88" i="11"/>
  <c r="M87" i="11"/>
  <c r="L87" i="11"/>
  <c r="K87" i="11"/>
  <c r="J87" i="11"/>
  <c r="I87" i="11"/>
  <c r="H87" i="11"/>
  <c r="C87" i="11" s="1"/>
  <c r="G87" i="11"/>
  <c r="F87" i="11"/>
  <c r="E87" i="11"/>
  <c r="D87" i="11"/>
  <c r="M86" i="11"/>
  <c r="L86" i="11"/>
  <c r="K86" i="11"/>
  <c r="J86" i="11"/>
  <c r="I86" i="11"/>
  <c r="H86" i="11"/>
  <c r="C86" i="11" s="1"/>
  <c r="G86" i="11"/>
  <c r="F86" i="11"/>
  <c r="E86" i="11"/>
  <c r="D86" i="11"/>
  <c r="M85" i="11"/>
  <c r="L85" i="11"/>
  <c r="K85" i="11"/>
  <c r="J85" i="11"/>
  <c r="I85" i="11"/>
  <c r="H85" i="11"/>
  <c r="C85" i="11" s="1"/>
  <c r="G85" i="11"/>
  <c r="F85" i="11"/>
  <c r="E85" i="11"/>
  <c r="D85" i="11"/>
  <c r="M84" i="11"/>
  <c r="L84" i="11"/>
  <c r="K84" i="11"/>
  <c r="J84" i="11"/>
  <c r="I84" i="11"/>
  <c r="H84" i="11"/>
  <c r="C84" i="11" s="1"/>
  <c r="G84" i="11"/>
  <c r="F84" i="11"/>
  <c r="E84" i="11"/>
  <c r="D84" i="11"/>
  <c r="M83" i="11"/>
  <c r="L83" i="11"/>
  <c r="K83" i="11"/>
  <c r="J83" i="11"/>
  <c r="I83" i="11"/>
  <c r="H83" i="11"/>
  <c r="C83" i="11" s="1"/>
  <c r="G83" i="11"/>
  <c r="F83" i="11"/>
  <c r="E83" i="11"/>
  <c r="D83" i="11"/>
  <c r="M82" i="11"/>
  <c r="L82" i="11"/>
  <c r="K82" i="11"/>
  <c r="J82" i="11"/>
  <c r="I82" i="11"/>
  <c r="H82" i="11"/>
  <c r="C82" i="11" s="1"/>
  <c r="G82" i="11"/>
  <c r="F82" i="11"/>
  <c r="E82" i="11"/>
  <c r="D82" i="11"/>
  <c r="M81" i="11"/>
  <c r="L81" i="11"/>
  <c r="K81" i="11"/>
  <c r="J81" i="11"/>
  <c r="I81" i="11"/>
  <c r="H81" i="11"/>
  <c r="C81" i="11" s="1"/>
  <c r="G81" i="11"/>
  <c r="F81" i="11"/>
  <c r="E81" i="11"/>
  <c r="D81" i="11"/>
  <c r="M80" i="11"/>
  <c r="L80" i="11"/>
  <c r="K80" i="11"/>
  <c r="J80" i="11"/>
  <c r="I80" i="11"/>
  <c r="H80" i="11"/>
  <c r="C80" i="11" s="1"/>
  <c r="G80" i="11"/>
  <c r="F80" i="11"/>
  <c r="E80" i="11"/>
  <c r="D80" i="11"/>
  <c r="M79" i="11"/>
  <c r="L79" i="11"/>
  <c r="K79" i="11"/>
  <c r="J79" i="11"/>
  <c r="I79" i="11"/>
  <c r="H79" i="11"/>
  <c r="C79" i="11" s="1"/>
  <c r="G79" i="11"/>
  <c r="F79" i="11"/>
  <c r="E79" i="11"/>
  <c r="D79" i="11"/>
  <c r="M78" i="11"/>
  <c r="L78" i="11"/>
  <c r="K78" i="11"/>
  <c r="J78" i="11"/>
  <c r="I78" i="11"/>
  <c r="H78" i="11"/>
  <c r="C78" i="11" s="1"/>
  <c r="G78" i="11"/>
  <c r="F78" i="11"/>
  <c r="E78" i="11"/>
  <c r="D78" i="11"/>
  <c r="M77" i="11"/>
  <c r="L77" i="11"/>
  <c r="K77" i="11"/>
  <c r="J77" i="11"/>
  <c r="I77" i="11"/>
  <c r="H77" i="11"/>
  <c r="C77" i="11" s="1"/>
  <c r="G77" i="11"/>
  <c r="F77" i="11"/>
  <c r="E77" i="11"/>
  <c r="D77" i="11"/>
  <c r="M76" i="11"/>
  <c r="L76" i="11"/>
  <c r="K76" i="11"/>
  <c r="J76" i="11"/>
  <c r="I76" i="11"/>
  <c r="H76" i="11"/>
  <c r="C76" i="11" s="1"/>
  <c r="G76" i="11"/>
  <c r="F76" i="11"/>
  <c r="E76" i="11"/>
  <c r="D76" i="11"/>
  <c r="M75" i="11"/>
  <c r="L75" i="11"/>
  <c r="K75" i="11"/>
  <c r="J75" i="11"/>
  <c r="I75" i="11"/>
  <c r="H75" i="11"/>
  <c r="C75" i="11" s="1"/>
  <c r="G75" i="11"/>
  <c r="F75" i="11"/>
  <c r="E75" i="11"/>
  <c r="D75" i="11"/>
  <c r="M74" i="11"/>
  <c r="L74" i="11"/>
  <c r="K74" i="11"/>
  <c r="J74" i="11"/>
  <c r="I74" i="11"/>
  <c r="H74" i="11"/>
  <c r="C74" i="11" s="1"/>
  <c r="G74" i="11"/>
  <c r="F74" i="11"/>
  <c r="E74" i="11"/>
  <c r="D74" i="11"/>
  <c r="M73" i="11"/>
  <c r="L73" i="11"/>
  <c r="K73" i="11"/>
  <c r="J73" i="11"/>
  <c r="I73" i="11"/>
  <c r="H73" i="11"/>
  <c r="C73" i="11" s="1"/>
  <c r="G73" i="11"/>
  <c r="F73" i="11"/>
  <c r="E73" i="11"/>
  <c r="D73" i="11"/>
  <c r="M72" i="11"/>
  <c r="L72" i="11"/>
  <c r="K72" i="11"/>
  <c r="J72" i="11"/>
  <c r="I72" i="11"/>
  <c r="H72" i="11"/>
  <c r="C72" i="11" s="1"/>
  <c r="G72" i="11"/>
  <c r="F72" i="11"/>
  <c r="E72" i="11"/>
  <c r="D72" i="11"/>
  <c r="M71" i="11"/>
  <c r="L71" i="11"/>
  <c r="K71" i="11"/>
  <c r="J71" i="11"/>
  <c r="I71" i="11"/>
  <c r="H71" i="11"/>
  <c r="C71" i="11" s="1"/>
  <c r="G71" i="11"/>
  <c r="F71" i="11"/>
  <c r="E71" i="11"/>
  <c r="D71" i="11"/>
  <c r="M70" i="11"/>
  <c r="L70" i="11"/>
  <c r="K70" i="11"/>
  <c r="J70" i="11"/>
  <c r="I70" i="11"/>
  <c r="H70" i="11"/>
  <c r="C70" i="11" s="1"/>
  <c r="G70" i="11"/>
  <c r="F70" i="11"/>
  <c r="E70" i="11"/>
  <c r="D70" i="11"/>
  <c r="M69" i="11"/>
  <c r="L69" i="11"/>
  <c r="K69" i="11"/>
  <c r="J69" i="11"/>
  <c r="I69" i="11"/>
  <c r="H69" i="11"/>
  <c r="C69" i="11" s="1"/>
  <c r="G69" i="11"/>
  <c r="F69" i="11"/>
  <c r="E69" i="11"/>
  <c r="D69" i="11"/>
  <c r="M68" i="11"/>
  <c r="L68" i="11"/>
  <c r="K68" i="11"/>
  <c r="J68" i="11"/>
  <c r="I68" i="11"/>
  <c r="H68" i="11"/>
  <c r="C68" i="11" s="1"/>
  <c r="G68" i="11"/>
  <c r="F68" i="11"/>
  <c r="E68" i="11"/>
  <c r="D68" i="11"/>
  <c r="M67" i="11"/>
  <c r="L67" i="11"/>
  <c r="K67" i="11"/>
  <c r="J67" i="11"/>
  <c r="I67" i="11"/>
  <c r="H67" i="11"/>
  <c r="C67" i="11" s="1"/>
  <c r="G67" i="11"/>
  <c r="F67" i="11"/>
  <c r="E67" i="11"/>
  <c r="D67" i="11"/>
  <c r="M66" i="11"/>
  <c r="L66" i="11"/>
  <c r="K66" i="11"/>
  <c r="J66" i="11"/>
  <c r="I66" i="11"/>
  <c r="H66" i="11"/>
  <c r="C66" i="11" s="1"/>
  <c r="G66" i="11"/>
  <c r="F66" i="11"/>
  <c r="E66" i="11"/>
  <c r="D66" i="11"/>
  <c r="M65" i="11"/>
  <c r="L65" i="11"/>
  <c r="K65" i="11"/>
  <c r="J65" i="11"/>
  <c r="I65" i="11"/>
  <c r="H65" i="11"/>
  <c r="G65" i="11"/>
  <c r="F65" i="11"/>
  <c r="E65" i="11"/>
  <c r="D65" i="11"/>
  <c r="M64" i="11"/>
  <c r="L64" i="11"/>
  <c r="K64" i="11"/>
  <c r="J64" i="11"/>
  <c r="I64" i="11"/>
  <c r="H64" i="11"/>
  <c r="C64" i="11" s="1"/>
  <c r="G64" i="11"/>
  <c r="F64" i="11"/>
  <c r="E64" i="11"/>
  <c r="D64" i="11"/>
  <c r="M63" i="11"/>
  <c r="L63" i="11"/>
  <c r="K63" i="11"/>
  <c r="J63" i="11"/>
  <c r="I63" i="11"/>
  <c r="H63" i="11"/>
  <c r="C63" i="11" s="1"/>
  <c r="G63" i="11"/>
  <c r="F63" i="11"/>
  <c r="E63" i="11"/>
  <c r="D63" i="11"/>
  <c r="M62" i="11"/>
  <c r="L62" i="11"/>
  <c r="K62" i="11"/>
  <c r="J62" i="11"/>
  <c r="I62" i="11"/>
  <c r="H62" i="11"/>
  <c r="C62" i="11" s="1"/>
  <c r="G62" i="11"/>
  <c r="F62" i="11"/>
  <c r="E62" i="11"/>
  <c r="D62" i="11"/>
  <c r="M61" i="11"/>
  <c r="L61" i="11"/>
  <c r="K61" i="11"/>
  <c r="J61" i="11"/>
  <c r="I61" i="11"/>
  <c r="H61" i="11"/>
  <c r="C61" i="11" s="1"/>
  <c r="G61" i="11"/>
  <c r="F61" i="11"/>
  <c r="E61" i="11"/>
  <c r="D61" i="11"/>
  <c r="M60" i="11"/>
  <c r="L60" i="11"/>
  <c r="K60" i="11"/>
  <c r="J60" i="11"/>
  <c r="I60" i="11"/>
  <c r="H60" i="11"/>
  <c r="C60" i="11" s="1"/>
  <c r="G60" i="11"/>
  <c r="F60" i="11"/>
  <c r="E60" i="11"/>
  <c r="D60" i="11"/>
  <c r="M59" i="11"/>
  <c r="L59" i="11"/>
  <c r="K59" i="11"/>
  <c r="J59" i="11"/>
  <c r="I59" i="11"/>
  <c r="H59" i="11"/>
  <c r="C59" i="11" s="1"/>
  <c r="G59" i="11"/>
  <c r="F59" i="11"/>
  <c r="E59" i="11"/>
  <c r="D59" i="11"/>
  <c r="M58" i="11"/>
  <c r="L58" i="11"/>
  <c r="K58" i="11"/>
  <c r="J58" i="11"/>
  <c r="I58" i="11"/>
  <c r="H58" i="11"/>
  <c r="C58" i="11" s="1"/>
  <c r="G58" i="11"/>
  <c r="F58" i="11"/>
  <c r="E58" i="11"/>
  <c r="D58" i="11"/>
  <c r="M57" i="11"/>
  <c r="L57" i="11"/>
  <c r="K57" i="11"/>
  <c r="J57" i="11"/>
  <c r="I57" i="11"/>
  <c r="H57" i="11"/>
  <c r="C57" i="11" s="1"/>
  <c r="G57" i="11"/>
  <c r="F57" i="11"/>
  <c r="E57" i="11"/>
  <c r="D57" i="11"/>
  <c r="M56" i="11"/>
  <c r="L56" i="11"/>
  <c r="K56" i="11"/>
  <c r="J56" i="11"/>
  <c r="I56" i="11"/>
  <c r="H56" i="11"/>
  <c r="C56" i="11" s="1"/>
  <c r="G56" i="11"/>
  <c r="F56" i="11"/>
  <c r="E56" i="11"/>
  <c r="D56" i="11"/>
  <c r="M55" i="11"/>
  <c r="L55" i="11"/>
  <c r="K55" i="11"/>
  <c r="J55" i="11"/>
  <c r="I55" i="11"/>
  <c r="H55" i="11"/>
  <c r="C55" i="11" s="1"/>
  <c r="G55" i="11"/>
  <c r="F55" i="11"/>
  <c r="E55" i="11"/>
  <c r="D55" i="11"/>
  <c r="M54" i="11"/>
  <c r="L54" i="11"/>
  <c r="K54" i="11"/>
  <c r="J54" i="11"/>
  <c r="I54" i="11"/>
  <c r="H54" i="11"/>
  <c r="C54" i="11" s="1"/>
  <c r="G54" i="11"/>
  <c r="F54" i="11"/>
  <c r="E54" i="11"/>
  <c r="D54" i="11"/>
  <c r="M53" i="11"/>
  <c r="L53" i="11"/>
  <c r="K53" i="11"/>
  <c r="J53" i="11"/>
  <c r="I53" i="11"/>
  <c r="H53" i="11"/>
  <c r="C53" i="11" s="1"/>
  <c r="G53" i="11"/>
  <c r="F53" i="11"/>
  <c r="E53" i="11"/>
  <c r="D53" i="11"/>
  <c r="M52" i="11"/>
  <c r="L52" i="11"/>
  <c r="K52" i="11"/>
  <c r="J52" i="11"/>
  <c r="I52" i="11"/>
  <c r="H52" i="11"/>
  <c r="C52" i="11" s="1"/>
  <c r="G52" i="11"/>
  <c r="F52" i="11"/>
  <c r="E52" i="11"/>
  <c r="D52" i="11"/>
  <c r="M51" i="11"/>
  <c r="L51" i="11"/>
  <c r="K51" i="11"/>
  <c r="J51" i="11"/>
  <c r="I51" i="11"/>
  <c r="H51" i="11"/>
  <c r="C51" i="11" s="1"/>
  <c r="G51" i="11"/>
  <c r="F51" i="11"/>
  <c r="E51" i="11"/>
  <c r="D51" i="11"/>
  <c r="M50" i="11"/>
  <c r="L50" i="11"/>
  <c r="K50" i="11"/>
  <c r="J50" i="11"/>
  <c r="I50" i="11"/>
  <c r="H50" i="11"/>
  <c r="C50" i="11" s="1"/>
  <c r="G50" i="11"/>
  <c r="F50" i="11"/>
  <c r="E50" i="11"/>
  <c r="D50" i="11"/>
  <c r="M49" i="11"/>
  <c r="L49" i="11"/>
  <c r="K49" i="11"/>
  <c r="J49" i="11"/>
  <c r="I49" i="11"/>
  <c r="H49" i="11"/>
  <c r="C49" i="11" s="1"/>
  <c r="G49" i="11"/>
  <c r="F49" i="11"/>
  <c r="E49" i="11"/>
  <c r="D49" i="11"/>
  <c r="M48" i="11"/>
  <c r="L48" i="11"/>
  <c r="K48" i="11"/>
  <c r="J48" i="11"/>
  <c r="I48" i="11"/>
  <c r="H48" i="11"/>
  <c r="C48" i="11" s="1"/>
  <c r="G48" i="11"/>
  <c r="F48" i="11"/>
  <c r="E48" i="11"/>
  <c r="D48" i="11"/>
  <c r="M47" i="11"/>
  <c r="L47" i="11"/>
  <c r="K47" i="11"/>
  <c r="J47" i="11"/>
  <c r="I47" i="11"/>
  <c r="H47" i="11"/>
  <c r="C47" i="11" s="1"/>
  <c r="G47" i="11"/>
  <c r="F47" i="11"/>
  <c r="E47" i="11"/>
  <c r="D47" i="11"/>
  <c r="M46" i="11"/>
  <c r="L46" i="11"/>
  <c r="K46" i="11"/>
  <c r="J46" i="11"/>
  <c r="I46" i="11"/>
  <c r="H46" i="11"/>
  <c r="C46" i="11" s="1"/>
  <c r="G46" i="11"/>
  <c r="F46" i="11"/>
  <c r="E46" i="11"/>
  <c r="D46" i="11"/>
  <c r="M45" i="11"/>
  <c r="L45" i="11"/>
  <c r="K45" i="11"/>
  <c r="J45" i="11"/>
  <c r="I45" i="11"/>
  <c r="H45" i="11"/>
  <c r="C45" i="11" s="1"/>
  <c r="G45" i="11"/>
  <c r="F45" i="11"/>
  <c r="E45" i="11"/>
  <c r="D45" i="11"/>
  <c r="M44" i="11"/>
  <c r="L44" i="11"/>
  <c r="K44" i="11"/>
  <c r="J44" i="11"/>
  <c r="I44" i="11"/>
  <c r="H44" i="11"/>
  <c r="C44" i="11" s="1"/>
  <c r="G44" i="11"/>
  <c r="F44" i="11"/>
  <c r="E44" i="11"/>
  <c r="D44" i="11"/>
  <c r="M43" i="11"/>
  <c r="L43" i="11"/>
  <c r="K43" i="11"/>
  <c r="J43" i="11"/>
  <c r="I43" i="11"/>
  <c r="H43" i="11"/>
  <c r="C43" i="11" s="1"/>
  <c r="G43" i="11"/>
  <c r="F43" i="11"/>
  <c r="E43" i="11"/>
  <c r="D43" i="11"/>
  <c r="M42" i="11"/>
  <c r="L42" i="11"/>
  <c r="K42" i="11"/>
  <c r="J42" i="11"/>
  <c r="I42" i="11"/>
  <c r="H42" i="11"/>
  <c r="C42" i="11" s="1"/>
  <c r="G42" i="11"/>
  <c r="F42" i="11"/>
  <c r="E42" i="11"/>
  <c r="D42" i="11"/>
  <c r="M41" i="11"/>
  <c r="L41" i="11"/>
  <c r="K41" i="11"/>
  <c r="J41" i="11"/>
  <c r="I41" i="11"/>
  <c r="H41" i="11"/>
  <c r="C41" i="11" s="1"/>
  <c r="G41" i="11"/>
  <c r="F41" i="11"/>
  <c r="E41" i="11"/>
  <c r="D41" i="11"/>
  <c r="M40" i="11"/>
  <c r="L40" i="11"/>
  <c r="K40" i="11"/>
  <c r="J40" i="11"/>
  <c r="I40" i="11"/>
  <c r="H40" i="11"/>
  <c r="C40" i="11" s="1"/>
  <c r="G40" i="11"/>
  <c r="F40" i="11"/>
  <c r="E40" i="11"/>
  <c r="D40" i="11"/>
  <c r="M39" i="11"/>
  <c r="L39" i="11"/>
  <c r="K39" i="11"/>
  <c r="J39" i="11"/>
  <c r="I39" i="11"/>
  <c r="H39" i="11"/>
  <c r="C39" i="11" s="1"/>
  <c r="G39" i="11"/>
  <c r="F39" i="11"/>
  <c r="E39" i="11"/>
  <c r="D39" i="11"/>
  <c r="M38" i="11"/>
  <c r="L38" i="11"/>
  <c r="K38" i="11"/>
  <c r="J38" i="11"/>
  <c r="I38" i="11"/>
  <c r="H38" i="11"/>
  <c r="C38" i="11" s="1"/>
  <c r="G38" i="11"/>
  <c r="F38" i="11"/>
  <c r="E38" i="11"/>
  <c r="D38" i="11"/>
  <c r="M37" i="11"/>
  <c r="L37" i="11"/>
  <c r="K37" i="11"/>
  <c r="J37" i="11"/>
  <c r="I37" i="11"/>
  <c r="H37" i="11"/>
  <c r="G37" i="11"/>
  <c r="F37" i="11"/>
  <c r="E37" i="11"/>
  <c r="D37" i="11"/>
  <c r="M36" i="11"/>
  <c r="L36" i="11"/>
  <c r="K36" i="11"/>
  <c r="J36" i="11"/>
  <c r="I36" i="11"/>
  <c r="H36" i="11"/>
  <c r="C36" i="11" s="1"/>
  <c r="G36" i="11"/>
  <c r="F36" i="11"/>
  <c r="E36" i="11"/>
  <c r="D36" i="11"/>
  <c r="M35" i="11"/>
  <c r="L35" i="11"/>
  <c r="K35" i="11"/>
  <c r="J35" i="11"/>
  <c r="I35" i="11"/>
  <c r="H35" i="11"/>
  <c r="C35" i="11" s="1"/>
  <c r="G35" i="11"/>
  <c r="F35" i="11"/>
  <c r="E35" i="11"/>
  <c r="D35" i="11"/>
  <c r="M34" i="11"/>
  <c r="L34" i="11"/>
  <c r="K34" i="11"/>
  <c r="J34" i="11"/>
  <c r="I34" i="11"/>
  <c r="H34" i="11"/>
  <c r="C34" i="11" s="1"/>
  <c r="G34" i="11"/>
  <c r="F34" i="11"/>
  <c r="E34" i="11"/>
  <c r="D34" i="11"/>
  <c r="M33" i="11"/>
  <c r="L33" i="11"/>
  <c r="K33" i="11"/>
  <c r="J33" i="11"/>
  <c r="I33" i="11"/>
  <c r="H33" i="11"/>
  <c r="C33" i="11" s="1"/>
  <c r="G33" i="11"/>
  <c r="F33" i="11"/>
  <c r="E33" i="11"/>
  <c r="D33" i="11"/>
  <c r="M32" i="11"/>
  <c r="L32" i="11"/>
  <c r="K32" i="11"/>
  <c r="J32" i="11"/>
  <c r="I32" i="11"/>
  <c r="H32" i="11"/>
  <c r="C32" i="11" s="1"/>
  <c r="G32" i="11"/>
  <c r="F32" i="11"/>
  <c r="E32" i="11"/>
  <c r="D32" i="11"/>
  <c r="M31" i="11"/>
  <c r="L31" i="11"/>
  <c r="K31" i="11"/>
  <c r="J31" i="11"/>
  <c r="I31" i="11"/>
  <c r="H31" i="11"/>
  <c r="C31" i="11" s="1"/>
  <c r="G31" i="11"/>
  <c r="F31" i="11"/>
  <c r="E31" i="11"/>
  <c r="D31" i="11"/>
  <c r="M30" i="11"/>
  <c r="L30" i="11"/>
  <c r="K30" i="11"/>
  <c r="J30" i="11"/>
  <c r="I30" i="11"/>
  <c r="H30" i="11"/>
  <c r="C30" i="11" s="1"/>
  <c r="G30" i="11"/>
  <c r="F30" i="11"/>
  <c r="E30" i="11"/>
  <c r="D30" i="11"/>
  <c r="M29" i="11"/>
  <c r="L29" i="11"/>
  <c r="K29" i="11"/>
  <c r="J29" i="11"/>
  <c r="I29" i="11"/>
  <c r="H29" i="11"/>
  <c r="C29" i="11" s="1"/>
  <c r="G29" i="11"/>
  <c r="F29" i="11"/>
  <c r="E29" i="11"/>
  <c r="D29" i="11"/>
  <c r="M28" i="11"/>
  <c r="L28" i="11"/>
  <c r="K28" i="11"/>
  <c r="J28" i="11"/>
  <c r="I28" i="11"/>
  <c r="H28" i="11"/>
  <c r="C28" i="11" s="1"/>
  <c r="G28" i="11"/>
  <c r="F28" i="11"/>
  <c r="E28" i="11"/>
  <c r="D28" i="11"/>
  <c r="M27" i="11"/>
  <c r="L27" i="11"/>
  <c r="K27" i="11"/>
  <c r="J27" i="11"/>
  <c r="I27" i="11"/>
  <c r="H27" i="11"/>
  <c r="C27" i="11" s="1"/>
  <c r="G27" i="11"/>
  <c r="F27" i="11"/>
  <c r="E27" i="11"/>
  <c r="D27" i="11"/>
  <c r="M26" i="11"/>
  <c r="L26" i="11"/>
  <c r="K26" i="11"/>
  <c r="J26" i="11"/>
  <c r="I26" i="11"/>
  <c r="H26" i="11"/>
  <c r="C26" i="11" s="1"/>
  <c r="G26" i="11"/>
  <c r="F26" i="11"/>
  <c r="E26" i="11"/>
  <c r="D26" i="11"/>
  <c r="M25" i="11"/>
  <c r="L25" i="11"/>
  <c r="K25" i="11"/>
  <c r="J25" i="11"/>
  <c r="I25" i="11"/>
  <c r="H25" i="11"/>
  <c r="C25" i="11" s="1"/>
  <c r="G25" i="11"/>
  <c r="F25" i="11"/>
  <c r="E25" i="11"/>
  <c r="D25" i="11"/>
  <c r="M24" i="11"/>
  <c r="L24" i="11"/>
  <c r="K24" i="11"/>
  <c r="J24" i="11"/>
  <c r="I24" i="11"/>
  <c r="H24" i="11"/>
  <c r="C24" i="11" s="1"/>
  <c r="G24" i="11"/>
  <c r="F24" i="11"/>
  <c r="E24" i="11"/>
  <c r="D24" i="11"/>
  <c r="M23" i="11"/>
  <c r="L23" i="11"/>
  <c r="K23" i="11"/>
  <c r="J23" i="11"/>
  <c r="I23" i="11"/>
  <c r="H23" i="11"/>
  <c r="C23" i="11" s="1"/>
  <c r="G23" i="11"/>
  <c r="F23" i="11"/>
  <c r="E23" i="11"/>
  <c r="D23" i="11"/>
  <c r="M22" i="11"/>
  <c r="L22" i="11"/>
  <c r="K22" i="11"/>
  <c r="J22" i="11"/>
  <c r="I22" i="11"/>
  <c r="H22" i="11"/>
  <c r="C22" i="11" s="1"/>
  <c r="G22" i="11"/>
  <c r="F22" i="11"/>
  <c r="E22" i="11"/>
  <c r="D22" i="11"/>
  <c r="M21" i="11"/>
  <c r="L21" i="11"/>
  <c r="K21" i="11"/>
  <c r="J21" i="11"/>
  <c r="I21" i="11"/>
  <c r="H21" i="11"/>
  <c r="C21" i="11" s="1"/>
  <c r="G21" i="11"/>
  <c r="F21" i="11"/>
  <c r="E21" i="11"/>
  <c r="D21" i="11"/>
  <c r="M20" i="11"/>
  <c r="L20" i="11"/>
  <c r="K20" i="11"/>
  <c r="J20" i="11"/>
  <c r="I20" i="11"/>
  <c r="H20" i="11"/>
  <c r="C20" i="11" s="1"/>
  <c r="G20" i="11"/>
  <c r="F20" i="11"/>
  <c r="E20" i="11"/>
  <c r="D20" i="11"/>
  <c r="M19" i="11"/>
  <c r="L19" i="11"/>
  <c r="K19" i="11"/>
  <c r="J19" i="11"/>
  <c r="I19" i="11"/>
  <c r="H19" i="11"/>
  <c r="C19" i="11" s="1"/>
  <c r="G19" i="11"/>
  <c r="F19" i="11"/>
  <c r="E19" i="11"/>
  <c r="D19" i="11"/>
  <c r="M18" i="11"/>
  <c r="L18" i="11"/>
  <c r="K18" i="11"/>
  <c r="J18" i="11"/>
  <c r="I18" i="11"/>
  <c r="H18" i="11"/>
  <c r="C18" i="11" s="1"/>
  <c r="G18" i="11"/>
  <c r="F18" i="11"/>
  <c r="E18" i="11"/>
  <c r="D18" i="11"/>
  <c r="M17" i="11"/>
  <c r="L17" i="11"/>
  <c r="K17" i="11"/>
  <c r="J17" i="11"/>
  <c r="I17" i="11"/>
  <c r="H17" i="11"/>
  <c r="C17" i="11" s="1"/>
  <c r="G17" i="11"/>
  <c r="F17" i="11"/>
  <c r="E17" i="11"/>
  <c r="D17" i="11"/>
  <c r="M16" i="11"/>
  <c r="L16" i="11"/>
  <c r="K16" i="11"/>
  <c r="J16" i="11"/>
  <c r="I16" i="11"/>
  <c r="H16" i="11"/>
  <c r="C16" i="11" s="1"/>
  <c r="G16" i="11"/>
  <c r="F16" i="11"/>
  <c r="E16" i="11"/>
  <c r="D16" i="11"/>
  <c r="M15" i="11"/>
  <c r="L15" i="11"/>
  <c r="K15" i="11"/>
  <c r="J15" i="11"/>
  <c r="I15" i="11"/>
  <c r="H15" i="11"/>
  <c r="C15" i="11" s="1"/>
  <c r="G15" i="11"/>
  <c r="F15" i="11"/>
  <c r="E15" i="11"/>
  <c r="D15" i="11"/>
  <c r="M14" i="11"/>
  <c r="L14" i="11"/>
  <c r="K14" i="11"/>
  <c r="J14" i="11"/>
  <c r="I14" i="11"/>
  <c r="H14" i="11"/>
  <c r="C14" i="11" s="1"/>
  <c r="G14" i="11"/>
  <c r="F14" i="11"/>
  <c r="E14" i="11"/>
  <c r="D14" i="11"/>
  <c r="M13" i="11"/>
  <c r="L13" i="11"/>
  <c r="K13" i="11"/>
  <c r="J13" i="11"/>
  <c r="I13" i="11"/>
  <c r="H13" i="11"/>
  <c r="C13" i="11" s="1"/>
  <c r="G13" i="11"/>
  <c r="F13" i="11"/>
  <c r="E13" i="11"/>
  <c r="D13" i="11"/>
  <c r="M12" i="11"/>
  <c r="L12" i="11"/>
  <c r="K12" i="11"/>
  <c r="J12" i="11"/>
  <c r="I12" i="11"/>
  <c r="H12" i="11"/>
  <c r="C12" i="11" s="1"/>
  <c r="G12" i="11"/>
  <c r="F12" i="11"/>
  <c r="E12" i="11"/>
  <c r="D12" i="11"/>
  <c r="M11" i="11"/>
  <c r="L11" i="11"/>
  <c r="K11" i="11"/>
  <c r="J11" i="11"/>
  <c r="I11" i="11"/>
  <c r="H11" i="11"/>
  <c r="C11" i="11" s="1"/>
  <c r="G11" i="11"/>
  <c r="F11" i="11"/>
  <c r="E11" i="11"/>
  <c r="D11" i="11"/>
  <c r="M10" i="11"/>
  <c r="L10" i="11"/>
  <c r="K10" i="11"/>
  <c r="J10" i="11"/>
  <c r="I10" i="11"/>
  <c r="H10" i="11"/>
  <c r="C10" i="11" s="1"/>
  <c r="G10" i="11"/>
  <c r="F10" i="11"/>
  <c r="E10" i="11"/>
  <c r="D10" i="11"/>
  <c r="M9" i="11"/>
  <c r="L9" i="11"/>
  <c r="K9" i="11"/>
  <c r="J9" i="11"/>
  <c r="I9" i="11"/>
  <c r="H9" i="11"/>
  <c r="C9" i="11" s="1"/>
  <c r="G9" i="11"/>
  <c r="F9" i="11"/>
  <c r="E9" i="11"/>
  <c r="D9" i="11"/>
  <c r="M8" i="11"/>
  <c r="L8" i="11"/>
  <c r="K8" i="11"/>
  <c r="J8" i="11"/>
  <c r="I8" i="11"/>
  <c r="H8" i="11"/>
  <c r="C8" i="11" s="1"/>
  <c r="G8" i="11"/>
  <c r="F8" i="11"/>
  <c r="E8" i="11"/>
  <c r="D8" i="11"/>
  <c r="M7" i="11"/>
  <c r="L7" i="11"/>
  <c r="K7" i="11"/>
  <c r="J7" i="11"/>
  <c r="I7" i="11"/>
  <c r="H7" i="11"/>
  <c r="C7" i="11" s="1"/>
  <c r="G7" i="11"/>
  <c r="F7" i="11"/>
  <c r="E7" i="11"/>
  <c r="D7" i="11"/>
  <c r="M6" i="11"/>
  <c r="L6" i="11"/>
  <c r="K6" i="11"/>
  <c r="J6" i="11"/>
  <c r="I6" i="11"/>
  <c r="H6" i="11"/>
  <c r="G6" i="11"/>
  <c r="F6" i="11"/>
  <c r="E6" i="11"/>
  <c r="D6" i="11"/>
  <c r="T388" i="12"/>
  <c r="S388" i="12"/>
  <c r="R388" i="12"/>
  <c r="T387" i="12"/>
  <c r="S387" i="12"/>
  <c r="R387" i="12"/>
  <c r="T386" i="12"/>
  <c r="S386" i="12"/>
  <c r="R386" i="12"/>
  <c r="T385" i="12"/>
  <c r="S385" i="12"/>
  <c r="R385" i="12"/>
  <c r="T384" i="12"/>
  <c r="S384" i="12"/>
  <c r="R384" i="12"/>
  <c r="T383" i="12"/>
  <c r="S383" i="12"/>
  <c r="R383" i="12"/>
  <c r="T382" i="12"/>
  <c r="S382" i="12"/>
  <c r="R382" i="12"/>
  <c r="T381" i="12"/>
  <c r="S381" i="12"/>
  <c r="R381" i="12"/>
  <c r="T380" i="12"/>
  <c r="S380" i="12"/>
  <c r="R380" i="12"/>
  <c r="T379" i="12"/>
  <c r="S379" i="12"/>
  <c r="R379" i="12"/>
  <c r="T378" i="12"/>
  <c r="S378" i="12"/>
  <c r="R378" i="12"/>
  <c r="T377" i="12"/>
  <c r="S377" i="12"/>
  <c r="R377" i="12"/>
  <c r="M368" i="12"/>
  <c r="L368" i="12"/>
  <c r="K368" i="12"/>
  <c r="J368" i="12"/>
  <c r="I368" i="12"/>
  <c r="H368" i="12"/>
  <c r="C368" i="12" s="1"/>
  <c r="G368" i="12"/>
  <c r="D368" i="12"/>
  <c r="M367" i="12"/>
  <c r="L367" i="12"/>
  <c r="K367" i="12"/>
  <c r="J367" i="12"/>
  <c r="I367" i="12"/>
  <c r="H367" i="12"/>
  <c r="C367" i="12" s="1"/>
  <c r="G367" i="12"/>
  <c r="D367" i="12"/>
  <c r="M366" i="12"/>
  <c r="L366" i="12"/>
  <c r="K366" i="12"/>
  <c r="J366" i="12"/>
  <c r="I366" i="12"/>
  <c r="H366" i="12"/>
  <c r="C366" i="12" s="1"/>
  <c r="G366" i="12"/>
  <c r="F366" i="12"/>
  <c r="E366" i="12"/>
  <c r="D366" i="12"/>
  <c r="M365" i="12"/>
  <c r="L365" i="12"/>
  <c r="K365" i="12"/>
  <c r="J365" i="12"/>
  <c r="I365" i="12"/>
  <c r="H365" i="12"/>
  <c r="C365" i="12" s="1"/>
  <c r="G365" i="12"/>
  <c r="F365" i="12"/>
  <c r="E365" i="12"/>
  <c r="D365" i="12"/>
  <c r="M364" i="12"/>
  <c r="L364" i="12"/>
  <c r="K364" i="12"/>
  <c r="J364" i="12"/>
  <c r="I364" i="12"/>
  <c r="H364" i="12"/>
  <c r="C364" i="12" s="1"/>
  <c r="G364" i="12"/>
  <c r="F364" i="12"/>
  <c r="E364" i="12"/>
  <c r="D364" i="12"/>
  <c r="M363" i="12"/>
  <c r="L363" i="12"/>
  <c r="K363" i="12"/>
  <c r="J363" i="12"/>
  <c r="I363" i="12"/>
  <c r="H363" i="12"/>
  <c r="C363" i="12" s="1"/>
  <c r="G363" i="12"/>
  <c r="F363" i="12"/>
  <c r="E363" i="12"/>
  <c r="D363" i="12"/>
  <c r="M362" i="12"/>
  <c r="L362" i="12"/>
  <c r="K362" i="12"/>
  <c r="J362" i="12"/>
  <c r="I362" i="12"/>
  <c r="H362" i="12"/>
  <c r="C362" i="12" s="1"/>
  <c r="G362" i="12"/>
  <c r="F362" i="12"/>
  <c r="E362" i="12"/>
  <c r="D362" i="12"/>
  <c r="M361" i="12"/>
  <c r="L361" i="12"/>
  <c r="K361" i="12"/>
  <c r="J361" i="12"/>
  <c r="I361" i="12"/>
  <c r="H361" i="12"/>
  <c r="C361" i="12" s="1"/>
  <c r="G361" i="12"/>
  <c r="F361" i="12"/>
  <c r="E361" i="12"/>
  <c r="D361" i="12"/>
  <c r="M360" i="12"/>
  <c r="L360" i="12"/>
  <c r="K360" i="12"/>
  <c r="J360" i="12"/>
  <c r="I360" i="12"/>
  <c r="H360" i="12"/>
  <c r="C360" i="12" s="1"/>
  <c r="G360" i="12"/>
  <c r="F360" i="12"/>
  <c r="E360" i="12"/>
  <c r="D360" i="12"/>
  <c r="M359" i="12"/>
  <c r="L359" i="12"/>
  <c r="K359" i="12"/>
  <c r="J359" i="12"/>
  <c r="I359" i="12"/>
  <c r="H359" i="12"/>
  <c r="C359" i="12" s="1"/>
  <c r="G359" i="12"/>
  <c r="F359" i="12"/>
  <c r="E359" i="12"/>
  <c r="D359" i="12"/>
  <c r="M358" i="12"/>
  <c r="L358" i="12"/>
  <c r="K358" i="12"/>
  <c r="J358" i="12"/>
  <c r="I358" i="12"/>
  <c r="H358" i="12"/>
  <c r="C358" i="12" s="1"/>
  <c r="G358" i="12"/>
  <c r="F358" i="12"/>
  <c r="E358" i="12"/>
  <c r="D358" i="12"/>
  <c r="M357" i="12"/>
  <c r="L357" i="12"/>
  <c r="K357" i="12"/>
  <c r="J357" i="12"/>
  <c r="I357" i="12"/>
  <c r="H357" i="12"/>
  <c r="C357" i="12" s="1"/>
  <c r="G357" i="12"/>
  <c r="F357" i="12"/>
  <c r="E357" i="12"/>
  <c r="D357" i="12"/>
  <c r="M356" i="12"/>
  <c r="L356" i="12"/>
  <c r="K356" i="12"/>
  <c r="J356" i="12"/>
  <c r="I356" i="12"/>
  <c r="H356" i="12"/>
  <c r="C356" i="12" s="1"/>
  <c r="G356" i="12"/>
  <c r="F356" i="12"/>
  <c r="E356" i="12"/>
  <c r="D356" i="12"/>
  <c r="M355" i="12"/>
  <c r="L355" i="12"/>
  <c r="K355" i="12"/>
  <c r="J355" i="12"/>
  <c r="I355" i="12"/>
  <c r="H355" i="12"/>
  <c r="C355" i="12" s="1"/>
  <c r="G355" i="12"/>
  <c r="F355" i="12"/>
  <c r="E355" i="12"/>
  <c r="D355" i="12"/>
  <c r="M354" i="12"/>
  <c r="L354" i="12"/>
  <c r="K354" i="12"/>
  <c r="J354" i="12"/>
  <c r="I354" i="12"/>
  <c r="H354" i="12"/>
  <c r="C354" i="12" s="1"/>
  <c r="G354" i="12"/>
  <c r="F354" i="12"/>
  <c r="E354" i="12"/>
  <c r="D354" i="12"/>
  <c r="M353" i="12"/>
  <c r="L353" i="12"/>
  <c r="K353" i="12"/>
  <c r="J353" i="12"/>
  <c r="I353" i="12"/>
  <c r="H353" i="12"/>
  <c r="C353" i="12" s="1"/>
  <c r="G353" i="12"/>
  <c r="F353" i="12"/>
  <c r="E353" i="12"/>
  <c r="D353" i="12"/>
  <c r="M352" i="12"/>
  <c r="L352" i="12"/>
  <c r="K352" i="12"/>
  <c r="J352" i="12"/>
  <c r="I352" i="12"/>
  <c r="H352" i="12"/>
  <c r="C352" i="12" s="1"/>
  <c r="G352" i="12"/>
  <c r="F352" i="12"/>
  <c r="E352" i="12"/>
  <c r="D352" i="12"/>
  <c r="M351" i="12"/>
  <c r="L351" i="12"/>
  <c r="K351" i="12"/>
  <c r="J351" i="12"/>
  <c r="I351" i="12"/>
  <c r="H351" i="12"/>
  <c r="C351" i="12" s="1"/>
  <c r="G351" i="12"/>
  <c r="F351" i="12"/>
  <c r="E351" i="12"/>
  <c r="D351" i="12"/>
  <c r="M350" i="12"/>
  <c r="L350" i="12"/>
  <c r="K350" i="12"/>
  <c r="J350" i="12"/>
  <c r="I350" i="12"/>
  <c r="H350" i="12"/>
  <c r="C350" i="12" s="1"/>
  <c r="G350" i="12"/>
  <c r="F350" i="12"/>
  <c r="E350" i="12"/>
  <c r="D350" i="12"/>
  <c r="M349" i="12"/>
  <c r="L349" i="12"/>
  <c r="K349" i="12"/>
  <c r="J349" i="12"/>
  <c r="I349" i="12"/>
  <c r="H349" i="12"/>
  <c r="C349" i="12" s="1"/>
  <c r="G349" i="12"/>
  <c r="F349" i="12"/>
  <c r="E349" i="12"/>
  <c r="D349" i="12"/>
  <c r="M348" i="12"/>
  <c r="L348" i="12"/>
  <c r="K348" i="12"/>
  <c r="J348" i="12"/>
  <c r="I348" i="12"/>
  <c r="H348" i="12"/>
  <c r="C348" i="12" s="1"/>
  <c r="G348" i="12"/>
  <c r="F348" i="12"/>
  <c r="E348" i="12"/>
  <c r="D348" i="12"/>
  <c r="M347" i="12"/>
  <c r="L347" i="12"/>
  <c r="K347" i="12"/>
  <c r="J347" i="12"/>
  <c r="I347" i="12"/>
  <c r="H347" i="12"/>
  <c r="C347" i="12" s="1"/>
  <c r="G347" i="12"/>
  <c r="F347" i="12"/>
  <c r="E347" i="12"/>
  <c r="D347" i="12"/>
  <c r="M346" i="12"/>
  <c r="L346" i="12"/>
  <c r="K346" i="12"/>
  <c r="J346" i="12"/>
  <c r="I346" i="12"/>
  <c r="H346" i="12"/>
  <c r="C346" i="12" s="1"/>
  <c r="G346" i="12"/>
  <c r="F346" i="12"/>
  <c r="E346" i="12"/>
  <c r="D346" i="12"/>
  <c r="M345" i="12"/>
  <c r="L345" i="12"/>
  <c r="K345" i="12"/>
  <c r="J345" i="12"/>
  <c r="I345" i="12"/>
  <c r="H345" i="12"/>
  <c r="C345" i="12" s="1"/>
  <c r="G345" i="12"/>
  <c r="F345" i="12"/>
  <c r="E345" i="12"/>
  <c r="D345" i="12"/>
  <c r="M344" i="12"/>
  <c r="L344" i="12"/>
  <c r="K344" i="12"/>
  <c r="J344" i="12"/>
  <c r="I344" i="12"/>
  <c r="H344" i="12"/>
  <c r="C344" i="12" s="1"/>
  <c r="G344" i="12"/>
  <c r="F344" i="12"/>
  <c r="E344" i="12"/>
  <c r="D344" i="12"/>
  <c r="M343" i="12"/>
  <c r="L343" i="12"/>
  <c r="K343" i="12"/>
  <c r="J343" i="12"/>
  <c r="I343" i="12"/>
  <c r="H343" i="12"/>
  <c r="C343" i="12" s="1"/>
  <c r="G343" i="12"/>
  <c r="F343" i="12"/>
  <c r="E343" i="12"/>
  <c r="D343" i="12"/>
  <c r="M342" i="12"/>
  <c r="L342" i="12"/>
  <c r="K342" i="12"/>
  <c r="J342" i="12"/>
  <c r="I342" i="12"/>
  <c r="H342" i="12"/>
  <c r="C342" i="12" s="1"/>
  <c r="G342" i="12"/>
  <c r="F342" i="12"/>
  <c r="E342" i="12"/>
  <c r="D342" i="12"/>
  <c r="M341" i="12"/>
  <c r="L341" i="12"/>
  <c r="K341" i="12"/>
  <c r="J341" i="12"/>
  <c r="I341" i="12"/>
  <c r="H341" i="12"/>
  <c r="C341" i="12" s="1"/>
  <c r="G341" i="12"/>
  <c r="F341" i="12"/>
  <c r="E341" i="12"/>
  <c r="D341" i="12"/>
  <c r="M340" i="12"/>
  <c r="L340" i="12"/>
  <c r="K340" i="12"/>
  <c r="J340" i="12"/>
  <c r="I340" i="12"/>
  <c r="H340" i="12"/>
  <c r="G340" i="12"/>
  <c r="F340" i="12"/>
  <c r="E340" i="12"/>
  <c r="D340" i="12"/>
  <c r="M339" i="12"/>
  <c r="L339" i="12"/>
  <c r="K339" i="12"/>
  <c r="J339" i="12"/>
  <c r="I339" i="12"/>
  <c r="H339" i="12"/>
  <c r="C339" i="12" s="1"/>
  <c r="G339" i="12"/>
  <c r="F339" i="12"/>
  <c r="E339" i="12"/>
  <c r="D339" i="12"/>
  <c r="M338" i="12"/>
  <c r="L338" i="12"/>
  <c r="K338" i="12"/>
  <c r="J338" i="12"/>
  <c r="I338" i="12"/>
  <c r="H338" i="12"/>
  <c r="C338" i="12" s="1"/>
  <c r="G338" i="12"/>
  <c r="F338" i="12"/>
  <c r="E338" i="12"/>
  <c r="D338" i="12"/>
  <c r="M337" i="12"/>
  <c r="L337" i="12"/>
  <c r="K337" i="12"/>
  <c r="J337" i="12"/>
  <c r="I337" i="12"/>
  <c r="H337" i="12"/>
  <c r="C337" i="12" s="1"/>
  <c r="G337" i="12"/>
  <c r="F337" i="12"/>
  <c r="E337" i="12"/>
  <c r="D337" i="12"/>
  <c r="M336" i="12"/>
  <c r="L336" i="12"/>
  <c r="K336" i="12"/>
  <c r="J336" i="12"/>
  <c r="I336" i="12"/>
  <c r="H336" i="12"/>
  <c r="C336" i="12" s="1"/>
  <c r="G336" i="12"/>
  <c r="F336" i="12"/>
  <c r="E336" i="12"/>
  <c r="D336" i="12"/>
  <c r="M335" i="12"/>
  <c r="L335" i="12"/>
  <c r="K335" i="12"/>
  <c r="J335" i="12"/>
  <c r="I335" i="12"/>
  <c r="H335" i="12"/>
  <c r="C335" i="12" s="1"/>
  <c r="G335" i="12"/>
  <c r="F335" i="12"/>
  <c r="E335" i="12"/>
  <c r="D335" i="12"/>
  <c r="M334" i="12"/>
  <c r="L334" i="12"/>
  <c r="K334" i="12"/>
  <c r="J334" i="12"/>
  <c r="I334" i="12"/>
  <c r="H334" i="12"/>
  <c r="C334" i="12" s="1"/>
  <c r="G334" i="12"/>
  <c r="F334" i="12"/>
  <c r="E334" i="12"/>
  <c r="D334" i="12"/>
  <c r="M333" i="12"/>
  <c r="L333" i="12"/>
  <c r="K333" i="12"/>
  <c r="J333" i="12"/>
  <c r="I333" i="12"/>
  <c r="H333" i="12"/>
  <c r="C333" i="12" s="1"/>
  <c r="G333" i="12"/>
  <c r="F333" i="12"/>
  <c r="E333" i="12"/>
  <c r="D333" i="12"/>
  <c r="M332" i="12"/>
  <c r="L332" i="12"/>
  <c r="K332" i="12"/>
  <c r="J332" i="12"/>
  <c r="I332" i="12"/>
  <c r="H332" i="12"/>
  <c r="C332" i="12" s="1"/>
  <c r="G332" i="12"/>
  <c r="F332" i="12"/>
  <c r="E332" i="12"/>
  <c r="D332" i="12"/>
  <c r="M331" i="12"/>
  <c r="L331" i="12"/>
  <c r="K331" i="12"/>
  <c r="J331" i="12"/>
  <c r="I331" i="12"/>
  <c r="H331" i="12"/>
  <c r="C331" i="12" s="1"/>
  <c r="G331" i="12"/>
  <c r="F331" i="12"/>
  <c r="E331" i="12"/>
  <c r="D331" i="12"/>
  <c r="M330" i="12"/>
  <c r="L330" i="12"/>
  <c r="K330" i="12"/>
  <c r="J330" i="12"/>
  <c r="I330" i="12"/>
  <c r="H330" i="12"/>
  <c r="C330" i="12" s="1"/>
  <c r="G330" i="12"/>
  <c r="F330" i="12"/>
  <c r="E330" i="12"/>
  <c r="D330" i="12"/>
  <c r="M329" i="12"/>
  <c r="L329" i="12"/>
  <c r="K329" i="12"/>
  <c r="J329" i="12"/>
  <c r="I329" i="12"/>
  <c r="H329" i="12"/>
  <c r="C329" i="12" s="1"/>
  <c r="G329" i="12"/>
  <c r="F329" i="12"/>
  <c r="E329" i="12"/>
  <c r="D329" i="12"/>
  <c r="M328" i="12"/>
  <c r="L328" i="12"/>
  <c r="K328" i="12"/>
  <c r="J328" i="12"/>
  <c r="I328" i="12"/>
  <c r="H328" i="12"/>
  <c r="C328" i="12" s="1"/>
  <c r="G328" i="12"/>
  <c r="F328" i="12"/>
  <c r="E328" i="12"/>
  <c r="D328" i="12"/>
  <c r="M327" i="12"/>
  <c r="L327" i="12"/>
  <c r="K327" i="12"/>
  <c r="J327" i="12"/>
  <c r="I327" i="12"/>
  <c r="H327" i="12"/>
  <c r="C327" i="12" s="1"/>
  <c r="G327" i="12"/>
  <c r="F327" i="12"/>
  <c r="E327" i="12"/>
  <c r="D327" i="12"/>
  <c r="M326" i="12"/>
  <c r="L326" i="12"/>
  <c r="K326" i="12"/>
  <c r="J326" i="12"/>
  <c r="I326" i="12"/>
  <c r="H326" i="12"/>
  <c r="C326" i="12" s="1"/>
  <c r="G326" i="12"/>
  <c r="F326" i="12"/>
  <c r="E326" i="12"/>
  <c r="D326" i="12"/>
  <c r="M325" i="12"/>
  <c r="L325" i="12"/>
  <c r="K325" i="12"/>
  <c r="J325" i="12"/>
  <c r="I325" i="12"/>
  <c r="H325" i="12"/>
  <c r="C325" i="12" s="1"/>
  <c r="G325" i="12"/>
  <c r="F325" i="12"/>
  <c r="E325" i="12"/>
  <c r="D325" i="12"/>
  <c r="M324" i="12"/>
  <c r="L324" i="12"/>
  <c r="K324" i="12"/>
  <c r="J324" i="12"/>
  <c r="I324" i="12"/>
  <c r="H324" i="12"/>
  <c r="C324" i="12" s="1"/>
  <c r="G324" i="12"/>
  <c r="F324" i="12"/>
  <c r="E324" i="12"/>
  <c r="D324" i="12"/>
  <c r="M323" i="12"/>
  <c r="L323" i="12"/>
  <c r="K323" i="12"/>
  <c r="J323" i="12"/>
  <c r="I323" i="12"/>
  <c r="H323" i="12"/>
  <c r="C323" i="12" s="1"/>
  <c r="G323" i="12"/>
  <c r="F323" i="12"/>
  <c r="E323" i="12"/>
  <c r="D323" i="12"/>
  <c r="M322" i="12"/>
  <c r="L322" i="12"/>
  <c r="K322" i="12"/>
  <c r="J322" i="12"/>
  <c r="I322" i="12"/>
  <c r="H322" i="12"/>
  <c r="C322" i="12" s="1"/>
  <c r="G322" i="12"/>
  <c r="F322" i="12"/>
  <c r="E322" i="12"/>
  <c r="D322" i="12"/>
  <c r="M321" i="12"/>
  <c r="L321" i="12"/>
  <c r="K321" i="12"/>
  <c r="J321" i="12"/>
  <c r="I321" i="12"/>
  <c r="H321" i="12"/>
  <c r="C321" i="12" s="1"/>
  <c r="G321" i="12"/>
  <c r="F321" i="12"/>
  <c r="E321" i="12"/>
  <c r="D321" i="12"/>
  <c r="M320" i="12"/>
  <c r="L320" i="12"/>
  <c r="K320" i="12"/>
  <c r="J320" i="12"/>
  <c r="I320" i="12"/>
  <c r="H320" i="12"/>
  <c r="C320" i="12" s="1"/>
  <c r="G320" i="12"/>
  <c r="F320" i="12"/>
  <c r="E320" i="12"/>
  <c r="D320" i="12"/>
  <c r="M319" i="12"/>
  <c r="L319" i="12"/>
  <c r="K319" i="12"/>
  <c r="J319" i="12"/>
  <c r="I319" i="12"/>
  <c r="H319" i="12"/>
  <c r="C319" i="12" s="1"/>
  <c r="G319" i="12"/>
  <c r="F319" i="12"/>
  <c r="E319" i="12"/>
  <c r="D319" i="12"/>
  <c r="M318" i="12"/>
  <c r="L318" i="12"/>
  <c r="K318" i="12"/>
  <c r="J318" i="12"/>
  <c r="I318" i="12"/>
  <c r="H318" i="12"/>
  <c r="C318" i="12" s="1"/>
  <c r="G318" i="12"/>
  <c r="F318" i="12"/>
  <c r="E318" i="12"/>
  <c r="D318" i="12"/>
  <c r="M317" i="12"/>
  <c r="L317" i="12"/>
  <c r="K317" i="12"/>
  <c r="J317" i="12"/>
  <c r="I317" i="12"/>
  <c r="H317" i="12"/>
  <c r="C317" i="12" s="1"/>
  <c r="G317" i="12"/>
  <c r="F317" i="12"/>
  <c r="E317" i="12"/>
  <c r="D317" i="12"/>
  <c r="M316" i="12"/>
  <c r="L316" i="12"/>
  <c r="K316" i="12"/>
  <c r="J316" i="12"/>
  <c r="I316" i="12"/>
  <c r="H316" i="12"/>
  <c r="C316" i="12" s="1"/>
  <c r="G316" i="12"/>
  <c r="F316" i="12"/>
  <c r="E316" i="12"/>
  <c r="D316" i="12"/>
  <c r="M315" i="12"/>
  <c r="L315" i="12"/>
  <c r="K315" i="12"/>
  <c r="J315" i="12"/>
  <c r="I315" i="12"/>
  <c r="H315" i="12"/>
  <c r="C315" i="12" s="1"/>
  <c r="G315" i="12"/>
  <c r="F315" i="12"/>
  <c r="E315" i="12"/>
  <c r="D315" i="12"/>
  <c r="M314" i="12"/>
  <c r="L314" i="12"/>
  <c r="K314" i="12"/>
  <c r="J314" i="12"/>
  <c r="I314" i="12"/>
  <c r="H314" i="12"/>
  <c r="C314" i="12" s="1"/>
  <c r="G314" i="12"/>
  <c r="F314" i="12"/>
  <c r="E314" i="12"/>
  <c r="D314" i="12"/>
  <c r="M313" i="12"/>
  <c r="L313" i="12"/>
  <c r="K313" i="12"/>
  <c r="J313" i="12"/>
  <c r="I313" i="12"/>
  <c r="H313" i="12"/>
  <c r="C313" i="12" s="1"/>
  <c r="G313" i="12"/>
  <c r="F313" i="12"/>
  <c r="E313" i="12"/>
  <c r="D313" i="12"/>
  <c r="M312" i="12"/>
  <c r="L312" i="12"/>
  <c r="K312" i="12"/>
  <c r="J312" i="12"/>
  <c r="I312" i="12"/>
  <c r="H312" i="12"/>
  <c r="C312" i="12" s="1"/>
  <c r="G312" i="12"/>
  <c r="F312" i="12"/>
  <c r="E312" i="12"/>
  <c r="D312" i="12"/>
  <c r="M311" i="12"/>
  <c r="L311" i="12"/>
  <c r="K311" i="12"/>
  <c r="J311" i="12"/>
  <c r="I311" i="12"/>
  <c r="H311" i="12"/>
  <c r="C311" i="12" s="1"/>
  <c r="G311" i="12"/>
  <c r="F311" i="12"/>
  <c r="E311" i="12"/>
  <c r="D311" i="12"/>
  <c r="M310" i="12"/>
  <c r="L310" i="12"/>
  <c r="K310" i="12"/>
  <c r="J310" i="12"/>
  <c r="I310" i="12"/>
  <c r="H310" i="12"/>
  <c r="G310" i="12"/>
  <c r="F310" i="12"/>
  <c r="E310" i="12"/>
  <c r="D310" i="12"/>
  <c r="M309" i="12"/>
  <c r="L309" i="12"/>
  <c r="K309" i="12"/>
  <c r="J309" i="12"/>
  <c r="I309" i="12"/>
  <c r="H309" i="12"/>
  <c r="C309" i="12" s="1"/>
  <c r="G309" i="12"/>
  <c r="F309" i="12"/>
  <c r="E309" i="12"/>
  <c r="D309" i="12"/>
  <c r="M308" i="12"/>
  <c r="L308" i="12"/>
  <c r="K308" i="12"/>
  <c r="J308" i="12"/>
  <c r="I308" i="12"/>
  <c r="H308" i="12"/>
  <c r="C308" i="12" s="1"/>
  <c r="G308" i="12"/>
  <c r="F308" i="12"/>
  <c r="E308" i="12"/>
  <c r="D308" i="12"/>
  <c r="M307" i="12"/>
  <c r="L307" i="12"/>
  <c r="K307" i="12"/>
  <c r="J307" i="12"/>
  <c r="I307" i="12"/>
  <c r="H307" i="12"/>
  <c r="C307" i="12" s="1"/>
  <c r="G307" i="12"/>
  <c r="F307" i="12"/>
  <c r="E307" i="12"/>
  <c r="D307" i="12"/>
  <c r="M306" i="12"/>
  <c r="L306" i="12"/>
  <c r="K306" i="12"/>
  <c r="J306" i="12"/>
  <c r="I306" i="12"/>
  <c r="H306" i="12"/>
  <c r="C306" i="12" s="1"/>
  <c r="G306" i="12"/>
  <c r="F306" i="12"/>
  <c r="E306" i="12"/>
  <c r="D306" i="12"/>
  <c r="M305" i="12"/>
  <c r="L305" i="12"/>
  <c r="K305" i="12"/>
  <c r="J305" i="12"/>
  <c r="I305" i="12"/>
  <c r="H305" i="12"/>
  <c r="C305" i="12" s="1"/>
  <c r="G305" i="12"/>
  <c r="F305" i="12"/>
  <c r="E305" i="12"/>
  <c r="D305" i="12"/>
  <c r="M304" i="12"/>
  <c r="L304" i="12"/>
  <c r="K304" i="12"/>
  <c r="J304" i="12"/>
  <c r="I304" i="12"/>
  <c r="H304" i="12"/>
  <c r="C304" i="12" s="1"/>
  <c r="G304" i="12"/>
  <c r="F304" i="12"/>
  <c r="E304" i="12"/>
  <c r="D304" i="12"/>
  <c r="M303" i="12"/>
  <c r="L303" i="12"/>
  <c r="K303" i="12"/>
  <c r="J303" i="12"/>
  <c r="I303" i="12"/>
  <c r="H303" i="12"/>
  <c r="C303" i="12" s="1"/>
  <c r="G303" i="12"/>
  <c r="F303" i="12"/>
  <c r="E303" i="12"/>
  <c r="D303" i="12"/>
  <c r="M302" i="12"/>
  <c r="L302" i="12"/>
  <c r="K302" i="12"/>
  <c r="J302" i="12"/>
  <c r="I302" i="12"/>
  <c r="H302" i="12"/>
  <c r="C302" i="12" s="1"/>
  <c r="G302" i="12"/>
  <c r="F302" i="12"/>
  <c r="E302" i="12"/>
  <c r="D302" i="12"/>
  <c r="M301" i="12"/>
  <c r="L301" i="12"/>
  <c r="K301" i="12"/>
  <c r="J301" i="12"/>
  <c r="I301" i="12"/>
  <c r="H301" i="12"/>
  <c r="C301" i="12" s="1"/>
  <c r="G301" i="12"/>
  <c r="F301" i="12"/>
  <c r="E301" i="12"/>
  <c r="D301" i="12"/>
  <c r="M300" i="12"/>
  <c r="L300" i="12"/>
  <c r="K300" i="12"/>
  <c r="J300" i="12"/>
  <c r="I300" i="12"/>
  <c r="H300" i="12"/>
  <c r="C300" i="12" s="1"/>
  <c r="G300" i="12"/>
  <c r="F300" i="12"/>
  <c r="E300" i="12"/>
  <c r="D300" i="12"/>
  <c r="M299" i="12"/>
  <c r="L299" i="12"/>
  <c r="K299" i="12"/>
  <c r="J299" i="12"/>
  <c r="I299" i="12"/>
  <c r="H299" i="12"/>
  <c r="C299" i="12" s="1"/>
  <c r="G299" i="12"/>
  <c r="F299" i="12"/>
  <c r="E299" i="12"/>
  <c r="D299" i="12"/>
  <c r="M298" i="12"/>
  <c r="L298" i="12"/>
  <c r="K298" i="12"/>
  <c r="J298" i="12"/>
  <c r="I298" i="12"/>
  <c r="H298" i="12"/>
  <c r="C298" i="12" s="1"/>
  <c r="G298" i="12"/>
  <c r="F298" i="12"/>
  <c r="E298" i="12"/>
  <c r="D298" i="12"/>
  <c r="M297" i="12"/>
  <c r="L297" i="12"/>
  <c r="K297" i="12"/>
  <c r="J297" i="12"/>
  <c r="I297" i="12"/>
  <c r="H297" i="12"/>
  <c r="C297" i="12" s="1"/>
  <c r="G297" i="12"/>
  <c r="F297" i="12"/>
  <c r="E297" i="12"/>
  <c r="D297" i="12"/>
  <c r="M296" i="12"/>
  <c r="L296" i="12"/>
  <c r="K296" i="12"/>
  <c r="J296" i="12"/>
  <c r="I296" i="12"/>
  <c r="H296" i="12"/>
  <c r="C296" i="12" s="1"/>
  <c r="G296" i="12"/>
  <c r="F296" i="12"/>
  <c r="E296" i="12"/>
  <c r="D296" i="12"/>
  <c r="M295" i="12"/>
  <c r="L295" i="12"/>
  <c r="K295" i="12"/>
  <c r="J295" i="12"/>
  <c r="I295" i="12"/>
  <c r="H295" i="12"/>
  <c r="C295" i="12" s="1"/>
  <c r="G295" i="12"/>
  <c r="F295" i="12"/>
  <c r="E295" i="12"/>
  <c r="D295" i="12"/>
  <c r="M294" i="12"/>
  <c r="L294" i="12"/>
  <c r="K294" i="12"/>
  <c r="J294" i="12"/>
  <c r="I294" i="12"/>
  <c r="H294" i="12"/>
  <c r="C294" i="12" s="1"/>
  <c r="G294" i="12"/>
  <c r="F294" i="12"/>
  <c r="E294" i="12"/>
  <c r="D294" i="12"/>
  <c r="M293" i="12"/>
  <c r="L293" i="12"/>
  <c r="K293" i="12"/>
  <c r="J293" i="12"/>
  <c r="I293" i="12"/>
  <c r="H293" i="12"/>
  <c r="C293" i="12" s="1"/>
  <c r="G293" i="12"/>
  <c r="F293" i="12"/>
  <c r="E293" i="12"/>
  <c r="D293" i="12"/>
  <c r="M292" i="12"/>
  <c r="L292" i="12"/>
  <c r="K292" i="12"/>
  <c r="J292" i="12"/>
  <c r="I292" i="12"/>
  <c r="H292" i="12"/>
  <c r="C292" i="12" s="1"/>
  <c r="G292" i="12"/>
  <c r="F292" i="12"/>
  <c r="E292" i="12"/>
  <c r="D292" i="12"/>
  <c r="M291" i="12"/>
  <c r="L291" i="12"/>
  <c r="K291" i="12"/>
  <c r="J291" i="12"/>
  <c r="I291" i="12"/>
  <c r="H291" i="12"/>
  <c r="C291" i="12" s="1"/>
  <c r="G291" i="12"/>
  <c r="F291" i="12"/>
  <c r="E291" i="12"/>
  <c r="D291" i="12"/>
  <c r="M290" i="12"/>
  <c r="L290" i="12"/>
  <c r="K290" i="12"/>
  <c r="J290" i="12"/>
  <c r="I290" i="12"/>
  <c r="H290" i="12"/>
  <c r="C290" i="12" s="1"/>
  <c r="G290" i="12"/>
  <c r="F290" i="12"/>
  <c r="E290" i="12"/>
  <c r="D290" i="12"/>
  <c r="M289" i="12"/>
  <c r="L289" i="12"/>
  <c r="K289" i="12"/>
  <c r="J289" i="12"/>
  <c r="I289" i="12"/>
  <c r="H289" i="12"/>
  <c r="C289" i="12" s="1"/>
  <c r="G289" i="12"/>
  <c r="F289" i="12"/>
  <c r="E289" i="12"/>
  <c r="D289" i="12"/>
  <c r="M288" i="12"/>
  <c r="L288" i="12"/>
  <c r="K288" i="12"/>
  <c r="J288" i="12"/>
  <c r="I288" i="12"/>
  <c r="H288" i="12"/>
  <c r="C288" i="12" s="1"/>
  <c r="G288" i="12"/>
  <c r="F288" i="12"/>
  <c r="E288" i="12"/>
  <c r="D288" i="12"/>
  <c r="M287" i="12"/>
  <c r="L287" i="12"/>
  <c r="K287" i="12"/>
  <c r="J287" i="12"/>
  <c r="I287" i="12"/>
  <c r="H287" i="12"/>
  <c r="C287" i="12" s="1"/>
  <c r="G287" i="12"/>
  <c r="F287" i="12"/>
  <c r="E287" i="12"/>
  <c r="D287" i="12"/>
  <c r="M286" i="12"/>
  <c r="L286" i="12"/>
  <c r="K286" i="12"/>
  <c r="J286" i="12"/>
  <c r="I286" i="12"/>
  <c r="H286" i="12"/>
  <c r="C286" i="12" s="1"/>
  <c r="G286" i="12"/>
  <c r="F286" i="12"/>
  <c r="E286" i="12"/>
  <c r="D286" i="12"/>
  <c r="M285" i="12"/>
  <c r="L285" i="12"/>
  <c r="K285" i="12"/>
  <c r="J285" i="12"/>
  <c r="I285" i="12"/>
  <c r="H285" i="12"/>
  <c r="C285" i="12" s="1"/>
  <c r="G285" i="12"/>
  <c r="F285" i="12"/>
  <c r="E285" i="12"/>
  <c r="D285" i="12"/>
  <c r="M284" i="12"/>
  <c r="L284" i="12"/>
  <c r="K284" i="12"/>
  <c r="J284" i="12"/>
  <c r="I284" i="12"/>
  <c r="H284" i="12"/>
  <c r="C284" i="12" s="1"/>
  <c r="G284" i="12"/>
  <c r="F284" i="12"/>
  <c r="E284" i="12"/>
  <c r="D284" i="12"/>
  <c r="M283" i="12"/>
  <c r="L283" i="12"/>
  <c r="K283" i="12"/>
  <c r="J283" i="12"/>
  <c r="I283" i="12"/>
  <c r="H283" i="12"/>
  <c r="C283" i="12" s="1"/>
  <c r="G283" i="12"/>
  <c r="F283" i="12"/>
  <c r="E283" i="12"/>
  <c r="D283" i="12"/>
  <c r="M282" i="12"/>
  <c r="L282" i="12"/>
  <c r="K282" i="12"/>
  <c r="J282" i="12"/>
  <c r="I282" i="12"/>
  <c r="H282" i="12"/>
  <c r="C282" i="12" s="1"/>
  <c r="G282" i="12"/>
  <c r="F282" i="12"/>
  <c r="E282" i="12"/>
  <c r="D282" i="12"/>
  <c r="M281" i="12"/>
  <c r="L281" i="12"/>
  <c r="K281" i="12"/>
  <c r="J281" i="12"/>
  <c r="I281" i="12"/>
  <c r="H281" i="12"/>
  <c r="C281" i="12" s="1"/>
  <c r="G281" i="12"/>
  <c r="F281" i="12"/>
  <c r="E281" i="12"/>
  <c r="D281" i="12"/>
  <c r="M280" i="12"/>
  <c r="L280" i="12"/>
  <c r="K280" i="12"/>
  <c r="J280" i="12"/>
  <c r="I280" i="12"/>
  <c r="H280" i="12"/>
  <c r="C280" i="12" s="1"/>
  <c r="G280" i="12"/>
  <c r="F280" i="12"/>
  <c r="E280" i="12"/>
  <c r="D280" i="12"/>
  <c r="M279" i="12"/>
  <c r="L279" i="12"/>
  <c r="K279" i="12"/>
  <c r="J279" i="12"/>
  <c r="I279" i="12"/>
  <c r="H279" i="12"/>
  <c r="G279" i="12"/>
  <c r="F279" i="12"/>
  <c r="E279" i="12"/>
  <c r="D279" i="12"/>
  <c r="M278" i="12"/>
  <c r="L278" i="12"/>
  <c r="K278" i="12"/>
  <c r="J278" i="12"/>
  <c r="I278" i="12"/>
  <c r="H278" i="12"/>
  <c r="C278" i="12" s="1"/>
  <c r="G278" i="12"/>
  <c r="F278" i="12"/>
  <c r="E278" i="12"/>
  <c r="D278" i="12"/>
  <c r="M277" i="12"/>
  <c r="L277" i="12"/>
  <c r="K277" i="12"/>
  <c r="J277" i="12"/>
  <c r="I277" i="12"/>
  <c r="H277" i="12"/>
  <c r="C277" i="12" s="1"/>
  <c r="G277" i="12"/>
  <c r="F277" i="12"/>
  <c r="E277" i="12"/>
  <c r="D277" i="12"/>
  <c r="M276" i="12"/>
  <c r="L276" i="12"/>
  <c r="K276" i="12"/>
  <c r="J276" i="12"/>
  <c r="I276" i="12"/>
  <c r="H276" i="12"/>
  <c r="C276" i="12" s="1"/>
  <c r="G276" i="12"/>
  <c r="F276" i="12"/>
  <c r="E276" i="12"/>
  <c r="D276" i="12"/>
  <c r="M275" i="12"/>
  <c r="L275" i="12"/>
  <c r="K275" i="12"/>
  <c r="J275" i="12"/>
  <c r="I275" i="12"/>
  <c r="H275" i="12"/>
  <c r="C275" i="12" s="1"/>
  <c r="G275" i="12"/>
  <c r="F275" i="12"/>
  <c r="E275" i="12"/>
  <c r="D275" i="12"/>
  <c r="M274" i="12"/>
  <c r="L274" i="12"/>
  <c r="K274" i="12"/>
  <c r="J274" i="12"/>
  <c r="I274" i="12"/>
  <c r="H274" i="12"/>
  <c r="C274" i="12" s="1"/>
  <c r="G274" i="12"/>
  <c r="F274" i="12"/>
  <c r="E274" i="12"/>
  <c r="D274" i="12"/>
  <c r="M273" i="12"/>
  <c r="L273" i="12"/>
  <c r="K273" i="12"/>
  <c r="J273" i="12"/>
  <c r="I273" i="12"/>
  <c r="H273" i="12"/>
  <c r="C273" i="12" s="1"/>
  <c r="G273" i="12"/>
  <c r="F273" i="12"/>
  <c r="E273" i="12"/>
  <c r="D273" i="12"/>
  <c r="M272" i="12"/>
  <c r="L272" i="12"/>
  <c r="K272" i="12"/>
  <c r="J272" i="12"/>
  <c r="I272" i="12"/>
  <c r="H272" i="12"/>
  <c r="C272" i="12" s="1"/>
  <c r="G272" i="12"/>
  <c r="F272" i="12"/>
  <c r="E272" i="12"/>
  <c r="D272" i="12"/>
  <c r="M271" i="12"/>
  <c r="L271" i="12"/>
  <c r="K271" i="12"/>
  <c r="J271" i="12"/>
  <c r="I271" i="12"/>
  <c r="H271" i="12"/>
  <c r="C271" i="12" s="1"/>
  <c r="G271" i="12"/>
  <c r="F271" i="12"/>
  <c r="E271" i="12"/>
  <c r="D271" i="12"/>
  <c r="M270" i="12"/>
  <c r="L270" i="12"/>
  <c r="K270" i="12"/>
  <c r="J270" i="12"/>
  <c r="I270" i="12"/>
  <c r="H270" i="12"/>
  <c r="C270" i="12" s="1"/>
  <c r="G270" i="12"/>
  <c r="F270" i="12"/>
  <c r="E270" i="12"/>
  <c r="D270" i="12"/>
  <c r="M269" i="12"/>
  <c r="L269" i="12"/>
  <c r="K269" i="12"/>
  <c r="J269" i="12"/>
  <c r="I269" i="12"/>
  <c r="H269" i="12"/>
  <c r="C269" i="12" s="1"/>
  <c r="G269" i="12"/>
  <c r="F269" i="12"/>
  <c r="E269" i="12"/>
  <c r="D269" i="12"/>
  <c r="M268" i="12"/>
  <c r="L268" i="12"/>
  <c r="K268" i="12"/>
  <c r="J268" i="12"/>
  <c r="I268" i="12"/>
  <c r="H268" i="12"/>
  <c r="C268" i="12" s="1"/>
  <c r="G268" i="12"/>
  <c r="F268" i="12"/>
  <c r="E268" i="12"/>
  <c r="D268" i="12"/>
  <c r="M267" i="12"/>
  <c r="L267" i="12"/>
  <c r="K267" i="12"/>
  <c r="J267" i="12"/>
  <c r="I267" i="12"/>
  <c r="H267" i="12"/>
  <c r="C267" i="12" s="1"/>
  <c r="G267" i="12"/>
  <c r="F267" i="12"/>
  <c r="E267" i="12"/>
  <c r="D267" i="12"/>
  <c r="M266" i="12"/>
  <c r="L266" i="12"/>
  <c r="K266" i="12"/>
  <c r="J266" i="12"/>
  <c r="I266" i="12"/>
  <c r="H266" i="12"/>
  <c r="C266" i="12" s="1"/>
  <c r="G266" i="12"/>
  <c r="F266" i="12"/>
  <c r="E266" i="12"/>
  <c r="D266" i="12"/>
  <c r="M265" i="12"/>
  <c r="L265" i="12"/>
  <c r="K265" i="12"/>
  <c r="J265" i="12"/>
  <c r="I265" i="12"/>
  <c r="H265" i="12"/>
  <c r="C265" i="12" s="1"/>
  <c r="G265" i="12"/>
  <c r="F265" i="12"/>
  <c r="E265" i="12"/>
  <c r="D265" i="12"/>
  <c r="M264" i="12"/>
  <c r="L264" i="12"/>
  <c r="K264" i="12"/>
  <c r="J264" i="12"/>
  <c r="I264" i="12"/>
  <c r="H264" i="12"/>
  <c r="C264" i="12" s="1"/>
  <c r="G264" i="12"/>
  <c r="F264" i="12"/>
  <c r="E264" i="12"/>
  <c r="D264" i="12"/>
  <c r="M263" i="12"/>
  <c r="L263" i="12"/>
  <c r="K263" i="12"/>
  <c r="J263" i="12"/>
  <c r="I263" i="12"/>
  <c r="H263" i="12"/>
  <c r="C263" i="12" s="1"/>
  <c r="G263" i="12"/>
  <c r="F263" i="12"/>
  <c r="E263" i="12"/>
  <c r="D263" i="12"/>
  <c r="M262" i="12"/>
  <c r="L262" i="12"/>
  <c r="K262" i="12"/>
  <c r="J262" i="12"/>
  <c r="I262" i="12"/>
  <c r="H262" i="12"/>
  <c r="C262" i="12" s="1"/>
  <c r="G262" i="12"/>
  <c r="F262" i="12"/>
  <c r="E262" i="12"/>
  <c r="D262" i="12"/>
  <c r="M261" i="12"/>
  <c r="L261" i="12"/>
  <c r="K261" i="12"/>
  <c r="J261" i="12"/>
  <c r="I261" i="12"/>
  <c r="H261" i="12"/>
  <c r="C261" i="12" s="1"/>
  <c r="G261" i="12"/>
  <c r="F261" i="12"/>
  <c r="E261" i="12"/>
  <c r="D261" i="12"/>
  <c r="M260" i="12"/>
  <c r="L260" i="12"/>
  <c r="K260" i="12"/>
  <c r="J260" i="12"/>
  <c r="I260" i="12"/>
  <c r="H260" i="12"/>
  <c r="C260" i="12" s="1"/>
  <c r="G260" i="12"/>
  <c r="F260" i="12"/>
  <c r="E260" i="12"/>
  <c r="D260" i="12"/>
  <c r="M259" i="12"/>
  <c r="L259" i="12"/>
  <c r="K259" i="12"/>
  <c r="J259" i="12"/>
  <c r="I259" i="12"/>
  <c r="H259" i="12"/>
  <c r="C259" i="12" s="1"/>
  <c r="G259" i="12"/>
  <c r="F259" i="12"/>
  <c r="E259" i="12"/>
  <c r="D259" i="12"/>
  <c r="M258" i="12"/>
  <c r="L258" i="12"/>
  <c r="K258" i="12"/>
  <c r="J258" i="12"/>
  <c r="I258" i="12"/>
  <c r="H258" i="12"/>
  <c r="C258" i="12" s="1"/>
  <c r="G258" i="12"/>
  <c r="F258" i="12"/>
  <c r="E258" i="12"/>
  <c r="D258" i="12"/>
  <c r="M257" i="12"/>
  <c r="L257" i="12"/>
  <c r="K257" i="12"/>
  <c r="J257" i="12"/>
  <c r="I257" i="12"/>
  <c r="H257" i="12"/>
  <c r="C257" i="12" s="1"/>
  <c r="G257" i="12"/>
  <c r="F257" i="12"/>
  <c r="E257" i="12"/>
  <c r="D257" i="12"/>
  <c r="M256" i="12"/>
  <c r="L256" i="12"/>
  <c r="K256" i="12"/>
  <c r="J256" i="12"/>
  <c r="I256" i="12"/>
  <c r="H256" i="12"/>
  <c r="C256" i="12" s="1"/>
  <c r="G256" i="12"/>
  <c r="F256" i="12"/>
  <c r="E256" i="12"/>
  <c r="D256" i="12"/>
  <c r="M255" i="12"/>
  <c r="L255" i="12"/>
  <c r="K255" i="12"/>
  <c r="J255" i="12"/>
  <c r="I255" i="12"/>
  <c r="H255" i="12"/>
  <c r="C255" i="12" s="1"/>
  <c r="G255" i="12"/>
  <c r="F255" i="12"/>
  <c r="E255" i="12"/>
  <c r="D255" i="12"/>
  <c r="M254" i="12"/>
  <c r="L254" i="12"/>
  <c r="K254" i="12"/>
  <c r="J254" i="12"/>
  <c r="I254" i="12"/>
  <c r="H254" i="12"/>
  <c r="C254" i="12" s="1"/>
  <c r="G254" i="12"/>
  <c r="F254" i="12"/>
  <c r="E254" i="12"/>
  <c r="D254" i="12"/>
  <c r="M253" i="12"/>
  <c r="L253" i="12"/>
  <c r="K253" i="12"/>
  <c r="J253" i="12"/>
  <c r="I253" i="12"/>
  <c r="H253" i="12"/>
  <c r="C253" i="12" s="1"/>
  <c r="G253" i="12"/>
  <c r="F253" i="12"/>
  <c r="E253" i="12"/>
  <c r="D253" i="12"/>
  <c r="M252" i="12"/>
  <c r="L252" i="12"/>
  <c r="K252" i="12"/>
  <c r="J252" i="12"/>
  <c r="I252" i="12"/>
  <c r="H252" i="12"/>
  <c r="C252" i="12" s="1"/>
  <c r="G252" i="12"/>
  <c r="F252" i="12"/>
  <c r="E252" i="12"/>
  <c r="D252" i="12"/>
  <c r="M251" i="12"/>
  <c r="L251" i="12"/>
  <c r="K251" i="12"/>
  <c r="J251" i="12"/>
  <c r="I251" i="12"/>
  <c r="H251" i="12"/>
  <c r="C251" i="12" s="1"/>
  <c r="G251" i="12"/>
  <c r="F251" i="12"/>
  <c r="E251" i="12"/>
  <c r="D251" i="12"/>
  <c r="M250" i="12"/>
  <c r="L250" i="12"/>
  <c r="K250" i="12"/>
  <c r="J250" i="12"/>
  <c r="I250" i="12"/>
  <c r="H250" i="12"/>
  <c r="C250" i="12" s="1"/>
  <c r="G250" i="12"/>
  <c r="F250" i="12"/>
  <c r="E250" i="12"/>
  <c r="D250" i="12"/>
  <c r="M249" i="12"/>
  <c r="L249" i="12"/>
  <c r="K249" i="12"/>
  <c r="J249" i="12"/>
  <c r="I249" i="12"/>
  <c r="H249" i="12"/>
  <c r="G249" i="12"/>
  <c r="F249" i="12"/>
  <c r="E249" i="12"/>
  <c r="D249" i="12"/>
  <c r="M248" i="12"/>
  <c r="L248" i="12"/>
  <c r="K248" i="12"/>
  <c r="J248" i="12"/>
  <c r="I248" i="12"/>
  <c r="H248" i="12"/>
  <c r="C248" i="12" s="1"/>
  <c r="G248" i="12"/>
  <c r="F248" i="12"/>
  <c r="E248" i="12"/>
  <c r="D248" i="12"/>
  <c r="M247" i="12"/>
  <c r="L247" i="12"/>
  <c r="K247" i="12"/>
  <c r="J247" i="12"/>
  <c r="I247" i="12"/>
  <c r="H247" i="12"/>
  <c r="C247" i="12" s="1"/>
  <c r="G247" i="12"/>
  <c r="F247" i="12"/>
  <c r="E247" i="12"/>
  <c r="D247" i="12"/>
  <c r="M246" i="12"/>
  <c r="L246" i="12"/>
  <c r="K246" i="12"/>
  <c r="J246" i="12"/>
  <c r="I246" i="12"/>
  <c r="H246" i="12"/>
  <c r="C246" i="12" s="1"/>
  <c r="G246" i="12"/>
  <c r="F246" i="12"/>
  <c r="E246" i="12"/>
  <c r="D246" i="12"/>
  <c r="M245" i="12"/>
  <c r="L245" i="12"/>
  <c r="K245" i="12"/>
  <c r="J245" i="12"/>
  <c r="I245" i="12"/>
  <c r="H245" i="12"/>
  <c r="C245" i="12" s="1"/>
  <c r="G245" i="12"/>
  <c r="F245" i="12"/>
  <c r="E245" i="12"/>
  <c r="D245" i="12"/>
  <c r="M244" i="12"/>
  <c r="L244" i="12"/>
  <c r="K244" i="12"/>
  <c r="J244" i="12"/>
  <c r="I244" i="12"/>
  <c r="H244" i="12"/>
  <c r="C244" i="12" s="1"/>
  <c r="G244" i="12"/>
  <c r="F244" i="12"/>
  <c r="E244" i="12"/>
  <c r="D244" i="12"/>
  <c r="M243" i="12"/>
  <c r="L243" i="12"/>
  <c r="K243" i="12"/>
  <c r="J243" i="12"/>
  <c r="I243" i="12"/>
  <c r="H243" i="12"/>
  <c r="C243" i="12" s="1"/>
  <c r="G243" i="12"/>
  <c r="F243" i="12"/>
  <c r="E243" i="12"/>
  <c r="D243" i="12"/>
  <c r="M242" i="12"/>
  <c r="L242" i="12"/>
  <c r="K242" i="12"/>
  <c r="J242" i="12"/>
  <c r="I242" i="12"/>
  <c r="H242" i="12"/>
  <c r="C242" i="12" s="1"/>
  <c r="G242" i="12"/>
  <c r="F242" i="12"/>
  <c r="E242" i="12"/>
  <c r="D242" i="12"/>
  <c r="M241" i="12"/>
  <c r="L241" i="12"/>
  <c r="K241" i="12"/>
  <c r="J241" i="12"/>
  <c r="I241" i="12"/>
  <c r="H241" i="12"/>
  <c r="C241" i="12" s="1"/>
  <c r="G241" i="12"/>
  <c r="F241" i="12"/>
  <c r="E241" i="12"/>
  <c r="D241" i="12"/>
  <c r="M240" i="12"/>
  <c r="L240" i="12"/>
  <c r="K240" i="12"/>
  <c r="J240" i="12"/>
  <c r="I240" i="12"/>
  <c r="H240" i="12"/>
  <c r="C240" i="12" s="1"/>
  <c r="G240" i="12"/>
  <c r="F240" i="12"/>
  <c r="E240" i="12"/>
  <c r="D240" i="12"/>
  <c r="M239" i="12"/>
  <c r="L239" i="12"/>
  <c r="K239" i="12"/>
  <c r="J239" i="12"/>
  <c r="I239" i="12"/>
  <c r="H239" i="12"/>
  <c r="C239" i="12" s="1"/>
  <c r="G239" i="12"/>
  <c r="F239" i="12"/>
  <c r="E239" i="12"/>
  <c r="D239" i="12"/>
  <c r="M238" i="12"/>
  <c r="L238" i="12"/>
  <c r="K238" i="12"/>
  <c r="J238" i="12"/>
  <c r="I238" i="12"/>
  <c r="H238" i="12"/>
  <c r="C238" i="12" s="1"/>
  <c r="G238" i="12"/>
  <c r="F238" i="12"/>
  <c r="E238" i="12"/>
  <c r="D238" i="12"/>
  <c r="M237" i="12"/>
  <c r="L237" i="12"/>
  <c r="K237" i="12"/>
  <c r="J237" i="12"/>
  <c r="I237" i="12"/>
  <c r="H237" i="12"/>
  <c r="C237" i="12" s="1"/>
  <c r="G237" i="12"/>
  <c r="F237" i="12"/>
  <c r="E237" i="12"/>
  <c r="D237" i="12"/>
  <c r="M236" i="12"/>
  <c r="L236" i="12"/>
  <c r="K236" i="12"/>
  <c r="J236" i="12"/>
  <c r="I236" i="12"/>
  <c r="H236" i="12"/>
  <c r="C236" i="12" s="1"/>
  <c r="G236" i="12"/>
  <c r="F236" i="12"/>
  <c r="E236" i="12"/>
  <c r="D236" i="12"/>
  <c r="M235" i="12"/>
  <c r="L235" i="12"/>
  <c r="K235" i="12"/>
  <c r="J235" i="12"/>
  <c r="I235" i="12"/>
  <c r="H235" i="12"/>
  <c r="C235" i="12" s="1"/>
  <c r="G235" i="12"/>
  <c r="F235" i="12"/>
  <c r="E235" i="12"/>
  <c r="D235" i="12"/>
  <c r="M234" i="12"/>
  <c r="L234" i="12"/>
  <c r="K234" i="12"/>
  <c r="J234" i="12"/>
  <c r="I234" i="12"/>
  <c r="H234" i="12"/>
  <c r="C234" i="12" s="1"/>
  <c r="G234" i="12"/>
  <c r="F234" i="12"/>
  <c r="E234" i="12"/>
  <c r="D234" i="12"/>
  <c r="M233" i="12"/>
  <c r="L233" i="12"/>
  <c r="K233" i="12"/>
  <c r="J233" i="12"/>
  <c r="I233" i="12"/>
  <c r="H233" i="12"/>
  <c r="C233" i="12" s="1"/>
  <c r="G233" i="12"/>
  <c r="F233" i="12"/>
  <c r="E233" i="12"/>
  <c r="D233" i="12"/>
  <c r="M232" i="12"/>
  <c r="L232" i="12"/>
  <c r="K232" i="12"/>
  <c r="J232" i="12"/>
  <c r="I232" i="12"/>
  <c r="H232" i="12"/>
  <c r="C232" i="12" s="1"/>
  <c r="G232" i="12"/>
  <c r="F232" i="12"/>
  <c r="E232" i="12"/>
  <c r="D232" i="12"/>
  <c r="M231" i="12"/>
  <c r="L231" i="12"/>
  <c r="K231" i="12"/>
  <c r="J231" i="12"/>
  <c r="I231" i="12"/>
  <c r="H231" i="12"/>
  <c r="C231" i="12" s="1"/>
  <c r="G231" i="12"/>
  <c r="F231" i="12"/>
  <c r="E231" i="12"/>
  <c r="D231" i="12"/>
  <c r="M230" i="12"/>
  <c r="L230" i="12"/>
  <c r="K230" i="12"/>
  <c r="J230" i="12"/>
  <c r="I230" i="12"/>
  <c r="H230" i="12"/>
  <c r="C230" i="12" s="1"/>
  <c r="G230" i="12"/>
  <c r="F230" i="12"/>
  <c r="E230" i="12"/>
  <c r="D230" i="12"/>
  <c r="M229" i="12"/>
  <c r="L229" i="12"/>
  <c r="K229" i="12"/>
  <c r="J229" i="12"/>
  <c r="I229" i="12"/>
  <c r="H229" i="12"/>
  <c r="C229" i="12" s="1"/>
  <c r="G229" i="12"/>
  <c r="F229" i="12"/>
  <c r="E229" i="12"/>
  <c r="D229" i="12"/>
  <c r="M228" i="12"/>
  <c r="L228" i="12"/>
  <c r="K228" i="12"/>
  <c r="J228" i="12"/>
  <c r="I228" i="12"/>
  <c r="H228" i="12"/>
  <c r="C228" i="12" s="1"/>
  <c r="G228" i="12"/>
  <c r="F228" i="12"/>
  <c r="E228" i="12"/>
  <c r="D228" i="12"/>
  <c r="M227" i="12"/>
  <c r="L227" i="12"/>
  <c r="K227" i="12"/>
  <c r="J227" i="12"/>
  <c r="I227" i="12"/>
  <c r="H227" i="12"/>
  <c r="C227" i="12" s="1"/>
  <c r="G227" i="12"/>
  <c r="F227" i="12"/>
  <c r="E227" i="12"/>
  <c r="D227" i="12"/>
  <c r="M226" i="12"/>
  <c r="L226" i="12"/>
  <c r="K226" i="12"/>
  <c r="J226" i="12"/>
  <c r="I226" i="12"/>
  <c r="H226" i="12"/>
  <c r="C226" i="12" s="1"/>
  <c r="G226" i="12"/>
  <c r="F226" i="12"/>
  <c r="E226" i="12"/>
  <c r="D226" i="12"/>
  <c r="M225" i="12"/>
  <c r="L225" i="12"/>
  <c r="K225" i="12"/>
  <c r="J225" i="12"/>
  <c r="I225" i="12"/>
  <c r="H225" i="12"/>
  <c r="C225" i="12" s="1"/>
  <c r="G225" i="12"/>
  <c r="F225" i="12"/>
  <c r="E225" i="12"/>
  <c r="D225" i="12"/>
  <c r="M224" i="12"/>
  <c r="L224" i="12"/>
  <c r="K224" i="12"/>
  <c r="J224" i="12"/>
  <c r="I224" i="12"/>
  <c r="H224" i="12"/>
  <c r="C224" i="12" s="1"/>
  <c r="G224" i="12"/>
  <c r="F224" i="12"/>
  <c r="E224" i="12"/>
  <c r="D224" i="12"/>
  <c r="M223" i="12"/>
  <c r="L223" i="12"/>
  <c r="K223" i="12"/>
  <c r="J223" i="12"/>
  <c r="I223" i="12"/>
  <c r="H223" i="12"/>
  <c r="C223" i="12" s="1"/>
  <c r="G223" i="12"/>
  <c r="F223" i="12"/>
  <c r="E223" i="12"/>
  <c r="D223" i="12"/>
  <c r="M222" i="12"/>
  <c r="L222" i="12"/>
  <c r="K222" i="12"/>
  <c r="J222" i="12"/>
  <c r="I222" i="12"/>
  <c r="H222" i="12"/>
  <c r="C222" i="12" s="1"/>
  <c r="G222" i="12"/>
  <c r="F222" i="12"/>
  <c r="E222" i="12"/>
  <c r="D222" i="12"/>
  <c r="M221" i="12"/>
  <c r="L221" i="12"/>
  <c r="K221" i="12"/>
  <c r="J221" i="12"/>
  <c r="I221" i="12"/>
  <c r="H221" i="12"/>
  <c r="C221" i="12" s="1"/>
  <c r="G221" i="12"/>
  <c r="F221" i="12"/>
  <c r="E221" i="12"/>
  <c r="D221" i="12"/>
  <c r="M220" i="12"/>
  <c r="L220" i="12"/>
  <c r="K220" i="12"/>
  <c r="J220" i="12"/>
  <c r="I220" i="12"/>
  <c r="H220" i="12"/>
  <c r="C220" i="12" s="1"/>
  <c r="G220" i="12"/>
  <c r="F220" i="12"/>
  <c r="E220" i="12"/>
  <c r="D220" i="12"/>
  <c r="M219" i="12"/>
  <c r="L219" i="12"/>
  <c r="K219" i="12"/>
  <c r="J219" i="12"/>
  <c r="I219" i="12"/>
  <c r="H219" i="12"/>
  <c r="C219" i="12" s="1"/>
  <c r="G219" i="12"/>
  <c r="F219" i="12"/>
  <c r="E219" i="12"/>
  <c r="D219" i="12"/>
  <c r="M218" i="12"/>
  <c r="L218" i="12"/>
  <c r="K218" i="12"/>
  <c r="J218" i="12"/>
  <c r="I218" i="12"/>
  <c r="H218" i="12"/>
  <c r="G218" i="12"/>
  <c r="F218" i="12"/>
  <c r="E218" i="12"/>
  <c r="D218" i="12"/>
  <c r="M217" i="12"/>
  <c r="L217" i="12"/>
  <c r="K217" i="12"/>
  <c r="J217" i="12"/>
  <c r="I217" i="12"/>
  <c r="H217" i="12"/>
  <c r="C217" i="12" s="1"/>
  <c r="G217" i="12"/>
  <c r="F217" i="12"/>
  <c r="E217" i="12"/>
  <c r="D217" i="12"/>
  <c r="M216" i="12"/>
  <c r="L216" i="12"/>
  <c r="K216" i="12"/>
  <c r="J216" i="12"/>
  <c r="I216" i="12"/>
  <c r="H216" i="12"/>
  <c r="C216" i="12" s="1"/>
  <c r="G216" i="12"/>
  <c r="F216" i="12"/>
  <c r="E216" i="12"/>
  <c r="D216" i="12"/>
  <c r="M215" i="12"/>
  <c r="L215" i="12"/>
  <c r="K215" i="12"/>
  <c r="J215" i="12"/>
  <c r="I215" i="12"/>
  <c r="H215" i="12"/>
  <c r="C215" i="12" s="1"/>
  <c r="G215" i="12"/>
  <c r="F215" i="12"/>
  <c r="E215" i="12"/>
  <c r="D215" i="12"/>
  <c r="M214" i="12"/>
  <c r="L214" i="12"/>
  <c r="K214" i="12"/>
  <c r="J214" i="12"/>
  <c r="I214" i="12"/>
  <c r="H214" i="12"/>
  <c r="C214" i="12" s="1"/>
  <c r="G214" i="12"/>
  <c r="F214" i="12"/>
  <c r="E214" i="12"/>
  <c r="D214" i="12"/>
  <c r="M213" i="12"/>
  <c r="L213" i="12"/>
  <c r="K213" i="12"/>
  <c r="J213" i="12"/>
  <c r="I213" i="12"/>
  <c r="H213" i="12"/>
  <c r="C213" i="12" s="1"/>
  <c r="G213" i="12"/>
  <c r="F213" i="12"/>
  <c r="E213" i="12"/>
  <c r="D213" i="12"/>
  <c r="M212" i="12"/>
  <c r="L212" i="12"/>
  <c r="K212" i="12"/>
  <c r="J212" i="12"/>
  <c r="I212" i="12"/>
  <c r="H212" i="12"/>
  <c r="C212" i="12" s="1"/>
  <c r="G212" i="12"/>
  <c r="F212" i="12"/>
  <c r="E212" i="12"/>
  <c r="D212" i="12"/>
  <c r="M211" i="12"/>
  <c r="L211" i="12"/>
  <c r="K211" i="12"/>
  <c r="J211" i="12"/>
  <c r="I211" i="12"/>
  <c r="H211" i="12"/>
  <c r="C211" i="12" s="1"/>
  <c r="G211" i="12"/>
  <c r="F211" i="12"/>
  <c r="E211" i="12"/>
  <c r="D211" i="12"/>
  <c r="M210" i="12"/>
  <c r="L210" i="12"/>
  <c r="K210" i="12"/>
  <c r="J210" i="12"/>
  <c r="I210" i="12"/>
  <c r="H210" i="12"/>
  <c r="C210" i="12" s="1"/>
  <c r="G210" i="12"/>
  <c r="F210" i="12"/>
  <c r="E210" i="12"/>
  <c r="D210" i="12"/>
  <c r="M209" i="12"/>
  <c r="L209" i="12"/>
  <c r="K209" i="12"/>
  <c r="J209" i="12"/>
  <c r="I209" i="12"/>
  <c r="H209" i="12"/>
  <c r="C209" i="12" s="1"/>
  <c r="G209" i="12"/>
  <c r="F209" i="12"/>
  <c r="E209" i="12"/>
  <c r="D209" i="12"/>
  <c r="M208" i="12"/>
  <c r="L208" i="12"/>
  <c r="K208" i="12"/>
  <c r="J208" i="12"/>
  <c r="I208" i="12"/>
  <c r="H208" i="12"/>
  <c r="C208" i="12" s="1"/>
  <c r="G208" i="12"/>
  <c r="F208" i="12"/>
  <c r="E208" i="12"/>
  <c r="D208" i="12"/>
  <c r="M207" i="12"/>
  <c r="L207" i="12"/>
  <c r="K207" i="12"/>
  <c r="J207" i="12"/>
  <c r="I207" i="12"/>
  <c r="H207" i="12"/>
  <c r="C207" i="12" s="1"/>
  <c r="G207" i="12"/>
  <c r="F207" i="12"/>
  <c r="E207" i="12"/>
  <c r="D207" i="12"/>
  <c r="M206" i="12"/>
  <c r="L206" i="12"/>
  <c r="K206" i="12"/>
  <c r="J206" i="12"/>
  <c r="I206" i="12"/>
  <c r="H206" i="12"/>
  <c r="C206" i="12" s="1"/>
  <c r="G206" i="12"/>
  <c r="F206" i="12"/>
  <c r="E206" i="12"/>
  <c r="D206" i="12"/>
  <c r="M205" i="12"/>
  <c r="L205" i="12"/>
  <c r="K205" i="12"/>
  <c r="J205" i="12"/>
  <c r="I205" i="12"/>
  <c r="H205" i="12"/>
  <c r="C205" i="12" s="1"/>
  <c r="G205" i="12"/>
  <c r="F205" i="12"/>
  <c r="E205" i="12"/>
  <c r="D205" i="12"/>
  <c r="M204" i="12"/>
  <c r="L204" i="12"/>
  <c r="K204" i="12"/>
  <c r="J204" i="12"/>
  <c r="I204" i="12"/>
  <c r="H204" i="12"/>
  <c r="C204" i="12" s="1"/>
  <c r="G204" i="12"/>
  <c r="F204" i="12"/>
  <c r="E204" i="12"/>
  <c r="D204" i="12"/>
  <c r="M203" i="12"/>
  <c r="L203" i="12"/>
  <c r="K203" i="12"/>
  <c r="J203" i="12"/>
  <c r="I203" i="12"/>
  <c r="H203" i="12"/>
  <c r="C203" i="12" s="1"/>
  <c r="G203" i="12"/>
  <c r="F203" i="12"/>
  <c r="E203" i="12"/>
  <c r="D203" i="12"/>
  <c r="M202" i="12"/>
  <c r="L202" i="12"/>
  <c r="K202" i="12"/>
  <c r="J202" i="12"/>
  <c r="I202" i="12"/>
  <c r="H202" i="12"/>
  <c r="C202" i="12" s="1"/>
  <c r="G202" i="12"/>
  <c r="F202" i="12"/>
  <c r="E202" i="12"/>
  <c r="D202" i="12"/>
  <c r="M201" i="12"/>
  <c r="L201" i="12"/>
  <c r="K201" i="12"/>
  <c r="J201" i="12"/>
  <c r="I201" i="12"/>
  <c r="H201" i="12"/>
  <c r="C201" i="12" s="1"/>
  <c r="G201" i="12"/>
  <c r="F201" i="12"/>
  <c r="E201" i="12"/>
  <c r="D201" i="12"/>
  <c r="M200" i="12"/>
  <c r="L200" i="12"/>
  <c r="K200" i="12"/>
  <c r="J200" i="12"/>
  <c r="I200" i="12"/>
  <c r="H200" i="12"/>
  <c r="C200" i="12" s="1"/>
  <c r="G200" i="12"/>
  <c r="F200" i="12"/>
  <c r="E200" i="12"/>
  <c r="D200" i="12"/>
  <c r="M199" i="12"/>
  <c r="L199" i="12"/>
  <c r="K199" i="12"/>
  <c r="J199" i="12"/>
  <c r="I199" i="12"/>
  <c r="H199" i="12"/>
  <c r="C199" i="12" s="1"/>
  <c r="G199" i="12"/>
  <c r="F199" i="12"/>
  <c r="E199" i="12"/>
  <c r="D199" i="12"/>
  <c r="M198" i="12"/>
  <c r="L198" i="12"/>
  <c r="K198" i="12"/>
  <c r="J198" i="12"/>
  <c r="I198" i="12"/>
  <c r="H198" i="12"/>
  <c r="C198" i="12" s="1"/>
  <c r="G198" i="12"/>
  <c r="F198" i="12"/>
  <c r="E198" i="12"/>
  <c r="D198" i="12"/>
  <c r="M197" i="12"/>
  <c r="L197" i="12"/>
  <c r="K197" i="12"/>
  <c r="J197" i="12"/>
  <c r="I197" i="12"/>
  <c r="H197" i="12"/>
  <c r="C197" i="12" s="1"/>
  <c r="G197" i="12"/>
  <c r="F197" i="12"/>
  <c r="E197" i="12"/>
  <c r="D197" i="12"/>
  <c r="M196" i="12"/>
  <c r="L196" i="12"/>
  <c r="K196" i="12"/>
  <c r="J196" i="12"/>
  <c r="I196" i="12"/>
  <c r="H196" i="12"/>
  <c r="C196" i="12" s="1"/>
  <c r="G196" i="12"/>
  <c r="F196" i="12"/>
  <c r="E196" i="12"/>
  <c r="D196" i="12"/>
  <c r="M195" i="12"/>
  <c r="L195" i="12"/>
  <c r="K195" i="12"/>
  <c r="J195" i="12"/>
  <c r="I195" i="12"/>
  <c r="H195" i="12"/>
  <c r="C195" i="12" s="1"/>
  <c r="G195" i="12"/>
  <c r="F195" i="12"/>
  <c r="E195" i="12"/>
  <c r="D195" i="12"/>
  <c r="M194" i="12"/>
  <c r="L194" i="12"/>
  <c r="K194" i="12"/>
  <c r="J194" i="12"/>
  <c r="I194" i="12"/>
  <c r="H194" i="12"/>
  <c r="C194" i="12" s="1"/>
  <c r="G194" i="12"/>
  <c r="F194" i="12"/>
  <c r="E194" i="12"/>
  <c r="D194" i="12"/>
  <c r="M193" i="12"/>
  <c r="L193" i="12"/>
  <c r="K193" i="12"/>
  <c r="J193" i="12"/>
  <c r="I193" i="12"/>
  <c r="H193" i="12"/>
  <c r="C193" i="12" s="1"/>
  <c r="G193" i="12"/>
  <c r="F193" i="12"/>
  <c r="E193" i="12"/>
  <c r="D193" i="12"/>
  <c r="M192" i="12"/>
  <c r="L192" i="12"/>
  <c r="K192" i="12"/>
  <c r="J192" i="12"/>
  <c r="I192" i="12"/>
  <c r="H192" i="12"/>
  <c r="C192" i="12" s="1"/>
  <c r="G192" i="12"/>
  <c r="F192" i="12"/>
  <c r="E192" i="12"/>
  <c r="D192" i="12"/>
  <c r="M191" i="12"/>
  <c r="L191" i="12"/>
  <c r="K191" i="12"/>
  <c r="J191" i="12"/>
  <c r="I191" i="12"/>
  <c r="H191" i="12"/>
  <c r="C191" i="12" s="1"/>
  <c r="G191" i="12"/>
  <c r="F191" i="12"/>
  <c r="E191" i="12"/>
  <c r="D191" i="12"/>
  <c r="M190" i="12"/>
  <c r="L190" i="12"/>
  <c r="K190" i="12"/>
  <c r="J190" i="12"/>
  <c r="I190" i="12"/>
  <c r="H190" i="12"/>
  <c r="C190" i="12" s="1"/>
  <c r="G190" i="12"/>
  <c r="F190" i="12"/>
  <c r="E190" i="12"/>
  <c r="D190" i="12"/>
  <c r="M189" i="12"/>
  <c r="L189" i="12"/>
  <c r="K189" i="12"/>
  <c r="J189" i="12"/>
  <c r="I189" i="12"/>
  <c r="H189" i="12"/>
  <c r="C189" i="12" s="1"/>
  <c r="G189" i="12"/>
  <c r="F189" i="12"/>
  <c r="E189" i="12"/>
  <c r="D189" i="12"/>
  <c r="M188" i="12"/>
  <c r="L188" i="12"/>
  <c r="K188" i="12"/>
  <c r="J188" i="12"/>
  <c r="I188" i="12"/>
  <c r="H188" i="12"/>
  <c r="C188" i="12" s="1"/>
  <c r="G188" i="12"/>
  <c r="F188" i="12"/>
  <c r="E188" i="12"/>
  <c r="D188" i="12"/>
  <c r="M187" i="12"/>
  <c r="L187" i="12"/>
  <c r="K187" i="12"/>
  <c r="J187" i="12"/>
  <c r="I187" i="12"/>
  <c r="H187" i="12"/>
  <c r="G187" i="12"/>
  <c r="F187" i="12"/>
  <c r="E187" i="12"/>
  <c r="D187" i="12"/>
  <c r="M186" i="12"/>
  <c r="L186" i="12"/>
  <c r="K186" i="12"/>
  <c r="J186" i="12"/>
  <c r="I186" i="12"/>
  <c r="H186" i="12"/>
  <c r="C186" i="12" s="1"/>
  <c r="G186" i="12"/>
  <c r="F186" i="12"/>
  <c r="E186" i="12"/>
  <c r="D186" i="12"/>
  <c r="M185" i="12"/>
  <c r="L185" i="12"/>
  <c r="K185" i="12"/>
  <c r="J185" i="12"/>
  <c r="I185" i="12"/>
  <c r="H185" i="12"/>
  <c r="C185" i="12" s="1"/>
  <c r="G185" i="12"/>
  <c r="F185" i="12"/>
  <c r="E185" i="12"/>
  <c r="D185" i="12"/>
  <c r="M184" i="12"/>
  <c r="L184" i="12"/>
  <c r="K184" i="12"/>
  <c r="J184" i="12"/>
  <c r="I184" i="12"/>
  <c r="H184" i="12"/>
  <c r="C184" i="12" s="1"/>
  <c r="G184" i="12"/>
  <c r="F184" i="12"/>
  <c r="E184" i="12"/>
  <c r="D184" i="12"/>
  <c r="M183" i="12"/>
  <c r="L183" i="12"/>
  <c r="K183" i="12"/>
  <c r="J183" i="12"/>
  <c r="I183" i="12"/>
  <c r="H183" i="12"/>
  <c r="C183" i="12" s="1"/>
  <c r="G183" i="12"/>
  <c r="F183" i="12"/>
  <c r="E183" i="12"/>
  <c r="D183" i="12"/>
  <c r="M182" i="12"/>
  <c r="L182" i="12"/>
  <c r="K182" i="12"/>
  <c r="J182" i="12"/>
  <c r="I182" i="12"/>
  <c r="H182" i="12"/>
  <c r="C182" i="12" s="1"/>
  <c r="G182" i="12"/>
  <c r="F182" i="12"/>
  <c r="E182" i="12"/>
  <c r="D182" i="12"/>
  <c r="M181" i="12"/>
  <c r="L181" i="12"/>
  <c r="K181" i="12"/>
  <c r="J181" i="12"/>
  <c r="I181" i="12"/>
  <c r="H181" i="12"/>
  <c r="C181" i="12" s="1"/>
  <c r="G181" i="12"/>
  <c r="F181" i="12"/>
  <c r="E181" i="12"/>
  <c r="D181" i="12"/>
  <c r="M180" i="12"/>
  <c r="L180" i="12"/>
  <c r="K180" i="12"/>
  <c r="J180" i="12"/>
  <c r="I180" i="12"/>
  <c r="H180" i="12"/>
  <c r="C180" i="12" s="1"/>
  <c r="G180" i="12"/>
  <c r="F180" i="12"/>
  <c r="E180" i="12"/>
  <c r="D180" i="12"/>
  <c r="M179" i="12"/>
  <c r="L179" i="12"/>
  <c r="K179" i="12"/>
  <c r="J179" i="12"/>
  <c r="I179" i="12"/>
  <c r="H179" i="12"/>
  <c r="C179" i="12" s="1"/>
  <c r="G179" i="12"/>
  <c r="F179" i="12"/>
  <c r="E179" i="12"/>
  <c r="D179" i="12"/>
  <c r="M178" i="12"/>
  <c r="L178" i="12"/>
  <c r="K178" i="12"/>
  <c r="J178" i="12"/>
  <c r="I178" i="12"/>
  <c r="H178" i="12"/>
  <c r="C178" i="12" s="1"/>
  <c r="G178" i="12"/>
  <c r="F178" i="12"/>
  <c r="E178" i="12"/>
  <c r="D178" i="12"/>
  <c r="M177" i="12"/>
  <c r="L177" i="12"/>
  <c r="K177" i="12"/>
  <c r="J177" i="12"/>
  <c r="I177" i="12"/>
  <c r="H177" i="12"/>
  <c r="C177" i="12" s="1"/>
  <c r="G177" i="12"/>
  <c r="F177" i="12"/>
  <c r="E177" i="12"/>
  <c r="D177" i="12"/>
  <c r="M176" i="12"/>
  <c r="L176" i="12"/>
  <c r="K176" i="12"/>
  <c r="J176" i="12"/>
  <c r="I176" i="12"/>
  <c r="H176" i="12"/>
  <c r="C176" i="12" s="1"/>
  <c r="G176" i="12"/>
  <c r="F176" i="12"/>
  <c r="E176" i="12"/>
  <c r="D176" i="12"/>
  <c r="M175" i="12"/>
  <c r="L175" i="12"/>
  <c r="K175" i="12"/>
  <c r="J175" i="12"/>
  <c r="I175" i="12"/>
  <c r="H175" i="12"/>
  <c r="C175" i="12" s="1"/>
  <c r="G175" i="12"/>
  <c r="F175" i="12"/>
  <c r="E175" i="12"/>
  <c r="D175" i="12"/>
  <c r="M174" i="12"/>
  <c r="L174" i="12"/>
  <c r="K174" i="12"/>
  <c r="J174" i="12"/>
  <c r="I174" i="12"/>
  <c r="H174" i="12"/>
  <c r="C174" i="12" s="1"/>
  <c r="G174" i="12"/>
  <c r="F174" i="12"/>
  <c r="E174" i="12"/>
  <c r="D174" i="12"/>
  <c r="M173" i="12"/>
  <c r="L173" i="12"/>
  <c r="K173" i="12"/>
  <c r="J173" i="12"/>
  <c r="I173" i="12"/>
  <c r="H173" i="12"/>
  <c r="C173" i="12" s="1"/>
  <c r="G173" i="12"/>
  <c r="F173" i="12"/>
  <c r="E173" i="12"/>
  <c r="D173" i="12"/>
  <c r="M172" i="12"/>
  <c r="L172" i="12"/>
  <c r="K172" i="12"/>
  <c r="J172" i="12"/>
  <c r="I172" i="12"/>
  <c r="H172" i="12"/>
  <c r="C172" i="12" s="1"/>
  <c r="G172" i="12"/>
  <c r="F172" i="12"/>
  <c r="E172" i="12"/>
  <c r="D172" i="12"/>
  <c r="M171" i="12"/>
  <c r="L171" i="12"/>
  <c r="K171" i="12"/>
  <c r="J171" i="12"/>
  <c r="I171" i="12"/>
  <c r="H171" i="12"/>
  <c r="C171" i="12" s="1"/>
  <c r="G171" i="12"/>
  <c r="F171" i="12"/>
  <c r="E171" i="12"/>
  <c r="D171" i="12"/>
  <c r="M170" i="12"/>
  <c r="L170" i="12"/>
  <c r="K170" i="12"/>
  <c r="J170" i="12"/>
  <c r="I170" i="12"/>
  <c r="H170" i="12"/>
  <c r="C170" i="12" s="1"/>
  <c r="G170" i="12"/>
  <c r="F170" i="12"/>
  <c r="E170" i="12"/>
  <c r="D170" i="12"/>
  <c r="M169" i="12"/>
  <c r="L169" i="12"/>
  <c r="K169" i="12"/>
  <c r="J169" i="12"/>
  <c r="I169" i="12"/>
  <c r="H169" i="12"/>
  <c r="C169" i="12" s="1"/>
  <c r="G169" i="12"/>
  <c r="F169" i="12"/>
  <c r="E169" i="12"/>
  <c r="D169" i="12"/>
  <c r="M168" i="12"/>
  <c r="L168" i="12"/>
  <c r="K168" i="12"/>
  <c r="J168" i="12"/>
  <c r="I168" i="12"/>
  <c r="H168" i="12"/>
  <c r="C168" i="12" s="1"/>
  <c r="G168" i="12"/>
  <c r="F168" i="12"/>
  <c r="E168" i="12"/>
  <c r="D168" i="12"/>
  <c r="M167" i="12"/>
  <c r="L167" i="12"/>
  <c r="K167" i="12"/>
  <c r="J167" i="12"/>
  <c r="I167" i="12"/>
  <c r="H167" i="12"/>
  <c r="C167" i="12" s="1"/>
  <c r="G167" i="12"/>
  <c r="F167" i="12"/>
  <c r="E167" i="12"/>
  <c r="D167" i="12"/>
  <c r="M166" i="12"/>
  <c r="L166" i="12"/>
  <c r="K166" i="12"/>
  <c r="J166" i="12"/>
  <c r="I166" i="12"/>
  <c r="H166" i="12"/>
  <c r="C166" i="12" s="1"/>
  <c r="G166" i="12"/>
  <c r="F166" i="12"/>
  <c r="E166" i="12"/>
  <c r="D166" i="12"/>
  <c r="M165" i="12"/>
  <c r="L165" i="12"/>
  <c r="K165" i="12"/>
  <c r="J165" i="12"/>
  <c r="I165" i="12"/>
  <c r="H165" i="12"/>
  <c r="C165" i="12" s="1"/>
  <c r="G165" i="12"/>
  <c r="F165" i="12"/>
  <c r="E165" i="12"/>
  <c r="D165" i="12"/>
  <c r="M164" i="12"/>
  <c r="L164" i="12"/>
  <c r="K164" i="12"/>
  <c r="J164" i="12"/>
  <c r="I164" i="12"/>
  <c r="H164" i="12"/>
  <c r="C164" i="12" s="1"/>
  <c r="G164" i="12"/>
  <c r="F164" i="12"/>
  <c r="E164" i="12"/>
  <c r="D164" i="12"/>
  <c r="M163" i="12"/>
  <c r="L163" i="12"/>
  <c r="K163" i="12"/>
  <c r="J163" i="12"/>
  <c r="I163" i="12"/>
  <c r="H163" i="12"/>
  <c r="C163" i="12" s="1"/>
  <c r="G163" i="12"/>
  <c r="F163" i="12"/>
  <c r="E163" i="12"/>
  <c r="D163" i="12"/>
  <c r="M162" i="12"/>
  <c r="L162" i="12"/>
  <c r="K162" i="12"/>
  <c r="J162" i="12"/>
  <c r="I162" i="12"/>
  <c r="H162" i="12"/>
  <c r="C162" i="12" s="1"/>
  <c r="G162" i="12"/>
  <c r="F162" i="12"/>
  <c r="E162" i="12"/>
  <c r="D162" i="12"/>
  <c r="M161" i="12"/>
  <c r="L161" i="12"/>
  <c r="K161" i="12"/>
  <c r="J161" i="12"/>
  <c r="I161" i="12"/>
  <c r="H161" i="12"/>
  <c r="C161" i="12" s="1"/>
  <c r="G161" i="12"/>
  <c r="F161" i="12"/>
  <c r="E161" i="12"/>
  <c r="D161" i="12"/>
  <c r="M160" i="12"/>
  <c r="L160" i="12"/>
  <c r="K160" i="12"/>
  <c r="J160" i="12"/>
  <c r="I160" i="12"/>
  <c r="H160" i="12"/>
  <c r="C160" i="12" s="1"/>
  <c r="G160" i="12"/>
  <c r="F160" i="12"/>
  <c r="E160" i="12"/>
  <c r="D160" i="12"/>
  <c r="M159" i="12"/>
  <c r="L159" i="12"/>
  <c r="K159" i="12"/>
  <c r="J159" i="12"/>
  <c r="I159" i="12"/>
  <c r="H159" i="12"/>
  <c r="C159" i="12" s="1"/>
  <c r="G159" i="12"/>
  <c r="F159" i="12"/>
  <c r="E159" i="12"/>
  <c r="D159" i="12"/>
  <c r="M158" i="12"/>
  <c r="L158" i="12"/>
  <c r="K158" i="12"/>
  <c r="J158" i="12"/>
  <c r="I158" i="12"/>
  <c r="H158" i="12"/>
  <c r="C158" i="12" s="1"/>
  <c r="G158" i="12"/>
  <c r="F158" i="12"/>
  <c r="E158" i="12"/>
  <c r="D158" i="12"/>
  <c r="M157" i="12"/>
  <c r="L157" i="12"/>
  <c r="K157" i="12"/>
  <c r="J157" i="12"/>
  <c r="I157" i="12"/>
  <c r="H157" i="12"/>
  <c r="G157" i="12"/>
  <c r="F157" i="12"/>
  <c r="E157" i="12"/>
  <c r="D157" i="12"/>
  <c r="M156" i="12"/>
  <c r="L156" i="12"/>
  <c r="K156" i="12"/>
  <c r="J156" i="12"/>
  <c r="I156" i="12"/>
  <c r="H156" i="12"/>
  <c r="C156" i="12" s="1"/>
  <c r="G156" i="12"/>
  <c r="F156" i="12"/>
  <c r="E156" i="12"/>
  <c r="D156" i="12"/>
  <c r="M155" i="12"/>
  <c r="L155" i="12"/>
  <c r="K155" i="12"/>
  <c r="J155" i="12"/>
  <c r="I155" i="12"/>
  <c r="H155" i="12"/>
  <c r="C155" i="12" s="1"/>
  <c r="G155" i="12"/>
  <c r="F155" i="12"/>
  <c r="E155" i="12"/>
  <c r="D155" i="12"/>
  <c r="M154" i="12"/>
  <c r="L154" i="12"/>
  <c r="K154" i="12"/>
  <c r="J154" i="12"/>
  <c r="I154" i="12"/>
  <c r="H154" i="12"/>
  <c r="C154" i="12" s="1"/>
  <c r="G154" i="12"/>
  <c r="F154" i="12"/>
  <c r="E154" i="12"/>
  <c r="D154" i="12"/>
  <c r="M153" i="12"/>
  <c r="L153" i="12"/>
  <c r="K153" i="12"/>
  <c r="J153" i="12"/>
  <c r="I153" i="12"/>
  <c r="H153" i="12"/>
  <c r="C153" i="12" s="1"/>
  <c r="G153" i="12"/>
  <c r="F153" i="12"/>
  <c r="E153" i="12"/>
  <c r="D153" i="12"/>
  <c r="M152" i="12"/>
  <c r="L152" i="12"/>
  <c r="K152" i="12"/>
  <c r="J152" i="12"/>
  <c r="I152" i="12"/>
  <c r="H152" i="12"/>
  <c r="C152" i="12" s="1"/>
  <c r="G152" i="12"/>
  <c r="F152" i="12"/>
  <c r="E152" i="12"/>
  <c r="D152" i="12"/>
  <c r="M151" i="12"/>
  <c r="L151" i="12"/>
  <c r="K151" i="12"/>
  <c r="J151" i="12"/>
  <c r="I151" i="12"/>
  <c r="H151" i="12"/>
  <c r="C151" i="12" s="1"/>
  <c r="G151" i="12"/>
  <c r="F151" i="12"/>
  <c r="E151" i="12"/>
  <c r="D151" i="12"/>
  <c r="M150" i="12"/>
  <c r="L150" i="12"/>
  <c r="K150" i="12"/>
  <c r="J150" i="12"/>
  <c r="I150" i="12"/>
  <c r="H150" i="12"/>
  <c r="C150" i="12" s="1"/>
  <c r="G150" i="12"/>
  <c r="F150" i="12"/>
  <c r="E150" i="12"/>
  <c r="D150" i="12"/>
  <c r="M149" i="12"/>
  <c r="L149" i="12"/>
  <c r="K149" i="12"/>
  <c r="J149" i="12"/>
  <c r="I149" i="12"/>
  <c r="H149" i="12"/>
  <c r="C149" i="12" s="1"/>
  <c r="G149" i="12"/>
  <c r="F149" i="12"/>
  <c r="E149" i="12"/>
  <c r="D149" i="12"/>
  <c r="M148" i="12"/>
  <c r="L148" i="12"/>
  <c r="K148" i="12"/>
  <c r="J148" i="12"/>
  <c r="I148" i="12"/>
  <c r="H148" i="12"/>
  <c r="C148" i="12" s="1"/>
  <c r="G148" i="12"/>
  <c r="F148" i="12"/>
  <c r="E148" i="12"/>
  <c r="D148" i="12"/>
  <c r="M147" i="12"/>
  <c r="L147" i="12"/>
  <c r="K147" i="12"/>
  <c r="J147" i="12"/>
  <c r="I147" i="12"/>
  <c r="H147" i="12"/>
  <c r="C147" i="12" s="1"/>
  <c r="G147" i="12"/>
  <c r="F147" i="12"/>
  <c r="E147" i="12"/>
  <c r="D147" i="12"/>
  <c r="M146" i="12"/>
  <c r="L146" i="12"/>
  <c r="K146" i="12"/>
  <c r="J146" i="12"/>
  <c r="I146" i="12"/>
  <c r="H146" i="12"/>
  <c r="C146" i="12" s="1"/>
  <c r="G146" i="12"/>
  <c r="F146" i="12"/>
  <c r="E146" i="12"/>
  <c r="D146" i="12"/>
  <c r="M145" i="12"/>
  <c r="L145" i="12"/>
  <c r="K145" i="12"/>
  <c r="J145" i="12"/>
  <c r="I145" i="12"/>
  <c r="H145" i="12"/>
  <c r="C145" i="12" s="1"/>
  <c r="G145" i="12"/>
  <c r="F145" i="12"/>
  <c r="E145" i="12"/>
  <c r="D145" i="12"/>
  <c r="M144" i="12"/>
  <c r="L144" i="12"/>
  <c r="K144" i="12"/>
  <c r="J144" i="12"/>
  <c r="I144" i="12"/>
  <c r="H144" i="12"/>
  <c r="C144" i="12" s="1"/>
  <c r="G144" i="12"/>
  <c r="F144" i="12"/>
  <c r="E144" i="12"/>
  <c r="D144" i="12"/>
  <c r="M143" i="12"/>
  <c r="L143" i="12"/>
  <c r="K143" i="12"/>
  <c r="J143" i="12"/>
  <c r="I143" i="12"/>
  <c r="H143" i="12"/>
  <c r="C143" i="12" s="1"/>
  <c r="G143" i="12"/>
  <c r="F143" i="12"/>
  <c r="E143" i="12"/>
  <c r="D143" i="12"/>
  <c r="M142" i="12"/>
  <c r="L142" i="12"/>
  <c r="K142" i="12"/>
  <c r="J142" i="12"/>
  <c r="I142" i="12"/>
  <c r="H142" i="12"/>
  <c r="C142" i="12" s="1"/>
  <c r="G142" i="12"/>
  <c r="F142" i="12"/>
  <c r="E142" i="12"/>
  <c r="D142" i="12"/>
  <c r="M141" i="12"/>
  <c r="L141" i="12"/>
  <c r="K141" i="12"/>
  <c r="J141" i="12"/>
  <c r="I141" i="12"/>
  <c r="H141" i="12"/>
  <c r="C141" i="12" s="1"/>
  <c r="G141" i="12"/>
  <c r="F141" i="12"/>
  <c r="E141" i="12"/>
  <c r="D141" i="12"/>
  <c r="M140" i="12"/>
  <c r="L140" i="12"/>
  <c r="K140" i="12"/>
  <c r="J140" i="12"/>
  <c r="I140" i="12"/>
  <c r="H140" i="12"/>
  <c r="C140" i="12" s="1"/>
  <c r="G140" i="12"/>
  <c r="F140" i="12"/>
  <c r="E140" i="12"/>
  <c r="D140" i="12"/>
  <c r="M139" i="12"/>
  <c r="L139" i="12"/>
  <c r="K139" i="12"/>
  <c r="J139" i="12"/>
  <c r="I139" i="12"/>
  <c r="H139" i="12"/>
  <c r="C139" i="12" s="1"/>
  <c r="G139" i="12"/>
  <c r="F139" i="12"/>
  <c r="E139" i="12"/>
  <c r="D139" i="12"/>
  <c r="M138" i="12"/>
  <c r="L138" i="12"/>
  <c r="K138" i="12"/>
  <c r="J138" i="12"/>
  <c r="I138" i="12"/>
  <c r="H138" i="12"/>
  <c r="C138" i="12" s="1"/>
  <c r="G138" i="12"/>
  <c r="F138" i="12"/>
  <c r="E138" i="12"/>
  <c r="D138" i="12"/>
  <c r="M137" i="12"/>
  <c r="L137" i="12"/>
  <c r="K137" i="12"/>
  <c r="J137" i="12"/>
  <c r="I137" i="12"/>
  <c r="H137" i="12"/>
  <c r="C137" i="12" s="1"/>
  <c r="G137" i="12"/>
  <c r="F137" i="12"/>
  <c r="E137" i="12"/>
  <c r="D137" i="12"/>
  <c r="M136" i="12"/>
  <c r="L136" i="12"/>
  <c r="K136" i="12"/>
  <c r="J136" i="12"/>
  <c r="I136" i="12"/>
  <c r="H136" i="12"/>
  <c r="C136" i="12" s="1"/>
  <c r="G136" i="12"/>
  <c r="F136" i="12"/>
  <c r="E136" i="12"/>
  <c r="D136" i="12"/>
  <c r="M135" i="12"/>
  <c r="L135" i="12"/>
  <c r="K135" i="12"/>
  <c r="J135" i="12"/>
  <c r="I135" i="12"/>
  <c r="H135" i="12"/>
  <c r="C135" i="12" s="1"/>
  <c r="G135" i="12"/>
  <c r="F135" i="12"/>
  <c r="E135" i="12"/>
  <c r="D135" i="12"/>
  <c r="M134" i="12"/>
  <c r="L134" i="12"/>
  <c r="K134" i="12"/>
  <c r="J134" i="12"/>
  <c r="I134" i="12"/>
  <c r="H134" i="12"/>
  <c r="C134" i="12" s="1"/>
  <c r="G134" i="12"/>
  <c r="F134" i="12"/>
  <c r="E134" i="12"/>
  <c r="D134" i="12"/>
  <c r="M133" i="12"/>
  <c r="L133" i="12"/>
  <c r="K133" i="12"/>
  <c r="J133" i="12"/>
  <c r="I133" i="12"/>
  <c r="H133" i="12"/>
  <c r="C133" i="12" s="1"/>
  <c r="G133" i="12"/>
  <c r="F133" i="12"/>
  <c r="E133" i="12"/>
  <c r="D133" i="12"/>
  <c r="M132" i="12"/>
  <c r="L132" i="12"/>
  <c r="K132" i="12"/>
  <c r="J132" i="12"/>
  <c r="I132" i="12"/>
  <c r="H132" i="12"/>
  <c r="C132" i="12" s="1"/>
  <c r="G132" i="12"/>
  <c r="F132" i="12"/>
  <c r="E132" i="12"/>
  <c r="D132" i="12"/>
  <c r="M131" i="12"/>
  <c r="L131" i="12"/>
  <c r="K131" i="12"/>
  <c r="J131" i="12"/>
  <c r="I131" i="12"/>
  <c r="H131" i="12"/>
  <c r="C131" i="12" s="1"/>
  <c r="G131" i="12"/>
  <c r="F131" i="12"/>
  <c r="E131" i="12"/>
  <c r="D131" i="12"/>
  <c r="M130" i="12"/>
  <c r="L130" i="12"/>
  <c r="K130" i="12"/>
  <c r="J130" i="12"/>
  <c r="I130" i="12"/>
  <c r="H130" i="12"/>
  <c r="C130" i="12" s="1"/>
  <c r="G130" i="12"/>
  <c r="F130" i="12"/>
  <c r="E130" i="12"/>
  <c r="D130" i="12"/>
  <c r="M129" i="12"/>
  <c r="L129" i="12"/>
  <c r="K129" i="12"/>
  <c r="J129" i="12"/>
  <c r="I129" i="12"/>
  <c r="H129" i="12"/>
  <c r="C129" i="12" s="1"/>
  <c r="G129" i="12"/>
  <c r="F129" i="12"/>
  <c r="E129" i="12"/>
  <c r="D129" i="12"/>
  <c r="M128" i="12"/>
  <c r="L128" i="12"/>
  <c r="K128" i="12"/>
  <c r="J128" i="12"/>
  <c r="I128" i="12"/>
  <c r="H128" i="12"/>
  <c r="C128" i="12" s="1"/>
  <c r="G128" i="12"/>
  <c r="F128" i="12"/>
  <c r="E128" i="12"/>
  <c r="D128" i="12"/>
  <c r="M127" i="12"/>
  <c r="L127" i="12"/>
  <c r="K127" i="12"/>
  <c r="J127" i="12"/>
  <c r="I127" i="12"/>
  <c r="H127" i="12"/>
  <c r="C127" i="12" s="1"/>
  <c r="G127" i="12"/>
  <c r="F127" i="12"/>
  <c r="E127" i="12"/>
  <c r="D127" i="12"/>
  <c r="M126" i="12"/>
  <c r="L126" i="12"/>
  <c r="K126" i="12"/>
  <c r="J126" i="12"/>
  <c r="I126" i="12"/>
  <c r="H126" i="12"/>
  <c r="G126" i="12"/>
  <c r="F126" i="12"/>
  <c r="E126" i="12"/>
  <c r="D126" i="12"/>
  <c r="M125" i="12"/>
  <c r="L125" i="12"/>
  <c r="K125" i="12"/>
  <c r="J125" i="12"/>
  <c r="I125" i="12"/>
  <c r="H125" i="12"/>
  <c r="C125" i="12" s="1"/>
  <c r="G125" i="12"/>
  <c r="F125" i="12"/>
  <c r="E125" i="12"/>
  <c r="D125" i="12"/>
  <c r="M124" i="12"/>
  <c r="L124" i="12"/>
  <c r="K124" i="12"/>
  <c r="J124" i="12"/>
  <c r="I124" i="12"/>
  <c r="H124" i="12"/>
  <c r="C124" i="12" s="1"/>
  <c r="G124" i="12"/>
  <c r="F124" i="12"/>
  <c r="E124" i="12"/>
  <c r="D124" i="12"/>
  <c r="M123" i="12"/>
  <c r="L123" i="12"/>
  <c r="K123" i="12"/>
  <c r="J123" i="12"/>
  <c r="I123" i="12"/>
  <c r="H123" i="12"/>
  <c r="C123" i="12" s="1"/>
  <c r="G123" i="12"/>
  <c r="F123" i="12"/>
  <c r="E123" i="12"/>
  <c r="D123" i="12"/>
  <c r="M122" i="12"/>
  <c r="L122" i="12"/>
  <c r="K122" i="12"/>
  <c r="J122" i="12"/>
  <c r="I122" i="12"/>
  <c r="H122" i="12"/>
  <c r="C122" i="12" s="1"/>
  <c r="G122" i="12"/>
  <c r="F122" i="12"/>
  <c r="E122" i="12"/>
  <c r="D122" i="12"/>
  <c r="M121" i="12"/>
  <c r="L121" i="12"/>
  <c r="K121" i="12"/>
  <c r="J121" i="12"/>
  <c r="I121" i="12"/>
  <c r="H121" i="12"/>
  <c r="C121" i="12" s="1"/>
  <c r="G121" i="12"/>
  <c r="F121" i="12"/>
  <c r="E121" i="12"/>
  <c r="D121" i="12"/>
  <c r="M120" i="12"/>
  <c r="L120" i="12"/>
  <c r="K120" i="12"/>
  <c r="J120" i="12"/>
  <c r="I120" i="12"/>
  <c r="H120" i="12"/>
  <c r="C120" i="12" s="1"/>
  <c r="G120" i="12"/>
  <c r="F120" i="12"/>
  <c r="E120" i="12"/>
  <c r="D120" i="12"/>
  <c r="M119" i="12"/>
  <c r="L119" i="12"/>
  <c r="K119" i="12"/>
  <c r="J119" i="12"/>
  <c r="I119" i="12"/>
  <c r="H119" i="12"/>
  <c r="C119" i="12" s="1"/>
  <c r="G119" i="12"/>
  <c r="F119" i="12"/>
  <c r="E119" i="12"/>
  <c r="D119" i="12"/>
  <c r="M118" i="12"/>
  <c r="L118" i="12"/>
  <c r="K118" i="12"/>
  <c r="J118" i="12"/>
  <c r="I118" i="12"/>
  <c r="H118" i="12"/>
  <c r="C118" i="12" s="1"/>
  <c r="G118" i="12"/>
  <c r="F118" i="12"/>
  <c r="E118" i="12"/>
  <c r="D118" i="12"/>
  <c r="M117" i="12"/>
  <c r="L117" i="12"/>
  <c r="K117" i="12"/>
  <c r="J117" i="12"/>
  <c r="I117" i="12"/>
  <c r="H117" i="12"/>
  <c r="C117" i="12" s="1"/>
  <c r="G117" i="12"/>
  <c r="F117" i="12"/>
  <c r="E117" i="12"/>
  <c r="D117" i="12"/>
  <c r="M116" i="12"/>
  <c r="L116" i="12"/>
  <c r="K116" i="12"/>
  <c r="J116" i="12"/>
  <c r="I116" i="12"/>
  <c r="H116" i="12"/>
  <c r="C116" i="12" s="1"/>
  <c r="G116" i="12"/>
  <c r="F116" i="12"/>
  <c r="E116" i="12"/>
  <c r="D116" i="12"/>
  <c r="M115" i="12"/>
  <c r="L115" i="12"/>
  <c r="K115" i="12"/>
  <c r="J115" i="12"/>
  <c r="I115" i="12"/>
  <c r="H115" i="12"/>
  <c r="C115" i="12" s="1"/>
  <c r="G115" i="12"/>
  <c r="F115" i="12"/>
  <c r="E115" i="12"/>
  <c r="D115" i="12"/>
  <c r="M114" i="12"/>
  <c r="L114" i="12"/>
  <c r="K114" i="12"/>
  <c r="J114" i="12"/>
  <c r="I114" i="12"/>
  <c r="H114" i="12"/>
  <c r="C114" i="12" s="1"/>
  <c r="G114" i="12"/>
  <c r="F114" i="12"/>
  <c r="E114" i="12"/>
  <c r="D114" i="12"/>
  <c r="M113" i="12"/>
  <c r="L113" i="12"/>
  <c r="K113" i="12"/>
  <c r="J113" i="12"/>
  <c r="I113" i="12"/>
  <c r="H113" i="12"/>
  <c r="C113" i="12" s="1"/>
  <c r="G113" i="12"/>
  <c r="F113" i="12"/>
  <c r="E113" i="12"/>
  <c r="D113" i="12"/>
  <c r="M112" i="12"/>
  <c r="L112" i="12"/>
  <c r="K112" i="12"/>
  <c r="J112" i="12"/>
  <c r="I112" i="12"/>
  <c r="H112" i="12"/>
  <c r="C112" i="12" s="1"/>
  <c r="G112" i="12"/>
  <c r="F112" i="12"/>
  <c r="E112" i="12"/>
  <c r="D112" i="12"/>
  <c r="M111" i="12"/>
  <c r="L111" i="12"/>
  <c r="K111" i="12"/>
  <c r="J111" i="12"/>
  <c r="I111" i="12"/>
  <c r="H111" i="12"/>
  <c r="C111" i="12" s="1"/>
  <c r="G111" i="12"/>
  <c r="F111" i="12"/>
  <c r="E111" i="12"/>
  <c r="D111" i="12"/>
  <c r="M110" i="12"/>
  <c r="L110" i="12"/>
  <c r="K110" i="12"/>
  <c r="J110" i="12"/>
  <c r="I110" i="12"/>
  <c r="H110" i="12"/>
  <c r="C110" i="12" s="1"/>
  <c r="G110" i="12"/>
  <c r="F110" i="12"/>
  <c r="E110" i="12"/>
  <c r="D110" i="12"/>
  <c r="M109" i="12"/>
  <c r="L109" i="12"/>
  <c r="K109" i="12"/>
  <c r="J109" i="12"/>
  <c r="I109" i="12"/>
  <c r="H109" i="12"/>
  <c r="C109" i="12" s="1"/>
  <c r="G109" i="12"/>
  <c r="F109" i="12"/>
  <c r="E109" i="12"/>
  <c r="D109" i="12"/>
  <c r="M108" i="12"/>
  <c r="L108" i="12"/>
  <c r="K108" i="12"/>
  <c r="J108" i="12"/>
  <c r="I108" i="12"/>
  <c r="H108" i="12"/>
  <c r="C108" i="12" s="1"/>
  <c r="G108" i="12"/>
  <c r="F108" i="12"/>
  <c r="E108" i="12"/>
  <c r="D108" i="12"/>
  <c r="M107" i="12"/>
  <c r="L107" i="12"/>
  <c r="K107" i="12"/>
  <c r="J107" i="12"/>
  <c r="I107" i="12"/>
  <c r="H107" i="12"/>
  <c r="C107" i="12" s="1"/>
  <c r="G107" i="12"/>
  <c r="F107" i="12"/>
  <c r="E107" i="12"/>
  <c r="D107" i="12"/>
  <c r="M106" i="12"/>
  <c r="L106" i="12"/>
  <c r="K106" i="12"/>
  <c r="J106" i="12"/>
  <c r="I106" i="12"/>
  <c r="H106" i="12"/>
  <c r="C106" i="12" s="1"/>
  <c r="G106" i="12"/>
  <c r="F106" i="12"/>
  <c r="E106" i="12"/>
  <c r="D106" i="12"/>
  <c r="M105" i="12"/>
  <c r="L105" i="12"/>
  <c r="K105" i="12"/>
  <c r="J105" i="12"/>
  <c r="I105" i="12"/>
  <c r="H105" i="12"/>
  <c r="C105" i="12" s="1"/>
  <c r="G105" i="12"/>
  <c r="F105" i="12"/>
  <c r="E105" i="12"/>
  <c r="D105" i="12"/>
  <c r="M104" i="12"/>
  <c r="L104" i="12"/>
  <c r="K104" i="12"/>
  <c r="J104" i="12"/>
  <c r="I104" i="12"/>
  <c r="H104" i="12"/>
  <c r="C104" i="12" s="1"/>
  <c r="G104" i="12"/>
  <c r="F104" i="12"/>
  <c r="E104" i="12"/>
  <c r="D104" i="12"/>
  <c r="M103" i="12"/>
  <c r="L103" i="12"/>
  <c r="K103" i="12"/>
  <c r="J103" i="12"/>
  <c r="I103" i="12"/>
  <c r="H103" i="12"/>
  <c r="C103" i="12" s="1"/>
  <c r="G103" i="12"/>
  <c r="F103" i="12"/>
  <c r="E103" i="12"/>
  <c r="D103" i="12"/>
  <c r="M102" i="12"/>
  <c r="L102" i="12"/>
  <c r="K102" i="12"/>
  <c r="J102" i="12"/>
  <c r="I102" i="12"/>
  <c r="H102" i="12"/>
  <c r="C102" i="12" s="1"/>
  <c r="G102" i="12"/>
  <c r="F102" i="12"/>
  <c r="E102" i="12"/>
  <c r="D102" i="12"/>
  <c r="M101" i="12"/>
  <c r="L101" i="12"/>
  <c r="K101" i="12"/>
  <c r="J101" i="12"/>
  <c r="I101" i="12"/>
  <c r="H101" i="12"/>
  <c r="C101" i="12" s="1"/>
  <c r="G101" i="12"/>
  <c r="F101" i="12"/>
  <c r="E101" i="12"/>
  <c r="D101" i="12"/>
  <c r="M100" i="12"/>
  <c r="L100" i="12"/>
  <c r="K100" i="12"/>
  <c r="J100" i="12"/>
  <c r="I100" i="12"/>
  <c r="H100" i="12"/>
  <c r="C100" i="12" s="1"/>
  <c r="G100" i="12"/>
  <c r="F100" i="12"/>
  <c r="E100" i="12"/>
  <c r="D100" i="12"/>
  <c r="M99" i="12"/>
  <c r="L99" i="12"/>
  <c r="K99" i="12"/>
  <c r="J99" i="12"/>
  <c r="I99" i="12"/>
  <c r="H99" i="12"/>
  <c r="C99" i="12" s="1"/>
  <c r="G99" i="12"/>
  <c r="F99" i="12"/>
  <c r="E99" i="12"/>
  <c r="D99" i="12"/>
  <c r="M98" i="12"/>
  <c r="L98" i="12"/>
  <c r="K98" i="12"/>
  <c r="J98" i="12"/>
  <c r="I98" i="12"/>
  <c r="H98" i="12"/>
  <c r="C98" i="12" s="1"/>
  <c r="G98" i="12"/>
  <c r="F98" i="12"/>
  <c r="E98" i="12"/>
  <c r="D98" i="12"/>
  <c r="M97" i="12"/>
  <c r="L97" i="12"/>
  <c r="K97" i="12"/>
  <c r="J97" i="12"/>
  <c r="I97" i="12"/>
  <c r="H97" i="12"/>
  <c r="C97" i="12" s="1"/>
  <c r="G97" i="12"/>
  <c r="F97" i="12"/>
  <c r="E97" i="12"/>
  <c r="D97" i="12"/>
  <c r="M96" i="12"/>
  <c r="L96" i="12"/>
  <c r="K96" i="12"/>
  <c r="J96" i="12"/>
  <c r="I96" i="12"/>
  <c r="H96" i="12"/>
  <c r="G96" i="12"/>
  <c r="F96" i="12"/>
  <c r="E96" i="12"/>
  <c r="D96" i="12"/>
  <c r="M95" i="12"/>
  <c r="L95" i="12"/>
  <c r="K95" i="12"/>
  <c r="J95" i="12"/>
  <c r="I95" i="12"/>
  <c r="H95" i="12"/>
  <c r="C95" i="12" s="1"/>
  <c r="G95" i="12"/>
  <c r="F95" i="12"/>
  <c r="E95" i="12"/>
  <c r="D95" i="12"/>
  <c r="M94" i="12"/>
  <c r="L94" i="12"/>
  <c r="K94" i="12"/>
  <c r="J94" i="12"/>
  <c r="I94" i="12"/>
  <c r="H94" i="12"/>
  <c r="C94" i="12" s="1"/>
  <c r="G94" i="12"/>
  <c r="F94" i="12"/>
  <c r="E94" i="12"/>
  <c r="D94" i="12"/>
  <c r="M93" i="12"/>
  <c r="L93" i="12"/>
  <c r="K93" i="12"/>
  <c r="J93" i="12"/>
  <c r="I93" i="12"/>
  <c r="H93" i="12"/>
  <c r="C93" i="12" s="1"/>
  <c r="G93" i="12"/>
  <c r="F93" i="12"/>
  <c r="E93" i="12"/>
  <c r="D93" i="12"/>
  <c r="M92" i="12"/>
  <c r="L92" i="12"/>
  <c r="K92" i="12"/>
  <c r="J92" i="12"/>
  <c r="I92" i="12"/>
  <c r="H92" i="12"/>
  <c r="C92" i="12" s="1"/>
  <c r="G92" i="12"/>
  <c r="F92" i="12"/>
  <c r="E92" i="12"/>
  <c r="D92" i="12"/>
  <c r="M91" i="12"/>
  <c r="L91" i="12"/>
  <c r="K91" i="12"/>
  <c r="J91" i="12"/>
  <c r="I91" i="12"/>
  <c r="H91" i="12"/>
  <c r="C91" i="12" s="1"/>
  <c r="G91" i="12"/>
  <c r="F91" i="12"/>
  <c r="E91" i="12"/>
  <c r="D91" i="12"/>
  <c r="M90" i="12"/>
  <c r="L90" i="12"/>
  <c r="K90" i="12"/>
  <c r="J90" i="12"/>
  <c r="I90" i="12"/>
  <c r="H90" i="12"/>
  <c r="C90" i="12" s="1"/>
  <c r="G90" i="12"/>
  <c r="F90" i="12"/>
  <c r="E90" i="12"/>
  <c r="D90" i="12"/>
  <c r="M89" i="12"/>
  <c r="L89" i="12"/>
  <c r="K89" i="12"/>
  <c r="J89" i="12"/>
  <c r="I89" i="12"/>
  <c r="H89" i="12"/>
  <c r="C89" i="12" s="1"/>
  <c r="G89" i="12"/>
  <c r="F89" i="12"/>
  <c r="E89" i="12"/>
  <c r="D89" i="12"/>
  <c r="M88" i="12"/>
  <c r="L88" i="12"/>
  <c r="K88" i="12"/>
  <c r="J88" i="12"/>
  <c r="I88" i="12"/>
  <c r="H88" i="12"/>
  <c r="C88" i="12" s="1"/>
  <c r="G88" i="12"/>
  <c r="F88" i="12"/>
  <c r="E88" i="12"/>
  <c r="D88" i="12"/>
  <c r="M87" i="12"/>
  <c r="L87" i="12"/>
  <c r="K87" i="12"/>
  <c r="J87" i="12"/>
  <c r="I87" i="12"/>
  <c r="H87" i="12"/>
  <c r="C87" i="12" s="1"/>
  <c r="G87" i="12"/>
  <c r="F87" i="12"/>
  <c r="E87" i="12"/>
  <c r="D87" i="12"/>
  <c r="M86" i="12"/>
  <c r="L86" i="12"/>
  <c r="K86" i="12"/>
  <c r="J86" i="12"/>
  <c r="I86" i="12"/>
  <c r="H86" i="12"/>
  <c r="C86" i="12" s="1"/>
  <c r="G86" i="12"/>
  <c r="F86" i="12"/>
  <c r="E86" i="12"/>
  <c r="D86" i="12"/>
  <c r="M85" i="12"/>
  <c r="L85" i="12"/>
  <c r="K85" i="12"/>
  <c r="J85" i="12"/>
  <c r="I85" i="12"/>
  <c r="H85" i="12"/>
  <c r="C85" i="12" s="1"/>
  <c r="G85" i="12"/>
  <c r="F85" i="12"/>
  <c r="E85" i="12"/>
  <c r="D85" i="12"/>
  <c r="M84" i="12"/>
  <c r="L84" i="12"/>
  <c r="K84" i="12"/>
  <c r="J84" i="12"/>
  <c r="I84" i="12"/>
  <c r="H84" i="12"/>
  <c r="C84" i="12" s="1"/>
  <c r="G84" i="12"/>
  <c r="F84" i="12"/>
  <c r="E84" i="12"/>
  <c r="D84" i="12"/>
  <c r="M83" i="12"/>
  <c r="L83" i="12"/>
  <c r="K83" i="12"/>
  <c r="J83" i="12"/>
  <c r="I83" i="12"/>
  <c r="H83" i="12"/>
  <c r="C83" i="12" s="1"/>
  <c r="G83" i="12"/>
  <c r="F83" i="12"/>
  <c r="E83" i="12"/>
  <c r="D83" i="12"/>
  <c r="M82" i="12"/>
  <c r="L82" i="12"/>
  <c r="K82" i="12"/>
  <c r="J82" i="12"/>
  <c r="I82" i="12"/>
  <c r="H82" i="12"/>
  <c r="C82" i="12" s="1"/>
  <c r="G82" i="12"/>
  <c r="F82" i="12"/>
  <c r="E82" i="12"/>
  <c r="D82" i="12"/>
  <c r="M81" i="12"/>
  <c r="L81" i="12"/>
  <c r="K81" i="12"/>
  <c r="J81" i="12"/>
  <c r="I81" i="12"/>
  <c r="H81" i="12"/>
  <c r="C81" i="12" s="1"/>
  <c r="G81" i="12"/>
  <c r="F81" i="12"/>
  <c r="E81" i="12"/>
  <c r="D81" i="12"/>
  <c r="M80" i="12"/>
  <c r="L80" i="12"/>
  <c r="K80" i="12"/>
  <c r="J80" i="12"/>
  <c r="I80" i="12"/>
  <c r="H80" i="12"/>
  <c r="C80" i="12" s="1"/>
  <c r="G80" i="12"/>
  <c r="F80" i="12"/>
  <c r="E80" i="12"/>
  <c r="D80" i="12"/>
  <c r="M79" i="12"/>
  <c r="L79" i="12"/>
  <c r="K79" i="12"/>
  <c r="J79" i="12"/>
  <c r="I79" i="12"/>
  <c r="H79" i="12"/>
  <c r="C79" i="12" s="1"/>
  <c r="G79" i="12"/>
  <c r="F79" i="12"/>
  <c r="E79" i="12"/>
  <c r="D79" i="12"/>
  <c r="M78" i="12"/>
  <c r="L78" i="12"/>
  <c r="K78" i="12"/>
  <c r="J78" i="12"/>
  <c r="I78" i="12"/>
  <c r="H78" i="12"/>
  <c r="C78" i="12" s="1"/>
  <c r="G78" i="12"/>
  <c r="F78" i="12"/>
  <c r="E78" i="12"/>
  <c r="D78" i="12"/>
  <c r="M77" i="12"/>
  <c r="L77" i="12"/>
  <c r="K77" i="12"/>
  <c r="J77" i="12"/>
  <c r="I77" i="12"/>
  <c r="H77" i="12"/>
  <c r="C77" i="12" s="1"/>
  <c r="G77" i="12"/>
  <c r="F77" i="12"/>
  <c r="E77" i="12"/>
  <c r="D77" i="12"/>
  <c r="M76" i="12"/>
  <c r="L76" i="12"/>
  <c r="K76" i="12"/>
  <c r="J76" i="12"/>
  <c r="I76" i="12"/>
  <c r="H76" i="12"/>
  <c r="C76" i="12" s="1"/>
  <c r="G76" i="12"/>
  <c r="F76" i="12"/>
  <c r="E76" i="12"/>
  <c r="D76" i="12"/>
  <c r="M75" i="12"/>
  <c r="L75" i="12"/>
  <c r="K75" i="12"/>
  <c r="J75" i="12"/>
  <c r="I75" i="12"/>
  <c r="H75" i="12"/>
  <c r="C75" i="12" s="1"/>
  <c r="G75" i="12"/>
  <c r="F75" i="12"/>
  <c r="E75" i="12"/>
  <c r="D75" i="12"/>
  <c r="M74" i="12"/>
  <c r="L74" i="12"/>
  <c r="K74" i="12"/>
  <c r="J74" i="12"/>
  <c r="I74" i="12"/>
  <c r="H74" i="12"/>
  <c r="C74" i="12" s="1"/>
  <c r="G74" i="12"/>
  <c r="F74" i="12"/>
  <c r="E74" i="12"/>
  <c r="D74" i="12"/>
  <c r="M73" i="12"/>
  <c r="L73" i="12"/>
  <c r="K73" i="12"/>
  <c r="J73" i="12"/>
  <c r="I73" i="12"/>
  <c r="H73" i="12"/>
  <c r="C73" i="12" s="1"/>
  <c r="G73" i="12"/>
  <c r="F73" i="12"/>
  <c r="E73" i="12"/>
  <c r="D73" i="12"/>
  <c r="M72" i="12"/>
  <c r="L72" i="12"/>
  <c r="K72" i="12"/>
  <c r="J72" i="12"/>
  <c r="I72" i="12"/>
  <c r="H72" i="12"/>
  <c r="C72" i="12" s="1"/>
  <c r="G72" i="12"/>
  <c r="F72" i="12"/>
  <c r="E72" i="12"/>
  <c r="D72" i="12"/>
  <c r="M71" i="12"/>
  <c r="L71" i="12"/>
  <c r="K71" i="12"/>
  <c r="J71" i="12"/>
  <c r="I71" i="12"/>
  <c r="H71" i="12"/>
  <c r="C71" i="12" s="1"/>
  <c r="G71" i="12"/>
  <c r="F71" i="12"/>
  <c r="E71" i="12"/>
  <c r="D71" i="12"/>
  <c r="M70" i="12"/>
  <c r="L70" i="12"/>
  <c r="K70" i="12"/>
  <c r="J70" i="12"/>
  <c r="I70" i="12"/>
  <c r="H70" i="12"/>
  <c r="C70" i="12" s="1"/>
  <c r="G70" i="12"/>
  <c r="F70" i="12"/>
  <c r="E70" i="12"/>
  <c r="D70" i="12"/>
  <c r="M69" i="12"/>
  <c r="L69" i="12"/>
  <c r="K69" i="12"/>
  <c r="J69" i="12"/>
  <c r="I69" i="12"/>
  <c r="H69" i="12"/>
  <c r="C69" i="12" s="1"/>
  <c r="G69" i="12"/>
  <c r="F69" i="12"/>
  <c r="E69" i="12"/>
  <c r="D69" i="12"/>
  <c r="M68" i="12"/>
  <c r="L68" i="12"/>
  <c r="K68" i="12"/>
  <c r="J68" i="12"/>
  <c r="I68" i="12"/>
  <c r="H68" i="12"/>
  <c r="C68" i="12" s="1"/>
  <c r="G68" i="12"/>
  <c r="F68" i="12"/>
  <c r="E68" i="12"/>
  <c r="D68" i="12"/>
  <c r="M67" i="12"/>
  <c r="L67" i="12"/>
  <c r="K67" i="12"/>
  <c r="J67" i="12"/>
  <c r="I67" i="12"/>
  <c r="H67" i="12"/>
  <c r="C67" i="12" s="1"/>
  <c r="G67" i="12"/>
  <c r="F67" i="12"/>
  <c r="E67" i="12"/>
  <c r="D67" i="12"/>
  <c r="M66" i="12"/>
  <c r="L66" i="12"/>
  <c r="K66" i="12"/>
  <c r="J66" i="12"/>
  <c r="I66" i="12"/>
  <c r="H66" i="12"/>
  <c r="C66" i="12" s="1"/>
  <c r="G66" i="12"/>
  <c r="F66" i="12"/>
  <c r="E66" i="12"/>
  <c r="D66" i="12"/>
  <c r="M65" i="12"/>
  <c r="L65" i="12"/>
  <c r="K65" i="12"/>
  <c r="J65" i="12"/>
  <c r="I65" i="12"/>
  <c r="H65" i="12"/>
  <c r="G65" i="12"/>
  <c r="F65" i="12"/>
  <c r="E65" i="12"/>
  <c r="D65" i="12"/>
  <c r="M64" i="12"/>
  <c r="L64" i="12"/>
  <c r="K64" i="12"/>
  <c r="J64" i="12"/>
  <c r="I64" i="12"/>
  <c r="H64" i="12"/>
  <c r="C64" i="12" s="1"/>
  <c r="G64" i="12"/>
  <c r="F64" i="12"/>
  <c r="E64" i="12"/>
  <c r="D64" i="12"/>
  <c r="M63" i="12"/>
  <c r="L63" i="12"/>
  <c r="K63" i="12"/>
  <c r="J63" i="12"/>
  <c r="I63" i="12"/>
  <c r="H63" i="12"/>
  <c r="C63" i="12" s="1"/>
  <c r="G63" i="12"/>
  <c r="F63" i="12"/>
  <c r="E63" i="12"/>
  <c r="D63" i="12"/>
  <c r="M62" i="12"/>
  <c r="L62" i="12"/>
  <c r="K62" i="12"/>
  <c r="J62" i="12"/>
  <c r="I62" i="12"/>
  <c r="H62" i="12"/>
  <c r="C62" i="12" s="1"/>
  <c r="G62" i="12"/>
  <c r="F62" i="12"/>
  <c r="E62" i="12"/>
  <c r="D62" i="12"/>
  <c r="M61" i="12"/>
  <c r="L61" i="12"/>
  <c r="K61" i="12"/>
  <c r="J61" i="12"/>
  <c r="I61" i="12"/>
  <c r="H61" i="12"/>
  <c r="C61" i="12" s="1"/>
  <c r="G61" i="12"/>
  <c r="F61" i="12"/>
  <c r="E61" i="12"/>
  <c r="D61" i="12"/>
  <c r="M60" i="12"/>
  <c r="L60" i="12"/>
  <c r="K60" i="12"/>
  <c r="J60" i="12"/>
  <c r="I60" i="12"/>
  <c r="H60" i="12"/>
  <c r="C60" i="12" s="1"/>
  <c r="G60" i="12"/>
  <c r="F60" i="12"/>
  <c r="E60" i="12"/>
  <c r="D60" i="12"/>
  <c r="M59" i="12"/>
  <c r="L59" i="12"/>
  <c r="K59" i="12"/>
  <c r="J59" i="12"/>
  <c r="I59" i="12"/>
  <c r="H59" i="12"/>
  <c r="C59" i="12" s="1"/>
  <c r="G59" i="12"/>
  <c r="F59" i="12"/>
  <c r="E59" i="12"/>
  <c r="D59" i="12"/>
  <c r="M58" i="12"/>
  <c r="L58" i="12"/>
  <c r="K58" i="12"/>
  <c r="J58" i="12"/>
  <c r="I58" i="12"/>
  <c r="H58" i="12"/>
  <c r="C58" i="12" s="1"/>
  <c r="G58" i="12"/>
  <c r="F58" i="12"/>
  <c r="E58" i="12"/>
  <c r="D58" i="12"/>
  <c r="M57" i="12"/>
  <c r="L57" i="12"/>
  <c r="K57" i="12"/>
  <c r="J57" i="12"/>
  <c r="I57" i="12"/>
  <c r="H57" i="12"/>
  <c r="C57" i="12" s="1"/>
  <c r="G57" i="12"/>
  <c r="F57" i="12"/>
  <c r="E57" i="12"/>
  <c r="D57" i="12"/>
  <c r="M56" i="12"/>
  <c r="L56" i="12"/>
  <c r="K56" i="12"/>
  <c r="J56" i="12"/>
  <c r="I56" i="12"/>
  <c r="H56" i="12"/>
  <c r="C56" i="12" s="1"/>
  <c r="G56" i="12"/>
  <c r="F56" i="12"/>
  <c r="E56" i="12"/>
  <c r="D56" i="12"/>
  <c r="M55" i="12"/>
  <c r="L55" i="12"/>
  <c r="K55" i="12"/>
  <c r="J55" i="12"/>
  <c r="I55" i="12"/>
  <c r="H55" i="12"/>
  <c r="C55" i="12" s="1"/>
  <c r="G55" i="12"/>
  <c r="F55" i="12"/>
  <c r="E55" i="12"/>
  <c r="D55" i="12"/>
  <c r="M54" i="12"/>
  <c r="L54" i="12"/>
  <c r="K54" i="12"/>
  <c r="J54" i="12"/>
  <c r="I54" i="12"/>
  <c r="H54" i="12"/>
  <c r="C54" i="12" s="1"/>
  <c r="G54" i="12"/>
  <c r="F54" i="12"/>
  <c r="E54" i="12"/>
  <c r="D54" i="12"/>
  <c r="M53" i="12"/>
  <c r="L53" i="12"/>
  <c r="K53" i="12"/>
  <c r="J53" i="12"/>
  <c r="I53" i="12"/>
  <c r="H53" i="12"/>
  <c r="C53" i="12" s="1"/>
  <c r="G53" i="12"/>
  <c r="F53" i="12"/>
  <c r="E53" i="12"/>
  <c r="D53" i="12"/>
  <c r="M52" i="12"/>
  <c r="L52" i="12"/>
  <c r="K52" i="12"/>
  <c r="J52" i="12"/>
  <c r="I52" i="12"/>
  <c r="H52" i="12"/>
  <c r="C52" i="12" s="1"/>
  <c r="G52" i="12"/>
  <c r="F52" i="12"/>
  <c r="E52" i="12"/>
  <c r="D52" i="12"/>
  <c r="M51" i="12"/>
  <c r="L51" i="12"/>
  <c r="K51" i="12"/>
  <c r="J51" i="12"/>
  <c r="I51" i="12"/>
  <c r="H51" i="12"/>
  <c r="C51" i="12" s="1"/>
  <c r="G51" i="12"/>
  <c r="F51" i="12"/>
  <c r="E51" i="12"/>
  <c r="D51" i="12"/>
  <c r="M50" i="12"/>
  <c r="L50" i="12"/>
  <c r="K50" i="12"/>
  <c r="J50" i="12"/>
  <c r="I50" i="12"/>
  <c r="H50" i="12"/>
  <c r="C50" i="12" s="1"/>
  <c r="G50" i="12"/>
  <c r="F50" i="12"/>
  <c r="E50" i="12"/>
  <c r="D50" i="12"/>
  <c r="M49" i="12"/>
  <c r="L49" i="12"/>
  <c r="K49" i="12"/>
  <c r="J49" i="12"/>
  <c r="I49" i="12"/>
  <c r="H49" i="12"/>
  <c r="C49" i="12" s="1"/>
  <c r="G49" i="12"/>
  <c r="F49" i="12"/>
  <c r="E49" i="12"/>
  <c r="D49" i="12"/>
  <c r="M48" i="12"/>
  <c r="L48" i="12"/>
  <c r="K48" i="12"/>
  <c r="J48" i="12"/>
  <c r="I48" i="12"/>
  <c r="H48" i="12"/>
  <c r="C48" i="12" s="1"/>
  <c r="G48" i="12"/>
  <c r="F48" i="12"/>
  <c r="E48" i="12"/>
  <c r="D48" i="12"/>
  <c r="M47" i="12"/>
  <c r="L47" i="12"/>
  <c r="K47" i="12"/>
  <c r="J47" i="12"/>
  <c r="I47" i="12"/>
  <c r="H47" i="12"/>
  <c r="C47" i="12" s="1"/>
  <c r="G47" i="12"/>
  <c r="F47" i="12"/>
  <c r="E47" i="12"/>
  <c r="D47" i="12"/>
  <c r="M46" i="12"/>
  <c r="L46" i="12"/>
  <c r="K46" i="12"/>
  <c r="J46" i="12"/>
  <c r="I46" i="12"/>
  <c r="H46" i="12"/>
  <c r="C46" i="12" s="1"/>
  <c r="G46" i="12"/>
  <c r="F46" i="12"/>
  <c r="E46" i="12"/>
  <c r="D46" i="12"/>
  <c r="M45" i="12"/>
  <c r="L45" i="12"/>
  <c r="K45" i="12"/>
  <c r="J45" i="12"/>
  <c r="I45" i="12"/>
  <c r="H45" i="12"/>
  <c r="C45" i="12" s="1"/>
  <c r="G45" i="12"/>
  <c r="F45" i="12"/>
  <c r="E45" i="12"/>
  <c r="D45" i="12"/>
  <c r="M44" i="12"/>
  <c r="L44" i="12"/>
  <c r="K44" i="12"/>
  <c r="J44" i="12"/>
  <c r="I44" i="12"/>
  <c r="H44" i="12"/>
  <c r="C44" i="12" s="1"/>
  <c r="G44" i="12"/>
  <c r="F44" i="12"/>
  <c r="E44" i="12"/>
  <c r="D44" i="12"/>
  <c r="M43" i="12"/>
  <c r="L43" i="12"/>
  <c r="K43" i="12"/>
  <c r="J43" i="12"/>
  <c r="I43" i="12"/>
  <c r="H43" i="12"/>
  <c r="C43" i="12" s="1"/>
  <c r="G43" i="12"/>
  <c r="F43" i="12"/>
  <c r="E43" i="12"/>
  <c r="D43" i="12"/>
  <c r="M42" i="12"/>
  <c r="L42" i="12"/>
  <c r="K42" i="12"/>
  <c r="J42" i="12"/>
  <c r="I42" i="12"/>
  <c r="H42" i="12"/>
  <c r="C42" i="12" s="1"/>
  <c r="G42" i="12"/>
  <c r="F42" i="12"/>
  <c r="E42" i="12"/>
  <c r="D42" i="12"/>
  <c r="M41" i="12"/>
  <c r="L41" i="12"/>
  <c r="K41" i="12"/>
  <c r="J41" i="12"/>
  <c r="I41" i="12"/>
  <c r="H41" i="12"/>
  <c r="C41" i="12" s="1"/>
  <c r="G41" i="12"/>
  <c r="F41" i="12"/>
  <c r="E41" i="12"/>
  <c r="D41" i="12"/>
  <c r="M40" i="12"/>
  <c r="L40" i="12"/>
  <c r="K40" i="12"/>
  <c r="J40" i="12"/>
  <c r="I40" i="12"/>
  <c r="H40" i="12"/>
  <c r="C40" i="12" s="1"/>
  <c r="G40" i="12"/>
  <c r="F40" i="12"/>
  <c r="E40" i="12"/>
  <c r="D40" i="12"/>
  <c r="M39" i="12"/>
  <c r="L39" i="12"/>
  <c r="K39" i="12"/>
  <c r="J39" i="12"/>
  <c r="I39" i="12"/>
  <c r="H39" i="12"/>
  <c r="C39" i="12" s="1"/>
  <c r="G39" i="12"/>
  <c r="F39" i="12"/>
  <c r="E39" i="12"/>
  <c r="D39" i="12"/>
  <c r="M38" i="12"/>
  <c r="L38" i="12"/>
  <c r="K38" i="12"/>
  <c r="J38" i="12"/>
  <c r="I38" i="12"/>
  <c r="H38" i="12"/>
  <c r="C38" i="12" s="1"/>
  <c r="G38" i="12"/>
  <c r="F38" i="12"/>
  <c r="E38" i="12"/>
  <c r="D38" i="12"/>
  <c r="M37" i="12"/>
  <c r="L37" i="12"/>
  <c r="K37" i="12"/>
  <c r="J37" i="12"/>
  <c r="I37" i="12"/>
  <c r="H37" i="12"/>
  <c r="G37" i="12"/>
  <c r="F37" i="12"/>
  <c r="E37" i="12"/>
  <c r="D37" i="12"/>
  <c r="M36" i="12"/>
  <c r="L36" i="12"/>
  <c r="K36" i="12"/>
  <c r="J36" i="12"/>
  <c r="I36" i="12"/>
  <c r="H36" i="12"/>
  <c r="C36" i="12" s="1"/>
  <c r="G36" i="12"/>
  <c r="F36" i="12"/>
  <c r="E36" i="12"/>
  <c r="D36" i="12"/>
  <c r="M35" i="12"/>
  <c r="L35" i="12"/>
  <c r="K35" i="12"/>
  <c r="J35" i="12"/>
  <c r="I35" i="12"/>
  <c r="H35" i="12"/>
  <c r="C35" i="12" s="1"/>
  <c r="G35" i="12"/>
  <c r="F35" i="12"/>
  <c r="E35" i="12"/>
  <c r="D35" i="12"/>
  <c r="M34" i="12"/>
  <c r="L34" i="12"/>
  <c r="K34" i="12"/>
  <c r="J34" i="12"/>
  <c r="I34" i="12"/>
  <c r="H34" i="12"/>
  <c r="C34" i="12" s="1"/>
  <c r="G34" i="12"/>
  <c r="F34" i="12"/>
  <c r="E34" i="12"/>
  <c r="D34" i="12"/>
  <c r="M33" i="12"/>
  <c r="L33" i="12"/>
  <c r="K33" i="12"/>
  <c r="J33" i="12"/>
  <c r="I33" i="12"/>
  <c r="H33" i="12"/>
  <c r="C33" i="12" s="1"/>
  <c r="G33" i="12"/>
  <c r="F33" i="12"/>
  <c r="E33" i="12"/>
  <c r="D33" i="12"/>
  <c r="M32" i="12"/>
  <c r="L32" i="12"/>
  <c r="K32" i="12"/>
  <c r="J32" i="12"/>
  <c r="I32" i="12"/>
  <c r="H32" i="12"/>
  <c r="C32" i="12" s="1"/>
  <c r="G32" i="12"/>
  <c r="F32" i="12"/>
  <c r="E32" i="12"/>
  <c r="D32" i="12"/>
  <c r="M31" i="12"/>
  <c r="L31" i="12"/>
  <c r="K31" i="12"/>
  <c r="J31" i="12"/>
  <c r="I31" i="12"/>
  <c r="H31" i="12"/>
  <c r="C31" i="12" s="1"/>
  <c r="G31" i="12"/>
  <c r="F31" i="12"/>
  <c r="E31" i="12"/>
  <c r="D31" i="12"/>
  <c r="M30" i="12"/>
  <c r="L30" i="12"/>
  <c r="K30" i="12"/>
  <c r="J30" i="12"/>
  <c r="I30" i="12"/>
  <c r="H30" i="12"/>
  <c r="C30" i="12" s="1"/>
  <c r="G30" i="12"/>
  <c r="F30" i="12"/>
  <c r="E30" i="12"/>
  <c r="D30" i="12"/>
  <c r="M29" i="12"/>
  <c r="L29" i="12"/>
  <c r="K29" i="12"/>
  <c r="J29" i="12"/>
  <c r="I29" i="12"/>
  <c r="H29" i="12"/>
  <c r="C29" i="12" s="1"/>
  <c r="G29" i="12"/>
  <c r="F29" i="12"/>
  <c r="E29" i="12"/>
  <c r="D29" i="12"/>
  <c r="M28" i="12"/>
  <c r="L28" i="12"/>
  <c r="K28" i="12"/>
  <c r="J28" i="12"/>
  <c r="I28" i="12"/>
  <c r="H28" i="12"/>
  <c r="C28" i="12" s="1"/>
  <c r="G28" i="12"/>
  <c r="F28" i="12"/>
  <c r="E28" i="12"/>
  <c r="D28" i="12"/>
  <c r="M27" i="12"/>
  <c r="L27" i="12"/>
  <c r="K27" i="12"/>
  <c r="J27" i="12"/>
  <c r="I27" i="12"/>
  <c r="H27" i="12"/>
  <c r="C27" i="12" s="1"/>
  <c r="G27" i="12"/>
  <c r="F27" i="12"/>
  <c r="E27" i="12"/>
  <c r="D27" i="12"/>
  <c r="M26" i="12"/>
  <c r="L26" i="12"/>
  <c r="K26" i="12"/>
  <c r="J26" i="12"/>
  <c r="I26" i="12"/>
  <c r="H26" i="12"/>
  <c r="C26" i="12" s="1"/>
  <c r="G26" i="12"/>
  <c r="F26" i="12"/>
  <c r="E26" i="12"/>
  <c r="D26" i="12"/>
  <c r="M25" i="12"/>
  <c r="L25" i="12"/>
  <c r="K25" i="12"/>
  <c r="J25" i="12"/>
  <c r="I25" i="12"/>
  <c r="H25" i="12"/>
  <c r="C25" i="12" s="1"/>
  <c r="G25" i="12"/>
  <c r="F25" i="12"/>
  <c r="E25" i="12"/>
  <c r="D25" i="12"/>
  <c r="M24" i="12"/>
  <c r="L24" i="12"/>
  <c r="K24" i="12"/>
  <c r="J24" i="12"/>
  <c r="I24" i="12"/>
  <c r="H24" i="12"/>
  <c r="C24" i="12" s="1"/>
  <c r="G24" i="12"/>
  <c r="F24" i="12"/>
  <c r="E24" i="12"/>
  <c r="D24" i="12"/>
  <c r="M23" i="12"/>
  <c r="L23" i="12"/>
  <c r="K23" i="12"/>
  <c r="J23" i="12"/>
  <c r="I23" i="12"/>
  <c r="H23" i="12"/>
  <c r="C23" i="12" s="1"/>
  <c r="G23" i="12"/>
  <c r="F23" i="12"/>
  <c r="E23" i="12"/>
  <c r="D23" i="12"/>
  <c r="M22" i="12"/>
  <c r="L22" i="12"/>
  <c r="K22" i="12"/>
  <c r="J22" i="12"/>
  <c r="I22" i="12"/>
  <c r="H22" i="12"/>
  <c r="C22" i="12" s="1"/>
  <c r="G22" i="12"/>
  <c r="F22" i="12"/>
  <c r="E22" i="12"/>
  <c r="D22" i="12"/>
  <c r="M21" i="12"/>
  <c r="L21" i="12"/>
  <c r="K21" i="12"/>
  <c r="J21" i="12"/>
  <c r="I21" i="12"/>
  <c r="H21" i="12"/>
  <c r="C21" i="12" s="1"/>
  <c r="G21" i="12"/>
  <c r="F21" i="12"/>
  <c r="E21" i="12"/>
  <c r="D21" i="12"/>
  <c r="M20" i="12"/>
  <c r="L20" i="12"/>
  <c r="K20" i="12"/>
  <c r="J20" i="12"/>
  <c r="I20" i="12"/>
  <c r="H20" i="12"/>
  <c r="C20" i="12" s="1"/>
  <c r="G20" i="12"/>
  <c r="F20" i="12"/>
  <c r="E20" i="12"/>
  <c r="D20" i="12"/>
  <c r="M19" i="12"/>
  <c r="L19" i="12"/>
  <c r="K19" i="12"/>
  <c r="J19" i="12"/>
  <c r="I19" i="12"/>
  <c r="H19" i="12"/>
  <c r="C19" i="12" s="1"/>
  <c r="G19" i="12"/>
  <c r="F19" i="12"/>
  <c r="E19" i="12"/>
  <c r="D19" i="12"/>
  <c r="M18" i="12"/>
  <c r="L18" i="12"/>
  <c r="K18" i="12"/>
  <c r="J18" i="12"/>
  <c r="I18" i="12"/>
  <c r="H18" i="12"/>
  <c r="C18" i="12" s="1"/>
  <c r="G18" i="12"/>
  <c r="F18" i="12"/>
  <c r="E18" i="12"/>
  <c r="D18" i="12"/>
  <c r="M17" i="12"/>
  <c r="L17" i="12"/>
  <c r="K17" i="12"/>
  <c r="J17" i="12"/>
  <c r="I17" i="12"/>
  <c r="H17" i="12"/>
  <c r="C17" i="12" s="1"/>
  <c r="G17" i="12"/>
  <c r="F17" i="12"/>
  <c r="E17" i="12"/>
  <c r="D17" i="12"/>
  <c r="M16" i="12"/>
  <c r="L16" i="12"/>
  <c r="K16" i="12"/>
  <c r="J16" i="12"/>
  <c r="I16" i="12"/>
  <c r="H16" i="12"/>
  <c r="C16" i="12" s="1"/>
  <c r="G16" i="12"/>
  <c r="F16" i="12"/>
  <c r="E16" i="12"/>
  <c r="D16" i="12"/>
  <c r="M15" i="12"/>
  <c r="L15" i="12"/>
  <c r="K15" i="12"/>
  <c r="J15" i="12"/>
  <c r="I15" i="12"/>
  <c r="H15" i="12"/>
  <c r="C15" i="12" s="1"/>
  <c r="G15" i="12"/>
  <c r="F15" i="12"/>
  <c r="E15" i="12"/>
  <c r="D15" i="12"/>
  <c r="M14" i="12"/>
  <c r="L14" i="12"/>
  <c r="K14" i="12"/>
  <c r="J14" i="12"/>
  <c r="I14" i="12"/>
  <c r="H14" i="12"/>
  <c r="C14" i="12" s="1"/>
  <c r="G14" i="12"/>
  <c r="F14" i="12"/>
  <c r="E14" i="12"/>
  <c r="D14" i="12"/>
  <c r="M13" i="12"/>
  <c r="L13" i="12"/>
  <c r="K13" i="12"/>
  <c r="J13" i="12"/>
  <c r="I13" i="12"/>
  <c r="H13" i="12"/>
  <c r="C13" i="12" s="1"/>
  <c r="G13" i="12"/>
  <c r="F13" i="12"/>
  <c r="E13" i="12"/>
  <c r="D13" i="12"/>
  <c r="M12" i="12"/>
  <c r="L12" i="12"/>
  <c r="K12" i="12"/>
  <c r="J12" i="12"/>
  <c r="I12" i="12"/>
  <c r="H12" i="12"/>
  <c r="C12" i="12" s="1"/>
  <c r="G12" i="12"/>
  <c r="F12" i="12"/>
  <c r="E12" i="12"/>
  <c r="D12" i="12"/>
  <c r="M11" i="12"/>
  <c r="L11" i="12"/>
  <c r="K11" i="12"/>
  <c r="J11" i="12"/>
  <c r="I11" i="12"/>
  <c r="H11" i="12"/>
  <c r="C11" i="12" s="1"/>
  <c r="G11" i="12"/>
  <c r="F11" i="12"/>
  <c r="E11" i="12"/>
  <c r="D11" i="12"/>
  <c r="M10" i="12"/>
  <c r="L10" i="12"/>
  <c r="K10" i="12"/>
  <c r="J10" i="12"/>
  <c r="I10" i="12"/>
  <c r="H10" i="12"/>
  <c r="C10" i="12" s="1"/>
  <c r="G10" i="12"/>
  <c r="F10" i="12"/>
  <c r="E10" i="12"/>
  <c r="D10" i="12"/>
  <c r="M9" i="12"/>
  <c r="L9" i="12"/>
  <c r="K9" i="12"/>
  <c r="J9" i="12"/>
  <c r="I9" i="12"/>
  <c r="H9" i="12"/>
  <c r="C9" i="12" s="1"/>
  <c r="G9" i="12"/>
  <c r="F9" i="12"/>
  <c r="E9" i="12"/>
  <c r="D9" i="12"/>
  <c r="M8" i="12"/>
  <c r="L8" i="12"/>
  <c r="K8" i="12"/>
  <c r="J8" i="12"/>
  <c r="I8" i="12"/>
  <c r="H8" i="12"/>
  <c r="C8" i="12" s="1"/>
  <c r="G8" i="12"/>
  <c r="F8" i="12"/>
  <c r="E8" i="12"/>
  <c r="D8" i="12"/>
  <c r="M7" i="12"/>
  <c r="L7" i="12"/>
  <c r="K7" i="12"/>
  <c r="J7" i="12"/>
  <c r="I7" i="12"/>
  <c r="H7" i="12"/>
  <c r="C7" i="12" s="1"/>
  <c r="G7" i="12"/>
  <c r="F7" i="12"/>
  <c r="E7" i="12"/>
  <c r="D7" i="12"/>
  <c r="M6" i="12"/>
  <c r="L6" i="12"/>
  <c r="K6" i="12"/>
  <c r="J6" i="12"/>
  <c r="E6" i="12" s="1"/>
  <c r="I6" i="12"/>
  <c r="D6" i="12" s="1"/>
  <c r="H6" i="12"/>
  <c r="G6" i="12"/>
  <c r="F6" i="12"/>
  <c r="D372" i="1"/>
  <c r="D371" i="1"/>
  <c r="D370" i="1"/>
  <c r="M369" i="1"/>
  <c r="L369" i="1"/>
  <c r="K369" i="1"/>
  <c r="J369" i="1"/>
  <c r="I369" i="1"/>
  <c r="H369" i="1"/>
  <c r="C369" i="1" s="1"/>
  <c r="G369" i="1"/>
  <c r="F369" i="1"/>
  <c r="E369" i="1"/>
  <c r="D369" i="1"/>
  <c r="M368" i="1"/>
  <c r="L368" i="1"/>
  <c r="K368" i="1"/>
  <c r="J368" i="1"/>
  <c r="I368" i="1"/>
  <c r="H368" i="1"/>
  <c r="C368" i="1" s="1"/>
  <c r="G368" i="1"/>
  <c r="F368" i="1"/>
  <c r="E368" i="1"/>
  <c r="D368" i="1"/>
  <c r="M367" i="1"/>
  <c r="L367" i="1"/>
  <c r="K367" i="1"/>
  <c r="J367" i="1"/>
  <c r="I367" i="1"/>
  <c r="H367" i="1"/>
  <c r="C367" i="1" s="1"/>
  <c r="G367" i="1"/>
  <c r="F367" i="1"/>
  <c r="E367" i="1"/>
  <c r="D367" i="1"/>
  <c r="M366" i="1"/>
  <c r="L366" i="1"/>
  <c r="K366" i="1"/>
  <c r="J366" i="1"/>
  <c r="I366" i="1"/>
  <c r="H366" i="1"/>
  <c r="C366" i="1" s="1"/>
  <c r="G366" i="1"/>
  <c r="F366" i="1"/>
  <c r="E366" i="1"/>
  <c r="D366" i="1"/>
  <c r="M365" i="1"/>
  <c r="L365" i="1"/>
  <c r="K365" i="1"/>
  <c r="J365" i="1"/>
  <c r="I365" i="1"/>
  <c r="H365" i="1"/>
  <c r="C365" i="1" s="1"/>
  <c r="G365" i="1"/>
  <c r="F365" i="1"/>
  <c r="E365" i="1"/>
  <c r="D365" i="1"/>
  <c r="M364" i="1"/>
  <c r="L364" i="1"/>
  <c r="K364" i="1"/>
  <c r="J364" i="1"/>
  <c r="I364" i="1"/>
  <c r="H364" i="1"/>
  <c r="C364" i="1" s="1"/>
  <c r="G364" i="1"/>
  <c r="F364" i="1"/>
  <c r="E364" i="1"/>
  <c r="D364" i="1"/>
  <c r="M363" i="1"/>
  <c r="L363" i="1"/>
  <c r="K363" i="1"/>
  <c r="J363" i="1"/>
  <c r="I363" i="1"/>
  <c r="H363" i="1"/>
  <c r="C363" i="1" s="1"/>
  <c r="G363" i="1"/>
  <c r="F363" i="1"/>
  <c r="E363" i="1"/>
  <c r="D363" i="1"/>
  <c r="M362" i="1"/>
  <c r="L362" i="1"/>
  <c r="K362" i="1"/>
  <c r="J362" i="1"/>
  <c r="I362" i="1"/>
  <c r="H362" i="1"/>
  <c r="C362" i="1" s="1"/>
  <c r="G362" i="1"/>
  <c r="F362" i="1"/>
  <c r="E362" i="1"/>
  <c r="D362" i="1"/>
  <c r="M361" i="1"/>
  <c r="L361" i="1"/>
  <c r="K361" i="1"/>
  <c r="J361" i="1"/>
  <c r="I361" i="1"/>
  <c r="H361" i="1"/>
  <c r="C361" i="1" s="1"/>
  <c r="G361" i="1"/>
  <c r="F361" i="1"/>
  <c r="E361" i="1"/>
  <c r="D361" i="1"/>
  <c r="M360" i="1"/>
  <c r="L360" i="1"/>
  <c r="K360" i="1"/>
  <c r="J360" i="1"/>
  <c r="I360" i="1"/>
  <c r="H360" i="1"/>
  <c r="C360" i="1" s="1"/>
  <c r="G360" i="1"/>
  <c r="F360" i="1"/>
  <c r="E360" i="1"/>
  <c r="D360" i="1"/>
  <c r="M359" i="1"/>
  <c r="L359" i="1"/>
  <c r="K359" i="1"/>
  <c r="J359" i="1"/>
  <c r="I359" i="1"/>
  <c r="H359" i="1"/>
  <c r="C359" i="1" s="1"/>
  <c r="G359" i="1"/>
  <c r="F359" i="1"/>
  <c r="E359" i="1"/>
  <c r="D359" i="1"/>
  <c r="M358" i="1"/>
  <c r="L358" i="1"/>
  <c r="K358" i="1"/>
  <c r="J358" i="1"/>
  <c r="I358" i="1"/>
  <c r="H358" i="1"/>
  <c r="C358" i="1" s="1"/>
  <c r="G358" i="1"/>
  <c r="F358" i="1"/>
  <c r="E358" i="1"/>
  <c r="D358" i="1"/>
  <c r="M357" i="1"/>
  <c r="L357" i="1"/>
  <c r="K357" i="1"/>
  <c r="J357" i="1"/>
  <c r="I357" i="1"/>
  <c r="H357" i="1"/>
  <c r="C357" i="1" s="1"/>
  <c r="G357" i="1"/>
  <c r="F357" i="1"/>
  <c r="E357" i="1"/>
  <c r="D357" i="1"/>
  <c r="M356" i="1"/>
  <c r="L356" i="1"/>
  <c r="K356" i="1"/>
  <c r="J356" i="1"/>
  <c r="I356" i="1"/>
  <c r="H356" i="1"/>
  <c r="C356" i="1" s="1"/>
  <c r="G356" i="1"/>
  <c r="F356" i="1"/>
  <c r="E356" i="1"/>
  <c r="D356" i="1"/>
  <c r="M355" i="1"/>
  <c r="L355" i="1"/>
  <c r="K355" i="1"/>
  <c r="J355" i="1"/>
  <c r="I355" i="1"/>
  <c r="H355" i="1"/>
  <c r="C355" i="1" s="1"/>
  <c r="G355" i="1"/>
  <c r="F355" i="1"/>
  <c r="E355" i="1"/>
  <c r="D355" i="1"/>
  <c r="M354" i="1"/>
  <c r="L354" i="1"/>
  <c r="K354" i="1"/>
  <c r="J354" i="1"/>
  <c r="I354" i="1"/>
  <c r="H354" i="1"/>
  <c r="C354" i="1" s="1"/>
  <c r="G354" i="1"/>
  <c r="F354" i="1"/>
  <c r="E354" i="1"/>
  <c r="D354" i="1"/>
  <c r="M353" i="1"/>
  <c r="L353" i="1"/>
  <c r="K353" i="1"/>
  <c r="J353" i="1"/>
  <c r="I353" i="1"/>
  <c r="H353" i="1"/>
  <c r="C353" i="1" s="1"/>
  <c r="G353" i="1"/>
  <c r="F353" i="1"/>
  <c r="E353" i="1"/>
  <c r="D353" i="1"/>
  <c r="M352" i="1"/>
  <c r="L352" i="1"/>
  <c r="K352" i="1"/>
  <c r="J352" i="1"/>
  <c r="I352" i="1"/>
  <c r="H352" i="1"/>
  <c r="C352" i="1" s="1"/>
  <c r="G352" i="1"/>
  <c r="F352" i="1"/>
  <c r="E352" i="1"/>
  <c r="D352" i="1"/>
  <c r="M351" i="1"/>
  <c r="L351" i="1"/>
  <c r="K351" i="1"/>
  <c r="J351" i="1"/>
  <c r="I351" i="1"/>
  <c r="H351" i="1"/>
  <c r="C351" i="1" s="1"/>
  <c r="G351" i="1"/>
  <c r="F351" i="1"/>
  <c r="E351" i="1"/>
  <c r="D351" i="1"/>
  <c r="M350" i="1"/>
  <c r="L350" i="1"/>
  <c r="K350" i="1"/>
  <c r="J350" i="1"/>
  <c r="I350" i="1"/>
  <c r="H350" i="1"/>
  <c r="C350" i="1" s="1"/>
  <c r="G350" i="1"/>
  <c r="F350" i="1"/>
  <c r="E350" i="1"/>
  <c r="D350" i="1"/>
  <c r="M349" i="1"/>
  <c r="L349" i="1"/>
  <c r="K349" i="1"/>
  <c r="J349" i="1"/>
  <c r="I349" i="1"/>
  <c r="H349" i="1"/>
  <c r="C349" i="1" s="1"/>
  <c r="G349" i="1"/>
  <c r="F349" i="1"/>
  <c r="E349" i="1"/>
  <c r="D349" i="1"/>
  <c r="M348" i="1"/>
  <c r="L348" i="1"/>
  <c r="K348" i="1"/>
  <c r="J348" i="1"/>
  <c r="I348" i="1"/>
  <c r="H348" i="1"/>
  <c r="C348" i="1" s="1"/>
  <c r="G348" i="1"/>
  <c r="F348" i="1"/>
  <c r="E348" i="1"/>
  <c r="D348" i="1"/>
  <c r="M347" i="1"/>
  <c r="L347" i="1"/>
  <c r="K347" i="1"/>
  <c r="J347" i="1"/>
  <c r="I347" i="1"/>
  <c r="H347" i="1"/>
  <c r="C347" i="1" s="1"/>
  <c r="G347" i="1"/>
  <c r="F347" i="1"/>
  <c r="E347" i="1"/>
  <c r="D347" i="1"/>
  <c r="M346" i="1"/>
  <c r="L346" i="1"/>
  <c r="K346" i="1"/>
  <c r="J346" i="1"/>
  <c r="I346" i="1"/>
  <c r="H346" i="1"/>
  <c r="C346" i="1" s="1"/>
  <c r="G346" i="1"/>
  <c r="F346" i="1"/>
  <c r="E346" i="1"/>
  <c r="D346" i="1"/>
  <c r="M345" i="1"/>
  <c r="L345" i="1"/>
  <c r="K345" i="1"/>
  <c r="J345" i="1"/>
  <c r="I345" i="1"/>
  <c r="H345" i="1"/>
  <c r="C345" i="1" s="1"/>
  <c r="G345" i="1"/>
  <c r="F345" i="1"/>
  <c r="E345" i="1"/>
  <c r="D345" i="1"/>
  <c r="M344" i="1"/>
  <c r="L344" i="1"/>
  <c r="K344" i="1"/>
  <c r="J344" i="1"/>
  <c r="I344" i="1"/>
  <c r="H344" i="1"/>
  <c r="C344" i="1" s="1"/>
  <c r="G344" i="1"/>
  <c r="F344" i="1"/>
  <c r="E344" i="1"/>
  <c r="D344" i="1"/>
  <c r="M343" i="1"/>
  <c r="L343" i="1"/>
  <c r="K343" i="1"/>
  <c r="J343" i="1"/>
  <c r="I343" i="1"/>
  <c r="H343" i="1"/>
  <c r="C343" i="1" s="1"/>
  <c r="G343" i="1"/>
  <c r="F343" i="1"/>
  <c r="E343" i="1"/>
  <c r="D343" i="1"/>
  <c r="M342" i="1"/>
  <c r="L342" i="1"/>
  <c r="K342" i="1"/>
  <c r="J342" i="1"/>
  <c r="I342" i="1"/>
  <c r="H342" i="1"/>
  <c r="C342" i="1" s="1"/>
  <c r="G342" i="1"/>
  <c r="F342" i="1"/>
  <c r="E342" i="1"/>
  <c r="D342" i="1"/>
  <c r="M341" i="1"/>
  <c r="L341" i="1"/>
  <c r="K341" i="1"/>
  <c r="J341" i="1"/>
  <c r="I341" i="1"/>
  <c r="H341" i="1"/>
  <c r="C341" i="1" s="1"/>
  <c r="G341" i="1"/>
  <c r="F341" i="1"/>
  <c r="E341" i="1"/>
  <c r="D341" i="1"/>
  <c r="M340" i="1"/>
  <c r="L340" i="1"/>
  <c r="K340" i="1"/>
  <c r="J340" i="1"/>
  <c r="I340" i="1"/>
  <c r="H340" i="1"/>
  <c r="C340" i="1" s="1"/>
  <c r="G340" i="1"/>
  <c r="F340" i="1"/>
  <c r="E340" i="1"/>
  <c r="D340" i="1"/>
  <c r="M339" i="1"/>
  <c r="L339" i="1"/>
  <c r="K339" i="1"/>
  <c r="J339" i="1"/>
  <c r="I339" i="1"/>
  <c r="H339" i="1"/>
  <c r="C339" i="1" s="1"/>
  <c r="G339" i="1"/>
  <c r="F339" i="1"/>
  <c r="E339" i="1"/>
  <c r="D339" i="1"/>
  <c r="M338" i="1"/>
  <c r="L338" i="1"/>
  <c r="K338" i="1"/>
  <c r="J338" i="1"/>
  <c r="I338" i="1"/>
  <c r="H338" i="1"/>
  <c r="C338" i="1" s="1"/>
  <c r="G338" i="1"/>
  <c r="F338" i="1"/>
  <c r="E338" i="1"/>
  <c r="D338" i="1"/>
  <c r="M337" i="1"/>
  <c r="L337" i="1"/>
  <c r="K337" i="1"/>
  <c r="J337" i="1"/>
  <c r="I337" i="1"/>
  <c r="H337" i="1"/>
  <c r="C337" i="1" s="1"/>
  <c r="G337" i="1"/>
  <c r="F337" i="1"/>
  <c r="E337" i="1"/>
  <c r="D337" i="1"/>
  <c r="M336" i="1"/>
  <c r="L336" i="1"/>
  <c r="K336" i="1"/>
  <c r="J336" i="1"/>
  <c r="I336" i="1"/>
  <c r="H336" i="1"/>
  <c r="C336" i="1" s="1"/>
  <c r="G336" i="1"/>
  <c r="F336" i="1"/>
  <c r="E336" i="1"/>
  <c r="D336" i="1"/>
  <c r="M335" i="1"/>
  <c r="L335" i="1"/>
  <c r="K335" i="1"/>
  <c r="J335" i="1"/>
  <c r="I335" i="1"/>
  <c r="H335" i="1"/>
  <c r="C335" i="1" s="1"/>
  <c r="G335" i="1"/>
  <c r="F335" i="1"/>
  <c r="E335" i="1"/>
  <c r="D335" i="1"/>
  <c r="M334" i="1"/>
  <c r="L334" i="1"/>
  <c r="K334" i="1"/>
  <c r="J334" i="1"/>
  <c r="I334" i="1"/>
  <c r="H334" i="1"/>
  <c r="C334" i="1" s="1"/>
  <c r="G334" i="1"/>
  <c r="F334" i="1"/>
  <c r="E334" i="1"/>
  <c r="D334" i="1"/>
  <c r="M333" i="1"/>
  <c r="L333" i="1"/>
  <c r="K333" i="1"/>
  <c r="J333" i="1"/>
  <c r="I333" i="1"/>
  <c r="H333" i="1"/>
  <c r="C333" i="1" s="1"/>
  <c r="G333" i="1"/>
  <c r="F333" i="1"/>
  <c r="E333" i="1"/>
  <c r="D333" i="1"/>
  <c r="M332" i="1"/>
  <c r="L332" i="1"/>
  <c r="K332" i="1"/>
  <c r="J332" i="1"/>
  <c r="I332" i="1"/>
  <c r="H332" i="1"/>
  <c r="C332" i="1" s="1"/>
  <c r="G332" i="1"/>
  <c r="F332" i="1"/>
  <c r="E332" i="1"/>
  <c r="D332" i="1"/>
  <c r="M331" i="1"/>
  <c r="L331" i="1"/>
  <c r="K331" i="1"/>
  <c r="J331" i="1"/>
  <c r="I331" i="1"/>
  <c r="H331" i="1"/>
  <c r="C331" i="1" s="1"/>
  <c r="G331" i="1"/>
  <c r="F331" i="1"/>
  <c r="E331" i="1"/>
  <c r="D331" i="1"/>
  <c r="M330" i="1"/>
  <c r="L330" i="1"/>
  <c r="K330" i="1"/>
  <c r="J330" i="1"/>
  <c r="I330" i="1"/>
  <c r="H330" i="1"/>
  <c r="C330" i="1" s="1"/>
  <c r="G330" i="1"/>
  <c r="F330" i="1"/>
  <c r="E330" i="1"/>
  <c r="D330" i="1"/>
  <c r="M329" i="1"/>
  <c r="L329" i="1"/>
  <c r="K329" i="1"/>
  <c r="J329" i="1"/>
  <c r="I329" i="1"/>
  <c r="H329" i="1"/>
  <c r="C329" i="1" s="1"/>
  <c r="G329" i="1"/>
  <c r="F329" i="1"/>
  <c r="E329" i="1"/>
  <c r="D329" i="1"/>
  <c r="M328" i="1"/>
  <c r="L328" i="1"/>
  <c r="K328" i="1"/>
  <c r="J328" i="1"/>
  <c r="I328" i="1"/>
  <c r="H328" i="1"/>
  <c r="C328" i="1" s="1"/>
  <c r="G328" i="1"/>
  <c r="F328" i="1"/>
  <c r="E328" i="1"/>
  <c r="D328" i="1"/>
  <c r="M327" i="1"/>
  <c r="L327" i="1"/>
  <c r="K327" i="1"/>
  <c r="J327" i="1"/>
  <c r="I327" i="1"/>
  <c r="H327" i="1"/>
  <c r="C327" i="1" s="1"/>
  <c r="G327" i="1"/>
  <c r="F327" i="1"/>
  <c r="E327" i="1"/>
  <c r="D327" i="1"/>
  <c r="M326" i="1"/>
  <c r="L326" i="1"/>
  <c r="K326" i="1"/>
  <c r="J326" i="1"/>
  <c r="I326" i="1"/>
  <c r="H326" i="1"/>
  <c r="C326" i="1" s="1"/>
  <c r="G326" i="1"/>
  <c r="F326" i="1"/>
  <c r="E326" i="1"/>
  <c r="D326" i="1"/>
  <c r="M325" i="1"/>
  <c r="L325" i="1"/>
  <c r="K325" i="1"/>
  <c r="J325" i="1"/>
  <c r="I325" i="1"/>
  <c r="H325" i="1"/>
  <c r="C325" i="1" s="1"/>
  <c r="G325" i="1"/>
  <c r="F325" i="1"/>
  <c r="E325" i="1"/>
  <c r="D325" i="1"/>
  <c r="M324" i="1"/>
  <c r="L324" i="1"/>
  <c r="K324" i="1"/>
  <c r="J324" i="1"/>
  <c r="I324" i="1"/>
  <c r="H324" i="1"/>
  <c r="C324" i="1" s="1"/>
  <c r="G324" i="1"/>
  <c r="F324" i="1"/>
  <c r="E324" i="1"/>
  <c r="D324" i="1"/>
  <c r="M323" i="1"/>
  <c r="L323" i="1"/>
  <c r="K323" i="1"/>
  <c r="J323" i="1"/>
  <c r="I323" i="1"/>
  <c r="H323" i="1"/>
  <c r="C323" i="1" s="1"/>
  <c r="G323" i="1"/>
  <c r="F323" i="1"/>
  <c r="E323" i="1"/>
  <c r="D323" i="1"/>
  <c r="M322" i="1"/>
  <c r="L322" i="1"/>
  <c r="K322" i="1"/>
  <c r="J322" i="1"/>
  <c r="I322" i="1"/>
  <c r="H322" i="1"/>
  <c r="C322" i="1" s="1"/>
  <c r="G322" i="1"/>
  <c r="F322" i="1"/>
  <c r="E322" i="1"/>
  <c r="D322" i="1"/>
  <c r="M321" i="1"/>
  <c r="L321" i="1"/>
  <c r="K321" i="1"/>
  <c r="J321" i="1"/>
  <c r="I321" i="1"/>
  <c r="H321" i="1"/>
  <c r="C321" i="1" s="1"/>
  <c r="G321" i="1"/>
  <c r="F321" i="1"/>
  <c r="E321" i="1"/>
  <c r="D321" i="1"/>
  <c r="M320" i="1"/>
  <c r="L320" i="1"/>
  <c r="K320" i="1"/>
  <c r="J320" i="1"/>
  <c r="I320" i="1"/>
  <c r="H320" i="1"/>
  <c r="C320" i="1" s="1"/>
  <c r="G320" i="1"/>
  <c r="F320" i="1"/>
  <c r="E320" i="1"/>
  <c r="D320" i="1"/>
  <c r="M319" i="1"/>
  <c r="L319" i="1"/>
  <c r="K319" i="1"/>
  <c r="J319" i="1"/>
  <c r="I319" i="1"/>
  <c r="H319" i="1"/>
  <c r="C319" i="1" s="1"/>
  <c r="G319" i="1"/>
  <c r="F319" i="1"/>
  <c r="E319" i="1"/>
  <c r="D319" i="1"/>
  <c r="M318" i="1"/>
  <c r="L318" i="1"/>
  <c r="K318" i="1"/>
  <c r="J318" i="1"/>
  <c r="I318" i="1"/>
  <c r="H318" i="1"/>
  <c r="C318" i="1" s="1"/>
  <c r="G318" i="1"/>
  <c r="F318" i="1"/>
  <c r="E318" i="1"/>
  <c r="D318" i="1"/>
  <c r="M317" i="1"/>
  <c r="L317" i="1"/>
  <c r="K317" i="1"/>
  <c r="J317" i="1"/>
  <c r="I317" i="1"/>
  <c r="H317" i="1"/>
  <c r="C317" i="1" s="1"/>
  <c r="G317" i="1"/>
  <c r="F317" i="1"/>
  <c r="E317" i="1"/>
  <c r="D317" i="1"/>
  <c r="M316" i="1"/>
  <c r="L316" i="1"/>
  <c r="K316" i="1"/>
  <c r="J316" i="1"/>
  <c r="I316" i="1"/>
  <c r="H316" i="1"/>
  <c r="C316" i="1" s="1"/>
  <c r="G316" i="1"/>
  <c r="F316" i="1"/>
  <c r="E316" i="1"/>
  <c r="D316" i="1"/>
  <c r="M315" i="1"/>
  <c r="L315" i="1"/>
  <c r="K315" i="1"/>
  <c r="J315" i="1"/>
  <c r="I315" i="1"/>
  <c r="H315" i="1"/>
  <c r="C315" i="1" s="1"/>
  <c r="G315" i="1"/>
  <c r="F315" i="1"/>
  <c r="E315" i="1"/>
  <c r="D315" i="1"/>
  <c r="M314" i="1"/>
  <c r="L314" i="1"/>
  <c r="K314" i="1"/>
  <c r="J314" i="1"/>
  <c r="I314" i="1"/>
  <c r="H314" i="1"/>
  <c r="C314" i="1" s="1"/>
  <c r="G314" i="1"/>
  <c r="F314" i="1"/>
  <c r="E314" i="1"/>
  <c r="D314" i="1"/>
  <c r="M313" i="1"/>
  <c r="L313" i="1"/>
  <c r="K313" i="1"/>
  <c r="J313" i="1"/>
  <c r="I313" i="1"/>
  <c r="H313" i="1"/>
  <c r="C313" i="1" s="1"/>
  <c r="G313" i="1"/>
  <c r="F313" i="1"/>
  <c r="E313" i="1"/>
  <c r="D313" i="1"/>
  <c r="M312" i="1"/>
  <c r="L312" i="1"/>
  <c r="K312" i="1"/>
  <c r="J312" i="1"/>
  <c r="I312" i="1"/>
  <c r="H312" i="1"/>
  <c r="C312" i="1" s="1"/>
  <c r="G312" i="1"/>
  <c r="F312" i="1"/>
  <c r="E312" i="1"/>
  <c r="D312" i="1"/>
  <c r="M311" i="1"/>
  <c r="L311" i="1"/>
  <c r="K311" i="1"/>
  <c r="J311" i="1"/>
  <c r="I311" i="1"/>
  <c r="H311" i="1"/>
  <c r="C311" i="1" s="1"/>
  <c r="G311" i="1"/>
  <c r="F311" i="1"/>
  <c r="E311" i="1"/>
  <c r="D311" i="1"/>
  <c r="M310" i="1"/>
  <c r="L310" i="1"/>
  <c r="K310" i="1"/>
  <c r="J310" i="1"/>
  <c r="I310" i="1"/>
  <c r="H310" i="1"/>
  <c r="C310" i="1" s="1"/>
  <c r="G310" i="1"/>
  <c r="F310" i="1"/>
  <c r="E310" i="1"/>
  <c r="D310" i="1"/>
  <c r="M309" i="1"/>
  <c r="L309" i="1"/>
  <c r="K309" i="1"/>
  <c r="J309" i="1"/>
  <c r="I309" i="1"/>
  <c r="H309" i="1"/>
  <c r="C309" i="1" s="1"/>
  <c r="G309" i="1"/>
  <c r="F309" i="1"/>
  <c r="E309" i="1"/>
  <c r="D309" i="1"/>
  <c r="M308" i="1"/>
  <c r="L308" i="1"/>
  <c r="K308" i="1"/>
  <c r="J308" i="1"/>
  <c r="I308" i="1"/>
  <c r="H308" i="1"/>
  <c r="C308" i="1" s="1"/>
  <c r="G308" i="1"/>
  <c r="F308" i="1"/>
  <c r="E308" i="1"/>
  <c r="D308" i="1"/>
  <c r="M307" i="1"/>
  <c r="L307" i="1"/>
  <c r="K307" i="1"/>
  <c r="J307" i="1"/>
  <c r="I307" i="1"/>
  <c r="H307" i="1"/>
  <c r="C307" i="1" s="1"/>
  <c r="G307" i="1"/>
  <c r="F307" i="1"/>
  <c r="E307" i="1"/>
  <c r="D307" i="1"/>
  <c r="M306" i="1"/>
  <c r="L306" i="1"/>
  <c r="K306" i="1"/>
  <c r="J306" i="1"/>
  <c r="I306" i="1"/>
  <c r="H306" i="1"/>
  <c r="C306" i="1" s="1"/>
  <c r="G306" i="1"/>
  <c r="F306" i="1"/>
  <c r="E306" i="1"/>
  <c r="D306" i="1"/>
  <c r="M305" i="1"/>
  <c r="L305" i="1"/>
  <c r="K305" i="1"/>
  <c r="J305" i="1"/>
  <c r="I305" i="1"/>
  <c r="H305" i="1"/>
  <c r="C305" i="1" s="1"/>
  <c r="G305" i="1"/>
  <c r="F305" i="1"/>
  <c r="E305" i="1"/>
  <c r="D305" i="1"/>
  <c r="M304" i="1"/>
  <c r="L304" i="1"/>
  <c r="K304" i="1"/>
  <c r="J304" i="1"/>
  <c r="I304" i="1"/>
  <c r="H304" i="1"/>
  <c r="C304" i="1" s="1"/>
  <c r="G304" i="1"/>
  <c r="F304" i="1"/>
  <c r="E304" i="1"/>
  <c r="D304" i="1"/>
  <c r="M303" i="1"/>
  <c r="L303" i="1"/>
  <c r="K303" i="1"/>
  <c r="J303" i="1"/>
  <c r="I303" i="1"/>
  <c r="H303" i="1"/>
  <c r="C303" i="1" s="1"/>
  <c r="G303" i="1"/>
  <c r="F303" i="1"/>
  <c r="E303" i="1"/>
  <c r="D303" i="1"/>
  <c r="M302" i="1"/>
  <c r="L302" i="1"/>
  <c r="K302" i="1"/>
  <c r="J302" i="1"/>
  <c r="I302" i="1"/>
  <c r="H302" i="1"/>
  <c r="C302" i="1" s="1"/>
  <c r="G302" i="1"/>
  <c r="F302" i="1"/>
  <c r="E302" i="1"/>
  <c r="D302" i="1"/>
  <c r="M301" i="1"/>
  <c r="L301" i="1"/>
  <c r="K301" i="1"/>
  <c r="J301" i="1"/>
  <c r="I301" i="1"/>
  <c r="H301" i="1"/>
  <c r="C301" i="1" s="1"/>
  <c r="G301" i="1"/>
  <c r="F301" i="1"/>
  <c r="E301" i="1"/>
  <c r="D301" i="1"/>
  <c r="M300" i="1"/>
  <c r="L300" i="1"/>
  <c r="K300" i="1"/>
  <c r="J300" i="1"/>
  <c r="I300" i="1"/>
  <c r="H300" i="1"/>
  <c r="C300" i="1" s="1"/>
  <c r="G300" i="1"/>
  <c r="F300" i="1"/>
  <c r="E300" i="1"/>
  <c r="D300" i="1"/>
  <c r="M299" i="1"/>
  <c r="L299" i="1"/>
  <c r="K299" i="1"/>
  <c r="J299" i="1"/>
  <c r="I299" i="1"/>
  <c r="H299" i="1"/>
  <c r="C299" i="1" s="1"/>
  <c r="G299" i="1"/>
  <c r="F299" i="1"/>
  <c r="E299" i="1"/>
  <c r="D299" i="1"/>
  <c r="M298" i="1"/>
  <c r="L298" i="1"/>
  <c r="K298" i="1"/>
  <c r="J298" i="1"/>
  <c r="I298" i="1"/>
  <c r="H298" i="1"/>
  <c r="C298" i="1" s="1"/>
  <c r="G298" i="1"/>
  <c r="F298" i="1"/>
  <c r="E298" i="1"/>
  <c r="D298" i="1"/>
  <c r="M297" i="1"/>
  <c r="L297" i="1"/>
  <c r="K297" i="1"/>
  <c r="J297" i="1"/>
  <c r="I297" i="1"/>
  <c r="H297" i="1"/>
  <c r="C297" i="1" s="1"/>
  <c r="G297" i="1"/>
  <c r="F297" i="1"/>
  <c r="E297" i="1"/>
  <c r="D297" i="1"/>
  <c r="M296" i="1"/>
  <c r="L296" i="1"/>
  <c r="K296" i="1"/>
  <c r="J296" i="1"/>
  <c r="I296" i="1"/>
  <c r="H296" i="1"/>
  <c r="C296" i="1" s="1"/>
  <c r="G296" i="1"/>
  <c r="F296" i="1"/>
  <c r="E296" i="1"/>
  <c r="D296" i="1"/>
  <c r="M295" i="1"/>
  <c r="L295" i="1"/>
  <c r="K295" i="1"/>
  <c r="J295" i="1"/>
  <c r="I295" i="1"/>
  <c r="H295" i="1"/>
  <c r="C295" i="1" s="1"/>
  <c r="G295" i="1"/>
  <c r="F295" i="1"/>
  <c r="E295" i="1"/>
  <c r="D295" i="1"/>
  <c r="M294" i="1"/>
  <c r="L294" i="1"/>
  <c r="K294" i="1"/>
  <c r="J294" i="1"/>
  <c r="I294" i="1"/>
  <c r="H294" i="1"/>
  <c r="C294" i="1" s="1"/>
  <c r="G294" i="1"/>
  <c r="F294" i="1"/>
  <c r="E294" i="1"/>
  <c r="D294" i="1"/>
  <c r="M293" i="1"/>
  <c r="L293" i="1"/>
  <c r="K293" i="1"/>
  <c r="J293" i="1"/>
  <c r="I293" i="1"/>
  <c r="H293" i="1"/>
  <c r="C293" i="1" s="1"/>
  <c r="G293" i="1"/>
  <c r="F293" i="1"/>
  <c r="E293" i="1"/>
  <c r="D293" i="1"/>
  <c r="M292" i="1"/>
  <c r="L292" i="1"/>
  <c r="K292" i="1"/>
  <c r="J292" i="1"/>
  <c r="I292" i="1"/>
  <c r="H292" i="1"/>
  <c r="C292" i="1" s="1"/>
  <c r="G292" i="1"/>
  <c r="F292" i="1"/>
  <c r="E292" i="1"/>
  <c r="D292" i="1"/>
  <c r="M291" i="1"/>
  <c r="L291" i="1"/>
  <c r="K291" i="1"/>
  <c r="J291" i="1"/>
  <c r="I291" i="1"/>
  <c r="H291" i="1"/>
  <c r="C291" i="1" s="1"/>
  <c r="G291" i="1"/>
  <c r="F291" i="1"/>
  <c r="E291" i="1"/>
  <c r="D291" i="1"/>
  <c r="M290" i="1"/>
  <c r="L290" i="1"/>
  <c r="K290" i="1"/>
  <c r="J290" i="1"/>
  <c r="I290" i="1"/>
  <c r="H290" i="1"/>
  <c r="C290" i="1" s="1"/>
  <c r="G290" i="1"/>
  <c r="F290" i="1"/>
  <c r="E290" i="1"/>
  <c r="D290" i="1"/>
  <c r="M289" i="1"/>
  <c r="L289" i="1"/>
  <c r="K289" i="1"/>
  <c r="J289" i="1"/>
  <c r="I289" i="1"/>
  <c r="H289" i="1"/>
  <c r="C289" i="1" s="1"/>
  <c r="G289" i="1"/>
  <c r="F289" i="1"/>
  <c r="E289" i="1"/>
  <c r="D289" i="1"/>
  <c r="M288" i="1"/>
  <c r="L288" i="1"/>
  <c r="K288" i="1"/>
  <c r="J288" i="1"/>
  <c r="I288" i="1"/>
  <c r="H288" i="1"/>
  <c r="C288" i="1" s="1"/>
  <c r="G288" i="1"/>
  <c r="F288" i="1"/>
  <c r="E288" i="1"/>
  <c r="D288" i="1"/>
  <c r="M287" i="1"/>
  <c r="L287" i="1"/>
  <c r="K287" i="1"/>
  <c r="J287" i="1"/>
  <c r="I287" i="1"/>
  <c r="H287" i="1"/>
  <c r="C287" i="1" s="1"/>
  <c r="G287" i="1"/>
  <c r="F287" i="1"/>
  <c r="E287" i="1"/>
  <c r="D287" i="1"/>
  <c r="M286" i="1"/>
  <c r="L286" i="1"/>
  <c r="K286" i="1"/>
  <c r="J286" i="1"/>
  <c r="I286" i="1"/>
  <c r="H286" i="1"/>
  <c r="C286" i="1" s="1"/>
  <c r="G286" i="1"/>
  <c r="F286" i="1"/>
  <c r="E286" i="1"/>
  <c r="D286" i="1"/>
  <c r="M285" i="1"/>
  <c r="L285" i="1"/>
  <c r="K285" i="1"/>
  <c r="J285" i="1"/>
  <c r="I285" i="1"/>
  <c r="H285" i="1"/>
  <c r="C285" i="1" s="1"/>
  <c r="G285" i="1"/>
  <c r="F285" i="1"/>
  <c r="E285" i="1"/>
  <c r="D285" i="1"/>
  <c r="M284" i="1"/>
  <c r="L284" i="1"/>
  <c r="K284" i="1"/>
  <c r="J284" i="1"/>
  <c r="I284" i="1"/>
  <c r="H284" i="1"/>
  <c r="C284" i="1" s="1"/>
  <c r="G284" i="1"/>
  <c r="F284" i="1"/>
  <c r="E284" i="1"/>
  <c r="D284" i="1"/>
  <c r="M283" i="1"/>
  <c r="L283" i="1"/>
  <c r="K283" i="1"/>
  <c r="J283" i="1"/>
  <c r="I283" i="1"/>
  <c r="H283" i="1"/>
  <c r="C283" i="1" s="1"/>
  <c r="G283" i="1"/>
  <c r="F283" i="1"/>
  <c r="E283" i="1"/>
  <c r="D283" i="1"/>
  <c r="M282" i="1"/>
  <c r="L282" i="1"/>
  <c r="K282" i="1"/>
  <c r="J282" i="1"/>
  <c r="I282" i="1"/>
  <c r="H282" i="1"/>
  <c r="C282" i="1" s="1"/>
  <c r="G282" i="1"/>
  <c r="F282" i="1"/>
  <c r="E282" i="1"/>
  <c r="D282" i="1"/>
  <c r="M281" i="1"/>
  <c r="L281" i="1"/>
  <c r="K281" i="1"/>
  <c r="J281" i="1"/>
  <c r="I281" i="1"/>
  <c r="H281" i="1"/>
  <c r="C281" i="1" s="1"/>
  <c r="G281" i="1"/>
  <c r="F281" i="1"/>
  <c r="E281" i="1"/>
  <c r="D281" i="1"/>
  <c r="M280" i="1"/>
  <c r="L280" i="1"/>
  <c r="K280" i="1"/>
  <c r="J280" i="1"/>
  <c r="I280" i="1"/>
  <c r="H280" i="1"/>
  <c r="C280" i="1" s="1"/>
  <c r="G280" i="1"/>
  <c r="F280" i="1"/>
  <c r="E280" i="1"/>
  <c r="D280" i="1"/>
  <c r="M279" i="1"/>
  <c r="L279" i="1"/>
  <c r="K279" i="1"/>
  <c r="J279" i="1"/>
  <c r="I279" i="1"/>
  <c r="H279" i="1"/>
  <c r="C279" i="1" s="1"/>
  <c r="G279" i="1"/>
  <c r="F279" i="1"/>
  <c r="E279" i="1"/>
  <c r="D279" i="1"/>
  <c r="M278" i="1"/>
  <c r="L278" i="1"/>
  <c r="K278" i="1"/>
  <c r="J278" i="1"/>
  <c r="I278" i="1"/>
  <c r="H278" i="1"/>
  <c r="C278" i="1" s="1"/>
  <c r="G278" i="1"/>
  <c r="F278" i="1"/>
  <c r="E278" i="1"/>
  <c r="D278" i="1"/>
  <c r="M277" i="1"/>
  <c r="L277" i="1"/>
  <c r="K277" i="1"/>
  <c r="J277" i="1"/>
  <c r="I277" i="1"/>
  <c r="H277" i="1"/>
  <c r="C277" i="1" s="1"/>
  <c r="G277" i="1"/>
  <c r="F277" i="1"/>
  <c r="E277" i="1"/>
  <c r="D277" i="1"/>
  <c r="M276" i="1"/>
  <c r="L276" i="1"/>
  <c r="K276" i="1"/>
  <c r="J276" i="1"/>
  <c r="I276" i="1"/>
  <c r="H276" i="1"/>
  <c r="C276" i="1" s="1"/>
  <c r="G276" i="1"/>
  <c r="F276" i="1"/>
  <c r="E276" i="1"/>
  <c r="D276" i="1"/>
  <c r="M275" i="1"/>
  <c r="L275" i="1"/>
  <c r="K275" i="1"/>
  <c r="J275" i="1"/>
  <c r="I275" i="1"/>
  <c r="H275" i="1"/>
  <c r="C275" i="1" s="1"/>
  <c r="G275" i="1"/>
  <c r="F275" i="1"/>
  <c r="E275" i="1"/>
  <c r="D275" i="1"/>
  <c r="M274" i="1"/>
  <c r="L274" i="1"/>
  <c r="K274" i="1"/>
  <c r="J274" i="1"/>
  <c r="I274" i="1"/>
  <c r="H274" i="1"/>
  <c r="C274" i="1" s="1"/>
  <c r="G274" i="1"/>
  <c r="F274" i="1"/>
  <c r="E274" i="1"/>
  <c r="D274" i="1"/>
  <c r="M273" i="1"/>
  <c r="L273" i="1"/>
  <c r="K273" i="1"/>
  <c r="J273" i="1"/>
  <c r="I273" i="1"/>
  <c r="H273" i="1"/>
  <c r="C273" i="1" s="1"/>
  <c r="G273" i="1"/>
  <c r="F273" i="1"/>
  <c r="E273" i="1"/>
  <c r="D273" i="1"/>
  <c r="M272" i="1"/>
  <c r="L272" i="1"/>
  <c r="K272" i="1"/>
  <c r="J272" i="1"/>
  <c r="I272" i="1"/>
  <c r="H272" i="1"/>
  <c r="C272" i="1" s="1"/>
  <c r="G272" i="1"/>
  <c r="F272" i="1"/>
  <c r="E272" i="1"/>
  <c r="D272" i="1"/>
  <c r="M271" i="1"/>
  <c r="L271" i="1"/>
  <c r="K271" i="1"/>
  <c r="J271" i="1"/>
  <c r="I271" i="1"/>
  <c r="H271" i="1"/>
  <c r="C271" i="1" s="1"/>
  <c r="G271" i="1"/>
  <c r="F271" i="1"/>
  <c r="E271" i="1"/>
  <c r="D271" i="1"/>
  <c r="M270" i="1"/>
  <c r="L270" i="1"/>
  <c r="K270" i="1"/>
  <c r="J270" i="1"/>
  <c r="I270" i="1"/>
  <c r="H270" i="1"/>
  <c r="C270" i="1" s="1"/>
  <c r="G270" i="1"/>
  <c r="F270" i="1"/>
  <c r="E270" i="1"/>
  <c r="D270" i="1"/>
  <c r="M269" i="1"/>
  <c r="L269" i="1"/>
  <c r="K269" i="1"/>
  <c r="J269" i="1"/>
  <c r="I269" i="1"/>
  <c r="H269" i="1"/>
  <c r="C269" i="1" s="1"/>
  <c r="G269" i="1"/>
  <c r="F269" i="1"/>
  <c r="E269" i="1"/>
  <c r="D269" i="1"/>
  <c r="M268" i="1"/>
  <c r="L268" i="1"/>
  <c r="K268" i="1"/>
  <c r="J268" i="1"/>
  <c r="I268" i="1"/>
  <c r="H268" i="1"/>
  <c r="C268" i="1" s="1"/>
  <c r="G268" i="1"/>
  <c r="F268" i="1"/>
  <c r="E268" i="1"/>
  <c r="D268" i="1"/>
  <c r="M267" i="1"/>
  <c r="L267" i="1"/>
  <c r="K267" i="1"/>
  <c r="J267" i="1"/>
  <c r="I267" i="1"/>
  <c r="H267" i="1"/>
  <c r="C267" i="1" s="1"/>
  <c r="G267" i="1"/>
  <c r="F267" i="1"/>
  <c r="E267" i="1"/>
  <c r="D267" i="1"/>
  <c r="M266" i="1"/>
  <c r="L266" i="1"/>
  <c r="K266" i="1"/>
  <c r="J266" i="1"/>
  <c r="I266" i="1"/>
  <c r="H266" i="1"/>
  <c r="C266" i="1" s="1"/>
  <c r="G266" i="1"/>
  <c r="F266" i="1"/>
  <c r="E266" i="1"/>
  <c r="D266" i="1"/>
  <c r="M265" i="1"/>
  <c r="L265" i="1"/>
  <c r="K265" i="1"/>
  <c r="J265" i="1"/>
  <c r="I265" i="1"/>
  <c r="H265" i="1"/>
  <c r="C265" i="1" s="1"/>
  <c r="G265" i="1"/>
  <c r="F265" i="1"/>
  <c r="E265" i="1"/>
  <c r="D265" i="1"/>
  <c r="M264" i="1"/>
  <c r="L264" i="1"/>
  <c r="K264" i="1"/>
  <c r="J264" i="1"/>
  <c r="I264" i="1"/>
  <c r="H264" i="1"/>
  <c r="C264" i="1" s="1"/>
  <c r="G264" i="1"/>
  <c r="F264" i="1"/>
  <c r="E264" i="1"/>
  <c r="D264" i="1"/>
  <c r="M263" i="1"/>
  <c r="L263" i="1"/>
  <c r="K263" i="1"/>
  <c r="J263" i="1"/>
  <c r="I263" i="1"/>
  <c r="H263" i="1"/>
  <c r="C263" i="1" s="1"/>
  <c r="G263" i="1"/>
  <c r="F263" i="1"/>
  <c r="E263" i="1"/>
  <c r="D263" i="1"/>
  <c r="M262" i="1"/>
  <c r="L262" i="1"/>
  <c r="K262" i="1"/>
  <c r="J262" i="1"/>
  <c r="I262" i="1"/>
  <c r="H262" i="1"/>
  <c r="C262" i="1" s="1"/>
  <c r="G262" i="1"/>
  <c r="F262" i="1"/>
  <c r="E262" i="1"/>
  <c r="D262" i="1"/>
  <c r="M261" i="1"/>
  <c r="L261" i="1"/>
  <c r="K261" i="1"/>
  <c r="J261" i="1"/>
  <c r="I261" i="1"/>
  <c r="H261" i="1"/>
  <c r="C261" i="1" s="1"/>
  <c r="G261" i="1"/>
  <c r="F261" i="1"/>
  <c r="E261" i="1"/>
  <c r="D261" i="1"/>
  <c r="M260" i="1"/>
  <c r="L260" i="1"/>
  <c r="K260" i="1"/>
  <c r="J260" i="1"/>
  <c r="I260" i="1"/>
  <c r="H260" i="1"/>
  <c r="C260" i="1" s="1"/>
  <c r="G260" i="1"/>
  <c r="F260" i="1"/>
  <c r="E260" i="1"/>
  <c r="D260" i="1"/>
  <c r="M259" i="1"/>
  <c r="L259" i="1"/>
  <c r="K259" i="1"/>
  <c r="J259" i="1"/>
  <c r="I259" i="1"/>
  <c r="H259" i="1"/>
  <c r="C259" i="1" s="1"/>
  <c r="G259" i="1"/>
  <c r="F259" i="1"/>
  <c r="E259" i="1"/>
  <c r="D259" i="1"/>
  <c r="M258" i="1"/>
  <c r="L258" i="1"/>
  <c r="K258" i="1"/>
  <c r="J258" i="1"/>
  <c r="I258" i="1"/>
  <c r="H258" i="1"/>
  <c r="C258" i="1" s="1"/>
  <c r="G258" i="1"/>
  <c r="F258" i="1"/>
  <c r="E258" i="1"/>
  <c r="D258" i="1"/>
  <c r="M257" i="1"/>
  <c r="L257" i="1"/>
  <c r="K257" i="1"/>
  <c r="J257" i="1"/>
  <c r="I257" i="1"/>
  <c r="H257" i="1"/>
  <c r="C257" i="1" s="1"/>
  <c r="G257" i="1"/>
  <c r="F257" i="1"/>
  <c r="E257" i="1"/>
  <c r="D257" i="1"/>
  <c r="M256" i="1"/>
  <c r="L256" i="1"/>
  <c r="K256" i="1"/>
  <c r="J256" i="1"/>
  <c r="I256" i="1"/>
  <c r="H256" i="1"/>
  <c r="C256" i="1" s="1"/>
  <c r="G256" i="1"/>
  <c r="F256" i="1"/>
  <c r="E256" i="1"/>
  <c r="D256" i="1"/>
  <c r="M255" i="1"/>
  <c r="L255" i="1"/>
  <c r="K255" i="1"/>
  <c r="J255" i="1"/>
  <c r="I255" i="1"/>
  <c r="H255" i="1"/>
  <c r="C255" i="1" s="1"/>
  <c r="G255" i="1"/>
  <c r="F255" i="1"/>
  <c r="E255" i="1"/>
  <c r="D255" i="1"/>
  <c r="M254" i="1"/>
  <c r="L254" i="1"/>
  <c r="K254" i="1"/>
  <c r="J254" i="1"/>
  <c r="I254" i="1"/>
  <c r="H254" i="1"/>
  <c r="C254" i="1" s="1"/>
  <c r="G254" i="1"/>
  <c r="F254" i="1"/>
  <c r="E254" i="1"/>
  <c r="D254" i="1"/>
  <c r="M253" i="1"/>
  <c r="L253" i="1"/>
  <c r="K253" i="1"/>
  <c r="J253" i="1"/>
  <c r="I253" i="1"/>
  <c r="H253" i="1"/>
  <c r="C253" i="1" s="1"/>
  <c r="G253" i="1"/>
  <c r="F253" i="1"/>
  <c r="E253" i="1"/>
  <c r="D253" i="1"/>
  <c r="M252" i="1"/>
  <c r="L252" i="1"/>
  <c r="K252" i="1"/>
  <c r="J252" i="1"/>
  <c r="I252" i="1"/>
  <c r="H252" i="1"/>
  <c r="C252" i="1" s="1"/>
  <c r="G252" i="1"/>
  <c r="F252" i="1"/>
  <c r="E252" i="1"/>
  <c r="D252" i="1"/>
  <c r="M251" i="1"/>
  <c r="L251" i="1"/>
  <c r="K251" i="1"/>
  <c r="J251" i="1"/>
  <c r="I251" i="1"/>
  <c r="H251" i="1"/>
  <c r="C251" i="1" s="1"/>
  <c r="G251" i="1"/>
  <c r="F251" i="1"/>
  <c r="E251" i="1"/>
  <c r="D251" i="1"/>
  <c r="M250" i="1"/>
  <c r="L250" i="1"/>
  <c r="K250" i="1"/>
  <c r="J250" i="1"/>
  <c r="I250" i="1"/>
  <c r="H250" i="1"/>
  <c r="C250" i="1" s="1"/>
  <c r="G250" i="1"/>
  <c r="F250" i="1"/>
  <c r="E250" i="1"/>
  <c r="D250" i="1"/>
  <c r="M249" i="1"/>
  <c r="L249" i="1"/>
  <c r="K249" i="1"/>
  <c r="J249" i="1"/>
  <c r="I249" i="1"/>
  <c r="H249" i="1"/>
  <c r="C249" i="1" s="1"/>
  <c r="G249" i="1"/>
  <c r="F249" i="1"/>
  <c r="E249" i="1"/>
  <c r="D249" i="1"/>
  <c r="M248" i="1"/>
  <c r="L248" i="1"/>
  <c r="K248" i="1"/>
  <c r="J248" i="1"/>
  <c r="I248" i="1"/>
  <c r="H248" i="1"/>
  <c r="C248" i="1" s="1"/>
  <c r="G248" i="1"/>
  <c r="F248" i="1"/>
  <c r="E248" i="1"/>
  <c r="D248" i="1"/>
  <c r="M247" i="1"/>
  <c r="L247" i="1"/>
  <c r="K247" i="1"/>
  <c r="J247" i="1"/>
  <c r="I247" i="1"/>
  <c r="H247" i="1"/>
  <c r="C247" i="1" s="1"/>
  <c r="G247" i="1"/>
  <c r="F247" i="1"/>
  <c r="E247" i="1"/>
  <c r="D247" i="1"/>
  <c r="M246" i="1"/>
  <c r="L246" i="1"/>
  <c r="K246" i="1"/>
  <c r="J246" i="1"/>
  <c r="I246" i="1"/>
  <c r="H246" i="1"/>
  <c r="C246" i="1" s="1"/>
  <c r="G246" i="1"/>
  <c r="F246" i="1"/>
  <c r="E246" i="1"/>
  <c r="D246" i="1"/>
  <c r="M245" i="1"/>
  <c r="L245" i="1"/>
  <c r="K245" i="1"/>
  <c r="J245" i="1"/>
  <c r="I245" i="1"/>
  <c r="H245" i="1"/>
  <c r="C245" i="1" s="1"/>
  <c r="G245" i="1"/>
  <c r="F245" i="1"/>
  <c r="E245" i="1"/>
  <c r="D245" i="1"/>
  <c r="M244" i="1"/>
  <c r="L244" i="1"/>
  <c r="K244" i="1"/>
  <c r="J244" i="1"/>
  <c r="I244" i="1"/>
  <c r="H244" i="1"/>
  <c r="C244" i="1" s="1"/>
  <c r="G244" i="1"/>
  <c r="F244" i="1"/>
  <c r="E244" i="1"/>
  <c r="D244" i="1"/>
  <c r="M243" i="1"/>
  <c r="L243" i="1"/>
  <c r="K243" i="1"/>
  <c r="J243" i="1"/>
  <c r="I243" i="1"/>
  <c r="H243" i="1"/>
  <c r="C243" i="1" s="1"/>
  <c r="G243" i="1"/>
  <c r="F243" i="1"/>
  <c r="E243" i="1"/>
  <c r="D243" i="1"/>
  <c r="M242" i="1"/>
  <c r="L242" i="1"/>
  <c r="K242" i="1"/>
  <c r="J242" i="1"/>
  <c r="I242" i="1"/>
  <c r="H242" i="1"/>
  <c r="C242" i="1" s="1"/>
  <c r="G242" i="1"/>
  <c r="F242" i="1"/>
  <c r="E242" i="1"/>
  <c r="D242" i="1"/>
  <c r="M241" i="1"/>
  <c r="L241" i="1"/>
  <c r="K241" i="1"/>
  <c r="J241" i="1"/>
  <c r="I241" i="1"/>
  <c r="H241" i="1"/>
  <c r="C241" i="1" s="1"/>
  <c r="G241" i="1"/>
  <c r="F241" i="1"/>
  <c r="E241" i="1"/>
  <c r="D241" i="1"/>
  <c r="M240" i="1"/>
  <c r="L240" i="1"/>
  <c r="K240" i="1"/>
  <c r="J240" i="1"/>
  <c r="I240" i="1"/>
  <c r="H240" i="1"/>
  <c r="C240" i="1" s="1"/>
  <c r="G240" i="1"/>
  <c r="F240" i="1"/>
  <c r="E240" i="1"/>
  <c r="D240" i="1"/>
  <c r="M239" i="1"/>
  <c r="L239" i="1"/>
  <c r="K239" i="1"/>
  <c r="J239" i="1"/>
  <c r="I239" i="1"/>
  <c r="H239" i="1"/>
  <c r="C239" i="1" s="1"/>
  <c r="G239" i="1"/>
  <c r="F239" i="1"/>
  <c r="E239" i="1"/>
  <c r="D239" i="1"/>
  <c r="M238" i="1"/>
  <c r="L238" i="1"/>
  <c r="K238" i="1"/>
  <c r="J238" i="1"/>
  <c r="I238" i="1"/>
  <c r="H238" i="1"/>
  <c r="C238" i="1" s="1"/>
  <c r="G238" i="1"/>
  <c r="F238" i="1"/>
  <c r="E238" i="1"/>
  <c r="D238" i="1"/>
  <c r="M237" i="1"/>
  <c r="L237" i="1"/>
  <c r="K237" i="1"/>
  <c r="J237" i="1"/>
  <c r="I237" i="1"/>
  <c r="H237" i="1"/>
  <c r="C237" i="1" s="1"/>
  <c r="G237" i="1"/>
  <c r="F237" i="1"/>
  <c r="E237" i="1"/>
  <c r="D237" i="1"/>
  <c r="M236" i="1"/>
  <c r="L236" i="1"/>
  <c r="K236" i="1"/>
  <c r="J236" i="1"/>
  <c r="I236" i="1"/>
  <c r="H236" i="1"/>
  <c r="C236" i="1" s="1"/>
  <c r="G236" i="1"/>
  <c r="F236" i="1"/>
  <c r="E236" i="1"/>
  <c r="D236" i="1"/>
  <c r="M235" i="1"/>
  <c r="L235" i="1"/>
  <c r="K235" i="1"/>
  <c r="J235" i="1"/>
  <c r="I235" i="1"/>
  <c r="H235" i="1"/>
  <c r="C235" i="1" s="1"/>
  <c r="G235" i="1"/>
  <c r="F235" i="1"/>
  <c r="E235" i="1"/>
  <c r="D235" i="1"/>
  <c r="M234" i="1"/>
  <c r="L234" i="1"/>
  <c r="K234" i="1"/>
  <c r="J234" i="1"/>
  <c r="I234" i="1"/>
  <c r="H234" i="1"/>
  <c r="C234" i="1" s="1"/>
  <c r="G234" i="1"/>
  <c r="F234" i="1"/>
  <c r="E234" i="1"/>
  <c r="D234" i="1"/>
  <c r="M233" i="1"/>
  <c r="L233" i="1"/>
  <c r="K233" i="1"/>
  <c r="J233" i="1"/>
  <c r="I233" i="1"/>
  <c r="H233" i="1"/>
  <c r="C233" i="1" s="1"/>
  <c r="G233" i="1"/>
  <c r="F233" i="1"/>
  <c r="E233" i="1"/>
  <c r="D233" i="1"/>
  <c r="M232" i="1"/>
  <c r="L232" i="1"/>
  <c r="K232" i="1"/>
  <c r="J232" i="1"/>
  <c r="I232" i="1"/>
  <c r="H232" i="1"/>
  <c r="C232" i="1" s="1"/>
  <c r="G232" i="1"/>
  <c r="F232" i="1"/>
  <c r="E232" i="1"/>
  <c r="D232" i="1"/>
  <c r="M231" i="1"/>
  <c r="L231" i="1"/>
  <c r="K231" i="1"/>
  <c r="J231" i="1"/>
  <c r="I231" i="1"/>
  <c r="H231" i="1"/>
  <c r="C231" i="1" s="1"/>
  <c r="G231" i="1"/>
  <c r="F231" i="1"/>
  <c r="E231" i="1"/>
  <c r="D231" i="1"/>
  <c r="M230" i="1"/>
  <c r="L230" i="1"/>
  <c r="K230" i="1"/>
  <c r="J230" i="1"/>
  <c r="I230" i="1"/>
  <c r="H230" i="1"/>
  <c r="C230" i="1" s="1"/>
  <c r="G230" i="1"/>
  <c r="F230" i="1"/>
  <c r="E230" i="1"/>
  <c r="D230" i="1"/>
  <c r="M229" i="1"/>
  <c r="L229" i="1"/>
  <c r="K229" i="1"/>
  <c r="J229" i="1"/>
  <c r="I229" i="1"/>
  <c r="H229" i="1"/>
  <c r="C229" i="1" s="1"/>
  <c r="G229" i="1"/>
  <c r="F229" i="1"/>
  <c r="E229" i="1"/>
  <c r="D229" i="1"/>
  <c r="M228" i="1"/>
  <c r="L228" i="1"/>
  <c r="K228" i="1"/>
  <c r="J228" i="1"/>
  <c r="I228" i="1"/>
  <c r="H228" i="1"/>
  <c r="C228" i="1" s="1"/>
  <c r="G228" i="1"/>
  <c r="F228" i="1"/>
  <c r="E228" i="1"/>
  <c r="D228" i="1"/>
  <c r="M227" i="1"/>
  <c r="L227" i="1"/>
  <c r="K227" i="1"/>
  <c r="J227" i="1"/>
  <c r="I227" i="1"/>
  <c r="H227" i="1"/>
  <c r="C227" i="1" s="1"/>
  <c r="G227" i="1"/>
  <c r="F227" i="1"/>
  <c r="E227" i="1"/>
  <c r="D227" i="1"/>
  <c r="M226" i="1"/>
  <c r="L226" i="1"/>
  <c r="K226" i="1"/>
  <c r="J226" i="1"/>
  <c r="I226" i="1"/>
  <c r="H226" i="1"/>
  <c r="C226" i="1" s="1"/>
  <c r="G226" i="1"/>
  <c r="F226" i="1"/>
  <c r="E226" i="1"/>
  <c r="D226" i="1"/>
  <c r="M225" i="1"/>
  <c r="L225" i="1"/>
  <c r="K225" i="1"/>
  <c r="J225" i="1"/>
  <c r="I225" i="1"/>
  <c r="H225" i="1"/>
  <c r="C225" i="1" s="1"/>
  <c r="G225" i="1"/>
  <c r="F225" i="1"/>
  <c r="E225" i="1"/>
  <c r="D225" i="1"/>
  <c r="M224" i="1"/>
  <c r="L224" i="1"/>
  <c r="K224" i="1"/>
  <c r="J224" i="1"/>
  <c r="I224" i="1"/>
  <c r="H224" i="1"/>
  <c r="C224" i="1" s="1"/>
  <c r="G224" i="1"/>
  <c r="F224" i="1"/>
  <c r="E224" i="1"/>
  <c r="D224" i="1"/>
  <c r="M223" i="1"/>
  <c r="L223" i="1"/>
  <c r="K223" i="1"/>
  <c r="J223" i="1"/>
  <c r="I223" i="1"/>
  <c r="H223" i="1"/>
  <c r="C223" i="1" s="1"/>
  <c r="G223" i="1"/>
  <c r="F223" i="1"/>
  <c r="E223" i="1"/>
  <c r="D223" i="1"/>
  <c r="M222" i="1"/>
  <c r="L222" i="1"/>
  <c r="K222" i="1"/>
  <c r="J222" i="1"/>
  <c r="I222" i="1"/>
  <c r="H222" i="1"/>
  <c r="C222" i="1" s="1"/>
  <c r="G222" i="1"/>
  <c r="F222" i="1"/>
  <c r="E222" i="1"/>
  <c r="D222" i="1"/>
  <c r="M221" i="1"/>
  <c r="L221" i="1"/>
  <c r="K221" i="1"/>
  <c r="J221" i="1"/>
  <c r="I221" i="1"/>
  <c r="H221" i="1"/>
  <c r="C221" i="1" s="1"/>
  <c r="G221" i="1"/>
  <c r="F221" i="1"/>
  <c r="E221" i="1"/>
  <c r="D221" i="1"/>
  <c r="M220" i="1"/>
  <c r="L220" i="1"/>
  <c r="K220" i="1"/>
  <c r="J220" i="1"/>
  <c r="I220" i="1"/>
  <c r="H220" i="1"/>
  <c r="C220" i="1" s="1"/>
  <c r="G220" i="1"/>
  <c r="F220" i="1"/>
  <c r="E220" i="1"/>
  <c r="D220" i="1"/>
  <c r="M219" i="1"/>
  <c r="L219" i="1"/>
  <c r="K219" i="1"/>
  <c r="J219" i="1"/>
  <c r="I219" i="1"/>
  <c r="H219" i="1"/>
  <c r="C219" i="1" s="1"/>
  <c r="G219" i="1"/>
  <c r="F219" i="1"/>
  <c r="E219" i="1"/>
  <c r="D219" i="1"/>
  <c r="M218" i="1"/>
  <c r="L218" i="1"/>
  <c r="K218" i="1"/>
  <c r="J218" i="1"/>
  <c r="I218" i="1"/>
  <c r="H218" i="1"/>
  <c r="C218" i="1" s="1"/>
  <c r="G218" i="1"/>
  <c r="F218" i="1"/>
  <c r="E218" i="1"/>
  <c r="D218" i="1"/>
  <c r="M217" i="1"/>
  <c r="L217" i="1"/>
  <c r="K217" i="1"/>
  <c r="J217" i="1"/>
  <c r="I217" i="1"/>
  <c r="H217" i="1"/>
  <c r="C217" i="1" s="1"/>
  <c r="G217" i="1"/>
  <c r="F217" i="1"/>
  <c r="E217" i="1"/>
  <c r="D217" i="1"/>
  <c r="M216" i="1"/>
  <c r="L216" i="1"/>
  <c r="K216" i="1"/>
  <c r="J216" i="1"/>
  <c r="I216" i="1"/>
  <c r="H216" i="1"/>
  <c r="C216" i="1" s="1"/>
  <c r="G216" i="1"/>
  <c r="F216" i="1"/>
  <c r="E216" i="1"/>
  <c r="D216" i="1"/>
  <c r="M215" i="1"/>
  <c r="L215" i="1"/>
  <c r="K215" i="1"/>
  <c r="J215" i="1"/>
  <c r="I215" i="1"/>
  <c r="H215" i="1"/>
  <c r="C215" i="1" s="1"/>
  <c r="G215" i="1"/>
  <c r="F215" i="1"/>
  <c r="E215" i="1"/>
  <c r="D215" i="1"/>
  <c r="M214" i="1"/>
  <c r="L214" i="1"/>
  <c r="K214" i="1"/>
  <c r="J214" i="1"/>
  <c r="I214" i="1"/>
  <c r="H214" i="1"/>
  <c r="C214" i="1" s="1"/>
  <c r="G214" i="1"/>
  <c r="F214" i="1"/>
  <c r="E214" i="1"/>
  <c r="D214" i="1"/>
  <c r="M213" i="1"/>
  <c r="L213" i="1"/>
  <c r="K213" i="1"/>
  <c r="J213" i="1"/>
  <c r="I213" i="1"/>
  <c r="H213" i="1"/>
  <c r="C213" i="1" s="1"/>
  <c r="G213" i="1"/>
  <c r="F213" i="1"/>
  <c r="E213" i="1"/>
  <c r="D213" i="1"/>
  <c r="M212" i="1"/>
  <c r="L212" i="1"/>
  <c r="K212" i="1"/>
  <c r="J212" i="1"/>
  <c r="I212" i="1"/>
  <c r="H212" i="1"/>
  <c r="C212" i="1" s="1"/>
  <c r="G212" i="1"/>
  <c r="F212" i="1"/>
  <c r="E212" i="1"/>
  <c r="D212" i="1"/>
  <c r="M211" i="1"/>
  <c r="L211" i="1"/>
  <c r="K211" i="1"/>
  <c r="J211" i="1"/>
  <c r="I211" i="1"/>
  <c r="H211" i="1"/>
  <c r="C211" i="1" s="1"/>
  <c r="G211" i="1"/>
  <c r="F211" i="1"/>
  <c r="E211" i="1"/>
  <c r="D211" i="1"/>
  <c r="M210" i="1"/>
  <c r="L210" i="1"/>
  <c r="K210" i="1"/>
  <c r="J210" i="1"/>
  <c r="I210" i="1"/>
  <c r="H210" i="1"/>
  <c r="C210" i="1" s="1"/>
  <c r="G210" i="1"/>
  <c r="F210" i="1"/>
  <c r="E210" i="1"/>
  <c r="D210" i="1"/>
  <c r="M209" i="1"/>
  <c r="L209" i="1"/>
  <c r="K209" i="1"/>
  <c r="J209" i="1"/>
  <c r="I209" i="1"/>
  <c r="H209" i="1"/>
  <c r="C209" i="1" s="1"/>
  <c r="G209" i="1"/>
  <c r="F209" i="1"/>
  <c r="E209" i="1"/>
  <c r="D209" i="1"/>
  <c r="M208" i="1"/>
  <c r="L208" i="1"/>
  <c r="K208" i="1"/>
  <c r="J208" i="1"/>
  <c r="I208" i="1"/>
  <c r="H208" i="1"/>
  <c r="C208" i="1" s="1"/>
  <c r="G208" i="1"/>
  <c r="F208" i="1"/>
  <c r="E208" i="1"/>
  <c r="D208" i="1"/>
  <c r="M207" i="1"/>
  <c r="L207" i="1"/>
  <c r="K207" i="1"/>
  <c r="J207" i="1"/>
  <c r="I207" i="1"/>
  <c r="H207" i="1"/>
  <c r="C207" i="1" s="1"/>
  <c r="G207" i="1"/>
  <c r="F207" i="1"/>
  <c r="E207" i="1"/>
  <c r="D207" i="1"/>
  <c r="M206" i="1"/>
  <c r="L206" i="1"/>
  <c r="K206" i="1"/>
  <c r="J206" i="1"/>
  <c r="I206" i="1"/>
  <c r="H206" i="1"/>
  <c r="C206" i="1" s="1"/>
  <c r="G206" i="1"/>
  <c r="F206" i="1"/>
  <c r="E206" i="1"/>
  <c r="D206" i="1"/>
  <c r="M205" i="1"/>
  <c r="L205" i="1"/>
  <c r="K205" i="1"/>
  <c r="J205" i="1"/>
  <c r="I205" i="1"/>
  <c r="H205" i="1"/>
  <c r="C205" i="1" s="1"/>
  <c r="G205" i="1"/>
  <c r="F205" i="1"/>
  <c r="E205" i="1"/>
  <c r="D205" i="1"/>
  <c r="M204" i="1"/>
  <c r="L204" i="1"/>
  <c r="K204" i="1"/>
  <c r="J204" i="1"/>
  <c r="I204" i="1"/>
  <c r="H204" i="1"/>
  <c r="C204" i="1" s="1"/>
  <c r="G204" i="1"/>
  <c r="F204" i="1"/>
  <c r="E204" i="1"/>
  <c r="D204" i="1"/>
  <c r="M203" i="1"/>
  <c r="L203" i="1"/>
  <c r="K203" i="1"/>
  <c r="J203" i="1"/>
  <c r="I203" i="1"/>
  <c r="H203" i="1"/>
  <c r="C203" i="1" s="1"/>
  <c r="G203" i="1"/>
  <c r="F203" i="1"/>
  <c r="E203" i="1"/>
  <c r="D203" i="1"/>
  <c r="M202" i="1"/>
  <c r="L202" i="1"/>
  <c r="K202" i="1"/>
  <c r="J202" i="1"/>
  <c r="I202" i="1"/>
  <c r="H202" i="1"/>
  <c r="C202" i="1" s="1"/>
  <c r="G202" i="1"/>
  <c r="F202" i="1"/>
  <c r="E202" i="1"/>
  <c r="D202" i="1"/>
  <c r="M201" i="1"/>
  <c r="L201" i="1"/>
  <c r="K201" i="1"/>
  <c r="J201" i="1"/>
  <c r="I201" i="1"/>
  <c r="H201" i="1"/>
  <c r="C201" i="1" s="1"/>
  <c r="G201" i="1"/>
  <c r="F201" i="1"/>
  <c r="E201" i="1"/>
  <c r="D201" i="1"/>
  <c r="M200" i="1"/>
  <c r="L200" i="1"/>
  <c r="K200" i="1"/>
  <c r="J200" i="1"/>
  <c r="I200" i="1"/>
  <c r="H200" i="1"/>
  <c r="C200" i="1" s="1"/>
  <c r="G200" i="1"/>
  <c r="F200" i="1"/>
  <c r="E200" i="1"/>
  <c r="D200" i="1"/>
  <c r="M199" i="1"/>
  <c r="L199" i="1"/>
  <c r="K199" i="1"/>
  <c r="J199" i="1"/>
  <c r="I199" i="1"/>
  <c r="H199" i="1"/>
  <c r="C199" i="1" s="1"/>
  <c r="G199" i="1"/>
  <c r="F199" i="1"/>
  <c r="E199" i="1"/>
  <c r="D199" i="1"/>
  <c r="M198" i="1"/>
  <c r="L198" i="1"/>
  <c r="K198" i="1"/>
  <c r="J198" i="1"/>
  <c r="I198" i="1"/>
  <c r="H198" i="1"/>
  <c r="C198" i="1" s="1"/>
  <c r="G198" i="1"/>
  <c r="F198" i="1"/>
  <c r="E198" i="1"/>
  <c r="D198" i="1"/>
  <c r="M197" i="1"/>
  <c r="L197" i="1"/>
  <c r="K197" i="1"/>
  <c r="J197" i="1"/>
  <c r="I197" i="1"/>
  <c r="H197" i="1"/>
  <c r="C197" i="1" s="1"/>
  <c r="G197" i="1"/>
  <c r="F197" i="1"/>
  <c r="E197" i="1"/>
  <c r="D197" i="1"/>
  <c r="M196" i="1"/>
  <c r="L196" i="1"/>
  <c r="K196" i="1"/>
  <c r="J196" i="1"/>
  <c r="I196" i="1"/>
  <c r="H196" i="1"/>
  <c r="C196" i="1" s="1"/>
  <c r="G196" i="1"/>
  <c r="F196" i="1"/>
  <c r="E196" i="1"/>
  <c r="D196" i="1"/>
  <c r="M195" i="1"/>
  <c r="L195" i="1"/>
  <c r="K195" i="1"/>
  <c r="J195" i="1"/>
  <c r="I195" i="1"/>
  <c r="H195" i="1"/>
  <c r="C195" i="1" s="1"/>
  <c r="G195" i="1"/>
  <c r="F195" i="1"/>
  <c r="E195" i="1"/>
  <c r="D195" i="1"/>
  <c r="M194" i="1"/>
  <c r="L194" i="1"/>
  <c r="K194" i="1"/>
  <c r="J194" i="1"/>
  <c r="I194" i="1"/>
  <c r="H194" i="1"/>
  <c r="C194" i="1" s="1"/>
  <c r="G194" i="1"/>
  <c r="F194" i="1"/>
  <c r="E194" i="1"/>
  <c r="D194" i="1"/>
  <c r="M193" i="1"/>
  <c r="L193" i="1"/>
  <c r="K193" i="1"/>
  <c r="J193" i="1"/>
  <c r="I193" i="1"/>
  <c r="H193" i="1"/>
  <c r="C193" i="1" s="1"/>
  <c r="G193" i="1"/>
  <c r="F193" i="1"/>
  <c r="E193" i="1"/>
  <c r="D193" i="1"/>
  <c r="M192" i="1"/>
  <c r="L192" i="1"/>
  <c r="K192" i="1"/>
  <c r="J192" i="1"/>
  <c r="I192" i="1"/>
  <c r="H192" i="1"/>
  <c r="C192" i="1" s="1"/>
  <c r="G192" i="1"/>
  <c r="F192" i="1"/>
  <c r="E192" i="1"/>
  <c r="D192" i="1"/>
  <c r="M191" i="1"/>
  <c r="L191" i="1"/>
  <c r="K191" i="1"/>
  <c r="J191" i="1"/>
  <c r="I191" i="1"/>
  <c r="H191" i="1"/>
  <c r="C191" i="1" s="1"/>
  <c r="G191" i="1"/>
  <c r="F191" i="1"/>
  <c r="E191" i="1"/>
  <c r="D191" i="1"/>
  <c r="M190" i="1"/>
  <c r="L190" i="1"/>
  <c r="K190" i="1"/>
  <c r="J190" i="1"/>
  <c r="I190" i="1"/>
  <c r="H190" i="1"/>
  <c r="C190" i="1" s="1"/>
  <c r="G190" i="1"/>
  <c r="F190" i="1"/>
  <c r="E190" i="1"/>
  <c r="D190" i="1"/>
  <c r="M189" i="1"/>
  <c r="L189" i="1"/>
  <c r="K189" i="1"/>
  <c r="J189" i="1"/>
  <c r="I189" i="1"/>
  <c r="H189" i="1"/>
  <c r="C189" i="1" s="1"/>
  <c r="G189" i="1"/>
  <c r="F189" i="1"/>
  <c r="E189" i="1"/>
  <c r="D189" i="1"/>
  <c r="M188" i="1"/>
  <c r="L188" i="1"/>
  <c r="K188" i="1"/>
  <c r="J188" i="1"/>
  <c r="I188" i="1"/>
  <c r="H188" i="1"/>
  <c r="C188" i="1" s="1"/>
  <c r="G188" i="1"/>
  <c r="F188" i="1"/>
  <c r="E188" i="1"/>
  <c r="D188" i="1"/>
  <c r="M187" i="1"/>
  <c r="L187" i="1"/>
  <c r="K187" i="1"/>
  <c r="J187" i="1"/>
  <c r="I187" i="1"/>
  <c r="H187" i="1"/>
  <c r="C187" i="1" s="1"/>
  <c r="G187" i="1"/>
  <c r="F187" i="1"/>
  <c r="E187" i="1"/>
  <c r="D187" i="1"/>
  <c r="M186" i="1"/>
  <c r="L186" i="1"/>
  <c r="K186" i="1"/>
  <c r="J186" i="1"/>
  <c r="I186" i="1"/>
  <c r="H186" i="1"/>
  <c r="C186" i="1" s="1"/>
  <c r="G186" i="1"/>
  <c r="F186" i="1"/>
  <c r="E186" i="1"/>
  <c r="D186" i="1"/>
  <c r="M185" i="1"/>
  <c r="L185" i="1"/>
  <c r="K185" i="1"/>
  <c r="J185" i="1"/>
  <c r="I185" i="1"/>
  <c r="H185" i="1"/>
  <c r="C185" i="1" s="1"/>
  <c r="G185" i="1"/>
  <c r="F185" i="1"/>
  <c r="E185" i="1"/>
  <c r="D185" i="1"/>
  <c r="M184" i="1"/>
  <c r="L184" i="1"/>
  <c r="K184" i="1"/>
  <c r="J184" i="1"/>
  <c r="I184" i="1"/>
  <c r="H184" i="1"/>
  <c r="C184" i="1" s="1"/>
  <c r="G184" i="1"/>
  <c r="F184" i="1"/>
  <c r="E184" i="1"/>
  <c r="D184" i="1"/>
  <c r="M183" i="1"/>
  <c r="L183" i="1"/>
  <c r="K183" i="1"/>
  <c r="J183" i="1"/>
  <c r="I183" i="1"/>
  <c r="H183" i="1"/>
  <c r="C183" i="1" s="1"/>
  <c r="G183" i="1"/>
  <c r="F183" i="1"/>
  <c r="E183" i="1"/>
  <c r="D183" i="1"/>
  <c r="M182" i="1"/>
  <c r="L182" i="1"/>
  <c r="K182" i="1"/>
  <c r="J182" i="1"/>
  <c r="I182" i="1"/>
  <c r="H182" i="1"/>
  <c r="C182" i="1" s="1"/>
  <c r="G182" i="1"/>
  <c r="F182" i="1"/>
  <c r="E182" i="1"/>
  <c r="D182" i="1"/>
  <c r="M181" i="1"/>
  <c r="L181" i="1"/>
  <c r="K181" i="1"/>
  <c r="J181" i="1"/>
  <c r="I181" i="1"/>
  <c r="H181" i="1"/>
  <c r="C181" i="1" s="1"/>
  <c r="G181" i="1"/>
  <c r="F181" i="1"/>
  <c r="E181" i="1"/>
  <c r="D181" i="1"/>
  <c r="M180" i="1"/>
  <c r="L180" i="1"/>
  <c r="K180" i="1"/>
  <c r="J180" i="1"/>
  <c r="I180" i="1"/>
  <c r="H180" i="1"/>
  <c r="C180" i="1" s="1"/>
  <c r="G180" i="1"/>
  <c r="F180" i="1"/>
  <c r="E180" i="1"/>
  <c r="D180" i="1"/>
  <c r="M179" i="1"/>
  <c r="L179" i="1"/>
  <c r="K179" i="1"/>
  <c r="J179" i="1"/>
  <c r="I179" i="1"/>
  <c r="H179" i="1"/>
  <c r="C179" i="1" s="1"/>
  <c r="G179" i="1"/>
  <c r="F179" i="1"/>
  <c r="E179" i="1"/>
  <c r="D179" i="1"/>
  <c r="M178" i="1"/>
  <c r="L178" i="1"/>
  <c r="K178" i="1"/>
  <c r="J178" i="1"/>
  <c r="I178" i="1"/>
  <c r="H178" i="1"/>
  <c r="C178" i="1" s="1"/>
  <c r="G178" i="1"/>
  <c r="F178" i="1"/>
  <c r="E178" i="1"/>
  <c r="D178" i="1"/>
  <c r="M177" i="1"/>
  <c r="L177" i="1"/>
  <c r="K177" i="1"/>
  <c r="J177" i="1"/>
  <c r="I177" i="1"/>
  <c r="H177" i="1"/>
  <c r="C177" i="1" s="1"/>
  <c r="G177" i="1"/>
  <c r="F177" i="1"/>
  <c r="E177" i="1"/>
  <c r="D177" i="1"/>
  <c r="M176" i="1"/>
  <c r="L176" i="1"/>
  <c r="K176" i="1"/>
  <c r="J176" i="1"/>
  <c r="I176" i="1"/>
  <c r="H176" i="1"/>
  <c r="C176" i="1" s="1"/>
  <c r="G176" i="1"/>
  <c r="F176" i="1"/>
  <c r="E176" i="1"/>
  <c r="D176" i="1"/>
  <c r="M175" i="1"/>
  <c r="L175" i="1"/>
  <c r="K175" i="1"/>
  <c r="J175" i="1"/>
  <c r="I175" i="1"/>
  <c r="H175" i="1"/>
  <c r="C175" i="1" s="1"/>
  <c r="G175" i="1"/>
  <c r="F175" i="1"/>
  <c r="E175" i="1"/>
  <c r="D175" i="1"/>
  <c r="M174" i="1"/>
  <c r="L174" i="1"/>
  <c r="K174" i="1"/>
  <c r="J174" i="1"/>
  <c r="I174" i="1"/>
  <c r="H174" i="1"/>
  <c r="C174" i="1" s="1"/>
  <c r="G174" i="1"/>
  <c r="F174" i="1"/>
  <c r="E174" i="1"/>
  <c r="D174" i="1"/>
  <c r="M173" i="1"/>
  <c r="L173" i="1"/>
  <c r="K173" i="1"/>
  <c r="J173" i="1"/>
  <c r="I173" i="1"/>
  <c r="H173" i="1"/>
  <c r="C173" i="1" s="1"/>
  <c r="G173" i="1"/>
  <c r="F173" i="1"/>
  <c r="E173" i="1"/>
  <c r="D173" i="1"/>
  <c r="M172" i="1"/>
  <c r="L172" i="1"/>
  <c r="K172" i="1"/>
  <c r="J172" i="1"/>
  <c r="I172" i="1"/>
  <c r="H172" i="1"/>
  <c r="C172" i="1" s="1"/>
  <c r="G172" i="1"/>
  <c r="F172" i="1"/>
  <c r="E172" i="1"/>
  <c r="D172" i="1"/>
  <c r="M171" i="1"/>
  <c r="L171" i="1"/>
  <c r="K171" i="1"/>
  <c r="J171" i="1"/>
  <c r="I171" i="1"/>
  <c r="H171" i="1"/>
  <c r="C171" i="1" s="1"/>
  <c r="G171" i="1"/>
  <c r="F171" i="1"/>
  <c r="E171" i="1"/>
  <c r="D171" i="1"/>
  <c r="M170" i="1"/>
  <c r="L170" i="1"/>
  <c r="K170" i="1"/>
  <c r="J170" i="1"/>
  <c r="I170" i="1"/>
  <c r="H170" i="1"/>
  <c r="C170" i="1" s="1"/>
  <c r="G170" i="1"/>
  <c r="F170" i="1"/>
  <c r="E170" i="1"/>
  <c r="D170" i="1"/>
  <c r="M169" i="1"/>
  <c r="L169" i="1"/>
  <c r="K169" i="1"/>
  <c r="J169" i="1"/>
  <c r="I169" i="1"/>
  <c r="H169" i="1"/>
  <c r="C169" i="1" s="1"/>
  <c r="G169" i="1"/>
  <c r="F169" i="1"/>
  <c r="E169" i="1"/>
  <c r="D169" i="1"/>
  <c r="M168" i="1"/>
  <c r="L168" i="1"/>
  <c r="K168" i="1"/>
  <c r="J168" i="1"/>
  <c r="I168" i="1"/>
  <c r="H168" i="1"/>
  <c r="C168" i="1" s="1"/>
  <c r="G168" i="1"/>
  <c r="F168" i="1"/>
  <c r="E168" i="1"/>
  <c r="D168" i="1"/>
  <c r="M167" i="1"/>
  <c r="L167" i="1"/>
  <c r="K167" i="1"/>
  <c r="J167" i="1"/>
  <c r="I167" i="1"/>
  <c r="H167" i="1"/>
  <c r="C167" i="1" s="1"/>
  <c r="G167" i="1"/>
  <c r="F167" i="1"/>
  <c r="E167" i="1"/>
  <c r="D167" i="1"/>
  <c r="M166" i="1"/>
  <c r="L166" i="1"/>
  <c r="K166" i="1"/>
  <c r="J166" i="1"/>
  <c r="I166" i="1"/>
  <c r="H166" i="1"/>
  <c r="C166" i="1" s="1"/>
  <c r="G166" i="1"/>
  <c r="F166" i="1"/>
  <c r="E166" i="1"/>
  <c r="D166" i="1"/>
  <c r="M165" i="1"/>
  <c r="L165" i="1"/>
  <c r="K165" i="1"/>
  <c r="J165" i="1"/>
  <c r="I165" i="1"/>
  <c r="H165" i="1"/>
  <c r="C165" i="1" s="1"/>
  <c r="G165" i="1"/>
  <c r="F165" i="1"/>
  <c r="E165" i="1"/>
  <c r="D165" i="1"/>
  <c r="M164" i="1"/>
  <c r="L164" i="1"/>
  <c r="K164" i="1"/>
  <c r="J164" i="1"/>
  <c r="I164" i="1"/>
  <c r="H164" i="1"/>
  <c r="C164" i="1" s="1"/>
  <c r="G164" i="1"/>
  <c r="F164" i="1"/>
  <c r="E164" i="1"/>
  <c r="D164" i="1"/>
  <c r="M163" i="1"/>
  <c r="L163" i="1"/>
  <c r="K163" i="1"/>
  <c r="J163" i="1"/>
  <c r="I163" i="1"/>
  <c r="H163" i="1"/>
  <c r="C163" i="1" s="1"/>
  <c r="G163" i="1"/>
  <c r="F163" i="1"/>
  <c r="E163" i="1"/>
  <c r="D163" i="1"/>
  <c r="M162" i="1"/>
  <c r="L162" i="1"/>
  <c r="K162" i="1"/>
  <c r="J162" i="1"/>
  <c r="I162" i="1"/>
  <c r="H162" i="1"/>
  <c r="C162" i="1" s="1"/>
  <c r="G162" i="1"/>
  <c r="F162" i="1"/>
  <c r="E162" i="1"/>
  <c r="D162" i="1"/>
  <c r="M161" i="1"/>
  <c r="L161" i="1"/>
  <c r="K161" i="1"/>
  <c r="J161" i="1"/>
  <c r="I161" i="1"/>
  <c r="H161" i="1"/>
  <c r="C161" i="1" s="1"/>
  <c r="G161" i="1"/>
  <c r="F161" i="1"/>
  <c r="E161" i="1"/>
  <c r="D161" i="1"/>
  <c r="M160" i="1"/>
  <c r="L160" i="1"/>
  <c r="K160" i="1"/>
  <c r="J160" i="1"/>
  <c r="I160" i="1"/>
  <c r="H160" i="1"/>
  <c r="C160" i="1" s="1"/>
  <c r="G160" i="1"/>
  <c r="F160" i="1"/>
  <c r="E160" i="1"/>
  <c r="D160" i="1"/>
  <c r="M159" i="1"/>
  <c r="L159" i="1"/>
  <c r="K159" i="1"/>
  <c r="J159" i="1"/>
  <c r="I159" i="1"/>
  <c r="H159" i="1"/>
  <c r="C159" i="1" s="1"/>
  <c r="G159" i="1"/>
  <c r="F159" i="1"/>
  <c r="E159" i="1"/>
  <c r="D159" i="1"/>
  <c r="M158" i="1"/>
  <c r="L158" i="1"/>
  <c r="K158" i="1"/>
  <c r="J158" i="1"/>
  <c r="I158" i="1"/>
  <c r="H158" i="1"/>
  <c r="C158" i="1" s="1"/>
  <c r="G158" i="1"/>
  <c r="F158" i="1"/>
  <c r="E158" i="1"/>
  <c r="D158" i="1"/>
  <c r="M157" i="1"/>
  <c r="L157" i="1"/>
  <c r="K157" i="1"/>
  <c r="J157" i="1"/>
  <c r="I157" i="1"/>
  <c r="H157" i="1"/>
  <c r="C157" i="1" s="1"/>
  <c r="G157" i="1"/>
  <c r="F157" i="1"/>
  <c r="E157" i="1"/>
  <c r="D157" i="1"/>
  <c r="M156" i="1"/>
  <c r="L156" i="1"/>
  <c r="K156" i="1"/>
  <c r="J156" i="1"/>
  <c r="I156" i="1"/>
  <c r="H156" i="1"/>
  <c r="C156" i="1" s="1"/>
  <c r="G156" i="1"/>
  <c r="F156" i="1"/>
  <c r="E156" i="1"/>
  <c r="D156" i="1"/>
  <c r="M155" i="1"/>
  <c r="L155" i="1"/>
  <c r="K155" i="1"/>
  <c r="J155" i="1"/>
  <c r="I155" i="1"/>
  <c r="H155" i="1"/>
  <c r="C155" i="1" s="1"/>
  <c r="G155" i="1"/>
  <c r="F155" i="1"/>
  <c r="E155" i="1"/>
  <c r="D155" i="1"/>
  <c r="M154" i="1"/>
  <c r="L154" i="1"/>
  <c r="K154" i="1"/>
  <c r="J154" i="1"/>
  <c r="I154" i="1"/>
  <c r="H154" i="1"/>
  <c r="C154" i="1" s="1"/>
  <c r="G154" i="1"/>
  <c r="F154" i="1"/>
  <c r="E154" i="1"/>
  <c r="D154" i="1"/>
  <c r="M153" i="1"/>
  <c r="L153" i="1"/>
  <c r="K153" i="1"/>
  <c r="J153" i="1"/>
  <c r="I153" i="1"/>
  <c r="H153" i="1"/>
  <c r="C153" i="1" s="1"/>
  <c r="G153" i="1"/>
  <c r="F153" i="1"/>
  <c r="E153" i="1"/>
  <c r="D153" i="1"/>
  <c r="M152" i="1"/>
  <c r="L152" i="1"/>
  <c r="K152" i="1"/>
  <c r="J152" i="1"/>
  <c r="I152" i="1"/>
  <c r="H152" i="1"/>
  <c r="C152" i="1" s="1"/>
  <c r="G152" i="1"/>
  <c r="F152" i="1"/>
  <c r="E152" i="1"/>
  <c r="D152" i="1"/>
  <c r="M151" i="1"/>
  <c r="L151" i="1"/>
  <c r="K151" i="1"/>
  <c r="J151" i="1"/>
  <c r="I151" i="1"/>
  <c r="H151" i="1"/>
  <c r="C151" i="1" s="1"/>
  <c r="G151" i="1"/>
  <c r="F151" i="1"/>
  <c r="E151" i="1"/>
  <c r="D151" i="1"/>
  <c r="M150" i="1"/>
  <c r="L150" i="1"/>
  <c r="K150" i="1"/>
  <c r="J150" i="1"/>
  <c r="I150" i="1"/>
  <c r="H150" i="1"/>
  <c r="C150" i="1" s="1"/>
  <c r="G150" i="1"/>
  <c r="F150" i="1"/>
  <c r="E150" i="1"/>
  <c r="D150" i="1"/>
  <c r="M149" i="1"/>
  <c r="L149" i="1"/>
  <c r="K149" i="1"/>
  <c r="J149" i="1"/>
  <c r="I149" i="1"/>
  <c r="H149" i="1"/>
  <c r="C149" i="1" s="1"/>
  <c r="G149" i="1"/>
  <c r="F149" i="1"/>
  <c r="E149" i="1"/>
  <c r="D149" i="1"/>
  <c r="M148" i="1"/>
  <c r="L148" i="1"/>
  <c r="K148" i="1"/>
  <c r="J148" i="1"/>
  <c r="I148" i="1"/>
  <c r="H148" i="1"/>
  <c r="C148" i="1" s="1"/>
  <c r="G148" i="1"/>
  <c r="F148" i="1"/>
  <c r="E148" i="1"/>
  <c r="D148" i="1"/>
  <c r="M147" i="1"/>
  <c r="L147" i="1"/>
  <c r="K147" i="1"/>
  <c r="J147" i="1"/>
  <c r="I147" i="1"/>
  <c r="H147" i="1"/>
  <c r="C147" i="1" s="1"/>
  <c r="G147" i="1"/>
  <c r="F147" i="1"/>
  <c r="E147" i="1"/>
  <c r="D147" i="1"/>
  <c r="M146" i="1"/>
  <c r="L146" i="1"/>
  <c r="K146" i="1"/>
  <c r="J146" i="1"/>
  <c r="I146" i="1"/>
  <c r="H146" i="1"/>
  <c r="C146" i="1" s="1"/>
  <c r="G146" i="1"/>
  <c r="F146" i="1"/>
  <c r="E146" i="1"/>
  <c r="D146" i="1"/>
  <c r="M145" i="1"/>
  <c r="L145" i="1"/>
  <c r="K145" i="1"/>
  <c r="J145" i="1"/>
  <c r="I145" i="1"/>
  <c r="H145" i="1"/>
  <c r="C145" i="1" s="1"/>
  <c r="G145" i="1"/>
  <c r="F145" i="1"/>
  <c r="E145" i="1"/>
  <c r="D145" i="1"/>
  <c r="M144" i="1"/>
  <c r="L144" i="1"/>
  <c r="K144" i="1"/>
  <c r="J144" i="1"/>
  <c r="I144" i="1"/>
  <c r="H144" i="1"/>
  <c r="C144" i="1" s="1"/>
  <c r="G144" i="1"/>
  <c r="F144" i="1"/>
  <c r="E144" i="1"/>
  <c r="D144" i="1"/>
  <c r="M143" i="1"/>
  <c r="L143" i="1"/>
  <c r="K143" i="1"/>
  <c r="J143" i="1"/>
  <c r="I143" i="1"/>
  <c r="H143" i="1"/>
  <c r="C143" i="1" s="1"/>
  <c r="G143" i="1"/>
  <c r="F143" i="1"/>
  <c r="E143" i="1"/>
  <c r="D143" i="1"/>
  <c r="M142" i="1"/>
  <c r="L142" i="1"/>
  <c r="K142" i="1"/>
  <c r="J142" i="1"/>
  <c r="I142" i="1"/>
  <c r="H142" i="1"/>
  <c r="C142" i="1" s="1"/>
  <c r="G142" i="1"/>
  <c r="F142" i="1"/>
  <c r="E142" i="1"/>
  <c r="D142" i="1"/>
  <c r="M141" i="1"/>
  <c r="L141" i="1"/>
  <c r="K141" i="1"/>
  <c r="J141" i="1"/>
  <c r="I141" i="1"/>
  <c r="H141" i="1"/>
  <c r="C141" i="1" s="1"/>
  <c r="G141" i="1"/>
  <c r="F141" i="1"/>
  <c r="E141" i="1"/>
  <c r="D141" i="1"/>
  <c r="M140" i="1"/>
  <c r="L140" i="1"/>
  <c r="K140" i="1"/>
  <c r="J140" i="1"/>
  <c r="I140" i="1"/>
  <c r="H140" i="1"/>
  <c r="C140" i="1" s="1"/>
  <c r="G140" i="1"/>
  <c r="F140" i="1"/>
  <c r="E140" i="1"/>
  <c r="D140" i="1"/>
  <c r="M139" i="1"/>
  <c r="L139" i="1"/>
  <c r="K139" i="1"/>
  <c r="J139" i="1"/>
  <c r="I139" i="1"/>
  <c r="H139" i="1"/>
  <c r="C139" i="1" s="1"/>
  <c r="G139" i="1"/>
  <c r="F139" i="1"/>
  <c r="E139" i="1"/>
  <c r="D139" i="1"/>
  <c r="M138" i="1"/>
  <c r="L138" i="1"/>
  <c r="K138" i="1"/>
  <c r="J138" i="1"/>
  <c r="I138" i="1"/>
  <c r="H138" i="1"/>
  <c r="C138" i="1" s="1"/>
  <c r="G138" i="1"/>
  <c r="F138" i="1"/>
  <c r="E138" i="1"/>
  <c r="D138" i="1"/>
  <c r="M137" i="1"/>
  <c r="L137" i="1"/>
  <c r="K137" i="1"/>
  <c r="J137" i="1"/>
  <c r="I137" i="1"/>
  <c r="H137" i="1"/>
  <c r="C137" i="1" s="1"/>
  <c r="G137" i="1"/>
  <c r="F137" i="1"/>
  <c r="E137" i="1"/>
  <c r="D137" i="1"/>
  <c r="M136" i="1"/>
  <c r="L136" i="1"/>
  <c r="K136" i="1"/>
  <c r="J136" i="1"/>
  <c r="I136" i="1"/>
  <c r="H136" i="1"/>
  <c r="C136" i="1" s="1"/>
  <c r="G136" i="1"/>
  <c r="F136" i="1"/>
  <c r="E136" i="1"/>
  <c r="D136" i="1"/>
  <c r="M135" i="1"/>
  <c r="L135" i="1"/>
  <c r="K135" i="1"/>
  <c r="J135" i="1"/>
  <c r="I135" i="1"/>
  <c r="H135" i="1"/>
  <c r="C135" i="1" s="1"/>
  <c r="G135" i="1"/>
  <c r="F135" i="1"/>
  <c r="E135" i="1"/>
  <c r="D135" i="1"/>
  <c r="M134" i="1"/>
  <c r="L134" i="1"/>
  <c r="K134" i="1"/>
  <c r="J134" i="1"/>
  <c r="I134" i="1"/>
  <c r="H134" i="1"/>
  <c r="C134" i="1" s="1"/>
  <c r="G134" i="1"/>
  <c r="F134" i="1"/>
  <c r="E134" i="1"/>
  <c r="D134" i="1"/>
  <c r="M133" i="1"/>
  <c r="L133" i="1"/>
  <c r="K133" i="1"/>
  <c r="J133" i="1"/>
  <c r="I133" i="1"/>
  <c r="H133" i="1"/>
  <c r="C133" i="1" s="1"/>
  <c r="G133" i="1"/>
  <c r="F133" i="1"/>
  <c r="E133" i="1"/>
  <c r="D133" i="1"/>
  <c r="M132" i="1"/>
  <c r="L132" i="1"/>
  <c r="K132" i="1"/>
  <c r="J132" i="1"/>
  <c r="I132" i="1"/>
  <c r="H132" i="1"/>
  <c r="C132" i="1" s="1"/>
  <c r="G132" i="1"/>
  <c r="F132" i="1"/>
  <c r="E132" i="1"/>
  <c r="D132" i="1"/>
  <c r="M131" i="1"/>
  <c r="L131" i="1"/>
  <c r="K131" i="1"/>
  <c r="J131" i="1"/>
  <c r="I131" i="1"/>
  <c r="H131" i="1"/>
  <c r="C131" i="1" s="1"/>
  <c r="G131" i="1"/>
  <c r="F131" i="1"/>
  <c r="E131" i="1"/>
  <c r="D131" i="1"/>
  <c r="M130" i="1"/>
  <c r="L130" i="1"/>
  <c r="K130" i="1"/>
  <c r="J130" i="1"/>
  <c r="I130" i="1"/>
  <c r="H130" i="1"/>
  <c r="C130" i="1" s="1"/>
  <c r="G130" i="1"/>
  <c r="F130" i="1"/>
  <c r="E130" i="1"/>
  <c r="D130" i="1"/>
  <c r="M129" i="1"/>
  <c r="L129" i="1"/>
  <c r="K129" i="1"/>
  <c r="J129" i="1"/>
  <c r="I129" i="1"/>
  <c r="H129" i="1"/>
  <c r="C129" i="1" s="1"/>
  <c r="G129" i="1"/>
  <c r="F129" i="1"/>
  <c r="E129" i="1"/>
  <c r="D129" i="1"/>
  <c r="M128" i="1"/>
  <c r="L128" i="1"/>
  <c r="K128" i="1"/>
  <c r="J128" i="1"/>
  <c r="I128" i="1"/>
  <c r="H128" i="1"/>
  <c r="C128" i="1" s="1"/>
  <c r="G128" i="1"/>
  <c r="F128" i="1"/>
  <c r="E128" i="1"/>
  <c r="D128" i="1"/>
  <c r="M127" i="1"/>
  <c r="L127" i="1"/>
  <c r="K127" i="1"/>
  <c r="J127" i="1"/>
  <c r="I127" i="1"/>
  <c r="H127" i="1"/>
  <c r="C127" i="1" s="1"/>
  <c r="G127" i="1"/>
  <c r="F127" i="1"/>
  <c r="E127" i="1"/>
  <c r="D127" i="1"/>
  <c r="M126" i="1"/>
  <c r="L126" i="1"/>
  <c r="K126" i="1"/>
  <c r="J126" i="1"/>
  <c r="I126" i="1"/>
  <c r="H126" i="1"/>
  <c r="C126" i="1" s="1"/>
  <c r="G126" i="1"/>
  <c r="F126" i="1"/>
  <c r="E126" i="1"/>
  <c r="D126" i="1"/>
  <c r="M125" i="1"/>
  <c r="L125" i="1"/>
  <c r="K125" i="1"/>
  <c r="J125" i="1"/>
  <c r="I125" i="1"/>
  <c r="H125" i="1"/>
  <c r="C125" i="1" s="1"/>
  <c r="G125" i="1"/>
  <c r="F125" i="1"/>
  <c r="E125" i="1"/>
  <c r="D125" i="1"/>
  <c r="M124" i="1"/>
  <c r="L124" i="1"/>
  <c r="K124" i="1"/>
  <c r="J124" i="1"/>
  <c r="I124" i="1"/>
  <c r="H124" i="1"/>
  <c r="C124" i="1" s="1"/>
  <c r="G124" i="1"/>
  <c r="F124" i="1"/>
  <c r="E124" i="1"/>
  <c r="D124" i="1"/>
  <c r="M123" i="1"/>
  <c r="L123" i="1"/>
  <c r="K123" i="1"/>
  <c r="J123" i="1"/>
  <c r="I123" i="1"/>
  <c r="H123" i="1"/>
  <c r="C123" i="1" s="1"/>
  <c r="G123" i="1"/>
  <c r="F123" i="1"/>
  <c r="E123" i="1"/>
  <c r="D123" i="1"/>
  <c r="M122" i="1"/>
  <c r="L122" i="1"/>
  <c r="K122" i="1"/>
  <c r="J122" i="1"/>
  <c r="I122" i="1"/>
  <c r="H122" i="1"/>
  <c r="C122" i="1" s="1"/>
  <c r="G122" i="1"/>
  <c r="F122" i="1"/>
  <c r="E122" i="1"/>
  <c r="D122" i="1"/>
  <c r="M121" i="1"/>
  <c r="L121" i="1"/>
  <c r="K121" i="1"/>
  <c r="J121" i="1"/>
  <c r="I121" i="1"/>
  <c r="H121" i="1"/>
  <c r="C121" i="1" s="1"/>
  <c r="G121" i="1"/>
  <c r="F121" i="1"/>
  <c r="E121" i="1"/>
  <c r="D121" i="1"/>
  <c r="M120" i="1"/>
  <c r="L120" i="1"/>
  <c r="K120" i="1"/>
  <c r="J120" i="1"/>
  <c r="I120" i="1"/>
  <c r="H120" i="1"/>
  <c r="C120" i="1" s="1"/>
  <c r="G120" i="1"/>
  <c r="F120" i="1"/>
  <c r="E120" i="1"/>
  <c r="D120" i="1"/>
  <c r="M119" i="1"/>
  <c r="L119" i="1"/>
  <c r="K119" i="1"/>
  <c r="J119" i="1"/>
  <c r="I119" i="1"/>
  <c r="H119" i="1"/>
  <c r="C119" i="1" s="1"/>
  <c r="G119" i="1"/>
  <c r="F119" i="1"/>
  <c r="E119" i="1"/>
  <c r="D119" i="1"/>
  <c r="M118" i="1"/>
  <c r="L118" i="1"/>
  <c r="K118" i="1"/>
  <c r="J118" i="1"/>
  <c r="I118" i="1"/>
  <c r="H118" i="1"/>
  <c r="C118" i="1" s="1"/>
  <c r="G118" i="1"/>
  <c r="F118" i="1"/>
  <c r="E118" i="1"/>
  <c r="D118" i="1"/>
  <c r="M117" i="1"/>
  <c r="L117" i="1"/>
  <c r="K117" i="1"/>
  <c r="J117" i="1"/>
  <c r="I117" i="1"/>
  <c r="H117" i="1"/>
  <c r="C117" i="1" s="1"/>
  <c r="G117" i="1"/>
  <c r="F117" i="1"/>
  <c r="E117" i="1"/>
  <c r="D117" i="1"/>
  <c r="M116" i="1"/>
  <c r="L116" i="1"/>
  <c r="K116" i="1"/>
  <c r="J116" i="1"/>
  <c r="I116" i="1"/>
  <c r="H116" i="1"/>
  <c r="C116" i="1" s="1"/>
  <c r="G116" i="1"/>
  <c r="F116" i="1"/>
  <c r="E116" i="1"/>
  <c r="D116" i="1"/>
  <c r="M115" i="1"/>
  <c r="L115" i="1"/>
  <c r="K115" i="1"/>
  <c r="J115" i="1"/>
  <c r="I115" i="1"/>
  <c r="H115" i="1"/>
  <c r="C115" i="1" s="1"/>
  <c r="G115" i="1"/>
  <c r="F115" i="1"/>
  <c r="E115" i="1"/>
  <c r="D115" i="1"/>
  <c r="M114" i="1"/>
  <c r="L114" i="1"/>
  <c r="K114" i="1"/>
  <c r="J114" i="1"/>
  <c r="I114" i="1"/>
  <c r="H114" i="1"/>
  <c r="C114" i="1" s="1"/>
  <c r="G114" i="1"/>
  <c r="F114" i="1"/>
  <c r="E114" i="1"/>
  <c r="D114" i="1"/>
  <c r="M113" i="1"/>
  <c r="L113" i="1"/>
  <c r="K113" i="1"/>
  <c r="J113" i="1"/>
  <c r="I113" i="1"/>
  <c r="H113" i="1"/>
  <c r="C113" i="1" s="1"/>
  <c r="G113" i="1"/>
  <c r="F113" i="1"/>
  <c r="E113" i="1"/>
  <c r="D113" i="1"/>
  <c r="M112" i="1"/>
  <c r="L112" i="1"/>
  <c r="K112" i="1"/>
  <c r="J112" i="1"/>
  <c r="I112" i="1"/>
  <c r="H112" i="1"/>
  <c r="C112" i="1" s="1"/>
  <c r="G112" i="1"/>
  <c r="F112" i="1"/>
  <c r="E112" i="1"/>
  <c r="D112" i="1"/>
  <c r="M111" i="1"/>
  <c r="L111" i="1"/>
  <c r="K111" i="1"/>
  <c r="J111" i="1"/>
  <c r="I111" i="1"/>
  <c r="H111" i="1"/>
  <c r="C111" i="1" s="1"/>
  <c r="G111" i="1"/>
  <c r="F111" i="1"/>
  <c r="E111" i="1"/>
  <c r="D111" i="1"/>
  <c r="M110" i="1"/>
  <c r="L110" i="1"/>
  <c r="K110" i="1"/>
  <c r="J110" i="1"/>
  <c r="I110" i="1"/>
  <c r="H110" i="1"/>
  <c r="C110" i="1" s="1"/>
  <c r="G110" i="1"/>
  <c r="F110" i="1"/>
  <c r="E110" i="1"/>
  <c r="D110" i="1"/>
  <c r="M109" i="1"/>
  <c r="L109" i="1"/>
  <c r="K109" i="1"/>
  <c r="J109" i="1"/>
  <c r="I109" i="1"/>
  <c r="H109" i="1"/>
  <c r="C109" i="1" s="1"/>
  <c r="G109" i="1"/>
  <c r="F109" i="1"/>
  <c r="E109" i="1"/>
  <c r="D109" i="1"/>
  <c r="M108" i="1"/>
  <c r="L108" i="1"/>
  <c r="K108" i="1"/>
  <c r="J108" i="1"/>
  <c r="I108" i="1"/>
  <c r="H108" i="1"/>
  <c r="C108" i="1" s="1"/>
  <c r="G108" i="1"/>
  <c r="F108" i="1"/>
  <c r="E108" i="1"/>
  <c r="D108" i="1"/>
  <c r="M107" i="1"/>
  <c r="L107" i="1"/>
  <c r="K107" i="1"/>
  <c r="J107" i="1"/>
  <c r="I107" i="1"/>
  <c r="H107" i="1"/>
  <c r="C107" i="1" s="1"/>
  <c r="G107" i="1"/>
  <c r="F107" i="1"/>
  <c r="E107" i="1"/>
  <c r="D107" i="1"/>
  <c r="M106" i="1"/>
  <c r="L106" i="1"/>
  <c r="K106" i="1"/>
  <c r="J106" i="1"/>
  <c r="I106" i="1"/>
  <c r="H106" i="1"/>
  <c r="C106" i="1" s="1"/>
  <c r="G106" i="1"/>
  <c r="F106" i="1"/>
  <c r="E106" i="1"/>
  <c r="D106" i="1"/>
  <c r="M105" i="1"/>
  <c r="L105" i="1"/>
  <c r="K105" i="1"/>
  <c r="J105" i="1"/>
  <c r="I105" i="1"/>
  <c r="H105" i="1"/>
  <c r="C105" i="1" s="1"/>
  <c r="G105" i="1"/>
  <c r="F105" i="1"/>
  <c r="E105" i="1"/>
  <c r="D105" i="1"/>
  <c r="M104" i="1"/>
  <c r="L104" i="1"/>
  <c r="K104" i="1"/>
  <c r="J104" i="1"/>
  <c r="I104" i="1"/>
  <c r="H104" i="1"/>
  <c r="C104" i="1" s="1"/>
  <c r="G104" i="1"/>
  <c r="F104" i="1"/>
  <c r="E104" i="1"/>
  <c r="D104" i="1"/>
  <c r="M103" i="1"/>
  <c r="L103" i="1"/>
  <c r="K103" i="1"/>
  <c r="J103" i="1"/>
  <c r="I103" i="1"/>
  <c r="H103" i="1"/>
  <c r="C103" i="1" s="1"/>
  <c r="G103" i="1"/>
  <c r="F103" i="1"/>
  <c r="E103" i="1"/>
  <c r="D103" i="1"/>
  <c r="M102" i="1"/>
  <c r="L102" i="1"/>
  <c r="K102" i="1"/>
  <c r="J102" i="1"/>
  <c r="I102" i="1"/>
  <c r="H102" i="1"/>
  <c r="C102" i="1" s="1"/>
  <c r="G102" i="1"/>
  <c r="F102" i="1"/>
  <c r="E102" i="1"/>
  <c r="D102" i="1"/>
  <c r="M101" i="1"/>
  <c r="L101" i="1"/>
  <c r="K101" i="1"/>
  <c r="J101" i="1"/>
  <c r="I101" i="1"/>
  <c r="H101" i="1"/>
  <c r="C101" i="1" s="1"/>
  <c r="G101" i="1"/>
  <c r="F101" i="1"/>
  <c r="E101" i="1"/>
  <c r="D101" i="1"/>
  <c r="M100" i="1"/>
  <c r="L100" i="1"/>
  <c r="K100" i="1"/>
  <c r="J100" i="1"/>
  <c r="I100" i="1"/>
  <c r="H100" i="1"/>
  <c r="C100" i="1" s="1"/>
  <c r="G100" i="1"/>
  <c r="F100" i="1"/>
  <c r="E100" i="1"/>
  <c r="D100" i="1"/>
  <c r="M99" i="1"/>
  <c r="L99" i="1"/>
  <c r="K99" i="1"/>
  <c r="J99" i="1"/>
  <c r="I99" i="1"/>
  <c r="H99" i="1"/>
  <c r="C99" i="1" s="1"/>
  <c r="G99" i="1"/>
  <c r="F99" i="1"/>
  <c r="E99" i="1"/>
  <c r="D99" i="1"/>
  <c r="M98" i="1"/>
  <c r="L98" i="1"/>
  <c r="K98" i="1"/>
  <c r="J98" i="1"/>
  <c r="I98" i="1"/>
  <c r="H98" i="1"/>
  <c r="C98" i="1" s="1"/>
  <c r="G98" i="1"/>
  <c r="F98" i="1"/>
  <c r="E98" i="1"/>
  <c r="D98" i="1"/>
  <c r="M97" i="1"/>
  <c r="L97" i="1"/>
  <c r="K97" i="1"/>
  <c r="J97" i="1"/>
  <c r="I97" i="1"/>
  <c r="H97" i="1"/>
  <c r="C97" i="1" s="1"/>
  <c r="G97" i="1"/>
  <c r="F97" i="1"/>
  <c r="E97" i="1"/>
  <c r="D97" i="1"/>
  <c r="M96" i="1"/>
  <c r="L96" i="1"/>
  <c r="K96" i="1"/>
  <c r="J96" i="1"/>
  <c r="I96" i="1"/>
  <c r="H96" i="1"/>
  <c r="C96" i="1" s="1"/>
  <c r="G96" i="1"/>
  <c r="F96" i="1"/>
  <c r="E96" i="1"/>
  <c r="D96" i="1"/>
  <c r="M95" i="1"/>
  <c r="L95" i="1"/>
  <c r="K95" i="1"/>
  <c r="J95" i="1"/>
  <c r="I95" i="1"/>
  <c r="H95" i="1"/>
  <c r="C95" i="1" s="1"/>
  <c r="G95" i="1"/>
  <c r="F95" i="1"/>
  <c r="E95" i="1"/>
  <c r="D95" i="1"/>
  <c r="M94" i="1"/>
  <c r="L94" i="1"/>
  <c r="K94" i="1"/>
  <c r="J94" i="1"/>
  <c r="I94" i="1"/>
  <c r="H94" i="1"/>
  <c r="C94" i="1" s="1"/>
  <c r="G94" i="1"/>
  <c r="F94" i="1"/>
  <c r="E94" i="1"/>
  <c r="D94" i="1"/>
  <c r="M93" i="1"/>
  <c r="L93" i="1"/>
  <c r="K93" i="1"/>
  <c r="J93" i="1"/>
  <c r="I93" i="1"/>
  <c r="H93" i="1"/>
  <c r="C93" i="1" s="1"/>
  <c r="G93" i="1"/>
  <c r="F93" i="1"/>
  <c r="E93" i="1"/>
  <c r="D93" i="1"/>
  <c r="M92" i="1"/>
  <c r="L92" i="1"/>
  <c r="K92" i="1"/>
  <c r="J92" i="1"/>
  <c r="I92" i="1"/>
  <c r="H92" i="1"/>
  <c r="C92" i="1" s="1"/>
  <c r="G92" i="1"/>
  <c r="F92" i="1"/>
  <c r="E92" i="1"/>
  <c r="D92" i="1"/>
  <c r="M91" i="1"/>
  <c r="L91" i="1"/>
  <c r="K91" i="1"/>
  <c r="J91" i="1"/>
  <c r="I91" i="1"/>
  <c r="H91" i="1"/>
  <c r="C91" i="1" s="1"/>
  <c r="G91" i="1"/>
  <c r="F91" i="1"/>
  <c r="E91" i="1"/>
  <c r="D91" i="1"/>
  <c r="M90" i="1"/>
  <c r="L90" i="1"/>
  <c r="K90" i="1"/>
  <c r="J90" i="1"/>
  <c r="I90" i="1"/>
  <c r="H90" i="1"/>
  <c r="C90" i="1" s="1"/>
  <c r="G90" i="1"/>
  <c r="F90" i="1"/>
  <c r="E90" i="1"/>
  <c r="D90" i="1"/>
  <c r="M89" i="1"/>
  <c r="L89" i="1"/>
  <c r="K89" i="1"/>
  <c r="J89" i="1"/>
  <c r="I89" i="1"/>
  <c r="H89" i="1"/>
  <c r="C89" i="1" s="1"/>
  <c r="G89" i="1"/>
  <c r="F89" i="1"/>
  <c r="E89" i="1"/>
  <c r="D89" i="1"/>
  <c r="M88" i="1"/>
  <c r="L88" i="1"/>
  <c r="K88" i="1"/>
  <c r="J88" i="1"/>
  <c r="I88" i="1"/>
  <c r="H88" i="1"/>
  <c r="C88" i="1" s="1"/>
  <c r="G88" i="1"/>
  <c r="F88" i="1"/>
  <c r="E88" i="1"/>
  <c r="D88" i="1"/>
  <c r="M87" i="1"/>
  <c r="L87" i="1"/>
  <c r="K87" i="1"/>
  <c r="J87" i="1"/>
  <c r="I87" i="1"/>
  <c r="H87" i="1"/>
  <c r="C87" i="1" s="1"/>
  <c r="G87" i="1"/>
  <c r="F87" i="1"/>
  <c r="E87" i="1"/>
  <c r="D87" i="1"/>
  <c r="M86" i="1"/>
  <c r="L86" i="1"/>
  <c r="K86" i="1"/>
  <c r="J86" i="1"/>
  <c r="I86" i="1"/>
  <c r="H86" i="1"/>
  <c r="C86" i="1" s="1"/>
  <c r="G86" i="1"/>
  <c r="F86" i="1"/>
  <c r="E86" i="1"/>
  <c r="D86" i="1"/>
  <c r="M85" i="1"/>
  <c r="L85" i="1"/>
  <c r="K85" i="1"/>
  <c r="J85" i="1"/>
  <c r="I85" i="1"/>
  <c r="H85" i="1"/>
  <c r="C85" i="1" s="1"/>
  <c r="G85" i="1"/>
  <c r="F85" i="1"/>
  <c r="E85" i="1"/>
  <c r="D85" i="1"/>
  <c r="M84" i="1"/>
  <c r="L84" i="1"/>
  <c r="K84" i="1"/>
  <c r="J84" i="1"/>
  <c r="I84" i="1"/>
  <c r="H84" i="1"/>
  <c r="C84" i="1" s="1"/>
  <c r="G84" i="1"/>
  <c r="F84" i="1"/>
  <c r="E84" i="1"/>
  <c r="D84" i="1"/>
  <c r="M83" i="1"/>
  <c r="L83" i="1"/>
  <c r="K83" i="1"/>
  <c r="J83" i="1"/>
  <c r="I83" i="1"/>
  <c r="H83" i="1"/>
  <c r="C83" i="1" s="1"/>
  <c r="G83" i="1"/>
  <c r="F83" i="1"/>
  <c r="E83" i="1"/>
  <c r="D83" i="1"/>
  <c r="M82" i="1"/>
  <c r="L82" i="1"/>
  <c r="K82" i="1"/>
  <c r="J82" i="1"/>
  <c r="I82" i="1"/>
  <c r="H82" i="1"/>
  <c r="C82" i="1" s="1"/>
  <c r="G82" i="1"/>
  <c r="F82" i="1"/>
  <c r="E82" i="1"/>
  <c r="D82" i="1"/>
  <c r="M81" i="1"/>
  <c r="L81" i="1"/>
  <c r="K81" i="1"/>
  <c r="J81" i="1"/>
  <c r="I81" i="1"/>
  <c r="H81" i="1"/>
  <c r="C81" i="1" s="1"/>
  <c r="G81" i="1"/>
  <c r="F81" i="1"/>
  <c r="E81" i="1"/>
  <c r="D81" i="1"/>
  <c r="M80" i="1"/>
  <c r="L80" i="1"/>
  <c r="K80" i="1"/>
  <c r="J80" i="1"/>
  <c r="I80" i="1"/>
  <c r="H80" i="1"/>
  <c r="C80" i="1" s="1"/>
  <c r="G80" i="1"/>
  <c r="F80" i="1"/>
  <c r="E80" i="1"/>
  <c r="D80" i="1"/>
  <c r="M79" i="1"/>
  <c r="L79" i="1"/>
  <c r="K79" i="1"/>
  <c r="J79" i="1"/>
  <c r="I79" i="1"/>
  <c r="H79" i="1"/>
  <c r="C79" i="1" s="1"/>
  <c r="G79" i="1"/>
  <c r="F79" i="1"/>
  <c r="E79" i="1"/>
  <c r="D79" i="1"/>
  <c r="M78" i="1"/>
  <c r="L78" i="1"/>
  <c r="K78" i="1"/>
  <c r="J78" i="1"/>
  <c r="I78" i="1"/>
  <c r="H78" i="1"/>
  <c r="C78" i="1" s="1"/>
  <c r="G78" i="1"/>
  <c r="F78" i="1"/>
  <c r="E78" i="1"/>
  <c r="D78" i="1"/>
  <c r="M77" i="1"/>
  <c r="L77" i="1"/>
  <c r="K77" i="1"/>
  <c r="J77" i="1"/>
  <c r="I77" i="1"/>
  <c r="H77" i="1"/>
  <c r="C77" i="1" s="1"/>
  <c r="G77" i="1"/>
  <c r="F77" i="1"/>
  <c r="E77" i="1"/>
  <c r="D77" i="1"/>
  <c r="M76" i="1"/>
  <c r="L76" i="1"/>
  <c r="K76" i="1"/>
  <c r="J76" i="1"/>
  <c r="I76" i="1"/>
  <c r="H76" i="1"/>
  <c r="C76" i="1" s="1"/>
  <c r="G76" i="1"/>
  <c r="F76" i="1"/>
  <c r="E76" i="1"/>
  <c r="D76" i="1"/>
  <c r="M75" i="1"/>
  <c r="L75" i="1"/>
  <c r="K75" i="1"/>
  <c r="J75" i="1"/>
  <c r="I75" i="1"/>
  <c r="H75" i="1"/>
  <c r="C75" i="1" s="1"/>
  <c r="G75" i="1"/>
  <c r="F75" i="1"/>
  <c r="E75" i="1"/>
  <c r="D75" i="1"/>
  <c r="M74" i="1"/>
  <c r="L74" i="1"/>
  <c r="K74" i="1"/>
  <c r="J74" i="1"/>
  <c r="I74" i="1"/>
  <c r="H74" i="1"/>
  <c r="C74" i="1" s="1"/>
  <c r="G74" i="1"/>
  <c r="F74" i="1"/>
  <c r="E74" i="1"/>
  <c r="D74" i="1"/>
  <c r="M73" i="1"/>
  <c r="L73" i="1"/>
  <c r="K73" i="1"/>
  <c r="J73" i="1"/>
  <c r="I73" i="1"/>
  <c r="H73" i="1"/>
  <c r="C73" i="1" s="1"/>
  <c r="G73" i="1"/>
  <c r="F73" i="1"/>
  <c r="E73" i="1"/>
  <c r="D73" i="1"/>
  <c r="M72" i="1"/>
  <c r="L72" i="1"/>
  <c r="K72" i="1"/>
  <c r="J72" i="1"/>
  <c r="I72" i="1"/>
  <c r="H72" i="1"/>
  <c r="C72" i="1" s="1"/>
  <c r="G72" i="1"/>
  <c r="F72" i="1"/>
  <c r="E72" i="1"/>
  <c r="D72" i="1"/>
  <c r="M71" i="1"/>
  <c r="L71" i="1"/>
  <c r="K71" i="1"/>
  <c r="J71" i="1"/>
  <c r="I71" i="1"/>
  <c r="H71" i="1"/>
  <c r="C71" i="1" s="1"/>
  <c r="G71" i="1"/>
  <c r="F71" i="1"/>
  <c r="E71" i="1"/>
  <c r="D71" i="1"/>
  <c r="M70" i="1"/>
  <c r="L70" i="1"/>
  <c r="K70" i="1"/>
  <c r="J70" i="1"/>
  <c r="I70" i="1"/>
  <c r="H70" i="1"/>
  <c r="C70" i="1" s="1"/>
  <c r="G70" i="1"/>
  <c r="F70" i="1"/>
  <c r="E70" i="1"/>
  <c r="D70" i="1"/>
  <c r="M69" i="1"/>
  <c r="L69" i="1"/>
  <c r="K69" i="1"/>
  <c r="J69" i="1"/>
  <c r="I69" i="1"/>
  <c r="H69" i="1"/>
  <c r="C69" i="1" s="1"/>
  <c r="G69" i="1"/>
  <c r="F69" i="1"/>
  <c r="E69" i="1"/>
  <c r="D69" i="1"/>
  <c r="M68" i="1"/>
  <c r="L68" i="1"/>
  <c r="K68" i="1"/>
  <c r="J68" i="1"/>
  <c r="I68" i="1"/>
  <c r="H68" i="1"/>
  <c r="C68" i="1" s="1"/>
  <c r="G68" i="1"/>
  <c r="F68" i="1"/>
  <c r="E68" i="1"/>
  <c r="D68" i="1"/>
  <c r="M67" i="1"/>
  <c r="L67" i="1"/>
  <c r="K67" i="1"/>
  <c r="J67" i="1"/>
  <c r="I67" i="1"/>
  <c r="H67" i="1"/>
  <c r="C67" i="1" s="1"/>
  <c r="G67" i="1"/>
  <c r="F67" i="1"/>
  <c r="E67" i="1"/>
  <c r="D67" i="1"/>
  <c r="M66" i="1"/>
  <c r="L66" i="1"/>
  <c r="K66" i="1"/>
  <c r="J66" i="1"/>
  <c r="I66" i="1"/>
  <c r="H66" i="1"/>
  <c r="C66" i="1" s="1"/>
  <c r="G66" i="1"/>
  <c r="F66" i="1"/>
  <c r="E66" i="1"/>
  <c r="D66" i="1"/>
  <c r="M65" i="1"/>
  <c r="L65" i="1"/>
  <c r="K65" i="1"/>
  <c r="J65" i="1"/>
  <c r="I65" i="1"/>
  <c r="H65" i="1"/>
  <c r="C65" i="1" s="1"/>
  <c r="G65" i="1"/>
  <c r="F65" i="1"/>
  <c r="E65" i="1"/>
  <c r="D65" i="1"/>
  <c r="M64" i="1"/>
  <c r="L64" i="1"/>
  <c r="K64" i="1"/>
  <c r="J64" i="1"/>
  <c r="I64" i="1"/>
  <c r="H64" i="1"/>
  <c r="C64" i="1" s="1"/>
  <c r="G64" i="1"/>
  <c r="F64" i="1"/>
  <c r="E64" i="1"/>
  <c r="D64" i="1"/>
  <c r="M63" i="1"/>
  <c r="L63" i="1"/>
  <c r="K63" i="1"/>
  <c r="J63" i="1"/>
  <c r="I63" i="1"/>
  <c r="H63" i="1"/>
  <c r="C63" i="1" s="1"/>
  <c r="G63" i="1"/>
  <c r="F63" i="1"/>
  <c r="E63" i="1"/>
  <c r="D63" i="1"/>
  <c r="M62" i="1"/>
  <c r="L62" i="1"/>
  <c r="K62" i="1"/>
  <c r="J62" i="1"/>
  <c r="I62" i="1"/>
  <c r="H62" i="1"/>
  <c r="C62" i="1" s="1"/>
  <c r="G62" i="1"/>
  <c r="F62" i="1"/>
  <c r="E62" i="1"/>
  <c r="D62" i="1"/>
  <c r="M61" i="1"/>
  <c r="L61" i="1"/>
  <c r="K61" i="1"/>
  <c r="J61" i="1"/>
  <c r="I61" i="1"/>
  <c r="H61" i="1"/>
  <c r="C61" i="1" s="1"/>
  <c r="G61" i="1"/>
  <c r="F61" i="1"/>
  <c r="E61" i="1"/>
  <c r="D61" i="1"/>
  <c r="M60" i="1"/>
  <c r="L60" i="1"/>
  <c r="K60" i="1"/>
  <c r="J60" i="1"/>
  <c r="I60" i="1"/>
  <c r="H60" i="1"/>
  <c r="C60" i="1" s="1"/>
  <c r="G60" i="1"/>
  <c r="F60" i="1"/>
  <c r="E60" i="1"/>
  <c r="D60" i="1"/>
  <c r="M59" i="1"/>
  <c r="L59" i="1"/>
  <c r="K59" i="1"/>
  <c r="J59" i="1"/>
  <c r="I59" i="1"/>
  <c r="H59" i="1"/>
  <c r="C59" i="1" s="1"/>
  <c r="G59" i="1"/>
  <c r="F59" i="1"/>
  <c r="E59" i="1"/>
  <c r="D59" i="1"/>
  <c r="M58" i="1"/>
  <c r="L58" i="1"/>
  <c r="K58" i="1"/>
  <c r="J58" i="1"/>
  <c r="I58" i="1"/>
  <c r="H58" i="1"/>
  <c r="C58" i="1" s="1"/>
  <c r="G58" i="1"/>
  <c r="F58" i="1"/>
  <c r="E58" i="1"/>
  <c r="D58" i="1"/>
  <c r="M57" i="1"/>
  <c r="L57" i="1"/>
  <c r="K57" i="1"/>
  <c r="J57" i="1"/>
  <c r="I57" i="1"/>
  <c r="H57" i="1"/>
  <c r="C57" i="1" s="1"/>
  <c r="G57" i="1"/>
  <c r="F57" i="1"/>
  <c r="E57" i="1"/>
  <c r="D57" i="1"/>
  <c r="M56" i="1"/>
  <c r="L56" i="1"/>
  <c r="K56" i="1"/>
  <c r="J56" i="1"/>
  <c r="I56" i="1"/>
  <c r="H56" i="1"/>
  <c r="C56" i="1" s="1"/>
  <c r="G56" i="1"/>
  <c r="F56" i="1"/>
  <c r="E56" i="1"/>
  <c r="D56" i="1"/>
  <c r="M55" i="1"/>
  <c r="L55" i="1"/>
  <c r="K55" i="1"/>
  <c r="J55" i="1"/>
  <c r="I55" i="1"/>
  <c r="H55" i="1"/>
  <c r="C55" i="1" s="1"/>
  <c r="G55" i="1"/>
  <c r="F55" i="1"/>
  <c r="E55" i="1"/>
  <c r="D55" i="1"/>
  <c r="M54" i="1"/>
  <c r="L54" i="1"/>
  <c r="K54" i="1"/>
  <c r="J54" i="1"/>
  <c r="I54" i="1"/>
  <c r="H54" i="1"/>
  <c r="C54" i="1" s="1"/>
  <c r="G54" i="1"/>
  <c r="F54" i="1"/>
  <c r="E54" i="1"/>
  <c r="D54" i="1"/>
  <c r="M53" i="1"/>
  <c r="L53" i="1"/>
  <c r="K53" i="1"/>
  <c r="J53" i="1"/>
  <c r="I53" i="1"/>
  <c r="H53" i="1"/>
  <c r="C53" i="1" s="1"/>
  <c r="G53" i="1"/>
  <c r="F53" i="1"/>
  <c r="E53" i="1"/>
  <c r="D53" i="1"/>
  <c r="M52" i="1"/>
  <c r="L52" i="1"/>
  <c r="K52" i="1"/>
  <c r="J52" i="1"/>
  <c r="I52" i="1"/>
  <c r="H52" i="1"/>
  <c r="C52" i="1" s="1"/>
  <c r="G52" i="1"/>
  <c r="F52" i="1"/>
  <c r="E52" i="1"/>
  <c r="D52" i="1"/>
  <c r="M51" i="1"/>
  <c r="L51" i="1"/>
  <c r="K51" i="1"/>
  <c r="J51" i="1"/>
  <c r="I51" i="1"/>
  <c r="H51" i="1"/>
  <c r="C51" i="1" s="1"/>
  <c r="G51" i="1"/>
  <c r="F51" i="1"/>
  <c r="E51" i="1"/>
  <c r="D51" i="1"/>
  <c r="M50" i="1"/>
  <c r="L50" i="1"/>
  <c r="K50" i="1"/>
  <c r="J50" i="1"/>
  <c r="I50" i="1"/>
  <c r="H50" i="1"/>
  <c r="C50" i="1" s="1"/>
  <c r="G50" i="1"/>
  <c r="F50" i="1"/>
  <c r="E50" i="1"/>
  <c r="D50" i="1"/>
  <c r="M49" i="1"/>
  <c r="L49" i="1"/>
  <c r="K49" i="1"/>
  <c r="J49" i="1"/>
  <c r="I49" i="1"/>
  <c r="H49" i="1"/>
  <c r="C49" i="1" s="1"/>
  <c r="G49" i="1"/>
  <c r="F49" i="1"/>
  <c r="E49" i="1"/>
  <c r="D49" i="1"/>
  <c r="M48" i="1"/>
  <c r="L48" i="1"/>
  <c r="K48" i="1"/>
  <c r="J48" i="1"/>
  <c r="I48" i="1"/>
  <c r="H48" i="1"/>
  <c r="C48" i="1" s="1"/>
  <c r="G48" i="1"/>
  <c r="F48" i="1"/>
  <c r="E48" i="1"/>
  <c r="D48" i="1"/>
  <c r="M47" i="1"/>
  <c r="L47" i="1"/>
  <c r="K47" i="1"/>
  <c r="J47" i="1"/>
  <c r="I47" i="1"/>
  <c r="H47" i="1"/>
  <c r="C47" i="1" s="1"/>
  <c r="G47" i="1"/>
  <c r="F47" i="1"/>
  <c r="E47" i="1"/>
  <c r="D47" i="1"/>
  <c r="M46" i="1"/>
  <c r="L46" i="1"/>
  <c r="K46" i="1"/>
  <c r="J46" i="1"/>
  <c r="I46" i="1"/>
  <c r="H46" i="1"/>
  <c r="C46" i="1" s="1"/>
  <c r="G46" i="1"/>
  <c r="F46" i="1"/>
  <c r="E46" i="1"/>
  <c r="D46" i="1"/>
  <c r="M45" i="1"/>
  <c r="L45" i="1"/>
  <c r="K45" i="1"/>
  <c r="J45" i="1"/>
  <c r="I45" i="1"/>
  <c r="H45" i="1"/>
  <c r="C45" i="1" s="1"/>
  <c r="G45" i="1"/>
  <c r="F45" i="1"/>
  <c r="E45" i="1"/>
  <c r="D45" i="1"/>
  <c r="M44" i="1"/>
  <c r="L44" i="1"/>
  <c r="K44" i="1"/>
  <c r="J44" i="1"/>
  <c r="I44" i="1"/>
  <c r="H44" i="1"/>
  <c r="C44" i="1" s="1"/>
  <c r="G44" i="1"/>
  <c r="F44" i="1"/>
  <c r="E44" i="1"/>
  <c r="D44" i="1"/>
  <c r="M43" i="1"/>
  <c r="L43" i="1"/>
  <c r="K43" i="1"/>
  <c r="J43" i="1"/>
  <c r="I43" i="1"/>
  <c r="H43" i="1"/>
  <c r="C43" i="1" s="1"/>
  <c r="G43" i="1"/>
  <c r="F43" i="1"/>
  <c r="E43" i="1"/>
  <c r="D43" i="1"/>
  <c r="M42" i="1"/>
  <c r="L42" i="1"/>
  <c r="K42" i="1"/>
  <c r="J42" i="1"/>
  <c r="I42" i="1"/>
  <c r="H42" i="1"/>
  <c r="C42" i="1" s="1"/>
  <c r="G42" i="1"/>
  <c r="F42" i="1"/>
  <c r="E42" i="1"/>
  <c r="D42" i="1"/>
  <c r="M41" i="1"/>
  <c r="L41" i="1"/>
  <c r="K41" i="1"/>
  <c r="J41" i="1"/>
  <c r="I41" i="1"/>
  <c r="H41" i="1"/>
  <c r="C41" i="1" s="1"/>
  <c r="G41" i="1"/>
  <c r="F41" i="1"/>
  <c r="E41" i="1"/>
  <c r="D41" i="1"/>
  <c r="M40" i="1"/>
  <c r="L40" i="1"/>
  <c r="K40" i="1"/>
  <c r="J40" i="1"/>
  <c r="I40" i="1"/>
  <c r="H40" i="1"/>
  <c r="C40" i="1" s="1"/>
  <c r="G40" i="1"/>
  <c r="F40" i="1"/>
  <c r="E40" i="1"/>
  <c r="D40" i="1"/>
  <c r="M39" i="1"/>
  <c r="L39" i="1"/>
  <c r="K39" i="1"/>
  <c r="J39" i="1"/>
  <c r="I39" i="1"/>
  <c r="H39" i="1"/>
  <c r="C39" i="1" s="1"/>
  <c r="G39" i="1"/>
  <c r="F39" i="1"/>
  <c r="E39" i="1"/>
  <c r="D39" i="1"/>
  <c r="M38" i="1"/>
  <c r="L38" i="1"/>
  <c r="K38" i="1"/>
  <c r="J38" i="1"/>
  <c r="I38" i="1"/>
  <c r="H38" i="1"/>
  <c r="C38" i="1" s="1"/>
  <c r="G38" i="1"/>
  <c r="F38" i="1"/>
  <c r="E38" i="1"/>
  <c r="D38" i="1"/>
  <c r="M37" i="1"/>
  <c r="L37" i="1"/>
  <c r="K37" i="1"/>
  <c r="J37" i="1"/>
  <c r="I37" i="1"/>
  <c r="H37" i="1"/>
  <c r="C37" i="1" s="1"/>
  <c r="G37" i="1"/>
  <c r="F37" i="1"/>
  <c r="E37" i="1"/>
  <c r="D37" i="1"/>
  <c r="M36" i="1"/>
  <c r="L36" i="1"/>
  <c r="K36" i="1"/>
  <c r="J36" i="1"/>
  <c r="I36" i="1"/>
  <c r="H36" i="1"/>
  <c r="C36" i="1" s="1"/>
  <c r="G36" i="1"/>
  <c r="F36" i="1"/>
  <c r="E36" i="1"/>
  <c r="D36" i="1"/>
  <c r="M35" i="1"/>
  <c r="L35" i="1"/>
  <c r="K35" i="1"/>
  <c r="J35" i="1"/>
  <c r="I35" i="1"/>
  <c r="H35" i="1"/>
  <c r="C35" i="1" s="1"/>
  <c r="G35" i="1"/>
  <c r="F35" i="1"/>
  <c r="E35" i="1"/>
  <c r="D35" i="1"/>
  <c r="M34" i="1"/>
  <c r="L34" i="1"/>
  <c r="K34" i="1"/>
  <c r="J34" i="1"/>
  <c r="I34" i="1"/>
  <c r="H34" i="1"/>
  <c r="C34" i="1" s="1"/>
  <c r="G34" i="1"/>
  <c r="F34" i="1"/>
  <c r="E34" i="1"/>
  <c r="D34" i="1"/>
  <c r="M33" i="1"/>
  <c r="L33" i="1"/>
  <c r="K33" i="1"/>
  <c r="J33" i="1"/>
  <c r="I33" i="1"/>
  <c r="H33" i="1"/>
  <c r="C33" i="1" s="1"/>
  <c r="G33" i="1"/>
  <c r="F33" i="1"/>
  <c r="E33" i="1"/>
  <c r="D33" i="1"/>
  <c r="M32" i="1"/>
  <c r="L32" i="1"/>
  <c r="K32" i="1"/>
  <c r="J32" i="1"/>
  <c r="I32" i="1"/>
  <c r="H32" i="1"/>
  <c r="C32" i="1" s="1"/>
  <c r="G32" i="1"/>
  <c r="F32" i="1"/>
  <c r="E32" i="1"/>
  <c r="D32" i="1"/>
  <c r="M31" i="1"/>
  <c r="L31" i="1"/>
  <c r="K31" i="1"/>
  <c r="J31" i="1"/>
  <c r="I31" i="1"/>
  <c r="H31" i="1"/>
  <c r="C31" i="1" s="1"/>
  <c r="G31" i="1"/>
  <c r="F31" i="1"/>
  <c r="E31" i="1"/>
  <c r="D31" i="1"/>
  <c r="M30" i="1"/>
  <c r="L30" i="1"/>
  <c r="K30" i="1"/>
  <c r="J30" i="1"/>
  <c r="I30" i="1"/>
  <c r="H30" i="1"/>
  <c r="C30" i="1" s="1"/>
  <c r="G30" i="1"/>
  <c r="F30" i="1"/>
  <c r="E30" i="1"/>
  <c r="D30" i="1"/>
  <c r="M29" i="1"/>
  <c r="L29" i="1"/>
  <c r="K29" i="1"/>
  <c r="J29" i="1"/>
  <c r="I29" i="1"/>
  <c r="H29" i="1"/>
  <c r="C29" i="1" s="1"/>
  <c r="G29" i="1"/>
  <c r="F29" i="1"/>
  <c r="E29" i="1"/>
  <c r="D29" i="1"/>
  <c r="M28" i="1"/>
  <c r="L28" i="1"/>
  <c r="K28" i="1"/>
  <c r="J28" i="1"/>
  <c r="I28" i="1"/>
  <c r="H28" i="1"/>
  <c r="C28" i="1" s="1"/>
  <c r="G28" i="1"/>
  <c r="F28" i="1"/>
  <c r="E28" i="1"/>
  <c r="D28" i="1"/>
  <c r="M27" i="1"/>
  <c r="L27" i="1"/>
  <c r="K27" i="1"/>
  <c r="J27" i="1"/>
  <c r="I27" i="1"/>
  <c r="H27" i="1"/>
  <c r="C27" i="1" s="1"/>
  <c r="G27" i="1"/>
  <c r="F27" i="1"/>
  <c r="E27" i="1"/>
  <c r="D27" i="1"/>
  <c r="M26" i="1"/>
  <c r="L26" i="1"/>
  <c r="K26" i="1"/>
  <c r="J26" i="1"/>
  <c r="I26" i="1"/>
  <c r="H26" i="1"/>
  <c r="C26" i="1" s="1"/>
  <c r="G26" i="1"/>
  <c r="F26" i="1"/>
  <c r="E26" i="1"/>
  <c r="D26" i="1"/>
  <c r="M25" i="1"/>
  <c r="L25" i="1"/>
  <c r="K25" i="1"/>
  <c r="J25" i="1"/>
  <c r="I25" i="1"/>
  <c r="H25" i="1"/>
  <c r="C25" i="1" s="1"/>
  <c r="G25" i="1"/>
  <c r="F25" i="1"/>
  <c r="E25" i="1"/>
  <c r="D25" i="1"/>
  <c r="M24" i="1"/>
  <c r="L24" i="1"/>
  <c r="K24" i="1"/>
  <c r="J24" i="1"/>
  <c r="I24" i="1"/>
  <c r="H24" i="1"/>
  <c r="C24" i="1" s="1"/>
  <c r="G24" i="1"/>
  <c r="F24" i="1"/>
  <c r="E24" i="1"/>
  <c r="D24" i="1"/>
  <c r="M23" i="1"/>
  <c r="L23" i="1"/>
  <c r="K23" i="1"/>
  <c r="J23" i="1"/>
  <c r="I23" i="1"/>
  <c r="H23" i="1"/>
  <c r="C23" i="1" s="1"/>
  <c r="G23" i="1"/>
  <c r="F23" i="1"/>
  <c r="E23" i="1"/>
  <c r="D23" i="1"/>
  <c r="M22" i="1"/>
  <c r="L22" i="1"/>
  <c r="K22" i="1"/>
  <c r="J22" i="1"/>
  <c r="I22" i="1"/>
  <c r="H22" i="1"/>
  <c r="C22" i="1" s="1"/>
  <c r="G22" i="1"/>
  <c r="F22" i="1"/>
  <c r="E22" i="1"/>
  <c r="D22" i="1"/>
  <c r="M21" i="1"/>
  <c r="L21" i="1"/>
  <c r="K21" i="1"/>
  <c r="J21" i="1"/>
  <c r="I21" i="1"/>
  <c r="H21" i="1"/>
  <c r="C21" i="1" s="1"/>
  <c r="G21" i="1"/>
  <c r="F21" i="1"/>
  <c r="E21" i="1"/>
  <c r="D21" i="1"/>
  <c r="M20" i="1"/>
  <c r="L20" i="1"/>
  <c r="K20" i="1"/>
  <c r="J20" i="1"/>
  <c r="I20" i="1"/>
  <c r="H20" i="1"/>
  <c r="C20" i="1" s="1"/>
  <c r="G20" i="1"/>
  <c r="F20" i="1"/>
  <c r="E20" i="1"/>
  <c r="D20" i="1"/>
  <c r="M19" i="1"/>
  <c r="L19" i="1"/>
  <c r="K19" i="1"/>
  <c r="J19" i="1"/>
  <c r="I19" i="1"/>
  <c r="H19" i="1"/>
  <c r="C19" i="1" s="1"/>
  <c r="G19" i="1"/>
  <c r="F19" i="1"/>
  <c r="E19" i="1"/>
  <c r="D19" i="1"/>
  <c r="M18" i="1"/>
  <c r="L18" i="1"/>
  <c r="K18" i="1"/>
  <c r="J18" i="1"/>
  <c r="I18" i="1"/>
  <c r="H18" i="1"/>
  <c r="C18" i="1" s="1"/>
  <c r="G18" i="1"/>
  <c r="F18" i="1"/>
  <c r="E18" i="1"/>
  <c r="D18" i="1"/>
  <c r="M17" i="1"/>
  <c r="L17" i="1"/>
  <c r="K17" i="1"/>
  <c r="J17" i="1"/>
  <c r="I17" i="1"/>
  <c r="H17" i="1"/>
  <c r="C17" i="1" s="1"/>
  <c r="G17" i="1"/>
  <c r="F17" i="1"/>
  <c r="E17" i="1"/>
  <c r="D17" i="1"/>
  <c r="M16" i="1"/>
  <c r="L16" i="1"/>
  <c r="K16" i="1"/>
  <c r="J16" i="1"/>
  <c r="I16" i="1"/>
  <c r="H16" i="1"/>
  <c r="C16" i="1" s="1"/>
  <c r="G16" i="1"/>
  <c r="F16" i="1"/>
  <c r="E16" i="1"/>
  <c r="D16" i="1"/>
  <c r="M15" i="1"/>
  <c r="L15" i="1"/>
  <c r="K15" i="1"/>
  <c r="J15" i="1"/>
  <c r="I15" i="1"/>
  <c r="H15" i="1"/>
  <c r="C15" i="1" s="1"/>
  <c r="G15" i="1"/>
  <c r="F15" i="1"/>
  <c r="E15" i="1"/>
  <c r="D15" i="1"/>
  <c r="M14" i="1"/>
  <c r="L14" i="1"/>
  <c r="K14" i="1"/>
  <c r="J14" i="1"/>
  <c r="I14" i="1"/>
  <c r="H14" i="1"/>
  <c r="C14" i="1" s="1"/>
  <c r="G14" i="1"/>
  <c r="F14" i="1"/>
  <c r="E14" i="1"/>
  <c r="D14" i="1"/>
  <c r="M13" i="1"/>
  <c r="L13" i="1"/>
  <c r="K13" i="1"/>
  <c r="J13" i="1"/>
  <c r="I13" i="1"/>
  <c r="H13" i="1"/>
  <c r="C13" i="1" s="1"/>
  <c r="G13" i="1"/>
  <c r="F13" i="1"/>
  <c r="E13" i="1"/>
  <c r="D13" i="1"/>
  <c r="M12" i="1"/>
  <c r="L12" i="1"/>
  <c r="K12" i="1"/>
  <c r="J12" i="1"/>
  <c r="I12" i="1"/>
  <c r="H12" i="1"/>
  <c r="C12" i="1" s="1"/>
  <c r="G12" i="1"/>
  <c r="F12" i="1"/>
  <c r="E12" i="1"/>
  <c r="D12" i="1"/>
  <c r="M11" i="1"/>
  <c r="L11" i="1"/>
  <c r="K11" i="1"/>
  <c r="J11" i="1"/>
  <c r="I11" i="1"/>
  <c r="H11" i="1"/>
  <c r="C11" i="1" s="1"/>
  <c r="G11" i="1"/>
  <c r="F11" i="1"/>
  <c r="E11" i="1"/>
  <c r="D11" i="1"/>
  <c r="M10" i="1"/>
  <c r="L10" i="1"/>
  <c r="K10" i="1"/>
  <c r="J10" i="1"/>
  <c r="I10" i="1"/>
  <c r="H10" i="1"/>
  <c r="C10" i="1" s="1"/>
  <c r="G10" i="1"/>
  <c r="F10" i="1"/>
  <c r="E10" i="1"/>
  <c r="D10" i="1"/>
  <c r="M9" i="1"/>
  <c r="L9" i="1"/>
  <c r="K9" i="1"/>
  <c r="J9" i="1"/>
  <c r="I9" i="1"/>
  <c r="H9" i="1"/>
  <c r="C9" i="1" s="1"/>
  <c r="G9" i="1"/>
  <c r="F9" i="1"/>
  <c r="E9" i="1"/>
  <c r="D9" i="1"/>
  <c r="M8" i="1"/>
  <c r="L8" i="1"/>
  <c r="K8" i="1"/>
  <c r="J8" i="1"/>
  <c r="I8" i="1"/>
  <c r="H8" i="1"/>
  <c r="C8" i="1" s="1"/>
  <c r="G8" i="1"/>
  <c r="F8" i="1"/>
  <c r="E8" i="1"/>
  <c r="D8" i="1"/>
  <c r="M7" i="1"/>
  <c r="L7" i="1"/>
  <c r="K7" i="1"/>
  <c r="J7" i="1"/>
  <c r="I7" i="1"/>
  <c r="H7" i="1"/>
  <c r="C7" i="1" s="1"/>
  <c r="G7" i="1"/>
  <c r="F7" i="1"/>
  <c r="E7" i="1"/>
  <c r="D7" i="1"/>
  <c r="M6" i="1"/>
  <c r="L6" i="1"/>
  <c r="K6" i="1"/>
  <c r="J6" i="1"/>
  <c r="I6" i="1"/>
  <c r="H6" i="1"/>
  <c r="G6" i="1"/>
  <c r="F6" i="1"/>
  <c r="E6" i="1"/>
  <c r="D6" i="1"/>
  <c r="T388" i="6"/>
  <c r="S388" i="6"/>
  <c r="R388" i="6"/>
  <c r="T387" i="6"/>
  <c r="S387" i="6"/>
  <c r="R387" i="6"/>
  <c r="T386" i="6"/>
  <c r="S386" i="6"/>
  <c r="R386" i="6"/>
  <c r="T385" i="6"/>
  <c r="S385" i="6"/>
  <c r="R385" i="6"/>
  <c r="T384" i="6"/>
  <c r="S384" i="6"/>
  <c r="R384" i="6"/>
  <c r="T383" i="6"/>
  <c r="S383" i="6"/>
  <c r="R383" i="6"/>
  <c r="T382" i="6"/>
  <c r="S382" i="6"/>
  <c r="R382" i="6"/>
  <c r="T381" i="6"/>
  <c r="S381" i="6"/>
  <c r="R381" i="6"/>
  <c r="T380" i="6"/>
  <c r="S380" i="6"/>
  <c r="R380" i="6"/>
  <c r="T379" i="6"/>
  <c r="S379" i="6"/>
  <c r="R379" i="6"/>
  <c r="T378" i="6"/>
  <c r="S378" i="6"/>
  <c r="R378" i="6"/>
  <c r="T377" i="6"/>
  <c r="S377" i="6"/>
  <c r="R377" i="6"/>
  <c r="M369" i="6"/>
  <c r="L369" i="6"/>
  <c r="K369" i="6"/>
  <c r="J369" i="6"/>
  <c r="I369" i="6"/>
  <c r="H369" i="6"/>
  <c r="C369" i="6" s="1"/>
  <c r="G369" i="6"/>
  <c r="F369" i="6"/>
  <c r="E369" i="6"/>
  <c r="D369" i="6"/>
  <c r="M368" i="6"/>
  <c r="L368" i="6"/>
  <c r="K368" i="6"/>
  <c r="J368" i="6"/>
  <c r="I368" i="6"/>
  <c r="H368" i="6"/>
  <c r="C368" i="6" s="1"/>
  <c r="G368" i="6"/>
  <c r="F368" i="6"/>
  <c r="E368" i="6"/>
  <c r="D368" i="6"/>
  <c r="M367" i="6"/>
  <c r="L367" i="6"/>
  <c r="K367" i="6"/>
  <c r="J367" i="6"/>
  <c r="I367" i="6"/>
  <c r="H367" i="6"/>
  <c r="C367" i="6" s="1"/>
  <c r="G367" i="6"/>
  <c r="F367" i="6"/>
  <c r="E367" i="6"/>
  <c r="D367" i="6"/>
  <c r="M366" i="6"/>
  <c r="L366" i="6"/>
  <c r="K366" i="6"/>
  <c r="J366" i="6"/>
  <c r="I366" i="6"/>
  <c r="H366" i="6"/>
  <c r="C366" i="6" s="1"/>
  <c r="G366" i="6"/>
  <c r="F366" i="6"/>
  <c r="E366" i="6"/>
  <c r="D366" i="6"/>
  <c r="M365" i="6"/>
  <c r="L365" i="6"/>
  <c r="K365" i="6"/>
  <c r="J365" i="6"/>
  <c r="I365" i="6"/>
  <c r="H365" i="6"/>
  <c r="C365" i="6" s="1"/>
  <c r="G365" i="6"/>
  <c r="F365" i="6"/>
  <c r="E365" i="6"/>
  <c r="D365" i="6"/>
  <c r="M364" i="6"/>
  <c r="L364" i="6"/>
  <c r="K364" i="6"/>
  <c r="J364" i="6"/>
  <c r="I364" i="6"/>
  <c r="H364" i="6"/>
  <c r="C364" i="6" s="1"/>
  <c r="G364" i="6"/>
  <c r="F364" i="6"/>
  <c r="E364" i="6"/>
  <c r="D364" i="6"/>
  <c r="M363" i="6"/>
  <c r="L363" i="6"/>
  <c r="K363" i="6"/>
  <c r="J363" i="6"/>
  <c r="I363" i="6"/>
  <c r="H363" i="6"/>
  <c r="C363" i="6" s="1"/>
  <c r="G363" i="6"/>
  <c r="F363" i="6"/>
  <c r="E363" i="6"/>
  <c r="D363" i="6"/>
  <c r="M362" i="6"/>
  <c r="L362" i="6"/>
  <c r="K362" i="6"/>
  <c r="J362" i="6"/>
  <c r="I362" i="6"/>
  <c r="H362" i="6"/>
  <c r="C362" i="6" s="1"/>
  <c r="G362" i="6"/>
  <c r="F362" i="6"/>
  <c r="E362" i="6"/>
  <c r="D362" i="6"/>
  <c r="M361" i="6"/>
  <c r="L361" i="6"/>
  <c r="K361" i="6"/>
  <c r="J361" i="6"/>
  <c r="I361" i="6"/>
  <c r="H361" i="6"/>
  <c r="C361" i="6" s="1"/>
  <c r="G361" i="6"/>
  <c r="F361" i="6"/>
  <c r="E361" i="6"/>
  <c r="D361" i="6"/>
  <c r="M360" i="6"/>
  <c r="L360" i="6"/>
  <c r="K360" i="6"/>
  <c r="J360" i="6"/>
  <c r="I360" i="6"/>
  <c r="H360" i="6"/>
  <c r="C360" i="6" s="1"/>
  <c r="G360" i="6"/>
  <c r="F360" i="6"/>
  <c r="E360" i="6"/>
  <c r="D360" i="6"/>
  <c r="M359" i="6"/>
  <c r="L359" i="6"/>
  <c r="K359" i="6"/>
  <c r="J359" i="6"/>
  <c r="I359" i="6"/>
  <c r="H359" i="6"/>
  <c r="C359" i="6" s="1"/>
  <c r="G359" i="6"/>
  <c r="F359" i="6"/>
  <c r="E359" i="6"/>
  <c r="D359" i="6"/>
  <c r="M358" i="6"/>
  <c r="L358" i="6"/>
  <c r="K358" i="6"/>
  <c r="J358" i="6"/>
  <c r="I358" i="6"/>
  <c r="H358" i="6"/>
  <c r="C358" i="6" s="1"/>
  <c r="G358" i="6"/>
  <c r="F358" i="6"/>
  <c r="E358" i="6"/>
  <c r="D358" i="6"/>
  <c r="M357" i="6"/>
  <c r="L357" i="6"/>
  <c r="K357" i="6"/>
  <c r="J357" i="6"/>
  <c r="I357" i="6"/>
  <c r="H357" i="6"/>
  <c r="C357" i="6" s="1"/>
  <c r="G357" i="6"/>
  <c r="F357" i="6"/>
  <c r="E357" i="6"/>
  <c r="D357" i="6"/>
  <c r="M356" i="6"/>
  <c r="L356" i="6"/>
  <c r="K356" i="6"/>
  <c r="J356" i="6"/>
  <c r="I356" i="6"/>
  <c r="H356" i="6"/>
  <c r="C356" i="6" s="1"/>
  <c r="G356" i="6"/>
  <c r="F356" i="6"/>
  <c r="E356" i="6"/>
  <c r="D356" i="6"/>
  <c r="M355" i="6"/>
  <c r="L355" i="6"/>
  <c r="K355" i="6"/>
  <c r="J355" i="6"/>
  <c r="I355" i="6"/>
  <c r="H355" i="6"/>
  <c r="C355" i="6" s="1"/>
  <c r="G355" i="6"/>
  <c r="F355" i="6"/>
  <c r="E355" i="6"/>
  <c r="D355" i="6"/>
  <c r="M354" i="6"/>
  <c r="L354" i="6"/>
  <c r="K354" i="6"/>
  <c r="J354" i="6"/>
  <c r="I354" i="6"/>
  <c r="H354" i="6"/>
  <c r="C354" i="6" s="1"/>
  <c r="G354" i="6"/>
  <c r="F354" i="6"/>
  <c r="E354" i="6"/>
  <c r="D354" i="6"/>
  <c r="M353" i="6"/>
  <c r="L353" i="6"/>
  <c r="K353" i="6"/>
  <c r="J353" i="6"/>
  <c r="I353" i="6"/>
  <c r="H353" i="6"/>
  <c r="C353" i="6" s="1"/>
  <c r="G353" i="6"/>
  <c r="F353" i="6"/>
  <c r="E353" i="6"/>
  <c r="D353" i="6"/>
  <c r="M352" i="6"/>
  <c r="L352" i="6"/>
  <c r="K352" i="6"/>
  <c r="J352" i="6"/>
  <c r="I352" i="6"/>
  <c r="H352" i="6"/>
  <c r="C352" i="6" s="1"/>
  <c r="G352" i="6"/>
  <c r="F352" i="6"/>
  <c r="E352" i="6"/>
  <c r="D352" i="6"/>
  <c r="M351" i="6"/>
  <c r="L351" i="6"/>
  <c r="K351" i="6"/>
  <c r="J351" i="6"/>
  <c r="I351" i="6"/>
  <c r="H351" i="6"/>
  <c r="C351" i="6" s="1"/>
  <c r="G351" i="6"/>
  <c r="F351" i="6"/>
  <c r="E351" i="6"/>
  <c r="D351" i="6"/>
  <c r="M350" i="6"/>
  <c r="L350" i="6"/>
  <c r="K350" i="6"/>
  <c r="J350" i="6"/>
  <c r="I350" i="6"/>
  <c r="H350" i="6"/>
  <c r="C350" i="6" s="1"/>
  <c r="G350" i="6"/>
  <c r="F350" i="6"/>
  <c r="E350" i="6"/>
  <c r="D350" i="6"/>
  <c r="M349" i="6"/>
  <c r="L349" i="6"/>
  <c r="K349" i="6"/>
  <c r="J349" i="6"/>
  <c r="I349" i="6"/>
  <c r="H349" i="6"/>
  <c r="C349" i="6" s="1"/>
  <c r="G349" i="6"/>
  <c r="F349" i="6"/>
  <c r="E349" i="6"/>
  <c r="D349" i="6"/>
  <c r="M348" i="6"/>
  <c r="L348" i="6"/>
  <c r="K348" i="6"/>
  <c r="J348" i="6"/>
  <c r="I348" i="6"/>
  <c r="H348" i="6"/>
  <c r="C348" i="6" s="1"/>
  <c r="G348" i="6"/>
  <c r="F348" i="6"/>
  <c r="E348" i="6"/>
  <c r="D348" i="6"/>
  <c r="M347" i="6"/>
  <c r="L347" i="6"/>
  <c r="K347" i="6"/>
  <c r="J347" i="6"/>
  <c r="I347" i="6"/>
  <c r="H347" i="6"/>
  <c r="C347" i="6" s="1"/>
  <c r="G347" i="6"/>
  <c r="F347" i="6"/>
  <c r="E347" i="6"/>
  <c r="D347" i="6"/>
  <c r="M346" i="6"/>
  <c r="L346" i="6"/>
  <c r="K346" i="6"/>
  <c r="J346" i="6"/>
  <c r="I346" i="6"/>
  <c r="H346" i="6"/>
  <c r="C346" i="6" s="1"/>
  <c r="G346" i="6"/>
  <c r="F346" i="6"/>
  <c r="E346" i="6"/>
  <c r="D346" i="6"/>
  <c r="M345" i="6"/>
  <c r="L345" i="6"/>
  <c r="K345" i="6"/>
  <c r="J345" i="6"/>
  <c r="I345" i="6"/>
  <c r="H345" i="6"/>
  <c r="C345" i="6" s="1"/>
  <c r="G345" i="6"/>
  <c r="F345" i="6"/>
  <c r="E345" i="6"/>
  <c r="D345" i="6"/>
  <c r="M344" i="6"/>
  <c r="L344" i="6"/>
  <c r="K344" i="6"/>
  <c r="J344" i="6"/>
  <c r="I344" i="6"/>
  <c r="H344" i="6"/>
  <c r="C344" i="6" s="1"/>
  <c r="G344" i="6"/>
  <c r="F344" i="6"/>
  <c r="E344" i="6"/>
  <c r="D344" i="6"/>
  <c r="M343" i="6"/>
  <c r="L343" i="6"/>
  <c r="K343" i="6"/>
  <c r="J343" i="6"/>
  <c r="I343" i="6"/>
  <c r="H343" i="6"/>
  <c r="C343" i="6" s="1"/>
  <c r="G343" i="6"/>
  <c r="F343" i="6"/>
  <c r="E343" i="6"/>
  <c r="D343" i="6"/>
  <c r="M342" i="6"/>
  <c r="L342" i="6"/>
  <c r="K342" i="6"/>
  <c r="J342" i="6"/>
  <c r="I342" i="6"/>
  <c r="H342" i="6"/>
  <c r="C342" i="6" s="1"/>
  <c r="G342" i="6"/>
  <c r="F342" i="6"/>
  <c r="E342" i="6"/>
  <c r="D342" i="6"/>
  <c r="M341" i="6"/>
  <c r="L341" i="6"/>
  <c r="K341" i="6"/>
  <c r="J341" i="6"/>
  <c r="I341" i="6"/>
  <c r="H341" i="6"/>
  <c r="C341" i="6" s="1"/>
  <c r="G341" i="6"/>
  <c r="F341" i="6"/>
  <c r="E341" i="6"/>
  <c r="D341" i="6"/>
  <c r="M340" i="6"/>
  <c r="L340" i="6"/>
  <c r="K340" i="6"/>
  <c r="J340" i="6"/>
  <c r="I340" i="6"/>
  <c r="H340" i="6"/>
  <c r="C340" i="6" s="1"/>
  <c r="G340" i="6"/>
  <c r="F340" i="6"/>
  <c r="E340" i="6"/>
  <c r="D340" i="6"/>
  <c r="M339" i="6"/>
  <c r="L339" i="6"/>
  <c r="K339" i="6"/>
  <c r="J339" i="6"/>
  <c r="I339" i="6"/>
  <c r="H339" i="6"/>
  <c r="C339" i="6" s="1"/>
  <c r="G339" i="6"/>
  <c r="F339" i="6"/>
  <c r="E339" i="6"/>
  <c r="D339" i="6"/>
  <c r="M338" i="6"/>
  <c r="L338" i="6"/>
  <c r="K338" i="6"/>
  <c r="J338" i="6"/>
  <c r="I338" i="6"/>
  <c r="H338" i="6"/>
  <c r="C338" i="6" s="1"/>
  <c r="G338" i="6"/>
  <c r="F338" i="6"/>
  <c r="E338" i="6"/>
  <c r="D338" i="6"/>
  <c r="M337" i="6"/>
  <c r="L337" i="6"/>
  <c r="K337" i="6"/>
  <c r="J337" i="6"/>
  <c r="I337" i="6"/>
  <c r="H337" i="6"/>
  <c r="C337" i="6" s="1"/>
  <c r="G337" i="6"/>
  <c r="F337" i="6"/>
  <c r="E337" i="6"/>
  <c r="D337" i="6"/>
  <c r="M336" i="6"/>
  <c r="L336" i="6"/>
  <c r="K336" i="6"/>
  <c r="J336" i="6"/>
  <c r="I336" i="6"/>
  <c r="H336" i="6"/>
  <c r="C336" i="6" s="1"/>
  <c r="G336" i="6"/>
  <c r="F336" i="6"/>
  <c r="E336" i="6"/>
  <c r="D336" i="6"/>
  <c r="M335" i="6"/>
  <c r="L335" i="6"/>
  <c r="K335" i="6"/>
  <c r="J335" i="6"/>
  <c r="I335" i="6"/>
  <c r="H335" i="6"/>
  <c r="C335" i="6" s="1"/>
  <c r="G335" i="6"/>
  <c r="F335" i="6"/>
  <c r="E335" i="6"/>
  <c r="D335" i="6"/>
  <c r="M334" i="6"/>
  <c r="L334" i="6"/>
  <c r="K334" i="6"/>
  <c r="J334" i="6"/>
  <c r="I334" i="6"/>
  <c r="H334" i="6"/>
  <c r="C334" i="6" s="1"/>
  <c r="G334" i="6"/>
  <c r="F334" i="6"/>
  <c r="E334" i="6"/>
  <c r="D334" i="6"/>
  <c r="M333" i="6"/>
  <c r="L333" i="6"/>
  <c r="K333" i="6"/>
  <c r="J333" i="6"/>
  <c r="I333" i="6"/>
  <c r="H333" i="6"/>
  <c r="C333" i="6" s="1"/>
  <c r="G333" i="6"/>
  <c r="F333" i="6"/>
  <c r="E333" i="6"/>
  <c r="D333" i="6"/>
  <c r="M332" i="6"/>
  <c r="L332" i="6"/>
  <c r="K332" i="6"/>
  <c r="J332" i="6"/>
  <c r="I332" i="6"/>
  <c r="H332" i="6"/>
  <c r="C332" i="6" s="1"/>
  <c r="G332" i="6"/>
  <c r="F332" i="6"/>
  <c r="E332" i="6"/>
  <c r="D332" i="6"/>
  <c r="M331" i="6"/>
  <c r="L331" i="6"/>
  <c r="K331" i="6"/>
  <c r="J331" i="6"/>
  <c r="I331" i="6"/>
  <c r="H331" i="6"/>
  <c r="C331" i="6" s="1"/>
  <c r="G331" i="6"/>
  <c r="F331" i="6"/>
  <c r="E331" i="6"/>
  <c r="D331" i="6"/>
  <c r="M330" i="6"/>
  <c r="L330" i="6"/>
  <c r="K330" i="6"/>
  <c r="J330" i="6"/>
  <c r="I330" i="6"/>
  <c r="H330" i="6"/>
  <c r="C330" i="6" s="1"/>
  <c r="G330" i="6"/>
  <c r="F330" i="6"/>
  <c r="E330" i="6"/>
  <c r="D330" i="6"/>
  <c r="M329" i="6"/>
  <c r="L329" i="6"/>
  <c r="K329" i="6"/>
  <c r="J329" i="6"/>
  <c r="I329" i="6"/>
  <c r="H329" i="6"/>
  <c r="C329" i="6" s="1"/>
  <c r="G329" i="6"/>
  <c r="F329" i="6"/>
  <c r="E329" i="6"/>
  <c r="D329" i="6"/>
  <c r="M328" i="6"/>
  <c r="L328" i="6"/>
  <c r="K328" i="6"/>
  <c r="J328" i="6"/>
  <c r="I328" i="6"/>
  <c r="H328" i="6"/>
  <c r="C328" i="6" s="1"/>
  <c r="G328" i="6"/>
  <c r="F328" i="6"/>
  <c r="E328" i="6"/>
  <c r="D328" i="6"/>
  <c r="M327" i="6"/>
  <c r="L327" i="6"/>
  <c r="K327" i="6"/>
  <c r="J327" i="6"/>
  <c r="I327" i="6"/>
  <c r="H327" i="6"/>
  <c r="C327" i="6" s="1"/>
  <c r="G327" i="6"/>
  <c r="F327" i="6"/>
  <c r="E327" i="6"/>
  <c r="D327" i="6"/>
  <c r="M326" i="6"/>
  <c r="L326" i="6"/>
  <c r="K326" i="6"/>
  <c r="J326" i="6"/>
  <c r="I326" i="6"/>
  <c r="H326" i="6"/>
  <c r="C326" i="6" s="1"/>
  <c r="G326" i="6"/>
  <c r="F326" i="6"/>
  <c r="E326" i="6"/>
  <c r="D326" i="6"/>
  <c r="M325" i="6"/>
  <c r="L325" i="6"/>
  <c r="K325" i="6"/>
  <c r="J325" i="6"/>
  <c r="I325" i="6"/>
  <c r="H325" i="6"/>
  <c r="C325" i="6" s="1"/>
  <c r="G325" i="6"/>
  <c r="F325" i="6"/>
  <c r="E325" i="6"/>
  <c r="D325" i="6"/>
  <c r="M324" i="6"/>
  <c r="L324" i="6"/>
  <c r="K324" i="6"/>
  <c r="J324" i="6"/>
  <c r="I324" i="6"/>
  <c r="H324" i="6"/>
  <c r="C324" i="6" s="1"/>
  <c r="G324" i="6"/>
  <c r="F324" i="6"/>
  <c r="E324" i="6"/>
  <c r="D324" i="6"/>
  <c r="M323" i="6"/>
  <c r="L323" i="6"/>
  <c r="K323" i="6"/>
  <c r="J323" i="6"/>
  <c r="I323" i="6"/>
  <c r="H323" i="6"/>
  <c r="C323" i="6" s="1"/>
  <c r="G323" i="6"/>
  <c r="F323" i="6"/>
  <c r="E323" i="6"/>
  <c r="D323" i="6"/>
  <c r="M322" i="6"/>
  <c r="L322" i="6"/>
  <c r="K322" i="6"/>
  <c r="J322" i="6"/>
  <c r="I322" i="6"/>
  <c r="H322" i="6"/>
  <c r="C322" i="6" s="1"/>
  <c r="G322" i="6"/>
  <c r="F322" i="6"/>
  <c r="E322" i="6"/>
  <c r="D322" i="6"/>
  <c r="M321" i="6"/>
  <c r="L321" i="6"/>
  <c r="K321" i="6"/>
  <c r="J321" i="6"/>
  <c r="I321" i="6"/>
  <c r="H321" i="6"/>
  <c r="C321" i="6" s="1"/>
  <c r="G321" i="6"/>
  <c r="F321" i="6"/>
  <c r="E321" i="6"/>
  <c r="D321" i="6"/>
  <c r="M320" i="6"/>
  <c r="L320" i="6"/>
  <c r="K320" i="6"/>
  <c r="J320" i="6"/>
  <c r="I320" i="6"/>
  <c r="H320" i="6"/>
  <c r="C320" i="6" s="1"/>
  <c r="G320" i="6"/>
  <c r="F320" i="6"/>
  <c r="E320" i="6"/>
  <c r="D320" i="6"/>
  <c r="M319" i="6"/>
  <c r="L319" i="6"/>
  <c r="K319" i="6"/>
  <c r="J319" i="6"/>
  <c r="I319" i="6"/>
  <c r="H319" i="6"/>
  <c r="C319" i="6" s="1"/>
  <c r="G319" i="6"/>
  <c r="F319" i="6"/>
  <c r="E319" i="6"/>
  <c r="D319" i="6"/>
  <c r="M318" i="6"/>
  <c r="L318" i="6"/>
  <c r="K318" i="6"/>
  <c r="J318" i="6"/>
  <c r="I318" i="6"/>
  <c r="H318" i="6"/>
  <c r="C318" i="6" s="1"/>
  <c r="G318" i="6"/>
  <c r="F318" i="6"/>
  <c r="E318" i="6"/>
  <c r="D318" i="6"/>
  <c r="M317" i="6"/>
  <c r="L317" i="6"/>
  <c r="K317" i="6"/>
  <c r="J317" i="6"/>
  <c r="I317" i="6"/>
  <c r="H317" i="6"/>
  <c r="C317" i="6" s="1"/>
  <c r="G317" i="6"/>
  <c r="F317" i="6"/>
  <c r="E317" i="6"/>
  <c r="D317" i="6"/>
  <c r="M316" i="6"/>
  <c r="L316" i="6"/>
  <c r="K316" i="6"/>
  <c r="J316" i="6"/>
  <c r="I316" i="6"/>
  <c r="H316" i="6"/>
  <c r="C316" i="6" s="1"/>
  <c r="G316" i="6"/>
  <c r="F316" i="6"/>
  <c r="E316" i="6"/>
  <c r="D316" i="6"/>
  <c r="M315" i="6"/>
  <c r="L315" i="6"/>
  <c r="K315" i="6"/>
  <c r="J315" i="6"/>
  <c r="I315" i="6"/>
  <c r="H315" i="6"/>
  <c r="C315" i="6" s="1"/>
  <c r="G315" i="6"/>
  <c r="F315" i="6"/>
  <c r="E315" i="6"/>
  <c r="D315" i="6"/>
  <c r="M314" i="6"/>
  <c r="L314" i="6"/>
  <c r="K314" i="6"/>
  <c r="J314" i="6"/>
  <c r="I314" i="6"/>
  <c r="H314" i="6"/>
  <c r="C314" i="6" s="1"/>
  <c r="G314" i="6"/>
  <c r="F314" i="6"/>
  <c r="E314" i="6"/>
  <c r="D314" i="6"/>
  <c r="M313" i="6"/>
  <c r="L313" i="6"/>
  <c r="K313" i="6"/>
  <c r="J313" i="6"/>
  <c r="I313" i="6"/>
  <c r="H313" i="6"/>
  <c r="C313" i="6" s="1"/>
  <c r="G313" i="6"/>
  <c r="F313" i="6"/>
  <c r="E313" i="6"/>
  <c r="D313" i="6"/>
  <c r="M312" i="6"/>
  <c r="L312" i="6"/>
  <c r="K312" i="6"/>
  <c r="J312" i="6"/>
  <c r="I312" i="6"/>
  <c r="H312" i="6"/>
  <c r="C312" i="6" s="1"/>
  <c r="G312" i="6"/>
  <c r="F312" i="6"/>
  <c r="E312" i="6"/>
  <c r="D312" i="6"/>
  <c r="M311" i="6"/>
  <c r="L311" i="6"/>
  <c r="K311" i="6"/>
  <c r="J311" i="6"/>
  <c r="I311" i="6"/>
  <c r="H311" i="6"/>
  <c r="C311" i="6" s="1"/>
  <c r="G311" i="6"/>
  <c r="F311" i="6"/>
  <c r="E311" i="6"/>
  <c r="D311" i="6"/>
  <c r="M310" i="6"/>
  <c r="L310" i="6"/>
  <c r="K310" i="6"/>
  <c r="J310" i="6"/>
  <c r="I310" i="6"/>
  <c r="H310" i="6"/>
  <c r="C310" i="6" s="1"/>
  <c r="G310" i="6"/>
  <c r="F310" i="6"/>
  <c r="E310" i="6"/>
  <c r="D310" i="6"/>
  <c r="M309" i="6"/>
  <c r="L309" i="6"/>
  <c r="K309" i="6"/>
  <c r="J309" i="6"/>
  <c r="I309" i="6"/>
  <c r="H309" i="6"/>
  <c r="C309" i="6" s="1"/>
  <c r="G309" i="6"/>
  <c r="F309" i="6"/>
  <c r="E309" i="6"/>
  <c r="D309" i="6"/>
  <c r="M308" i="6"/>
  <c r="L308" i="6"/>
  <c r="K308" i="6"/>
  <c r="J308" i="6"/>
  <c r="I308" i="6"/>
  <c r="H308" i="6"/>
  <c r="C308" i="6" s="1"/>
  <c r="G308" i="6"/>
  <c r="F308" i="6"/>
  <c r="E308" i="6"/>
  <c r="D308" i="6"/>
  <c r="M307" i="6"/>
  <c r="L307" i="6"/>
  <c r="K307" i="6"/>
  <c r="J307" i="6"/>
  <c r="I307" i="6"/>
  <c r="H307" i="6"/>
  <c r="C307" i="6" s="1"/>
  <c r="G307" i="6"/>
  <c r="F307" i="6"/>
  <c r="E307" i="6"/>
  <c r="D307" i="6"/>
  <c r="M306" i="6"/>
  <c r="L306" i="6"/>
  <c r="K306" i="6"/>
  <c r="J306" i="6"/>
  <c r="I306" i="6"/>
  <c r="H306" i="6"/>
  <c r="C306" i="6" s="1"/>
  <c r="G306" i="6"/>
  <c r="F306" i="6"/>
  <c r="E306" i="6"/>
  <c r="D306" i="6"/>
  <c r="M305" i="6"/>
  <c r="L305" i="6"/>
  <c r="K305" i="6"/>
  <c r="J305" i="6"/>
  <c r="I305" i="6"/>
  <c r="H305" i="6"/>
  <c r="C305" i="6" s="1"/>
  <c r="G305" i="6"/>
  <c r="F305" i="6"/>
  <c r="E305" i="6"/>
  <c r="D305" i="6"/>
  <c r="M304" i="6"/>
  <c r="L304" i="6"/>
  <c r="K304" i="6"/>
  <c r="J304" i="6"/>
  <c r="I304" i="6"/>
  <c r="H304" i="6"/>
  <c r="C304" i="6" s="1"/>
  <c r="G304" i="6"/>
  <c r="F304" i="6"/>
  <c r="E304" i="6"/>
  <c r="D304" i="6"/>
  <c r="M303" i="6"/>
  <c r="L303" i="6"/>
  <c r="K303" i="6"/>
  <c r="J303" i="6"/>
  <c r="I303" i="6"/>
  <c r="H303" i="6"/>
  <c r="C303" i="6" s="1"/>
  <c r="G303" i="6"/>
  <c r="F303" i="6"/>
  <c r="E303" i="6"/>
  <c r="D303" i="6"/>
  <c r="M302" i="6"/>
  <c r="L302" i="6"/>
  <c r="K302" i="6"/>
  <c r="J302" i="6"/>
  <c r="I302" i="6"/>
  <c r="H302" i="6"/>
  <c r="C302" i="6" s="1"/>
  <c r="G302" i="6"/>
  <c r="F302" i="6"/>
  <c r="E302" i="6"/>
  <c r="D302" i="6"/>
  <c r="M301" i="6"/>
  <c r="L301" i="6"/>
  <c r="K301" i="6"/>
  <c r="J301" i="6"/>
  <c r="I301" i="6"/>
  <c r="H301" i="6"/>
  <c r="C301" i="6" s="1"/>
  <c r="G301" i="6"/>
  <c r="F301" i="6"/>
  <c r="E301" i="6"/>
  <c r="D301" i="6"/>
  <c r="M300" i="6"/>
  <c r="L300" i="6"/>
  <c r="K300" i="6"/>
  <c r="J300" i="6"/>
  <c r="I300" i="6"/>
  <c r="H300" i="6"/>
  <c r="C300" i="6" s="1"/>
  <c r="G300" i="6"/>
  <c r="F300" i="6"/>
  <c r="E300" i="6"/>
  <c r="D300" i="6"/>
  <c r="M299" i="6"/>
  <c r="L299" i="6"/>
  <c r="K299" i="6"/>
  <c r="J299" i="6"/>
  <c r="I299" i="6"/>
  <c r="H299" i="6"/>
  <c r="C299" i="6" s="1"/>
  <c r="G299" i="6"/>
  <c r="F299" i="6"/>
  <c r="E299" i="6"/>
  <c r="D299" i="6"/>
  <c r="M298" i="6"/>
  <c r="L298" i="6"/>
  <c r="K298" i="6"/>
  <c r="J298" i="6"/>
  <c r="I298" i="6"/>
  <c r="H298" i="6"/>
  <c r="C298" i="6" s="1"/>
  <c r="G298" i="6"/>
  <c r="F298" i="6"/>
  <c r="E298" i="6"/>
  <c r="D298" i="6"/>
  <c r="M297" i="6"/>
  <c r="L297" i="6"/>
  <c r="K297" i="6"/>
  <c r="J297" i="6"/>
  <c r="I297" i="6"/>
  <c r="H297" i="6"/>
  <c r="C297" i="6" s="1"/>
  <c r="G297" i="6"/>
  <c r="F297" i="6"/>
  <c r="E297" i="6"/>
  <c r="D297" i="6"/>
  <c r="M296" i="6"/>
  <c r="L296" i="6"/>
  <c r="K296" i="6"/>
  <c r="J296" i="6"/>
  <c r="I296" i="6"/>
  <c r="H296" i="6"/>
  <c r="C296" i="6" s="1"/>
  <c r="G296" i="6"/>
  <c r="F296" i="6"/>
  <c r="E296" i="6"/>
  <c r="D296" i="6"/>
  <c r="M295" i="6"/>
  <c r="L295" i="6"/>
  <c r="K295" i="6"/>
  <c r="J295" i="6"/>
  <c r="I295" i="6"/>
  <c r="H295" i="6"/>
  <c r="C295" i="6" s="1"/>
  <c r="G295" i="6"/>
  <c r="F295" i="6"/>
  <c r="E295" i="6"/>
  <c r="D295" i="6"/>
  <c r="M294" i="6"/>
  <c r="L294" i="6"/>
  <c r="K294" i="6"/>
  <c r="J294" i="6"/>
  <c r="I294" i="6"/>
  <c r="H294" i="6"/>
  <c r="C294" i="6" s="1"/>
  <c r="G294" i="6"/>
  <c r="F294" i="6"/>
  <c r="E294" i="6"/>
  <c r="D294" i="6"/>
  <c r="M293" i="6"/>
  <c r="L293" i="6"/>
  <c r="K293" i="6"/>
  <c r="J293" i="6"/>
  <c r="I293" i="6"/>
  <c r="H293" i="6"/>
  <c r="C293" i="6" s="1"/>
  <c r="G293" i="6"/>
  <c r="F293" i="6"/>
  <c r="E293" i="6"/>
  <c r="D293" i="6"/>
  <c r="M292" i="6"/>
  <c r="L292" i="6"/>
  <c r="K292" i="6"/>
  <c r="J292" i="6"/>
  <c r="I292" i="6"/>
  <c r="H292" i="6"/>
  <c r="C292" i="6" s="1"/>
  <c r="G292" i="6"/>
  <c r="F292" i="6"/>
  <c r="E292" i="6"/>
  <c r="D292" i="6"/>
  <c r="M291" i="6"/>
  <c r="L291" i="6"/>
  <c r="K291" i="6"/>
  <c r="J291" i="6"/>
  <c r="I291" i="6"/>
  <c r="H291" i="6"/>
  <c r="C291" i="6" s="1"/>
  <c r="G291" i="6"/>
  <c r="F291" i="6"/>
  <c r="E291" i="6"/>
  <c r="D291" i="6"/>
  <c r="M290" i="6"/>
  <c r="L290" i="6"/>
  <c r="K290" i="6"/>
  <c r="J290" i="6"/>
  <c r="I290" i="6"/>
  <c r="H290" i="6"/>
  <c r="C290" i="6" s="1"/>
  <c r="G290" i="6"/>
  <c r="F290" i="6"/>
  <c r="E290" i="6"/>
  <c r="D290" i="6"/>
  <c r="M289" i="6"/>
  <c r="L289" i="6"/>
  <c r="K289" i="6"/>
  <c r="J289" i="6"/>
  <c r="I289" i="6"/>
  <c r="H289" i="6"/>
  <c r="C289" i="6" s="1"/>
  <c r="G289" i="6"/>
  <c r="F289" i="6"/>
  <c r="E289" i="6"/>
  <c r="D289" i="6"/>
  <c r="M288" i="6"/>
  <c r="L288" i="6"/>
  <c r="K288" i="6"/>
  <c r="J288" i="6"/>
  <c r="I288" i="6"/>
  <c r="H288" i="6"/>
  <c r="C288" i="6" s="1"/>
  <c r="G288" i="6"/>
  <c r="F288" i="6"/>
  <c r="E288" i="6"/>
  <c r="D288" i="6"/>
  <c r="M287" i="6"/>
  <c r="L287" i="6"/>
  <c r="K287" i="6"/>
  <c r="J287" i="6"/>
  <c r="I287" i="6"/>
  <c r="H287" i="6"/>
  <c r="C287" i="6" s="1"/>
  <c r="G287" i="6"/>
  <c r="F287" i="6"/>
  <c r="E287" i="6"/>
  <c r="D287" i="6"/>
  <c r="M286" i="6"/>
  <c r="L286" i="6"/>
  <c r="K286" i="6"/>
  <c r="J286" i="6"/>
  <c r="I286" i="6"/>
  <c r="H286" i="6"/>
  <c r="C286" i="6" s="1"/>
  <c r="G286" i="6"/>
  <c r="F286" i="6"/>
  <c r="E286" i="6"/>
  <c r="D286" i="6"/>
  <c r="M285" i="6"/>
  <c r="L285" i="6"/>
  <c r="K285" i="6"/>
  <c r="J285" i="6"/>
  <c r="I285" i="6"/>
  <c r="H285" i="6"/>
  <c r="C285" i="6" s="1"/>
  <c r="G285" i="6"/>
  <c r="F285" i="6"/>
  <c r="E285" i="6"/>
  <c r="D285" i="6"/>
  <c r="M284" i="6"/>
  <c r="L284" i="6"/>
  <c r="K284" i="6"/>
  <c r="J284" i="6"/>
  <c r="I284" i="6"/>
  <c r="H284" i="6"/>
  <c r="C284" i="6" s="1"/>
  <c r="G284" i="6"/>
  <c r="F284" i="6"/>
  <c r="E284" i="6"/>
  <c r="D284" i="6"/>
  <c r="M283" i="6"/>
  <c r="L283" i="6"/>
  <c r="K283" i="6"/>
  <c r="J283" i="6"/>
  <c r="I283" i="6"/>
  <c r="H283" i="6"/>
  <c r="C283" i="6" s="1"/>
  <c r="G283" i="6"/>
  <c r="F283" i="6"/>
  <c r="E283" i="6"/>
  <c r="D283" i="6"/>
  <c r="M282" i="6"/>
  <c r="L282" i="6"/>
  <c r="K282" i="6"/>
  <c r="J282" i="6"/>
  <c r="I282" i="6"/>
  <c r="H282" i="6"/>
  <c r="C282" i="6" s="1"/>
  <c r="G282" i="6"/>
  <c r="F282" i="6"/>
  <c r="E282" i="6"/>
  <c r="D282" i="6"/>
  <c r="M281" i="6"/>
  <c r="L281" i="6"/>
  <c r="K281" i="6"/>
  <c r="J281" i="6"/>
  <c r="I281" i="6"/>
  <c r="H281" i="6"/>
  <c r="C281" i="6" s="1"/>
  <c r="G281" i="6"/>
  <c r="F281" i="6"/>
  <c r="E281" i="6"/>
  <c r="D281" i="6"/>
  <c r="M280" i="6"/>
  <c r="L280" i="6"/>
  <c r="K280" i="6"/>
  <c r="J280" i="6"/>
  <c r="I280" i="6"/>
  <c r="H280" i="6"/>
  <c r="C280" i="6" s="1"/>
  <c r="G280" i="6"/>
  <c r="F280" i="6"/>
  <c r="E280" i="6"/>
  <c r="D280" i="6"/>
  <c r="M279" i="6"/>
  <c r="L279" i="6"/>
  <c r="K279" i="6"/>
  <c r="J279" i="6"/>
  <c r="I279" i="6"/>
  <c r="H279" i="6"/>
  <c r="C279" i="6" s="1"/>
  <c r="G279" i="6"/>
  <c r="F279" i="6"/>
  <c r="E279" i="6"/>
  <c r="D279" i="6"/>
  <c r="M278" i="6"/>
  <c r="L278" i="6"/>
  <c r="K278" i="6"/>
  <c r="J278" i="6"/>
  <c r="I278" i="6"/>
  <c r="H278" i="6"/>
  <c r="C278" i="6" s="1"/>
  <c r="G278" i="6"/>
  <c r="F278" i="6"/>
  <c r="E278" i="6"/>
  <c r="D278" i="6"/>
  <c r="M277" i="6"/>
  <c r="L277" i="6"/>
  <c r="K277" i="6"/>
  <c r="J277" i="6"/>
  <c r="I277" i="6"/>
  <c r="H277" i="6"/>
  <c r="C277" i="6" s="1"/>
  <c r="G277" i="6"/>
  <c r="F277" i="6"/>
  <c r="E277" i="6"/>
  <c r="D277" i="6"/>
  <c r="M276" i="6"/>
  <c r="L276" i="6"/>
  <c r="K276" i="6"/>
  <c r="J276" i="6"/>
  <c r="I276" i="6"/>
  <c r="H276" i="6"/>
  <c r="C276" i="6" s="1"/>
  <c r="G276" i="6"/>
  <c r="F276" i="6"/>
  <c r="E276" i="6"/>
  <c r="D276" i="6"/>
  <c r="M275" i="6"/>
  <c r="L275" i="6"/>
  <c r="K275" i="6"/>
  <c r="J275" i="6"/>
  <c r="I275" i="6"/>
  <c r="H275" i="6"/>
  <c r="C275" i="6" s="1"/>
  <c r="G275" i="6"/>
  <c r="F275" i="6"/>
  <c r="E275" i="6"/>
  <c r="D275" i="6"/>
  <c r="M274" i="6"/>
  <c r="L274" i="6"/>
  <c r="K274" i="6"/>
  <c r="J274" i="6"/>
  <c r="I274" i="6"/>
  <c r="H274" i="6"/>
  <c r="C274" i="6" s="1"/>
  <c r="G274" i="6"/>
  <c r="F274" i="6"/>
  <c r="E274" i="6"/>
  <c r="D274" i="6"/>
  <c r="M273" i="6"/>
  <c r="L273" i="6"/>
  <c r="K273" i="6"/>
  <c r="J273" i="6"/>
  <c r="I273" i="6"/>
  <c r="H273" i="6"/>
  <c r="C273" i="6" s="1"/>
  <c r="G273" i="6"/>
  <c r="F273" i="6"/>
  <c r="E273" i="6"/>
  <c r="D273" i="6"/>
  <c r="M272" i="6"/>
  <c r="L272" i="6"/>
  <c r="K272" i="6"/>
  <c r="J272" i="6"/>
  <c r="I272" i="6"/>
  <c r="H272" i="6"/>
  <c r="C272" i="6" s="1"/>
  <c r="G272" i="6"/>
  <c r="F272" i="6"/>
  <c r="E272" i="6"/>
  <c r="D272" i="6"/>
  <c r="M271" i="6"/>
  <c r="L271" i="6"/>
  <c r="K271" i="6"/>
  <c r="J271" i="6"/>
  <c r="I271" i="6"/>
  <c r="H271" i="6"/>
  <c r="C271" i="6" s="1"/>
  <c r="G271" i="6"/>
  <c r="F271" i="6"/>
  <c r="E271" i="6"/>
  <c r="D271" i="6"/>
  <c r="M270" i="6"/>
  <c r="L270" i="6"/>
  <c r="K270" i="6"/>
  <c r="J270" i="6"/>
  <c r="I270" i="6"/>
  <c r="H270" i="6"/>
  <c r="C270" i="6" s="1"/>
  <c r="G270" i="6"/>
  <c r="F270" i="6"/>
  <c r="E270" i="6"/>
  <c r="D270" i="6"/>
  <c r="M269" i="6"/>
  <c r="L269" i="6"/>
  <c r="K269" i="6"/>
  <c r="J269" i="6"/>
  <c r="I269" i="6"/>
  <c r="H269" i="6"/>
  <c r="C269" i="6" s="1"/>
  <c r="G269" i="6"/>
  <c r="F269" i="6"/>
  <c r="E269" i="6"/>
  <c r="D269" i="6"/>
  <c r="M268" i="6"/>
  <c r="L268" i="6"/>
  <c r="K268" i="6"/>
  <c r="J268" i="6"/>
  <c r="I268" i="6"/>
  <c r="H268" i="6"/>
  <c r="C268" i="6" s="1"/>
  <c r="G268" i="6"/>
  <c r="F268" i="6"/>
  <c r="E268" i="6"/>
  <c r="D268" i="6"/>
  <c r="M267" i="6"/>
  <c r="L267" i="6"/>
  <c r="K267" i="6"/>
  <c r="J267" i="6"/>
  <c r="I267" i="6"/>
  <c r="H267" i="6"/>
  <c r="C267" i="6" s="1"/>
  <c r="G267" i="6"/>
  <c r="F267" i="6"/>
  <c r="E267" i="6"/>
  <c r="D267" i="6"/>
  <c r="M266" i="6"/>
  <c r="L266" i="6"/>
  <c r="K266" i="6"/>
  <c r="J266" i="6"/>
  <c r="I266" i="6"/>
  <c r="H266" i="6"/>
  <c r="C266" i="6" s="1"/>
  <c r="G266" i="6"/>
  <c r="F266" i="6"/>
  <c r="E266" i="6"/>
  <c r="D266" i="6"/>
  <c r="M265" i="6"/>
  <c r="L265" i="6"/>
  <c r="K265" i="6"/>
  <c r="J265" i="6"/>
  <c r="I265" i="6"/>
  <c r="H265" i="6"/>
  <c r="C265" i="6" s="1"/>
  <c r="G265" i="6"/>
  <c r="F265" i="6"/>
  <c r="E265" i="6"/>
  <c r="D265" i="6"/>
  <c r="M264" i="6"/>
  <c r="L264" i="6"/>
  <c r="K264" i="6"/>
  <c r="J264" i="6"/>
  <c r="I264" i="6"/>
  <c r="H264" i="6"/>
  <c r="C264" i="6" s="1"/>
  <c r="G264" i="6"/>
  <c r="F264" i="6"/>
  <c r="E264" i="6"/>
  <c r="D264" i="6"/>
  <c r="M263" i="6"/>
  <c r="L263" i="6"/>
  <c r="K263" i="6"/>
  <c r="J263" i="6"/>
  <c r="I263" i="6"/>
  <c r="H263" i="6"/>
  <c r="C263" i="6" s="1"/>
  <c r="G263" i="6"/>
  <c r="F263" i="6"/>
  <c r="E263" i="6"/>
  <c r="D263" i="6"/>
  <c r="M262" i="6"/>
  <c r="L262" i="6"/>
  <c r="K262" i="6"/>
  <c r="J262" i="6"/>
  <c r="I262" i="6"/>
  <c r="H262" i="6"/>
  <c r="C262" i="6" s="1"/>
  <c r="G262" i="6"/>
  <c r="F262" i="6"/>
  <c r="E262" i="6"/>
  <c r="D262" i="6"/>
  <c r="M261" i="6"/>
  <c r="L261" i="6"/>
  <c r="K261" i="6"/>
  <c r="J261" i="6"/>
  <c r="I261" i="6"/>
  <c r="H261" i="6"/>
  <c r="C261" i="6" s="1"/>
  <c r="G261" i="6"/>
  <c r="F261" i="6"/>
  <c r="E261" i="6"/>
  <c r="D261" i="6"/>
  <c r="M260" i="6"/>
  <c r="L260" i="6"/>
  <c r="K260" i="6"/>
  <c r="J260" i="6"/>
  <c r="I260" i="6"/>
  <c r="H260" i="6"/>
  <c r="C260" i="6" s="1"/>
  <c r="G260" i="6"/>
  <c r="F260" i="6"/>
  <c r="E260" i="6"/>
  <c r="D260" i="6"/>
  <c r="M259" i="6"/>
  <c r="L259" i="6"/>
  <c r="K259" i="6"/>
  <c r="J259" i="6"/>
  <c r="I259" i="6"/>
  <c r="H259" i="6"/>
  <c r="C259" i="6" s="1"/>
  <c r="G259" i="6"/>
  <c r="F259" i="6"/>
  <c r="E259" i="6"/>
  <c r="D259" i="6"/>
  <c r="M258" i="6"/>
  <c r="L258" i="6"/>
  <c r="K258" i="6"/>
  <c r="J258" i="6"/>
  <c r="I258" i="6"/>
  <c r="H258" i="6"/>
  <c r="C258" i="6" s="1"/>
  <c r="G258" i="6"/>
  <c r="F258" i="6"/>
  <c r="E258" i="6"/>
  <c r="D258" i="6"/>
  <c r="M257" i="6"/>
  <c r="L257" i="6"/>
  <c r="K257" i="6"/>
  <c r="J257" i="6"/>
  <c r="I257" i="6"/>
  <c r="H257" i="6"/>
  <c r="C257" i="6" s="1"/>
  <c r="G257" i="6"/>
  <c r="F257" i="6"/>
  <c r="E257" i="6"/>
  <c r="D257" i="6"/>
  <c r="M256" i="6"/>
  <c r="L256" i="6"/>
  <c r="K256" i="6"/>
  <c r="J256" i="6"/>
  <c r="I256" i="6"/>
  <c r="H256" i="6"/>
  <c r="C256" i="6" s="1"/>
  <c r="G256" i="6"/>
  <c r="F256" i="6"/>
  <c r="E256" i="6"/>
  <c r="D256" i="6"/>
  <c r="M255" i="6"/>
  <c r="L255" i="6"/>
  <c r="K255" i="6"/>
  <c r="J255" i="6"/>
  <c r="I255" i="6"/>
  <c r="H255" i="6"/>
  <c r="C255" i="6" s="1"/>
  <c r="G255" i="6"/>
  <c r="F255" i="6"/>
  <c r="E255" i="6"/>
  <c r="D255" i="6"/>
  <c r="M254" i="6"/>
  <c r="L254" i="6"/>
  <c r="K254" i="6"/>
  <c r="J254" i="6"/>
  <c r="I254" i="6"/>
  <c r="H254" i="6"/>
  <c r="C254" i="6" s="1"/>
  <c r="G254" i="6"/>
  <c r="F254" i="6"/>
  <c r="E254" i="6"/>
  <c r="D254" i="6"/>
  <c r="M253" i="6"/>
  <c r="L253" i="6"/>
  <c r="K253" i="6"/>
  <c r="J253" i="6"/>
  <c r="I253" i="6"/>
  <c r="H253" i="6"/>
  <c r="C253" i="6" s="1"/>
  <c r="G253" i="6"/>
  <c r="F253" i="6"/>
  <c r="E253" i="6"/>
  <c r="D253" i="6"/>
  <c r="M252" i="6"/>
  <c r="L252" i="6"/>
  <c r="K252" i="6"/>
  <c r="J252" i="6"/>
  <c r="I252" i="6"/>
  <c r="H252" i="6"/>
  <c r="C252" i="6" s="1"/>
  <c r="G252" i="6"/>
  <c r="F252" i="6"/>
  <c r="E252" i="6"/>
  <c r="D252" i="6"/>
  <c r="M251" i="6"/>
  <c r="L251" i="6"/>
  <c r="K251" i="6"/>
  <c r="J251" i="6"/>
  <c r="I251" i="6"/>
  <c r="H251" i="6"/>
  <c r="C251" i="6" s="1"/>
  <c r="G251" i="6"/>
  <c r="F251" i="6"/>
  <c r="E251" i="6"/>
  <c r="D251" i="6"/>
  <c r="M250" i="6"/>
  <c r="L250" i="6"/>
  <c r="K250" i="6"/>
  <c r="J250" i="6"/>
  <c r="I250" i="6"/>
  <c r="H250" i="6"/>
  <c r="C250" i="6" s="1"/>
  <c r="G250" i="6"/>
  <c r="F250" i="6"/>
  <c r="E250" i="6"/>
  <c r="D250" i="6"/>
  <c r="M249" i="6"/>
  <c r="L249" i="6"/>
  <c r="K249" i="6"/>
  <c r="J249" i="6"/>
  <c r="I249" i="6"/>
  <c r="H249" i="6"/>
  <c r="C249" i="6" s="1"/>
  <c r="G249" i="6"/>
  <c r="F249" i="6"/>
  <c r="E249" i="6"/>
  <c r="D249" i="6"/>
  <c r="M248" i="6"/>
  <c r="L248" i="6"/>
  <c r="K248" i="6"/>
  <c r="J248" i="6"/>
  <c r="I248" i="6"/>
  <c r="H248" i="6"/>
  <c r="C248" i="6" s="1"/>
  <c r="G248" i="6"/>
  <c r="F248" i="6"/>
  <c r="E248" i="6"/>
  <c r="D248" i="6"/>
  <c r="M247" i="6"/>
  <c r="L247" i="6"/>
  <c r="K247" i="6"/>
  <c r="J247" i="6"/>
  <c r="I247" i="6"/>
  <c r="H247" i="6"/>
  <c r="C247" i="6" s="1"/>
  <c r="G247" i="6"/>
  <c r="F247" i="6"/>
  <c r="E247" i="6"/>
  <c r="D247" i="6"/>
  <c r="M246" i="6"/>
  <c r="L246" i="6"/>
  <c r="K246" i="6"/>
  <c r="J246" i="6"/>
  <c r="I246" i="6"/>
  <c r="H246" i="6"/>
  <c r="C246" i="6" s="1"/>
  <c r="G246" i="6"/>
  <c r="F246" i="6"/>
  <c r="E246" i="6"/>
  <c r="D246" i="6"/>
  <c r="M245" i="6"/>
  <c r="L245" i="6"/>
  <c r="K245" i="6"/>
  <c r="J245" i="6"/>
  <c r="I245" i="6"/>
  <c r="H245" i="6"/>
  <c r="C245" i="6" s="1"/>
  <c r="G245" i="6"/>
  <c r="F245" i="6"/>
  <c r="E245" i="6"/>
  <c r="D245" i="6"/>
  <c r="M244" i="6"/>
  <c r="L244" i="6"/>
  <c r="K244" i="6"/>
  <c r="J244" i="6"/>
  <c r="I244" i="6"/>
  <c r="H244" i="6"/>
  <c r="C244" i="6" s="1"/>
  <c r="G244" i="6"/>
  <c r="F244" i="6"/>
  <c r="E244" i="6"/>
  <c r="D244" i="6"/>
  <c r="M243" i="6"/>
  <c r="L243" i="6"/>
  <c r="K243" i="6"/>
  <c r="J243" i="6"/>
  <c r="I243" i="6"/>
  <c r="H243" i="6"/>
  <c r="C243" i="6" s="1"/>
  <c r="G243" i="6"/>
  <c r="F243" i="6"/>
  <c r="E243" i="6"/>
  <c r="D243" i="6"/>
  <c r="M242" i="6"/>
  <c r="L242" i="6"/>
  <c r="K242" i="6"/>
  <c r="J242" i="6"/>
  <c r="I242" i="6"/>
  <c r="H242" i="6"/>
  <c r="C242" i="6" s="1"/>
  <c r="G242" i="6"/>
  <c r="F242" i="6"/>
  <c r="E242" i="6"/>
  <c r="D242" i="6"/>
  <c r="M241" i="6"/>
  <c r="L241" i="6"/>
  <c r="K241" i="6"/>
  <c r="J241" i="6"/>
  <c r="I241" i="6"/>
  <c r="H241" i="6"/>
  <c r="C241" i="6" s="1"/>
  <c r="G241" i="6"/>
  <c r="F241" i="6"/>
  <c r="E241" i="6"/>
  <c r="D241" i="6"/>
  <c r="M240" i="6"/>
  <c r="L240" i="6"/>
  <c r="K240" i="6"/>
  <c r="J240" i="6"/>
  <c r="I240" i="6"/>
  <c r="H240" i="6"/>
  <c r="C240" i="6" s="1"/>
  <c r="G240" i="6"/>
  <c r="F240" i="6"/>
  <c r="E240" i="6"/>
  <c r="D240" i="6"/>
  <c r="M239" i="6"/>
  <c r="L239" i="6"/>
  <c r="K239" i="6"/>
  <c r="J239" i="6"/>
  <c r="I239" i="6"/>
  <c r="H239" i="6"/>
  <c r="C239" i="6" s="1"/>
  <c r="G239" i="6"/>
  <c r="F239" i="6"/>
  <c r="E239" i="6"/>
  <c r="D239" i="6"/>
  <c r="M238" i="6"/>
  <c r="L238" i="6"/>
  <c r="K238" i="6"/>
  <c r="J238" i="6"/>
  <c r="I238" i="6"/>
  <c r="H238" i="6"/>
  <c r="C238" i="6" s="1"/>
  <c r="G238" i="6"/>
  <c r="F238" i="6"/>
  <c r="E238" i="6"/>
  <c r="D238" i="6"/>
  <c r="M237" i="6"/>
  <c r="L237" i="6"/>
  <c r="K237" i="6"/>
  <c r="J237" i="6"/>
  <c r="I237" i="6"/>
  <c r="H237" i="6"/>
  <c r="C237" i="6" s="1"/>
  <c r="G237" i="6"/>
  <c r="F237" i="6"/>
  <c r="E237" i="6"/>
  <c r="D237" i="6"/>
  <c r="M236" i="6"/>
  <c r="L236" i="6"/>
  <c r="K236" i="6"/>
  <c r="J236" i="6"/>
  <c r="I236" i="6"/>
  <c r="H236" i="6"/>
  <c r="C236" i="6" s="1"/>
  <c r="G236" i="6"/>
  <c r="F236" i="6"/>
  <c r="E236" i="6"/>
  <c r="D236" i="6"/>
  <c r="M235" i="6"/>
  <c r="L235" i="6"/>
  <c r="K235" i="6"/>
  <c r="J235" i="6"/>
  <c r="I235" i="6"/>
  <c r="H235" i="6"/>
  <c r="C235" i="6" s="1"/>
  <c r="G235" i="6"/>
  <c r="F235" i="6"/>
  <c r="E235" i="6"/>
  <c r="D235" i="6"/>
  <c r="M234" i="6"/>
  <c r="L234" i="6"/>
  <c r="K234" i="6"/>
  <c r="J234" i="6"/>
  <c r="I234" i="6"/>
  <c r="H234" i="6"/>
  <c r="C234" i="6" s="1"/>
  <c r="G234" i="6"/>
  <c r="F234" i="6"/>
  <c r="E234" i="6"/>
  <c r="D234" i="6"/>
  <c r="M233" i="6"/>
  <c r="L233" i="6"/>
  <c r="K233" i="6"/>
  <c r="J233" i="6"/>
  <c r="I233" i="6"/>
  <c r="H233" i="6"/>
  <c r="C233" i="6" s="1"/>
  <c r="G233" i="6"/>
  <c r="F233" i="6"/>
  <c r="E233" i="6"/>
  <c r="D233" i="6"/>
  <c r="M232" i="6"/>
  <c r="L232" i="6"/>
  <c r="K232" i="6"/>
  <c r="J232" i="6"/>
  <c r="I232" i="6"/>
  <c r="H232" i="6"/>
  <c r="C232" i="6" s="1"/>
  <c r="G232" i="6"/>
  <c r="F232" i="6"/>
  <c r="E232" i="6"/>
  <c r="D232" i="6"/>
  <c r="M231" i="6"/>
  <c r="L231" i="6"/>
  <c r="K231" i="6"/>
  <c r="J231" i="6"/>
  <c r="I231" i="6"/>
  <c r="H231" i="6"/>
  <c r="C231" i="6" s="1"/>
  <c r="G231" i="6"/>
  <c r="F231" i="6"/>
  <c r="E231" i="6"/>
  <c r="D231" i="6"/>
  <c r="M230" i="6"/>
  <c r="L230" i="6"/>
  <c r="K230" i="6"/>
  <c r="J230" i="6"/>
  <c r="I230" i="6"/>
  <c r="H230" i="6"/>
  <c r="C230" i="6" s="1"/>
  <c r="G230" i="6"/>
  <c r="F230" i="6"/>
  <c r="E230" i="6"/>
  <c r="D230" i="6"/>
  <c r="M229" i="6"/>
  <c r="L229" i="6"/>
  <c r="K229" i="6"/>
  <c r="J229" i="6"/>
  <c r="I229" i="6"/>
  <c r="H229" i="6"/>
  <c r="C229" i="6" s="1"/>
  <c r="G229" i="6"/>
  <c r="F229" i="6"/>
  <c r="E229" i="6"/>
  <c r="D229" i="6"/>
  <c r="M228" i="6"/>
  <c r="L228" i="6"/>
  <c r="K228" i="6"/>
  <c r="J228" i="6"/>
  <c r="I228" i="6"/>
  <c r="H228" i="6"/>
  <c r="C228" i="6" s="1"/>
  <c r="G228" i="6"/>
  <c r="F228" i="6"/>
  <c r="E228" i="6"/>
  <c r="D228" i="6"/>
  <c r="M227" i="6"/>
  <c r="L227" i="6"/>
  <c r="K227" i="6"/>
  <c r="J227" i="6"/>
  <c r="I227" i="6"/>
  <c r="H227" i="6"/>
  <c r="C227" i="6" s="1"/>
  <c r="G227" i="6"/>
  <c r="F227" i="6"/>
  <c r="E227" i="6"/>
  <c r="D227" i="6"/>
  <c r="M226" i="6"/>
  <c r="L226" i="6"/>
  <c r="K226" i="6"/>
  <c r="J226" i="6"/>
  <c r="I226" i="6"/>
  <c r="H226" i="6"/>
  <c r="C226" i="6" s="1"/>
  <c r="G226" i="6"/>
  <c r="F226" i="6"/>
  <c r="E226" i="6"/>
  <c r="D226" i="6"/>
  <c r="M225" i="6"/>
  <c r="L225" i="6"/>
  <c r="K225" i="6"/>
  <c r="J225" i="6"/>
  <c r="I225" i="6"/>
  <c r="H225" i="6"/>
  <c r="C225" i="6" s="1"/>
  <c r="G225" i="6"/>
  <c r="F225" i="6"/>
  <c r="E225" i="6"/>
  <c r="D225" i="6"/>
  <c r="M224" i="6"/>
  <c r="L224" i="6"/>
  <c r="K224" i="6"/>
  <c r="J224" i="6"/>
  <c r="I224" i="6"/>
  <c r="H224" i="6"/>
  <c r="C224" i="6" s="1"/>
  <c r="G224" i="6"/>
  <c r="F224" i="6"/>
  <c r="E224" i="6"/>
  <c r="D224" i="6"/>
  <c r="M223" i="6"/>
  <c r="L223" i="6"/>
  <c r="K223" i="6"/>
  <c r="J223" i="6"/>
  <c r="I223" i="6"/>
  <c r="H223" i="6"/>
  <c r="C223" i="6" s="1"/>
  <c r="G223" i="6"/>
  <c r="F223" i="6"/>
  <c r="E223" i="6"/>
  <c r="D223" i="6"/>
  <c r="M222" i="6"/>
  <c r="L222" i="6"/>
  <c r="K222" i="6"/>
  <c r="J222" i="6"/>
  <c r="I222" i="6"/>
  <c r="H222" i="6"/>
  <c r="C222" i="6" s="1"/>
  <c r="G222" i="6"/>
  <c r="F222" i="6"/>
  <c r="E222" i="6"/>
  <c r="D222" i="6"/>
  <c r="M221" i="6"/>
  <c r="L221" i="6"/>
  <c r="K221" i="6"/>
  <c r="J221" i="6"/>
  <c r="I221" i="6"/>
  <c r="H221" i="6"/>
  <c r="C221" i="6" s="1"/>
  <c r="G221" i="6"/>
  <c r="F221" i="6"/>
  <c r="E221" i="6"/>
  <c r="D221" i="6"/>
  <c r="M220" i="6"/>
  <c r="L220" i="6"/>
  <c r="K220" i="6"/>
  <c r="J220" i="6"/>
  <c r="I220" i="6"/>
  <c r="H220" i="6"/>
  <c r="C220" i="6" s="1"/>
  <c r="G220" i="6"/>
  <c r="F220" i="6"/>
  <c r="E220" i="6"/>
  <c r="D220" i="6"/>
  <c r="M219" i="6"/>
  <c r="L219" i="6"/>
  <c r="K219" i="6"/>
  <c r="J219" i="6"/>
  <c r="I219" i="6"/>
  <c r="H219" i="6"/>
  <c r="C219" i="6" s="1"/>
  <c r="G219" i="6"/>
  <c r="F219" i="6"/>
  <c r="E219" i="6"/>
  <c r="D219" i="6"/>
  <c r="M218" i="6"/>
  <c r="L218" i="6"/>
  <c r="K218" i="6"/>
  <c r="J218" i="6"/>
  <c r="I218" i="6"/>
  <c r="H218" i="6"/>
  <c r="C218" i="6" s="1"/>
  <c r="G218" i="6"/>
  <c r="F218" i="6"/>
  <c r="E218" i="6"/>
  <c r="D218" i="6"/>
  <c r="M217" i="6"/>
  <c r="L217" i="6"/>
  <c r="K217" i="6"/>
  <c r="J217" i="6"/>
  <c r="I217" i="6"/>
  <c r="H217" i="6"/>
  <c r="C217" i="6" s="1"/>
  <c r="G217" i="6"/>
  <c r="F217" i="6"/>
  <c r="E217" i="6"/>
  <c r="D217" i="6"/>
  <c r="M216" i="6"/>
  <c r="L216" i="6"/>
  <c r="K216" i="6"/>
  <c r="J216" i="6"/>
  <c r="I216" i="6"/>
  <c r="H216" i="6"/>
  <c r="C216" i="6" s="1"/>
  <c r="G216" i="6"/>
  <c r="F216" i="6"/>
  <c r="E216" i="6"/>
  <c r="D216" i="6"/>
  <c r="M215" i="6"/>
  <c r="L215" i="6"/>
  <c r="K215" i="6"/>
  <c r="J215" i="6"/>
  <c r="I215" i="6"/>
  <c r="H215" i="6"/>
  <c r="C215" i="6" s="1"/>
  <c r="G215" i="6"/>
  <c r="F215" i="6"/>
  <c r="E215" i="6"/>
  <c r="D215" i="6"/>
  <c r="M214" i="6"/>
  <c r="L214" i="6"/>
  <c r="K214" i="6"/>
  <c r="J214" i="6"/>
  <c r="I214" i="6"/>
  <c r="H214" i="6"/>
  <c r="C214" i="6" s="1"/>
  <c r="G214" i="6"/>
  <c r="F214" i="6"/>
  <c r="E214" i="6"/>
  <c r="D214" i="6"/>
  <c r="M213" i="6"/>
  <c r="L213" i="6"/>
  <c r="K213" i="6"/>
  <c r="J213" i="6"/>
  <c r="I213" i="6"/>
  <c r="H213" i="6"/>
  <c r="C213" i="6" s="1"/>
  <c r="G213" i="6"/>
  <c r="F213" i="6"/>
  <c r="E213" i="6"/>
  <c r="D213" i="6"/>
  <c r="M212" i="6"/>
  <c r="L212" i="6"/>
  <c r="K212" i="6"/>
  <c r="J212" i="6"/>
  <c r="I212" i="6"/>
  <c r="H212" i="6"/>
  <c r="C212" i="6" s="1"/>
  <c r="G212" i="6"/>
  <c r="F212" i="6"/>
  <c r="E212" i="6"/>
  <c r="D212" i="6"/>
  <c r="M211" i="6"/>
  <c r="L211" i="6"/>
  <c r="K211" i="6"/>
  <c r="J211" i="6"/>
  <c r="I211" i="6"/>
  <c r="H211" i="6"/>
  <c r="C211" i="6" s="1"/>
  <c r="G211" i="6"/>
  <c r="F211" i="6"/>
  <c r="E211" i="6"/>
  <c r="D211" i="6"/>
  <c r="M210" i="6"/>
  <c r="L210" i="6"/>
  <c r="K210" i="6"/>
  <c r="J210" i="6"/>
  <c r="I210" i="6"/>
  <c r="H210" i="6"/>
  <c r="C210" i="6" s="1"/>
  <c r="G210" i="6"/>
  <c r="F210" i="6"/>
  <c r="E210" i="6"/>
  <c r="D210" i="6"/>
  <c r="M209" i="6"/>
  <c r="L209" i="6"/>
  <c r="K209" i="6"/>
  <c r="J209" i="6"/>
  <c r="I209" i="6"/>
  <c r="H209" i="6"/>
  <c r="C209" i="6" s="1"/>
  <c r="G209" i="6"/>
  <c r="F209" i="6"/>
  <c r="E209" i="6"/>
  <c r="D209" i="6"/>
  <c r="M208" i="6"/>
  <c r="L208" i="6"/>
  <c r="K208" i="6"/>
  <c r="J208" i="6"/>
  <c r="I208" i="6"/>
  <c r="H208" i="6"/>
  <c r="C208" i="6" s="1"/>
  <c r="G208" i="6"/>
  <c r="F208" i="6"/>
  <c r="E208" i="6"/>
  <c r="D208" i="6"/>
  <c r="M207" i="6"/>
  <c r="L207" i="6"/>
  <c r="K207" i="6"/>
  <c r="J207" i="6"/>
  <c r="I207" i="6"/>
  <c r="H207" i="6"/>
  <c r="C207" i="6" s="1"/>
  <c r="G207" i="6"/>
  <c r="F207" i="6"/>
  <c r="E207" i="6"/>
  <c r="D207" i="6"/>
  <c r="M206" i="6"/>
  <c r="L206" i="6"/>
  <c r="K206" i="6"/>
  <c r="J206" i="6"/>
  <c r="I206" i="6"/>
  <c r="H206" i="6"/>
  <c r="C206" i="6" s="1"/>
  <c r="G206" i="6"/>
  <c r="F206" i="6"/>
  <c r="E206" i="6"/>
  <c r="D206" i="6"/>
  <c r="M205" i="6"/>
  <c r="L205" i="6"/>
  <c r="K205" i="6"/>
  <c r="J205" i="6"/>
  <c r="I205" i="6"/>
  <c r="H205" i="6"/>
  <c r="C205" i="6" s="1"/>
  <c r="G205" i="6"/>
  <c r="F205" i="6"/>
  <c r="E205" i="6"/>
  <c r="D205" i="6"/>
  <c r="M204" i="6"/>
  <c r="L204" i="6"/>
  <c r="K204" i="6"/>
  <c r="J204" i="6"/>
  <c r="I204" i="6"/>
  <c r="H204" i="6"/>
  <c r="C204" i="6" s="1"/>
  <c r="G204" i="6"/>
  <c r="F204" i="6"/>
  <c r="E204" i="6"/>
  <c r="D204" i="6"/>
  <c r="M203" i="6"/>
  <c r="L203" i="6"/>
  <c r="K203" i="6"/>
  <c r="J203" i="6"/>
  <c r="I203" i="6"/>
  <c r="H203" i="6"/>
  <c r="C203" i="6" s="1"/>
  <c r="G203" i="6"/>
  <c r="F203" i="6"/>
  <c r="E203" i="6"/>
  <c r="D203" i="6"/>
  <c r="M202" i="6"/>
  <c r="L202" i="6"/>
  <c r="K202" i="6"/>
  <c r="J202" i="6"/>
  <c r="I202" i="6"/>
  <c r="H202" i="6"/>
  <c r="C202" i="6" s="1"/>
  <c r="G202" i="6"/>
  <c r="F202" i="6"/>
  <c r="E202" i="6"/>
  <c r="D202" i="6"/>
  <c r="M201" i="6"/>
  <c r="L201" i="6"/>
  <c r="K201" i="6"/>
  <c r="J201" i="6"/>
  <c r="I201" i="6"/>
  <c r="H201" i="6"/>
  <c r="C201" i="6" s="1"/>
  <c r="G201" i="6"/>
  <c r="F201" i="6"/>
  <c r="E201" i="6"/>
  <c r="D201" i="6"/>
  <c r="M200" i="6"/>
  <c r="L200" i="6"/>
  <c r="K200" i="6"/>
  <c r="J200" i="6"/>
  <c r="I200" i="6"/>
  <c r="H200" i="6"/>
  <c r="C200" i="6" s="1"/>
  <c r="G200" i="6"/>
  <c r="F200" i="6"/>
  <c r="E200" i="6"/>
  <c r="D200" i="6"/>
  <c r="M199" i="6"/>
  <c r="L199" i="6"/>
  <c r="K199" i="6"/>
  <c r="J199" i="6"/>
  <c r="I199" i="6"/>
  <c r="H199" i="6"/>
  <c r="C199" i="6" s="1"/>
  <c r="G199" i="6"/>
  <c r="F199" i="6"/>
  <c r="E199" i="6"/>
  <c r="D199" i="6"/>
  <c r="M198" i="6"/>
  <c r="L198" i="6"/>
  <c r="K198" i="6"/>
  <c r="J198" i="6"/>
  <c r="I198" i="6"/>
  <c r="H198" i="6"/>
  <c r="C198" i="6" s="1"/>
  <c r="G198" i="6"/>
  <c r="F198" i="6"/>
  <c r="E198" i="6"/>
  <c r="D198" i="6"/>
  <c r="M197" i="6"/>
  <c r="L197" i="6"/>
  <c r="K197" i="6"/>
  <c r="J197" i="6"/>
  <c r="I197" i="6"/>
  <c r="H197" i="6"/>
  <c r="C197" i="6" s="1"/>
  <c r="G197" i="6"/>
  <c r="F197" i="6"/>
  <c r="E197" i="6"/>
  <c r="D197" i="6"/>
  <c r="M196" i="6"/>
  <c r="L196" i="6"/>
  <c r="K196" i="6"/>
  <c r="J196" i="6"/>
  <c r="I196" i="6"/>
  <c r="H196" i="6"/>
  <c r="C196" i="6" s="1"/>
  <c r="G196" i="6"/>
  <c r="F196" i="6"/>
  <c r="E196" i="6"/>
  <c r="D196" i="6"/>
  <c r="M195" i="6"/>
  <c r="L195" i="6"/>
  <c r="K195" i="6"/>
  <c r="J195" i="6"/>
  <c r="I195" i="6"/>
  <c r="H195" i="6"/>
  <c r="C195" i="6" s="1"/>
  <c r="G195" i="6"/>
  <c r="F195" i="6"/>
  <c r="E195" i="6"/>
  <c r="D195" i="6"/>
  <c r="M194" i="6"/>
  <c r="L194" i="6"/>
  <c r="K194" i="6"/>
  <c r="J194" i="6"/>
  <c r="I194" i="6"/>
  <c r="H194" i="6"/>
  <c r="C194" i="6" s="1"/>
  <c r="G194" i="6"/>
  <c r="F194" i="6"/>
  <c r="E194" i="6"/>
  <c r="D194" i="6"/>
  <c r="M193" i="6"/>
  <c r="L193" i="6"/>
  <c r="K193" i="6"/>
  <c r="J193" i="6"/>
  <c r="I193" i="6"/>
  <c r="H193" i="6"/>
  <c r="C193" i="6" s="1"/>
  <c r="G193" i="6"/>
  <c r="F193" i="6"/>
  <c r="E193" i="6"/>
  <c r="D193" i="6"/>
  <c r="M192" i="6"/>
  <c r="L192" i="6"/>
  <c r="K192" i="6"/>
  <c r="J192" i="6"/>
  <c r="I192" i="6"/>
  <c r="H192" i="6"/>
  <c r="C192" i="6" s="1"/>
  <c r="G192" i="6"/>
  <c r="F192" i="6"/>
  <c r="E192" i="6"/>
  <c r="D192" i="6"/>
  <c r="M191" i="6"/>
  <c r="L191" i="6"/>
  <c r="K191" i="6"/>
  <c r="J191" i="6"/>
  <c r="I191" i="6"/>
  <c r="H191" i="6"/>
  <c r="C191" i="6" s="1"/>
  <c r="G191" i="6"/>
  <c r="F191" i="6"/>
  <c r="E191" i="6"/>
  <c r="D191" i="6"/>
  <c r="M190" i="6"/>
  <c r="L190" i="6"/>
  <c r="K190" i="6"/>
  <c r="J190" i="6"/>
  <c r="I190" i="6"/>
  <c r="H190" i="6"/>
  <c r="C190" i="6" s="1"/>
  <c r="G190" i="6"/>
  <c r="F190" i="6"/>
  <c r="E190" i="6"/>
  <c r="D190" i="6"/>
  <c r="M189" i="6"/>
  <c r="L189" i="6"/>
  <c r="K189" i="6"/>
  <c r="J189" i="6"/>
  <c r="I189" i="6"/>
  <c r="H189" i="6"/>
  <c r="C189" i="6" s="1"/>
  <c r="G189" i="6"/>
  <c r="F189" i="6"/>
  <c r="E189" i="6"/>
  <c r="D189" i="6"/>
  <c r="M188" i="6"/>
  <c r="L188" i="6"/>
  <c r="K188" i="6"/>
  <c r="J188" i="6"/>
  <c r="I188" i="6"/>
  <c r="H188" i="6"/>
  <c r="C188" i="6" s="1"/>
  <c r="G188" i="6"/>
  <c r="F188" i="6"/>
  <c r="E188" i="6"/>
  <c r="D188" i="6"/>
  <c r="M187" i="6"/>
  <c r="L187" i="6"/>
  <c r="K187" i="6"/>
  <c r="J187" i="6"/>
  <c r="I187" i="6"/>
  <c r="H187" i="6"/>
  <c r="C187" i="6" s="1"/>
  <c r="G187" i="6"/>
  <c r="F187" i="6"/>
  <c r="E187" i="6"/>
  <c r="D187" i="6"/>
  <c r="M186" i="6"/>
  <c r="L186" i="6"/>
  <c r="K186" i="6"/>
  <c r="J186" i="6"/>
  <c r="I186" i="6"/>
  <c r="H186" i="6"/>
  <c r="C186" i="6" s="1"/>
  <c r="G186" i="6"/>
  <c r="F186" i="6"/>
  <c r="E186" i="6"/>
  <c r="D186" i="6"/>
  <c r="M185" i="6"/>
  <c r="L185" i="6"/>
  <c r="K185" i="6"/>
  <c r="J185" i="6"/>
  <c r="I185" i="6"/>
  <c r="H185" i="6"/>
  <c r="C185" i="6" s="1"/>
  <c r="G185" i="6"/>
  <c r="F185" i="6"/>
  <c r="E185" i="6"/>
  <c r="D185" i="6"/>
  <c r="M184" i="6"/>
  <c r="L184" i="6"/>
  <c r="K184" i="6"/>
  <c r="J184" i="6"/>
  <c r="I184" i="6"/>
  <c r="H184" i="6"/>
  <c r="C184" i="6" s="1"/>
  <c r="G184" i="6"/>
  <c r="F184" i="6"/>
  <c r="E184" i="6"/>
  <c r="D184" i="6"/>
  <c r="M183" i="6"/>
  <c r="L183" i="6"/>
  <c r="K183" i="6"/>
  <c r="J183" i="6"/>
  <c r="I183" i="6"/>
  <c r="H183" i="6"/>
  <c r="C183" i="6" s="1"/>
  <c r="G183" i="6"/>
  <c r="F183" i="6"/>
  <c r="E183" i="6"/>
  <c r="D183" i="6"/>
  <c r="M182" i="6"/>
  <c r="L182" i="6"/>
  <c r="K182" i="6"/>
  <c r="J182" i="6"/>
  <c r="I182" i="6"/>
  <c r="H182" i="6"/>
  <c r="C182" i="6" s="1"/>
  <c r="G182" i="6"/>
  <c r="F182" i="6"/>
  <c r="E182" i="6"/>
  <c r="D182" i="6"/>
  <c r="M181" i="6"/>
  <c r="L181" i="6"/>
  <c r="K181" i="6"/>
  <c r="J181" i="6"/>
  <c r="I181" i="6"/>
  <c r="H181" i="6"/>
  <c r="C181" i="6" s="1"/>
  <c r="G181" i="6"/>
  <c r="F181" i="6"/>
  <c r="E181" i="6"/>
  <c r="D181" i="6"/>
  <c r="M180" i="6"/>
  <c r="L180" i="6"/>
  <c r="K180" i="6"/>
  <c r="J180" i="6"/>
  <c r="I180" i="6"/>
  <c r="H180" i="6"/>
  <c r="C180" i="6" s="1"/>
  <c r="G180" i="6"/>
  <c r="F180" i="6"/>
  <c r="E180" i="6"/>
  <c r="D180" i="6"/>
  <c r="M179" i="6"/>
  <c r="L179" i="6"/>
  <c r="K179" i="6"/>
  <c r="J179" i="6"/>
  <c r="I179" i="6"/>
  <c r="H179" i="6"/>
  <c r="C179" i="6" s="1"/>
  <c r="G179" i="6"/>
  <c r="F179" i="6"/>
  <c r="E179" i="6"/>
  <c r="D179" i="6"/>
  <c r="M178" i="6"/>
  <c r="L178" i="6"/>
  <c r="K178" i="6"/>
  <c r="J178" i="6"/>
  <c r="I178" i="6"/>
  <c r="H178" i="6"/>
  <c r="C178" i="6" s="1"/>
  <c r="G178" i="6"/>
  <c r="F178" i="6"/>
  <c r="E178" i="6"/>
  <c r="D178" i="6"/>
  <c r="M177" i="6"/>
  <c r="L177" i="6"/>
  <c r="K177" i="6"/>
  <c r="J177" i="6"/>
  <c r="I177" i="6"/>
  <c r="H177" i="6"/>
  <c r="C177" i="6" s="1"/>
  <c r="G177" i="6"/>
  <c r="F177" i="6"/>
  <c r="E177" i="6"/>
  <c r="D177" i="6"/>
  <c r="M176" i="6"/>
  <c r="L176" i="6"/>
  <c r="K176" i="6"/>
  <c r="J176" i="6"/>
  <c r="I176" i="6"/>
  <c r="H176" i="6"/>
  <c r="C176" i="6" s="1"/>
  <c r="G176" i="6"/>
  <c r="F176" i="6"/>
  <c r="E176" i="6"/>
  <c r="D176" i="6"/>
  <c r="M175" i="6"/>
  <c r="L175" i="6"/>
  <c r="K175" i="6"/>
  <c r="J175" i="6"/>
  <c r="I175" i="6"/>
  <c r="H175" i="6"/>
  <c r="C175" i="6" s="1"/>
  <c r="G175" i="6"/>
  <c r="F175" i="6"/>
  <c r="E175" i="6"/>
  <c r="D175" i="6"/>
  <c r="M174" i="6"/>
  <c r="L174" i="6"/>
  <c r="K174" i="6"/>
  <c r="J174" i="6"/>
  <c r="I174" i="6"/>
  <c r="H174" i="6"/>
  <c r="C174" i="6" s="1"/>
  <c r="G174" i="6"/>
  <c r="F174" i="6"/>
  <c r="E174" i="6"/>
  <c r="D174" i="6"/>
  <c r="M173" i="6"/>
  <c r="L173" i="6"/>
  <c r="K173" i="6"/>
  <c r="J173" i="6"/>
  <c r="I173" i="6"/>
  <c r="H173" i="6"/>
  <c r="C173" i="6" s="1"/>
  <c r="G173" i="6"/>
  <c r="F173" i="6"/>
  <c r="E173" i="6"/>
  <c r="D173" i="6"/>
  <c r="M172" i="6"/>
  <c r="L172" i="6"/>
  <c r="K172" i="6"/>
  <c r="J172" i="6"/>
  <c r="I172" i="6"/>
  <c r="H172" i="6"/>
  <c r="C172" i="6" s="1"/>
  <c r="G172" i="6"/>
  <c r="F172" i="6"/>
  <c r="E172" i="6"/>
  <c r="D172" i="6"/>
  <c r="M171" i="6"/>
  <c r="L171" i="6"/>
  <c r="K171" i="6"/>
  <c r="J171" i="6"/>
  <c r="I171" i="6"/>
  <c r="H171" i="6"/>
  <c r="C171" i="6" s="1"/>
  <c r="G171" i="6"/>
  <c r="F171" i="6"/>
  <c r="E171" i="6"/>
  <c r="D171" i="6"/>
  <c r="M170" i="6"/>
  <c r="L170" i="6"/>
  <c r="K170" i="6"/>
  <c r="J170" i="6"/>
  <c r="I170" i="6"/>
  <c r="H170" i="6"/>
  <c r="C170" i="6" s="1"/>
  <c r="G170" i="6"/>
  <c r="F170" i="6"/>
  <c r="E170" i="6"/>
  <c r="D170" i="6"/>
  <c r="M169" i="6"/>
  <c r="L169" i="6"/>
  <c r="K169" i="6"/>
  <c r="J169" i="6"/>
  <c r="I169" i="6"/>
  <c r="H169" i="6"/>
  <c r="C169" i="6" s="1"/>
  <c r="G169" i="6"/>
  <c r="F169" i="6"/>
  <c r="E169" i="6"/>
  <c r="D169" i="6"/>
  <c r="M168" i="6"/>
  <c r="L168" i="6"/>
  <c r="K168" i="6"/>
  <c r="J168" i="6"/>
  <c r="I168" i="6"/>
  <c r="H168" i="6"/>
  <c r="C168" i="6" s="1"/>
  <c r="G168" i="6"/>
  <c r="F168" i="6"/>
  <c r="E168" i="6"/>
  <c r="D168" i="6"/>
  <c r="M167" i="6"/>
  <c r="L167" i="6"/>
  <c r="K167" i="6"/>
  <c r="J167" i="6"/>
  <c r="I167" i="6"/>
  <c r="H167" i="6"/>
  <c r="C167" i="6" s="1"/>
  <c r="G167" i="6"/>
  <c r="F167" i="6"/>
  <c r="E167" i="6"/>
  <c r="D167" i="6"/>
  <c r="M166" i="6"/>
  <c r="L166" i="6"/>
  <c r="K166" i="6"/>
  <c r="J166" i="6"/>
  <c r="I166" i="6"/>
  <c r="H166" i="6"/>
  <c r="C166" i="6" s="1"/>
  <c r="G166" i="6"/>
  <c r="F166" i="6"/>
  <c r="E166" i="6"/>
  <c r="D166" i="6"/>
  <c r="M165" i="6"/>
  <c r="L165" i="6"/>
  <c r="K165" i="6"/>
  <c r="J165" i="6"/>
  <c r="I165" i="6"/>
  <c r="H165" i="6"/>
  <c r="C165" i="6" s="1"/>
  <c r="G165" i="6"/>
  <c r="F165" i="6"/>
  <c r="E165" i="6"/>
  <c r="D165" i="6"/>
  <c r="M164" i="6"/>
  <c r="L164" i="6"/>
  <c r="K164" i="6"/>
  <c r="J164" i="6"/>
  <c r="I164" i="6"/>
  <c r="H164" i="6"/>
  <c r="C164" i="6" s="1"/>
  <c r="G164" i="6"/>
  <c r="F164" i="6"/>
  <c r="E164" i="6"/>
  <c r="D164" i="6"/>
  <c r="M163" i="6"/>
  <c r="L163" i="6"/>
  <c r="K163" i="6"/>
  <c r="J163" i="6"/>
  <c r="I163" i="6"/>
  <c r="H163" i="6"/>
  <c r="C163" i="6" s="1"/>
  <c r="G163" i="6"/>
  <c r="F163" i="6"/>
  <c r="E163" i="6"/>
  <c r="D163" i="6"/>
  <c r="M162" i="6"/>
  <c r="L162" i="6"/>
  <c r="K162" i="6"/>
  <c r="J162" i="6"/>
  <c r="I162" i="6"/>
  <c r="H162" i="6"/>
  <c r="C162" i="6" s="1"/>
  <c r="G162" i="6"/>
  <c r="F162" i="6"/>
  <c r="E162" i="6"/>
  <c r="D162" i="6"/>
  <c r="M161" i="6"/>
  <c r="L161" i="6"/>
  <c r="K161" i="6"/>
  <c r="J161" i="6"/>
  <c r="I161" i="6"/>
  <c r="H161" i="6"/>
  <c r="C161" i="6" s="1"/>
  <c r="G161" i="6"/>
  <c r="F161" i="6"/>
  <c r="E161" i="6"/>
  <c r="D161" i="6"/>
  <c r="M160" i="6"/>
  <c r="L160" i="6"/>
  <c r="K160" i="6"/>
  <c r="J160" i="6"/>
  <c r="I160" i="6"/>
  <c r="H160" i="6"/>
  <c r="C160" i="6" s="1"/>
  <c r="G160" i="6"/>
  <c r="F160" i="6"/>
  <c r="E160" i="6"/>
  <c r="D160" i="6"/>
  <c r="M159" i="6"/>
  <c r="L159" i="6"/>
  <c r="K159" i="6"/>
  <c r="J159" i="6"/>
  <c r="I159" i="6"/>
  <c r="H159" i="6"/>
  <c r="C159" i="6" s="1"/>
  <c r="G159" i="6"/>
  <c r="F159" i="6"/>
  <c r="E159" i="6"/>
  <c r="D159" i="6"/>
  <c r="M158" i="6"/>
  <c r="L158" i="6"/>
  <c r="K158" i="6"/>
  <c r="J158" i="6"/>
  <c r="I158" i="6"/>
  <c r="H158" i="6"/>
  <c r="C158" i="6" s="1"/>
  <c r="G158" i="6"/>
  <c r="F158" i="6"/>
  <c r="E158" i="6"/>
  <c r="D158" i="6"/>
  <c r="M157" i="6"/>
  <c r="L157" i="6"/>
  <c r="K157" i="6"/>
  <c r="J157" i="6"/>
  <c r="I157" i="6"/>
  <c r="H157" i="6"/>
  <c r="C157" i="6" s="1"/>
  <c r="G157" i="6"/>
  <c r="F157" i="6"/>
  <c r="E157" i="6"/>
  <c r="D157" i="6"/>
  <c r="M156" i="6"/>
  <c r="L156" i="6"/>
  <c r="K156" i="6"/>
  <c r="J156" i="6"/>
  <c r="I156" i="6"/>
  <c r="H156" i="6"/>
  <c r="C156" i="6" s="1"/>
  <c r="G156" i="6"/>
  <c r="F156" i="6"/>
  <c r="E156" i="6"/>
  <c r="D156" i="6"/>
  <c r="M155" i="6"/>
  <c r="L155" i="6"/>
  <c r="K155" i="6"/>
  <c r="J155" i="6"/>
  <c r="I155" i="6"/>
  <c r="H155" i="6"/>
  <c r="C155" i="6" s="1"/>
  <c r="G155" i="6"/>
  <c r="F155" i="6"/>
  <c r="E155" i="6"/>
  <c r="D155" i="6"/>
  <c r="M154" i="6"/>
  <c r="L154" i="6"/>
  <c r="K154" i="6"/>
  <c r="J154" i="6"/>
  <c r="I154" i="6"/>
  <c r="H154" i="6"/>
  <c r="C154" i="6" s="1"/>
  <c r="G154" i="6"/>
  <c r="F154" i="6"/>
  <c r="E154" i="6"/>
  <c r="D154" i="6"/>
  <c r="M153" i="6"/>
  <c r="L153" i="6"/>
  <c r="K153" i="6"/>
  <c r="J153" i="6"/>
  <c r="I153" i="6"/>
  <c r="H153" i="6"/>
  <c r="C153" i="6" s="1"/>
  <c r="G153" i="6"/>
  <c r="F153" i="6"/>
  <c r="E153" i="6"/>
  <c r="D153" i="6"/>
  <c r="M152" i="6"/>
  <c r="L152" i="6"/>
  <c r="K152" i="6"/>
  <c r="J152" i="6"/>
  <c r="I152" i="6"/>
  <c r="H152" i="6"/>
  <c r="C152" i="6" s="1"/>
  <c r="G152" i="6"/>
  <c r="F152" i="6"/>
  <c r="E152" i="6"/>
  <c r="D152" i="6"/>
  <c r="M151" i="6"/>
  <c r="L151" i="6"/>
  <c r="K151" i="6"/>
  <c r="J151" i="6"/>
  <c r="I151" i="6"/>
  <c r="H151" i="6"/>
  <c r="C151" i="6" s="1"/>
  <c r="G151" i="6"/>
  <c r="F151" i="6"/>
  <c r="E151" i="6"/>
  <c r="D151" i="6"/>
  <c r="M150" i="6"/>
  <c r="L150" i="6"/>
  <c r="K150" i="6"/>
  <c r="J150" i="6"/>
  <c r="I150" i="6"/>
  <c r="H150" i="6"/>
  <c r="C150" i="6" s="1"/>
  <c r="G150" i="6"/>
  <c r="F150" i="6"/>
  <c r="E150" i="6"/>
  <c r="D150" i="6"/>
  <c r="M149" i="6"/>
  <c r="L149" i="6"/>
  <c r="K149" i="6"/>
  <c r="J149" i="6"/>
  <c r="I149" i="6"/>
  <c r="H149" i="6"/>
  <c r="C149" i="6" s="1"/>
  <c r="G149" i="6"/>
  <c r="F149" i="6"/>
  <c r="E149" i="6"/>
  <c r="D149" i="6"/>
  <c r="M148" i="6"/>
  <c r="L148" i="6"/>
  <c r="K148" i="6"/>
  <c r="J148" i="6"/>
  <c r="I148" i="6"/>
  <c r="H148" i="6"/>
  <c r="C148" i="6" s="1"/>
  <c r="G148" i="6"/>
  <c r="F148" i="6"/>
  <c r="E148" i="6"/>
  <c r="D148" i="6"/>
  <c r="M147" i="6"/>
  <c r="L147" i="6"/>
  <c r="K147" i="6"/>
  <c r="J147" i="6"/>
  <c r="I147" i="6"/>
  <c r="H147" i="6"/>
  <c r="C147" i="6" s="1"/>
  <c r="G147" i="6"/>
  <c r="F147" i="6"/>
  <c r="E147" i="6"/>
  <c r="D147" i="6"/>
  <c r="M146" i="6"/>
  <c r="L146" i="6"/>
  <c r="K146" i="6"/>
  <c r="J146" i="6"/>
  <c r="I146" i="6"/>
  <c r="H146" i="6"/>
  <c r="C146" i="6" s="1"/>
  <c r="G146" i="6"/>
  <c r="F146" i="6"/>
  <c r="E146" i="6"/>
  <c r="D146" i="6"/>
  <c r="M145" i="6"/>
  <c r="L145" i="6"/>
  <c r="K145" i="6"/>
  <c r="J145" i="6"/>
  <c r="I145" i="6"/>
  <c r="H145" i="6"/>
  <c r="C145" i="6" s="1"/>
  <c r="G145" i="6"/>
  <c r="F145" i="6"/>
  <c r="E145" i="6"/>
  <c r="D145" i="6"/>
  <c r="M144" i="6"/>
  <c r="L144" i="6"/>
  <c r="K144" i="6"/>
  <c r="J144" i="6"/>
  <c r="I144" i="6"/>
  <c r="H144" i="6"/>
  <c r="C144" i="6" s="1"/>
  <c r="G144" i="6"/>
  <c r="F144" i="6"/>
  <c r="E144" i="6"/>
  <c r="D144" i="6"/>
  <c r="M143" i="6"/>
  <c r="L143" i="6"/>
  <c r="K143" i="6"/>
  <c r="J143" i="6"/>
  <c r="I143" i="6"/>
  <c r="H143" i="6"/>
  <c r="C143" i="6" s="1"/>
  <c r="G143" i="6"/>
  <c r="F143" i="6"/>
  <c r="E143" i="6"/>
  <c r="D143" i="6"/>
  <c r="M142" i="6"/>
  <c r="L142" i="6"/>
  <c r="K142" i="6"/>
  <c r="J142" i="6"/>
  <c r="I142" i="6"/>
  <c r="H142" i="6"/>
  <c r="C142" i="6" s="1"/>
  <c r="G142" i="6"/>
  <c r="F142" i="6"/>
  <c r="E142" i="6"/>
  <c r="D142" i="6"/>
  <c r="M141" i="6"/>
  <c r="L141" i="6"/>
  <c r="K141" i="6"/>
  <c r="J141" i="6"/>
  <c r="I141" i="6"/>
  <c r="H141" i="6"/>
  <c r="C141" i="6" s="1"/>
  <c r="G141" i="6"/>
  <c r="F141" i="6"/>
  <c r="E141" i="6"/>
  <c r="D141" i="6"/>
  <c r="M140" i="6"/>
  <c r="L140" i="6"/>
  <c r="K140" i="6"/>
  <c r="J140" i="6"/>
  <c r="I140" i="6"/>
  <c r="H140" i="6"/>
  <c r="C140" i="6" s="1"/>
  <c r="G140" i="6"/>
  <c r="F140" i="6"/>
  <c r="E140" i="6"/>
  <c r="D140" i="6"/>
  <c r="M139" i="6"/>
  <c r="L139" i="6"/>
  <c r="K139" i="6"/>
  <c r="J139" i="6"/>
  <c r="I139" i="6"/>
  <c r="H139" i="6"/>
  <c r="C139" i="6" s="1"/>
  <c r="G139" i="6"/>
  <c r="F139" i="6"/>
  <c r="E139" i="6"/>
  <c r="D139" i="6"/>
  <c r="M138" i="6"/>
  <c r="L138" i="6"/>
  <c r="K138" i="6"/>
  <c r="J138" i="6"/>
  <c r="I138" i="6"/>
  <c r="H138" i="6"/>
  <c r="C138" i="6" s="1"/>
  <c r="G138" i="6"/>
  <c r="F138" i="6"/>
  <c r="E138" i="6"/>
  <c r="D138" i="6"/>
  <c r="M137" i="6"/>
  <c r="L137" i="6"/>
  <c r="K137" i="6"/>
  <c r="J137" i="6"/>
  <c r="I137" i="6"/>
  <c r="H137" i="6"/>
  <c r="C137" i="6" s="1"/>
  <c r="G137" i="6"/>
  <c r="F137" i="6"/>
  <c r="E137" i="6"/>
  <c r="D137" i="6"/>
  <c r="M136" i="6"/>
  <c r="L136" i="6"/>
  <c r="K136" i="6"/>
  <c r="J136" i="6"/>
  <c r="I136" i="6"/>
  <c r="H136" i="6"/>
  <c r="C136" i="6" s="1"/>
  <c r="G136" i="6"/>
  <c r="F136" i="6"/>
  <c r="E136" i="6"/>
  <c r="D136" i="6"/>
  <c r="M135" i="6"/>
  <c r="L135" i="6"/>
  <c r="K135" i="6"/>
  <c r="J135" i="6"/>
  <c r="I135" i="6"/>
  <c r="H135" i="6"/>
  <c r="C135" i="6" s="1"/>
  <c r="G135" i="6"/>
  <c r="F135" i="6"/>
  <c r="E135" i="6"/>
  <c r="D135" i="6"/>
  <c r="M134" i="6"/>
  <c r="L134" i="6"/>
  <c r="K134" i="6"/>
  <c r="J134" i="6"/>
  <c r="I134" i="6"/>
  <c r="H134" i="6"/>
  <c r="C134" i="6" s="1"/>
  <c r="G134" i="6"/>
  <c r="F134" i="6"/>
  <c r="E134" i="6"/>
  <c r="D134" i="6"/>
  <c r="M133" i="6"/>
  <c r="L133" i="6"/>
  <c r="K133" i="6"/>
  <c r="J133" i="6"/>
  <c r="I133" i="6"/>
  <c r="H133" i="6"/>
  <c r="C133" i="6" s="1"/>
  <c r="G133" i="6"/>
  <c r="F133" i="6"/>
  <c r="E133" i="6"/>
  <c r="D133" i="6"/>
  <c r="M132" i="6"/>
  <c r="L132" i="6"/>
  <c r="K132" i="6"/>
  <c r="J132" i="6"/>
  <c r="I132" i="6"/>
  <c r="H132" i="6"/>
  <c r="C132" i="6" s="1"/>
  <c r="G132" i="6"/>
  <c r="F132" i="6"/>
  <c r="E132" i="6"/>
  <c r="D132" i="6"/>
  <c r="M131" i="6"/>
  <c r="L131" i="6"/>
  <c r="K131" i="6"/>
  <c r="J131" i="6"/>
  <c r="I131" i="6"/>
  <c r="H131" i="6"/>
  <c r="C131" i="6" s="1"/>
  <c r="G131" i="6"/>
  <c r="F131" i="6"/>
  <c r="E131" i="6"/>
  <c r="D131" i="6"/>
  <c r="M130" i="6"/>
  <c r="L130" i="6"/>
  <c r="K130" i="6"/>
  <c r="J130" i="6"/>
  <c r="I130" i="6"/>
  <c r="H130" i="6"/>
  <c r="C130" i="6" s="1"/>
  <c r="G130" i="6"/>
  <c r="F130" i="6"/>
  <c r="E130" i="6"/>
  <c r="D130" i="6"/>
  <c r="M129" i="6"/>
  <c r="L129" i="6"/>
  <c r="K129" i="6"/>
  <c r="J129" i="6"/>
  <c r="I129" i="6"/>
  <c r="H129" i="6"/>
  <c r="C129" i="6" s="1"/>
  <c r="G129" i="6"/>
  <c r="F129" i="6"/>
  <c r="E129" i="6"/>
  <c r="D129" i="6"/>
  <c r="M128" i="6"/>
  <c r="L128" i="6"/>
  <c r="K128" i="6"/>
  <c r="J128" i="6"/>
  <c r="I128" i="6"/>
  <c r="H128" i="6"/>
  <c r="C128" i="6" s="1"/>
  <c r="G128" i="6"/>
  <c r="F128" i="6"/>
  <c r="E128" i="6"/>
  <c r="D128" i="6"/>
  <c r="M127" i="6"/>
  <c r="L127" i="6"/>
  <c r="K127" i="6"/>
  <c r="J127" i="6"/>
  <c r="I127" i="6"/>
  <c r="H127" i="6"/>
  <c r="C127" i="6" s="1"/>
  <c r="G127" i="6"/>
  <c r="F127" i="6"/>
  <c r="E127" i="6"/>
  <c r="D127" i="6"/>
  <c r="M126" i="6"/>
  <c r="L126" i="6"/>
  <c r="K126" i="6"/>
  <c r="J126" i="6"/>
  <c r="I126" i="6"/>
  <c r="H126" i="6"/>
  <c r="C126" i="6" s="1"/>
  <c r="G126" i="6"/>
  <c r="F126" i="6"/>
  <c r="E126" i="6"/>
  <c r="D126" i="6"/>
  <c r="M125" i="6"/>
  <c r="L125" i="6"/>
  <c r="K125" i="6"/>
  <c r="J125" i="6"/>
  <c r="I125" i="6"/>
  <c r="H125" i="6"/>
  <c r="C125" i="6" s="1"/>
  <c r="G125" i="6"/>
  <c r="F125" i="6"/>
  <c r="E125" i="6"/>
  <c r="D125" i="6"/>
  <c r="M124" i="6"/>
  <c r="L124" i="6"/>
  <c r="K124" i="6"/>
  <c r="J124" i="6"/>
  <c r="I124" i="6"/>
  <c r="H124" i="6"/>
  <c r="C124" i="6" s="1"/>
  <c r="G124" i="6"/>
  <c r="F124" i="6"/>
  <c r="E124" i="6"/>
  <c r="D124" i="6"/>
  <c r="M123" i="6"/>
  <c r="L123" i="6"/>
  <c r="K123" i="6"/>
  <c r="J123" i="6"/>
  <c r="I123" i="6"/>
  <c r="H123" i="6"/>
  <c r="C123" i="6" s="1"/>
  <c r="G123" i="6"/>
  <c r="F123" i="6"/>
  <c r="E123" i="6"/>
  <c r="D123" i="6"/>
  <c r="M122" i="6"/>
  <c r="L122" i="6"/>
  <c r="K122" i="6"/>
  <c r="J122" i="6"/>
  <c r="I122" i="6"/>
  <c r="H122" i="6"/>
  <c r="C122" i="6" s="1"/>
  <c r="G122" i="6"/>
  <c r="F122" i="6"/>
  <c r="E122" i="6"/>
  <c r="D122" i="6"/>
  <c r="M121" i="6"/>
  <c r="L121" i="6"/>
  <c r="K121" i="6"/>
  <c r="J121" i="6"/>
  <c r="I121" i="6"/>
  <c r="H121" i="6"/>
  <c r="C121" i="6" s="1"/>
  <c r="G121" i="6"/>
  <c r="F121" i="6"/>
  <c r="E121" i="6"/>
  <c r="D121" i="6"/>
  <c r="M120" i="6"/>
  <c r="L120" i="6"/>
  <c r="K120" i="6"/>
  <c r="J120" i="6"/>
  <c r="I120" i="6"/>
  <c r="H120" i="6"/>
  <c r="C120" i="6" s="1"/>
  <c r="G120" i="6"/>
  <c r="F120" i="6"/>
  <c r="E120" i="6"/>
  <c r="D120" i="6"/>
  <c r="M119" i="6"/>
  <c r="L119" i="6"/>
  <c r="K119" i="6"/>
  <c r="J119" i="6"/>
  <c r="I119" i="6"/>
  <c r="H119" i="6"/>
  <c r="C119" i="6" s="1"/>
  <c r="G119" i="6"/>
  <c r="F119" i="6"/>
  <c r="E119" i="6"/>
  <c r="D119" i="6"/>
  <c r="M118" i="6"/>
  <c r="L118" i="6"/>
  <c r="K118" i="6"/>
  <c r="J118" i="6"/>
  <c r="I118" i="6"/>
  <c r="H118" i="6"/>
  <c r="C118" i="6" s="1"/>
  <c r="G118" i="6"/>
  <c r="F118" i="6"/>
  <c r="E118" i="6"/>
  <c r="D118" i="6"/>
  <c r="M117" i="6"/>
  <c r="L117" i="6"/>
  <c r="K117" i="6"/>
  <c r="J117" i="6"/>
  <c r="I117" i="6"/>
  <c r="H117" i="6"/>
  <c r="C117" i="6" s="1"/>
  <c r="G117" i="6"/>
  <c r="F117" i="6"/>
  <c r="E117" i="6"/>
  <c r="D117" i="6"/>
  <c r="M116" i="6"/>
  <c r="L116" i="6"/>
  <c r="K116" i="6"/>
  <c r="J116" i="6"/>
  <c r="I116" i="6"/>
  <c r="H116" i="6"/>
  <c r="C116" i="6" s="1"/>
  <c r="G116" i="6"/>
  <c r="F116" i="6"/>
  <c r="E116" i="6"/>
  <c r="D116" i="6"/>
  <c r="M115" i="6"/>
  <c r="L115" i="6"/>
  <c r="K115" i="6"/>
  <c r="J115" i="6"/>
  <c r="I115" i="6"/>
  <c r="H115" i="6"/>
  <c r="C115" i="6" s="1"/>
  <c r="G115" i="6"/>
  <c r="F115" i="6"/>
  <c r="E115" i="6"/>
  <c r="D115" i="6"/>
  <c r="M114" i="6"/>
  <c r="L114" i="6"/>
  <c r="K114" i="6"/>
  <c r="J114" i="6"/>
  <c r="I114" i="6"/>
  <c r="H114" i="6"/>
  <c r="C114" i="6" s="1"/>
  <c r="G114" i="6"/>
  <c r="F114" i="6"/>
  <c r="E114" i="6"/>
  <c r="D114" i="6"/>
  <c r="M113" i="6"/>
  <c r="L113" i="6"/>
  <c r="K113" i="6"/>
  <c r="J113" i="6"/>
  <c r="I113" i="6"/>
  <c r="H113" i="6"/>
  <c r="C113" i="6" s="1"/>
  <c r="G113" i="6"/>
  <c r="F113" i="6"/>
  <c r="E113" i="6"/>
  <c r="D113" i="6"/>
  <c r="M112" i="6"/>
  <c r="L112" i="6"/>
  <c r="K112" i="6"/>
  <c r="J112" i="6"/>
  <c r="I112" i="6"/>
  <c r="H112" i="6"/>
  <c r="C112" i="6" s="1"/>
  <c r="G112" i="6"/>
  <c r="F112" i="6"/>
  <c r="E112" i="6"/>
  <c r="D112" i="6"/>
  <c r="M111" i="6"/>
  <c r="L111" i="6"/>
  <c r="K111" i="6"/>
  <c r="J111" i="6"/>
  <c r="I111" i="6"/>
  <c r="H111" i="6"/>
  <c r="C111" i="6" s="1"/>
  <c r="G111" i="6"/>
  <c r="F111" i="6"/>
  <c r="E111" i="6"/>
  <c r="D111" i="6"/>
  <c r="M110" i="6"/>
  <c r="L110" i="6"/>
  <c r="K110" i="6"/>
  <c r="J110" i="6"/>
  <c r="I110" i="6"/>
  <c r="H110" i="6"/>
  <c r="C110" i="6" s="1"/>
  <c r="G110" i="6"/>
  <c r="F110" i="6"/>
  <c r="E110" i="6"/>
  <c r="D110" i="6"/>
  <c r="M109" i="6"/>
  <c r="L109" i="6"/>
  <c r="K109" i="6"/>
  <c r="J109" i="6"/>
  <c r="I109" i="6"/>
  <c r="H109" i="6"/>
  <c r="C109" i="6" s="1"/>
  <c r="G109" i="6"/>
  <c r="F109" i="6"/>
  <c r="E109" i="6"/>
  <c r="D109" i="6"/>
  <c r="M108" i="6"/>
  <c r="L108" i="6"/>
  <c r="K108" i="6"/>
  <c r="J108" i="6"/>
  <c r="I108" i="6"/>
  <c r="H108" i="6"/>
  <c r="C108" i="6" s="1"/>
  <c r="G108" i="6"/>
  <c r="F108" i="6"/>
  <c r="E108" i="6"/>
  <c r="D108" i="6"/>
  <c r="M107" i="6"/>
  <c r="L107" i="6"/>
  <c r="K107" i="6"/>
  <c r="J107" i="6"/>
  <c r="I107" i="6"/>
  <c r="H107" i="6"/>
  <c r="C107" i="6" s="1"/>
  <c r="G107" i="6"/>
  <c r="F107" i="6"/>
  <c r="E107" i="6"/>
  <c r="D107" i="6"/>
  <c r="M106" i="6"/>
  <c r="L106" i="6"/>
  <c r="K106" i="6"/>
  <c r="J106" i="6"/>
  <c r="I106" i="6"/>
  <c r="H106" i="6"/>
  <c r="C106" i="6" s="1"/>
  <c r="G106" i="6"/>
  <c r="F106" i="6"/>
  <c r="E106" i="6"/>
  <c r="D106" i="6"/>
  <c r="M105" i="6"/>
  <c r="L105" i="6"/>
  <c r="K105" i="6"/>
  <c r="J105" i="6"/>
  <c r="I105" i="6"/>
  <c r="H105" i="6"/>
  <c r="C105" i="6" s="1"/>
  <c r="G105" i="6"/>
  <c r="F105" i="6"/>
  <c r="E105" i="6"/>
  <c r="D105" i="6"/>
  <c r="M104" i="6"/>
  <c r="L104" i="6"/>
  <c r="K104" i="6"/>
  <c r="J104" i="6"/>
  <c r="I104" i="6"/>
  <c r="H104" i="6"/>
  <c r="C104" i="6" s="1"/>
  <c r="G104" i="6"/>
  <c r="F104" i="6"/>
  <c r="E104" i="6"/>
  <c r="D104" i="6"/>
  <c r="M103" i="6"/>
  <c r="L103" i="6"/>
  <c r="K103" i="6"/>
  <c r="J103" i="6"/>
  <c r="I103" i="6"/>
  <c r="H103" i="6"/>
  <c r="C103" i="6" s="1"/>
  <c r="G103" i="6"/>
  <c r="F103" i="6"/>
  <c r="E103" i="6"/>
  <c r="D103" i="6"/>
  <c r="M102" i="6"/>
  <c r="L102" i="6"/>
  <c r="K102" i="6"/>
  <c r="J102" i="6"/>
  <c r="I102" i="6"/>
  <c r="H102" i="6"/>
  <c r="C102" i="6" s="1"/>
  <c r="G102" i="6"/>
  <c r="F102" i="6"/>
  <c r="E102" i="6"/>
  <c r="D102" i="6"/>
  <c r="M101" i="6"/>
  <c r="L101" i="6"/>
  <c r="K101" i="6"/>
  <c r="J101" i="6"/>
  <c r="I101" i="6"/>
  <c r="H101" i="6"/>
  <c r="C101" i="6" s="1"/>
  <c r="G101" i="6"/>
  <c r="F101" i="6"/>
  <c r="E101" i="6"/>
  <c r="D101" i="6"/>
  <c r="M100" i="6"/>
  <c r="L100" i="6"/>
  <c r="K100" i="6"/>
  <c r="J100" i="6"/>
  <c r="I100" i="6"/>
  <c r="H100" i="6"/>
  <c r="C100" i="6" s="1"/>
  <c r="G100" i="6"/>
  <c r="F100" i="6"/>
  <c r="E100" i="6"/>
  <c r="D100" i="6"/>
  <c r="M99" i="6"/>
  <c r="L99" i="6"/>
  <c r="K99" i="6"/>
  <c r="J99" i="6"/>
  <c r="I99" i="6"/>
  <c r="H99" i="6"/>
  <c r="C99" i="6" s="1"/>
  <c r="G99" i="6"/>
  <c r="F99" i="6"/>
  <c r="E99" i="6"/>
  <c r="D99" i="6"/>
  <c r="M98" i="6"/>
  <c r="L98" i="6"/>
  <c r="K98" i="6"/>
  <c r="J98" i="6"/>
  <c r="I98" i="6"/>
  <c r="H98" i="6"/>
  <c r="C98" i="6" s="1"/>
  <c r="G98" i="6"/>
  <c r="F98" i="6"/>
  <c r="E98" i="6"/>
  <c r="D98" i="6"/>
  <c r="M97" i="6"/>
  <c r="L97" i="6"/>
  <c r="K97" i="6"/>
  <c r="J97" i="6"/>
  <c r="I97" i="6"/>
  <c r="H97" i="6"/>
  <c r="C97" i="6" s="1"/>
  <c r="G97" i="6"/>
  <c r="F97" i="6"/>
  <c r="E97" i="6"/>
  <c r="D97" i="6"/>
  <c r="M96" i="6"/>
  <c r="L96" i="6"/>
  <c r="K96" i="6"/>
  <c r="J96" i="6"/>
  <c r="I96" i="6"/>
  <c r="H96" i="6"/>
  <c r="C96" i="6" s="1"/>
  <c r="G96" i="6"/>
  <c r="F96" i="6"/>
  <c r="E96" i="6"/>
  <c r="D96" i="6"/>
  <c r="M95" i="6"/>
  <c r="L95" i="6"/>
  <c r="K95" i="6"/>
  <c r="J95" i="6"/>
  <c r="I95" i="6"/>
  <c r="H95" i="6"/>
  <c r="C95" i="6" s="1"/>
  <c r="G95" i="6"/>
  <c r="F95" i="6"/>
  <c r="E95" i="6"/>
  <c r="D95" i="6"/>
  <c r="M94" i="6"/>
  <c r="L94" i="6"/>
  <c r="K94" i="6"/>
  <c r="J94" i="6"/>
  <c r="I94" i="6"/>
  <c r="H94" i="6"/>
  <c r="C94" i="6" s="1"/>
  <c r="G94" i="6"/>
  <c r="F94" i="6"/>
  <c r="E94" i="6"/>
  <c r="D94" i="6"/>
  <c r="M93" i="6"/>
  <c r="L93" i="6"/>
  <c r="K93" i="6"/>
  <c r="J93" i="6"/>
  <c r="I93" i="6"/>
  <c r="H93" i="6"/>
  <c r="C93" i="6" s="1"/>
  <c r="G93" i="6"/>
  <c r="F93" i="6"/>
  <c r="E93" i="6"/>
  <c r="D93" i="6"/>
  <c r="M92" i="6"/>
  <c r="L92" i="6"/>
  <c r="K92" i="6"/>
  <c r="J92" i="6"/>
  <c r="I92" i="6"/>
  <c r="H92" i="6"/>
  <c r="C92" i="6" s="1"/>
  <c r="G92" i="6"/>
  <c r="F92" i="6"/>
  <c r="E92" i="6"/>
  <c r="D92" i="6"/>
  <c r="M91" i="6"/>
  <c r="L91" i="6"/>
  <c r="K91" i="6"/>
  <c r="J91" i="6"/>
  <c r="I91" i="6"/>
  <c r="H91" i="6"/>
  <c r="C91" i="6" s="1"/>
  <c r="G91" i="6"/>
  <c r="F91" i="6"/>
  <c r="E91" i="6"/>
  <c r="D91" i="6"/>
  <c r="M90" i="6"/>
  <c r="L90" i="6"/>
  <c r="K90" i="6"/>
  <c r="J90" i="6"/>
  <c r="I90" i="6"/>
  <c r="H90" i="6"/>
  <c r="C90" i="6" s="1"/>
  <c r="G90" i="6"/>
  <c r="F90" i="6"/>
  <c r="E90" i="6"/>
  <c r="D90" i="6"/>
  <c r="M89" i="6"/>
  <c r="L89" i="6"/>
  <c r="K89" i="6"/>
  <c r="J89" i="6"/>
  <c r="I89" i="6"/>
  <c r="H89" i="6"/>
  <c r="C89" i="6" s="1"/>
  <c r="G89" i="6"/>
  <c r="F89" i="6"/>
  <c r="E89" i="6"/>
  <c r="D89" i="6"/>
  <c r="M88" i="6"/>
  <c r="L88" i="6"/>
  <c r="K88" i="6"/>
  <c r="J88" i="6"/>
  <c r="I88" i="6"/>
  <c r="H88" i="6"/>
  <c r="C88" i="6" s="1"/>
  <c r="G88" i="6"/>
  <c r="F88" i="6"/>
  <c r="E88" i="6"/>
  <c r="D88" i="6"/>
  <c r="M87" i="6"/>
  <c r="L87" i="6"/>
  <c r="K87" i="6"/>
  <c r="J87" i="6"/>
  <c r="I87" i="6"/>
  <c r="H87" i="6"/>
  <c r="C87" i="6" s="1"/>
  <c r="G87" i="6"/>
  <c r="F87" i="6"/>
  <c r="E87" i="6"/>
  <c r="D87" i="6"/>
  <c r="M86" i="6"/>
  <c r="L86" i="6"/>
  <c r="K86" i="6"/>
  <c r="J86" i="6"/>
  <c r="I86" i="6"/>
  <c r="H86" i="6"/>
  <c r="C86" i="6" s="1"/>
  <c r="G86" i="6"/>
  <c r="F86" i="6"/>
  <c r="E86" i="6"/>
  <c r="D86" i="6"/>
  <c r="M85" i="6"/>
  <c r="L85" i="6"/>
  <c r="K85" i="6"/>
  <c r="J85" i="6"/>
  <c r="I85" i="6"/>
  <c r="H85" i="6"/>
  <c r="C85" i="6" s="1"/>
  <c r="G85" i="6"/>
  <c r="F85" i="6"/>
  <c r="E85" i="6"/>
  <c r="D85" i="6"/>
  <c r="M84" i="6"/>
  <c r="L84" i="6"/>
  <c r="K84" i="6"/>
  <c r="J84" i="6"/>
  <c r="I84" i="6"/>
  <c r="H84" i="6"/>
  <c r="C84" i="6" s="1"/>
  <c r="G84" i="6"/>
  <c r="F84" i="6"/>
  <c r="E84" i="6"/>
  <c r="D84" i="6"/>
  <c r="M83" i="6"/>
  <c r="L83" i="6"/>
  <c r="K83" i="6"/>
  <c r="J83" i="6"/>
  <c r="I83" i="6"/>
  <c r="H83" i="6"/>
  <c r="C83" i="6" s="1"/>
  <c r="G83" i="6"/>
  <c r="F83" i="6"/>
  <c r="E83" i="6"/>
  <c r="D83" i="6"/>
  <c r="M82" i="6"/>
  <c r="L82" i="6"/>
  <c r="K82" i="6"/>
  <c r="J82" i="6"/>
  <c r="I82" i="6"/>
  <c r="H82" i="6"/>
  <c r="C82" i="6" s="1"/>
  <c r="G82" i="6"/>
  <c r="F82" i="6"/>
  <c r="E82" i="6"/>
  <c r="D82" i="6"/>
  <c r="M81" i="6"/>
  <c r="L81" i="6"/>
  <c r="K81" i="6"/>
  <c r="J81" i="6"/>
  <c r="I81" i="6"/>
  <c r="H81" i="6"/>
  <c r="C81" i="6" s="1"/>
  <c r="G81" i="6"/>
  <c r="F81" i="6"/>
  <c r="E81" i="6"/>
  <c r="D81" i="6"/>
  <c r="M80" i="6"/>
  <c r="L80" i="6"/>
  <c r="K80" i="6"/>
  <c r="J80" i="6"/>
  <c r="I80" i="6"/>
  <c r="H80" i="6"/>
  <c r="C80" i="6" s="1"/>
  <c r="G80" i="6"/>
  <c r="F80" i="6"/>
  <c r="E80" i="6"/>
  <c r="D80" i="6"/>
  <c r="M79" i="6"/>
  <c r="L79" i="6"/>
  <c r="K79" i="6"/>
  <c r="J79" i="6"/>
  <c r="I79" i="6"/>
  <c r="H79" i="6"/>
  <c r="C79" i="6" s="1"/>
  <c r="G79" i="6"/>
  <c r="F79" i="6"/>
  <c r="E79" i="6"/>
  <c r="D79" i="6"/>
  <c r="M78" i="6"/>
  <c r="L78" i="6"/>
  <c r="K78" i="6"/>
  <c r="J78" i="6"/>
  <c r="I78" i="6"/>
  <c r="H78" i="6"/>
  <c r="C78" i="6" s="1"/>
  <c r="G78" i="6"/>
  <c r="F78" i="6"/>
  <c r="E78" i="6"/>
  <c r="D78" i="6"/>
  <c r="M77" i="6"/>
  <c r="L77" i="6"/>
  <c r="K77" i="6"/>
  <c r="J77" i="6"/>
  <c r="I77" i="6"/>
  <c r="H77" i="6"/>
  <c r="C77" i="6" s="1"/>
  <c r="G77" i="6"/>
  <c r="F77" i="6"/>
  <c r="E77" i="6"/>
  <c r="D77" i="6"/>
  <c r="M76" i="6"/>
  <c r="L76" i="6"/>
  <c r="K76" i="6"/>
  <c r="J76" i="6"/>
  <c r="I76" i="6"/>
  <c r="H76" i="6"/>
  <c r="C76" i="6" s="1"/>
  <c r="G76" i="6"/>
  <c r="F76" i="6"/>
  <c r="E76" i="6"/>
  <c r="D76" i="6"/>
  <c r="M75" i="6"/>
  <c r="L75" i="6"/>
  <c r="K75" i="6"/>
  <c r="J75" i="6"/>
  <c r="I75" i="6"/>
  <c r="H75" i="6"/>
  <c r="C75" i="6" s="1"/>
  <c r="G75" i="6"/>
  <c r="F75" i="6"/>
  <c r="E75" i="6"/>
  <c r="D75" i="6"/>
  <c r="M74" i="6"/>
  <c r="L74" i="6"/>
  <c r="K74" i="6"/>
  <c r="J74" i="6"/>
  <c r="I74" i="6"/>
  <c r="H74" i="6"/>
  <c r="C74" i="6" s="1"/>
  <c r="G74" i="6"/>
  <c r="F74" i="6"/>
  <c r="E74" i="6"/>
  <c r="D74" i="6"/>
  <c r="M73" i="6"/>
  <c r="L73" i="6"/>
  <c r="K73" i="6"/>
  <c r="J73" i="6"/>
  <c r="I73" i="6"/>
  <c r="H73" i="6"/>
  <c r="C73" i="6" s="1"/>
  <c r="G73" i="6"/>
  <c r="F73" i="6"/>
  <c r="E73" i="6"/>
  <c r="D73" i="6"/>
  <c r="M72" i="6"/>
  <c r="L72" i="6"/>
  <c r="K72" i="6"/>
  <c r="J72" i="6"/>
  <c r="I72" i="6"/>
  <c r="H72" i="6"/>
  <c r="C72" i="6" s="1"/>
  <c r="G72" i="6"/>
  <c r="F72" i="6"/>
  <c r="E72" i="6"/>
  <c r="D72" i="6"/>
  <c r="M71" i="6"/>
  <c r="L71" i="6"/>
  <c r="K71" i="6"/>
  <c r="J71" i="6"/>
  <c r="I71" i="6"/>
  <c r="H71" i="6"/>
  <c r="C71" i="6" s="1"/>
  <c r="G71" i="6"/>
  <c r="F71" i="6"/>
  <c r="E71" i="6"/>
  <c r="D71" i="6"/>
  <c r="M70" i="6"/>
  <c r="L70" i="6"/>
  <c r="K70" i="6"/>
  <c r="J70" i="6"/>
  <c r="I70" i="6"/>
  <c r="H70" i="6"/>
  <c r="C70" i="6" s="1"/>
  <c r="G70" i="6"/>
  <c r="F70" i="6"/>
  <c r="E70" i="6"/>
  <c r="D70" i="6"/>
  <c r="M69" i="6"/>
  <c r="L69" i="6"/>
  <c r="K69" i="6"/>
  <c r="J69" i="6"/>
  <c r="I69" i="6"/>
  <c r="H69" i="6"/>
  <c r="C69" i="6" s="1"/>
  <c r="G69" i="6"/>
  <c r="F69" i="6"/>
  <c r="E69" i="6"/>
  <c r="D69" i="6"/>
  <c r="M68" i="6"/>
  <c r="L68" i="6"/>
  <c r="K68" i="6"/>
  <c r="J68" i="6"/>
  <c r="I68" i="6"/>
  <c r="H68" i="6"/>
  <c r="C68" i="6" s="1"/>
  <c r="G68" i="6"/>
  <c r="F68" i="6"/>
  <c r="E68" i="6"/>
  <c r="D68" i="6"/>
  <c r="M67" i="6"/>
  <c r="L67" i="6"/>
  <c r="K67" i="6"/>
  <c r="J67" i="6"/>
  <c r="I67" i="6"/>
  <c r="H67" i="6"/>
  <c r="C67" i="6" s="1"/>
  <c r="G67" i="6"/>
  <c r="F67" i="6"/>
  <c r="E67" i="6"/>
  <c r="D67" i="6"/>
  <c r="M66" i="6"/>
  <c r="L66" i="6"/>
  <c r="K66" i="6"/>
  <c r="J66" i="6"/>
  <c r="I66" i="6"/>
  <c r="H66" i="6"/>
  <c r="C66" i="6" s="1"/>
  <c r="G66" i="6"/>
  <c r="F66" i="6"/>
  <c r="E66" i="6"/>
  <c r="D66" i="6"/>
  <c r="M65" i="6"/>
  <c r="L65" i="6"/>
  <c r="K65" i="6"/>
  <c r="J65" i="6"/>
  <c r="I65" i="6"/>
  <c r="H65" i="6"/>
  <c r="C65" i="6" s="1"/>
  <c r="G65" i="6"/>
  <c r="F65" i="6"/>
  <c r="E65" i="6"/>
  <c r="D65" i="6"/>
  <c r="M64" i="6"/>
  <c r="L64" i="6"/>
  <c r="K64" i="6"/>
  <c r="J64" i="6"/>
  <c r="I64" i="6"/>
  <c r="H64" i="6"/>
  <c r="C64" i="6" s="1"/>
  <c r="G64" i="6"/>
  <c r="F64" i="6"/>
  <c r="E64" i="6"/>
  <c r="D64" i="6"/>
  <c r="M63" i="6"/>
  <c r="L63" i="6"/>
  <c r="K63" i="6"/>
  <c r="J63" i="6"/>
  <c r="I63" i="6"/>
  <c r="H63" i="6"/>
  <c r="C63" i="6" s="1"/>
  <c r="G63" i="6"/>
  <c r="F63" i="6"/>
  <c r="E63" i="6"/>
  <c r="D63" i="6"/>
  <c r="M62" i="6"/>
  <c r="L62" i="6"/>
  <c r="K62" i="6"/>
  <c r="J62" i="6"/>
  <c r="I62" i="6"/>
  <c r="H62" i="6"/>
  <c r="C62" i="6" s="1"/>
  <c r="G62" i="6"/>
  <c r="F62" i="6"/>
  <c r="E62" i="6"/>
  <c r="D62" i="6"/>
  <c r="M61" i="6"/>
  <c r="L61" i="6"/>
  <c r="K61" i="6"/>
  <c r="J61" i="6"/>
  <c r="I61" i="6"/>
  <c r="H61" i="6"/>
  <c r="C61" i="6" s="1"/>
  <c r="G61" i="6"/>
  <c r="F61" i="6"/>
  <c r="E61" i="6"/>
  <c r="D61" i="6"/>
  <c r="M60" i="6"/>
  <c r="L60" i="6"/>
  <c r="K60" i="6"/>
  <c r="J60" i="6"/>
  <c r="I60" i="6"/>
  <c r="H60" i="6"/>
  <c r="C60" i="6" s="1"/>
  <c r="G60" i="6"/>
  <c r="F60" i="6"/>
  <c r="E60" i="6"/>
  <c r="D60" i="6"/>
  <c r="M59" i="6"/>
  <c r="L59" i="6"/>
  <c r="K59" i="6"/>
  <c r="J59" i="6"/>
  <c r="I59" i="6"/>
  <c r="H59" i="6"/>
  <c r="C59" i="6" s="1"/>
  <c r="G59" i="6"/>
  <c r="F59" i="6"/>
  <c r="E59" i="6"/>
  <c r="D59" i="6"/>
  <c r="M58" i="6"/>
  <c r="L58" i="6"/>
  <c r="K58" i="6"/>
  <c r="J58" i="6"/>
  <c r="I58" i="6"/>
  <c r="H58" i="6"/>
  <c r="C58" i="6" s="1"/>
  <c r="G58" i="6"/>
  <c r="F58" i="6"/>
  <c r="E58" i="6"/>
  <c r="D58" i="6"/>
  <c r="M57" i="6"/>
  <c r="L57" i="6"/>
  <c r="K57" i="6"/>
  <c r="J57" i="6"/>
  <c r="I57" i="6"/>
  <c r="H57" i="6"/>
  <c r="C57" i="6" s="1"/>
  <c r="G57" i="6"/>
  <c r="F57" i="6"/>
  <c r="E57" i="6"/>
  <c r="D57" i="6"/>
  <c r="M56" i="6"/>
  <c r="L56" i="6"/>
  <c r="K56" i="6"/>
  <c r="J56" i="6"/>
  <c r="I56" i="6"/>
  <c r="H56" i="6"/>
  <c r="C56" i="6" s="1"/>
  <c r="G56" i="6"/>
  <c r="F56" i="6"/>
  <c r="E56" i="6"/>
  <c r="D56" i="6"/>
  <c r="M55" i="6"/>
  <c r="L55" i="6"/>
  <c r="K55" i="6"/>
  <c r="J55" i="6"/>
  <c r="I55" i="6"/>
  <c r="H55" i="6"/>
  <c r="C55" i="6" s="1"/>
  <c r="G55" i="6"/>
  <c r="F55" i="6"/>
  <c r="E55" i="6"/>
  <c r="D55" i="6"/>
  <c r="M54" i="6"/>
  <c r="L54" i="6"/>
  <c r="K54" i="6"/>
  <c r="J54" i="6"/>
  <c r="I54" i="6"/>
  <c r="H54" i="6"/>
  <c r="C54" i="6" s="1"/>
  <c r="G54" i="6"/>
  <c r="F54" i="6"/>
  <c r="E54" i="6"/>
  <c r="D54" i="6"/>
  <c r="M53" i="6"/>
  <c r="L53" i="6"/>
  <c r="K53" i="6"/>
  <c r="J53" i="6"/>
  <c r="I53" i="6"/>
  <c r="H53" i="6"/>
  <c r="C53" i="6" s="1"/>
  <c r="G53" i="6"/>
  <c r="F53" i="6"/>
  <c r="E53" i="6"/>
  <c r="D53" i="6"/>
  <c r="M52" i="6"/>
  <c r="L52" i="6"/>
  <c r="K52" i="6"/>
  <c r="J52" i="6"/>
  <c r="I52" i="6"/>
  <c r="H52" i="6"/>
  <c r="C52" i="6" s="1"/>
  <c r="G52" i="6"/>
  <c r="F52" i="6"/>
  <c r="E52" i="6"/>
  <c r="D52" i="6"/>
  <c r="M51" i="6"/>
  <c r="L51" i="6"/>
  <c r="K51" i="6"/>
  <c r="J51" i="6"/>
  <c r="I51" i="6"/>
  <c r="H51" i="6"/>
  <c r="C51" i="6" s="1"/>
  <c r="G51" i="6"/>
  <c r="F51" i="6"/>
  <c r="E51" i="6"/>
  <c r="D51" i="6"/>
  <c r="M50" i="6"/>
  <c r="L50" i="6"/>
  <c r="K50" i="6"/>
  <c r="J50" i="6"/>
  <c r="I50" i="6"/>
  <c r="H50" i="6"/>
  <c r="C50" i="6" s="1"/>
  <c r="G50" i="6"/>
  <c r="F50" i="6"/>
  <c r="E50" i="6"/>
  <c r="D50" i="6"/>
  <c r="M49" i="6"/>
  <c r="L49" i="6"/>
  <c r="K49" i="6"/>
  <c r="J49" i="6"/>
  <c r="I49" i="6"/>
  <c r="H49" i="6"/>
  <c r="C49" i="6" s="1"/>
  <c r="G49" i="6"/>
  <c r="F49" i="6"/>
  <c r="E49" i="6"/>
  <c r="D49" i="6"/>
  <c r="M48" i="6"/>
  <c r="L48" i="6"/>
  <c r="K48" i="6"/>
  <c r="J48" i="6"/>
  <c r="I48" i="6"/>
  <c r="H48" i="6"/>
  <c r="C48" i="6" s="1"/>
  <c r="G48" i="6"/>
  <c r="F48" i="6"/>
  <c r="E48" i="6"/>
  <c r="D48" i="6"/>
  <c r="M47" i="6"/>
  <c r="L47" i="6"/>
  <c r="K47" i="6"/>
  <c r="J47" i="6"/>
  <c r="I47" i="6"/>
  <c r="H47" i="6"/>
  <c r="C47" i="6" s="1"/>
  <c r="G47" i="6"/>
  <c r="F47" i="6"/>
  <c r="E47" i="6"/>
  <c r="D47" i="6"/>
  <c r="M46" i="6"/>
  <c r="L46" i="6"/>
  <c r="K46" i="6"/>
  <c r="J46" i="6"/>
  <c r="I46" i="6"/>
  <c r="H46" i="6"/>
  <c r="C46" i="6" s="1"/>
  <c r="G46" i="6"/>
  <c r="F46" i="6"/>
  <c r="E46" i="6"/>
  <c r="D46" i="6"/>
  <c r="M45" i="6"/>
  <c r="L45" i="6"/>
  <c r="K45" i="6"/>
  <c r="J45" i="6"/>
  <c r="I45" i="6"/>
  <c r="H45" i="6"/>
  <c r="C45" i="6" s="1"/>
  <c r="G45" i="6"/>
  <c r="F45" i="6"/>
  <c r="E45" i="6"/>
  <c r="D45" i="6"/>
  <c r="M44" i="6"/>
  <c r="L44" i="6"/>
  <c r="K44" i="6"/>
  <c r="J44" i="6"/>
  <c r="I44" i="6"/>
  <c r="H44" i="6"/>
  <c r="C44" i="6" s="1"/>
  <c r="G44" i="6"/>
  <c r="F44" i="6"/>
  <c r="E44" i="6"/>
  <c r="D44" i="6"/>
  <c r="M43" i="6"/>
  <c r="L43" i="6"/>
  <c r="K43" i="6"/>
  <c r="J43" i="6"/>
  <c r="I43" i="6"/>
  <c r="H43" i="6"/>
  <c r="C43" i="6" s="1"/>
  <c r="G43" i="6"/>
  <c r="F43" i="6"/>
  <c r="E43" i="6"/>
  <c r="D43" i="6"/>
  <c r="M42" i="6"/>
  <c r="L42" i="6"/>
  <c r="K42" i="6"/>
  <c r="J42" i="6"/>
  <c r="I42" i="6"/>
  <c r="H42" i="6"/>
  <c r="C42" i="6" s="1"/>
  <c r="G42" i="6"/>
  <c r="F42" i="6"/>
  <c r="E42" i="6"/>
  <c r="D42" i="6"/>
  <c r="M41" i="6"/>
  <c r="L41" i="6"/>
  <c r="K41" i="6"/>
  <c r="J41" i="6"/>
  <c r="I41" i="6"/>
  <c r="H41" i="6"/>
  <c r="C41" i="6" s="1"/>
  <c r="G41" i="6"/>
  <c r="F41" i="6"/>
  <c r="E41" i="6"/>
  <c r="D41" i="6"/>
  <c r="M40" i="6"/>
  <c r="L40" i="6"/>
  <c r="K40" i="6"/>
  <c r="J40" i="6"/>
  <c r="I40" i="6"/>
  <c r="H40" i="6"/>
  <c r="C40" i="6" s="1"/>
  <c r="G40" i="6"/>
  <c r="F40" i="6"/>
  <c r="E40" i="6"/>
  <c r="D40" i="6"/>
  <c r="M39" i="6"/>
  <c r="L39" i="6"/>
  <c r="K39" i="6"/>
  <c r="J39" i="6"/>
  <c r="I39" i="6"/>
  <c r="H39" i="6"/>
  <c r="C39" i="6" s="1"/>
  <c r="G39" i="6"/>
  <c r="F39" i="6"/>
  <c r="E39" i="6"/>
  <c r="D39" i="6"/>
  <c r="M38" i="6"/>
  <c r="L38" i="6"/>
  <c r="K38" i="6"/>
  <c r="J38" i="6"/>
  <c r="I38" i="6"/>
  <c r="H38" i="6"/>
  <c r="C38" i="6" s="1"/>
  <c r="G38" i="6"/>
  <c r="F38" i="6"/>
  <c r="E38" i="6"/>
  <c r="D38" i="6"/>
  <c r="M37" i="6"/>
  <c r="L37" i="6"/>
  <c r="K37" i="6"/>
  <c r="J37" i="6"/>
  <c r="I37" i="6"/>
  <c r="H37" i="6"/>
  <c r="C37" i="6" s="1"/>
  <c r="G37" i="6"/>
  <c r="F37" i="6"/>
  <c r="E37" i="6"/>
  <c r="D37" i="6"/>
  <c r="M36" i="6"/>
  <c r="L36" i="6"/>
  <c r="K36" i="6"/>
  <c r="J36" i="6"/>
  <c r="I36" i="6"/>
  <c r="H36" i="6"/>
  <c r="C36" i="6" s="1"/>
  <c r="G36" i="6"/>
  <c r="F36" i="6"/>
  <c r="E36" i="6"/>
  <c r="D36" i="6"/>
  <c r="M35" i="6"/>
  <c r="L35" i="6"/>
  <c r="K35" i="6"/>
  <c r="J35" i="6"/>
  <c r="I35" i="6"/>
  <c r="H35" i="6"/>
  <c r="C35" i="6" s="1"/>
  <c r="G35" i="6"/>
  <c r="F35" i="6"/>
  <c r="E35" i="6"/>
  <c r="D35" i="6"/>
  <c r="M34" i="6"/>
  <c r="L34" i="6"/>
  <c r="K34" i="6"/>
  <c r="J34" i="6"/>
  <c r="I34" i="6"/>
  <c r="H34" i="6"/>
  <c r="C34" i="6" s="1"/>
  <c r="G34" i="6"/>
  <c r="F34" i="6"/>
  <c r="E34" i="6"/>
  <c r="D34" i="6"/>
  <c r="M33" i="6"/>
  <c r="L33" i="6"/>
  <c r="K33" i="6"/>
  <c r="J33" i="6"/>
  <c r="I33" i="6"/>
  <c r="H33" i="6"/>
  <c r="C33" i="6" s="1"/>
  <c r="G33" i="6"/>
  <c r="F33" i="6"/>
  <c r="E33" i="6"/>
  <c r="D33" i="6"/>
  <c r="M32" i="6"/>
  <c r="L32" i="6"/>
  <c r="K32" i="6"/>
  <c r="J32" i="6"/>
  <c r="I32" i="6"/>
  <c r="H32" i="6"/>
  <c r="C32" i="6" s="1"/>
  <c r="G32" i="6"/>
  <c r="F32" i="6"/>
  <c r="E32" i="6"/>
  <c r="D32" i="6"/>
  <c r="M31" i="6"/>
  <c r="L31" i="6"/>
  <c r="K31" i="6"/>
  <c r="J31" i="6"/>
  <c r="I31" i="6"/>
  <c r="H31" i="6"/>
  <c r="C31" i="6" s="1"/>
  <c r="G31" i="6"/>
  <c r="F31" i="6"/>
  <c r="E31" i="6"/>
  <c r="D31" i="6"/>
  <c r="M30" i="6"/>
  <c r="L30" i="6"/>
  <c r="K30" i="6"/>
  <c r="J30" i="6"/>
  <c r="I30" i="6"/>
  <c r="H30" i="6"/>
  <c r="C30" i="6" s="1"/>
  <c r="G30" i="6"/>
  <c r="F30" i="6"/>
  <c r="E30" i="6"/>
  <c r="D30" i="6"/>
  <c r="M29" i="6"/>
  <c r="L29" i="6"/>
  <c r="K29" i="6"/>
  <c r="J29" i="6"/>
  <c r="I29" i="6"/>
  <c r="H29" i="6"/>
  <c r="C29" i="6" s="1"/>
  <c r="G29" i="6"/>
  <c r="F29" i="6"/>
  <c r="E29" i="6"/>
  <c r="D29" i="6"/>
  <c r="M28" i="6"/>
  <c r="L28" i="6"/>
  <c r="K28" i="6"/>
  <c r="J28" i="6"/>
  <c r="I28" i="6"/>
  <c r="H28" i="6"/>
  <c r="C28" i="6" s="1"/>
  <c r="G28" i="6"/>
  <c r="F28" i="6"/>
  <c r="E28" i="6"/>
  <c r="D28" i="6"/>
  <c r="M27" i="6"/>
  <c r="L27" i="6"/>
  <c r="K27" i="6"/>
  <c r="J27" i="6"/>
  <c r="I27" i="6"/>
  <c r="H27" i="6"/>
  <c r="C27" i="6" s="1"/>
  <c r="G27" i="6"/>
  <c r="F27" i="6"/>
  <c r="E27" i="6"/>
  <c r="D27" i="6"/>
  <c r="M26" i="6"/>
  <c r="L26" i="6"/>
  <c r="K26" i="6"/>
  <c r="J26" i="6"/>
  <c r="I26" i="6"/>
  <c r="H26" i="6"/>
  <c r="C26" i="6" s="1"/>
  <c r="G26" i="6"/>
  <c r="F26" i="6"/>
  <c r="E26" i="6"/>
  <c r="D26" i="6"/>
  <c r="M25" i="6"/>
  <c r="L25" i="6"/>
  <c r="K25" i="6"/>
  <c r="J25" i="6"/>
  <c r="I25" i="6"/>
  <c r="H25" i="6"/>
  <c r="C25" i="6" s="1"/>
  <c r="G25" i="6"/>
  <c r="F25" i="6"/>
  <c r="E25" i="6"/>
  <c r="D25" i="6"/>
  <c r="M24" i="6"/>
  <c r="L24" i="6"/>
  <c r="K24" i="6"/>
  <c r="J24" i="6"/>
  <c r="I24" i="6"/>
  <c r="H24" i="6"/>
  <c r="C24" i="6" s="1"/>
  <c r="G24" i="6"/>
  <c r="F24" i="6"/>
  <c r="E24" i="6"/>
  <c r="D24" i="6"/>
  <c r="M23" i="6"/>
  <c r="L23" i="6"/>
  <c r="K23" i="6"/>
  <c r="J23" i="6"/>
  <c r="I23" i="6"/>
  <c r="H23" i="6"/>
  <c r="C23" i="6" s="1"/>
  <c r="G23" i="6"/>
  <c r="F23" i="6"/>
  <c r="E23" i="6"/>
  <c r="D23" i="6"/>
  <c r="M22" i="6"/>
  <c r="L22" i="6"/>
  <c r="K22" i="6"/>
  <c r="J22" i="6"/>
  <c r="I22" i="6"/>
  <c r="H22" i="6"/>
  <c r="C22" i="6" s="1"/>
  <c r="G22" i="6"/>
  <c r="F22" i="6"/>
  <c r="E22" i="6"/>
  <c r="D22" i="6"/>
  <c r="M21" i="6"/>
  <c r="L21" i="6"/>
  <c r="K21" i="6"/>
  <c r="J21" i="6"/>
  <c r="I21" i="6"/>
  <c r="H21" i="6"/>
  <c r="C21" i="6" s="1"/>
  <c r="G21" i="6"/>
  <c r="F21" i="6"/>
  <c r="E21" i="6"/>
  <c r="D21" i="6"/>
  <c r="M20" i="6"/>
  <c r="L20" i="6"/>
  <c r="K20" i="6"/>
  <c r="J20" i="6"/>
  <c r="I20" i="6"/>
  <c r="H20" i="6"/>
  <c r="C20" i="6" s="1"/>
  <c r="G20" i="6"/>
  <c r="F20" i="6"/>
  <c r="E20" i="6"/>
  <c r="D20" i="6"/>
  <c r="M19" i="6"/>
  <c r="L19" i="6"/>
  <c r="K19" i="6"/>
  <c r="J19" i="6"/>
  <c r="I19" i="6"/>
  <c r="H19" i="6"/>
  <c r="C19" i="6" s="1"/>
  <c r="G19" i="6"/>
  <c r="F19" i="6"/>
  <c r="E19" i="6"/>
  <c r="D19" i="6"/>
  <c r="M18" i="6"/>
  <c r="L18" i="6"/>
  <c r="K18" i="6"/>
  <c r="J18" i="6"/>
  <c r="I18" i="6"/>
  <c r="H18" i="6"/>
  <c r="C18" i="6" s="1"/>
  <c r="G18" i="6"/>
  <c r="F18" i="6"/>
  <c r="E18" i="6"/>
  <c r="D18" i="6"/>
  <c r="M17" i="6"/>
  <c r="L17" i="6"/>
  <c r="K17" i="6"/>
  <c r="J17" i="6"/>
  <c r="I17" i="6"/>
  <c r="H17" i="6"/>
  <c r="C17" i="6" s="1"/>
  <c r="G17" i="6"/>
  <c r="F17" i="6"/>
  <c r="E17" i="6"/>
  <c r="D17" i="6"/>
  <c r="M16" i="6"/>
  <c r="L16" i="6"/>
  <c r="K16" i="6"/>
  <c r="J16" i="6"/>
  <c r="I16" i="6"/>
  <c r="H16" i="6"/>
  <c r="C16" i="6" s="1"/>
  <c r="G16" i="6"/>
  <c r="F16" i="6"/>
  <c r="E16" i="6"/>
  <c r="D16" i="6"/>
  <c r="M15" i="6"/>
  <c r="L15" i="6"/>
  <c r="K15" i="6"/>
  <c r="J15" i="6"/>
  <c r="I15" i="6"/>
  <c r="H15" i="6"/>
  <c r="C15" i="6" s="1"/>
  <c r="G15" i="6"/>
  <c r="F15" i="6"/>
  <c r="E15" i="6"/>
  <c r="D15" i="6"/>
  <c r="M14" i="6"/>
  <c r="L14" i="6"/>
  <c r="K14" i="6"/>
  <c r="J14" i="6"/>
  <c r="I14" i="6"/>
  <c r="H14" i="6"/>
  <c r="C14" i="6" s="1"/>
  <c r="G14" i="6"/>
  <c r="F14" i="6"/>
  <c r="E14" i="6"/>
  <c r="D14" i="6"/>
  <c r="M13" i="6"/>
  <c r="L13" i="6"/>
  <c r="K13" i="6"/>
  <c r="J13" i="6"/>
  <c r="I13" i="6"/>
  <c r="H13" i="6"/>
  <c r="C13" i="6" s="1"/>
  <c r="G13" i="6"/>
  <c r="F13" i="6"/>
  <c r="E13" i="6"/>
  <c r="D13" i="6"/>
  <c r="M12" i="6"/>
  <c r="L12" i="6"/>
  <c r="K12" i="6"/>
  <c r="J12" i="6"/>
  <c r="I12" i="6"/>
  <c r="H12" i="6"/>
  <c r="C12" i="6" s="1"/>
  <c r="G12" i="6"/>
  <c r="F12" i="6"/>
  <c r="E12" i="6"/>
  <c r="D12" i="6"/>
  <c r="M11" i="6"/>
  <c r="L11" i="6"/>
  <c r="K11" i="6"/>
  <c r="J11" i="6"/>
  <c r="I11" i="6"/>
  <c r="H11" i="6"/>
  <c r="C11" i="6" s="1"/>
  <c r="G11" i="6"/>
  <c r="F11" i="6"/>
  <c r="E11" i="6"/>
  <c r="D11" i="6"/>
  <c r="M10" i="6"/>
  <c r="L10" i="6"/>
  <c r="K10" i="6"/>
  <c r="J10" i="6"/>
  <c r="I10" i="6"/>
  <c r="H10" i="6"/>
  <c r="C10" i="6" s="1"/>
  <c r="G10" i="6"/>
  <c r="F10" i="6"/>
  <c r="E10" i="6"/>
  <c r="D10" i="6"/>
  <c r="M9" i="6"/>
  <c r="L9" i="6"/>
  <c r="K9" i="6"/>
  <c r="J9" i="6"/>
  <c r="I9" i="6"/>
  <c r="H9" i="6"/>
  <c r="C9" i="6" s="1"/>
  <c r="G9" i="6"/>
  <c r="F9" i="6"/>
  <c r="E9" i="6"/>
  <c r="D9" i="6"/>
  <c r="M8" i="6"/>
  <c r="L8" i="6"/>
  <c r="K8" i="6"/>
  <c r="J8" i="6"/>
  <c r="I8" i="6"/>
  <c r="H8" i="6"/>
  <c r="C8" i="6" s="1"/>
  <c r="G8" i="6"/>
  <c r="F8" i="6"/>
  <c r="E8" i="6"/>
  <c r="D8" i="6"/>
  <c r="M7" i="6"/>
  <c r="L7" i="6"/>
  <c r="K7" i="6"/>
  <c r="J7" i="6"/>
  <c r="I7" i="6"/>
  <c r="H7" i="6"/>
  <c r="C7" i="6" s="1"/>
  <c r="G7" i="6"/>
  <c r="F7" i="6"/>
  <c r="E7" i="6"/>
  <c r="D7" i="6"/>
  <c r="M6" i="6"/>
  <c r="L6" i="6"/>
  <c r="K6" i="6"/>
  <c r="J6" i="6"/>
  <c r="I6" i="6"/>
  <c r="H6" i="6"/>
  <c r="C6" i="6" s="1"/>
  <c r="G6" i="6"/>
  <c r="F6" i="6"/>
  <c r="E6" i="6"/>
  <c r="D6" i="6"/>
  <c r="T388" i="2"/>
  <c r="S388" i="2"/>
  <c r="R388" i="2"/>
  <c r="T387" i="2"/>
  <c r="S387" i="2"/>
  <c r="R387" i="2"/>
  <c r="T386" i="2"/>
  <c r="S386" i="2"/>
  <c r="R386" i="2"/>
  <c r="T385" i="2"/>
  <c r="S385" i="2"/>
  <c r="R385" i="2"/>
  <c r="T384" i="2"/>
  <c r="S384" i="2"/>
  <c r="R384" i="2"/>
  <c r="T383" i="2"/>
  <c r="S383" i="2"/>
  <c r="R383" i="2"/>
  <c r="T382" i="2"/>
  <c r="S382" i="2"/>
  <c r="R382" i="2"/>
  <c r="T381" i="2"/>
  <c r="S381" i="2"/>
  <c r="R381" i="2"/>
  <c r="T380" i="2"/>
  <c r="S380" i="2"/>
  <c r="R380" i="2"/>
  <c r="T379" i="2"/>
  <c r="S379" i="2"/>
  <c r="R379" i="2"/>
  <c r="T378" i="2"/>
  <c r="S378" i="2"/>
  <c r="R378" i="2"/>
  <c r="T377" i="2"/>
  <c r="S377" i="2"/>
  <c r="R377" i="2"/>
  <c r="M369" i="2"/>
  <c r="L369" i="2"/>
  <c r="K369" i="2"/>
  <c r="J369" i="2"/>
  <c r="I369" i="2"/>
  <c r="H369" i="2"/>
  <c r="C369" i="2" s="1"/>
  <c r="G369" i="2"/>
  <c r="F369" i="2"/>
  <c r="E369" i="2"/>
  <c r="D369" i="2"/>
  <c r="M368" i="2"/>
  <c r="L368" i="2"/>
  <c r="K368" i="2"/>
  <c r="J368" i="2"/>
  <c r="I368" i="2"/>
  <c r="H368" i="2"/>
  <c r="C368" i="2" s="1"/>
  <c r="G368" i="2"/>
  <c r="F368" i="2"/>
  <c r="E368" i="2"/>
  <c r="D368" i="2"/>
  <c r="M367" i="2"/>
  <c r="L367" i="2"/>
  <c r="K367" i="2"/>
  <c r="J367" i="2"/>
  <c r="I367" i="2"/>
  <c r="H367" i="2"/>
  <c r="C367" i="2" s="1"/>
  <c r="G367" i="2"/>
  <c r="F367" i="2"/>
  <c r="E367" i="2"/>
  <c r="D367" i="2"/>
  <c r="M366" i="2"/>
  <c r="L366" i="2"/>
  <c r="K366" i="2"/>
  <c r="J366" i="2"/>
  <c r="I366" i="2"/>
  <c r="H366" i="2"/>
  <c r="C366" i="2" s="1"/>
  <c r="G366" i="2"/>
  <c r="F366" i="2"/>
  <c r="E366" i="2"/>
  <c r="D366" i="2"/>
  <c r="M365" i="2"/>
  <c r="L365" i="2"/>
  <c r="K365" i="2"/>
  <c r="J365" i="2"/>
  <c r="I365" i="2"/>
  <c r="H365" i="2"/>
  <c r="C365" i="2" s="1"/>
  <c r="G365" i="2"/>
  <c r="F365" i="2"/>
  <c r="E365" i="2"/>
  <c r="D365" i="2"/>
  <c r="M364" i="2"/>
  <c r="L364" i="2"/>
  <c r="K364" i="2"/>
  <c r="J364" i="2"/>
  <c r="I364" i="2"/>
  <c r="H364" i="2"/>
  <c r="C364" i="2" s="1"/>
  <c r="G364" i="2"/>
  <c r="F364" i="2"/>
  <c r="E364" i="2"/>
  <c r="D364" i="2"/>
  <c r="M363" i="2"/>
  <c r="L363" i="2"/>
  <c r="K363" i="2"/>
  <c r="J363" i="2"/>
  <c r="I363" i="2"/>
  <c r="H363" i="2"/>
  <c r="C363" i="2" s="1"/>
  <c r="G363" i="2"/>
  <c r="F363" i="2"/>
  <c r="E363" i="2"/>
  <c r="D363" i="2"/>
  <c r="M362" i="2"/>
  <c r="L362" i="2"/>
  <c r="K362" i="2"/>
  <c r="J362" i="2"/>
  <c r="I362" i="2"/>
  <c r="H362" i="2"/>
  <c r="C362" i="2" s="1"/>
  <c r="G362" i="2"/>
  <c r="F362" i="2"/>
  <c r="E362" i="2"/>
  <c r="D362" i="2"/>
  <c r="M361" i="2"/>
  <c r="L361" i="2"/>
  <c r="K361" i="2"/>
  <c r="J361" i="2"/>
  <c r="I361" i="2"/>
  <c r="H361" i="2"/>
  <c r="C361" i="2" s="1"/>
  <c r="G361" i="2"/>
  <c r="F361" i="2"/>
  <c r="E361" i="2"/>
  <c r="D361" i="2"/>
  <c r="M360" i="2"/>
  <c r="L360" i="2"/>
  <c r="K360" i="2"/>
  <c r="J360" i="2"/>
  <c r="I360" i="2"/>
  <c r="H360" i="2"/>
  <c r="C360" i="2" s="1"/>
  <c r="G360" i="2"/>
  <c r="F360" i="2"/>
  <c r="E360" i="2"/>
  <c r="D360" i="2"/>
  <c r="M359" i="2"/>
  <c r="L359" i="2"/>
  <c r="K359" i="2"/>
  <c r="J359" i="2"/>
  <c r="I359" i="2"/>
  <c r="H359" i="2"/>
  <c r="C359" i="2" s="1"/>
  <c r="G359" i="2"/>
  <c r="F359" i="2"/>
  <c r="E359" i="2"/>
  <c r="D359" i="2"/>
  <c r="M358" i="2"/>
  <c r="L358" i="2"/>
  <c r="K358" i="2"/>
  <c r="J358" i="2"/>
  <c r="I358" i="2"/>
  <c r="H358" i="2"/>
  <c r="C358" i="2" s="1"/>
  <c r="G358" i="2"/>
  <c r="F358" i="2"/>
  <c r="E358" i="2"/>
  <c r="D358" i="2"/>
  <c r="M357" i="2"/>
  <c r="L357" i="2"/>
  <c r="K357" i="2"/>
  <c r="J357" i="2"/>
  <c r="I357" i="2"/>
  <c r="H357" i="2"/>
  <c r="C357" i="2" s="1"/>
  <c r="G357" i="2"/>
  <c r="F357" i="2"/>
  <c r="E357" i="2"/>
  <c r="D357" i="2"/>
  <c r="M356" i="2"/>
  <c r="L356" i="2"/>
  <c r="K356" i="2"/>
  <c r="J356" i="2"/>
  <c r="I356" i="2"/>
  <c r="H356" i="2"/>
  <c r="C356" i="2" s="1"/>
  <c r="G356" i="2"/>
  <c r="F356" i="2"/>
  <c r="E356" i="2"/>
  <c r="D356" i="2"/>
  <c r="M355" i="2"/>
  <c r="L355" i="2"/>
  <c r="K355" i="2"/>
  <c r="J355" i="2"/>
  <c r="I355" i="2"/>
  <c r="H355" i="2"/>
  <c r="C355" i="2" s="1"/>
  <c r="G355" i="2"/>
  <c r="F355" i="2"/>
  <c r="E355" i="2"/>
  <c r="D355" i="2"/>
  <c r="M354" i="2"/>
  <c r="L354" i="2"/>
  <c r="K354" i="2"/>
  <c r="J354" i="2"/>
  <c r="I354" i="2"/>
  <c r="H354" i="2"/>
  <c r="C354" i="2" s="1"/>
  <c r="G354" i="2"/>
  <c r="F354" i="2"/>
  <c r="E354" i="2"/>
  <c r="D354" i="2"/>
  <c r="M353" i="2"/>
  <c r="L353" i="2"/>
  <c r="K353" i="2"/>
  <c r="J353" i="2"/>
  <c r="I353" i="2"/>
  <c r="H353" i="2"/>
  <c r="C353" i="2" s="1"/>
  <c r="G353" i="2"/>
  <c r="F353" i="2"/>
  <c r="E353" i="2"/>
  <c r="D353" i="2"/>
  <c r="M352" i="2"/>
  <c r="L352" i="2"/>
  <c r="K352" i="2"/>
  <c r="J352" i="2"/>
  <c r="I352" i="2"/>
  <c r="H352" i="2"/>
  <c r="C352" i="2" s="1"/>
  <c r="G352" i="2"/>
  <c r="F352" i="2"/>
  <c r="E352" i="2"/>
  <c r="D352" i="2"/>
  <c r="M351" i="2"/>
  <c r="L351" i="2"/>
  <c r="K351" i="2"/>
  <c r="J351" i="2"/>
  <c r="I351" i="2"/>
  <c r="H351" i="2"/>
  <c r="C351" i="2" s="1"/>
  <c r="G351" i="2"/>
  <c r="F351" i="2"/>
  <c r="E351" i="2"/>
  <c r="D351" i="2"/>
  <c r="M350" i="2"/>
  <c r="L350" i="2"/>
  <c r="K350" i="2"/>
  <c r="J350" i="2"/>
  <c r="I350" i="2"/>
  <c r="H350" i="2"/>
  <c r="C350" i="2" s="1"/>
  <c r="G350" i="2"/>
  <c r="F350" i="2"/>
  <c r="E350" i="2"/>
  <c r="D350" i="2"/>
  <c r="M349" i="2"/>
  <c r="L349" i="2"/>
  <c r="K349" i="2"/>
  <c r="J349" i="2"/>
  <c r="I349" i="2"/>
  <c r="H349" i="2"/>
  <c r="C349" i="2" s="1"/>
  <c r="G349" i="2"/>
  <c r="F349" i="2"/>
  <c r="E349" i="2"/>
  <c r="D349" i="2"/>
  <c r="M348" i="2"/>
  <c r="L348" i="2"/>
  <c r="K348" i="2"/>
  <c r="J348" i="2"/>
  <c r="I348" i="2"/>
  <c r="H348" i="2"/>
  <c r="C348" i="2" s="1"/>
  <c r="G348" i="2"/>
  <c r="F348" i="2"/>
  <c r="E348" i="2"/>
  <c r="D348" i="2"/>
  <c r="M347" i="2"/>
  <c r="L347" i="2"/>
  <c r="K347" i="2"/>
  <c r="J347" i="2"/>
  <c r="I347" i="2"/>
  <c r="H347" i="2"/>
  <c r="C347" i="2" s="1"/>
  <c r="G347" i="2"/>
  <c r="F347" i="2"/>
  <c r="E347" i="2"/>
  <c r="D347" i="2"/>
  <c r="M346" i="2"/>
  <c r="L346" i="2"/>
  <c r="K346" i="2"/>
  <c r="J346" i="2"/>
  <c r="I346" i="2"/>
  <c r="H346" i="2"/>
  <c r="C346" i="2" s="1"/>
  <c r="G346" i="2"/>
  <c r="F346" i="2"/>
  <c r="E346" i="2"/>
  <c r="D346" i="2"/>
  <c r="M345" i="2"/>
  <c r="L345" i="2"/>
  <c r="K345" i="2"/>
  <c r="J345" i="2"/>
  <c r="I345" i="2"/>
  <c r="H345" i="2"/>
  <c r="C345" i="2" s="1"/>
  <c r="G345" i="2"/>
  <c r="F345" i="2"/>
  <c r="E345" i="2"/>
  <c r="D345" i="2"/>
  <c r="M344" i="2"/>
  <c r="L344" i="2"/>
  <c r="K344" i="2"/>
  <c r="J344" i="2"/>
  <c r="I344" i="2"/>
  <c r="H344" i="2"/>
  <c r="C344" i="2" s="1"/>
  <c r="G344" i="2"/>
  <c r="F344" i="2"/>
  <c r="E344" i="2"/>
  <c r="D344" i="2"/>
  <c r="M343" i="2"/>
  <c r="L343" i="2"/>
  <c r="K343" i="2"/>
  <c r="J343" i="2"/>
  <c r="I343" i="2"/>
  <c r="H343" i="2"/>
  <c r="C343" i="2" s="1"/>
  <c r="G343" i="2"/>
  <c r="F343" i="2"/>
  <c r="E343" i="2"/>
  <c r="D343" i="2"/>
  <c r="M342" i="2"/>
  <c r="L342" i="2"/>
  <c r="K342" i="2"/>
  <c r="J342" i="2"/>
  <c r="I342" i="2"/>
  <c r="H342" i="2"/>
  <c r="C342" i="2" s="1"/>
  <c r="G342" i="2"/>
  <c r="F342" i="2"/>
  <c r="E342" i="2"/>
  <c r="D342" i="2"/>
  <c r="M341" i="2"/>
  <c r="L341" i="2"/>
  <c r="K341" i="2"/>
  <c r="J341" i="2"/>
  <c r="I341" i="2"/>
  <c r="H341" i="2"/>
  <c r="C341" i="2" s="1"/>
  <c r="G341" i="2"/>
  <c r="F341" i="2"/>
  <c r="E341" i="2"/>
  <c r="D341" i="2"/>
  <c r="M340" i="2"/>
  <c r="L340" i="2"/>
  <c r="K340" i="2"/>
  <c r="J340" i="2"/>
  <c r="I340" i="2"/>
  <c r="H340" i="2"/>
  <c r="G340" i="2"/>
  <c r="F340" i="2"/>
  <c r="E340" i="2"/>
  <c r="D340" i="2"/>
  <c r="M339" i="2"/>
  <c r="L339" i="2"/>
  <c r="K339" i="2"/>
  <c r="J339" i="2"/>
  <c r="I339" i="2"/>
  <c r="H339" i="2"/>
  <c r="C339" i="2" s="1"/>
  <c r="G339" i="2"/>
  <c r="F339" i="2"/>
  <c r="E339" i="2"/>
  <c r="D339" i="2"/>
  <c r="M338" i="2"/>
  <c r="L338" i="2"/>
  <c r="K338" i="2"/>
  <c r="J338" i="2"/>
  <c r="I338" i="2"/>
  <c r="H338" i="2"/>
  <c r="C338" i="2" s="1"/>
  <c r="G338" i="2"/>
  <c r="F338" i="2"/>
  <c r="E338" i="2"/>
  <c r="D338" i="2"/>
  <c r="M337" i="2"/>
  <c r="L337" i="2"/>
  <c r="K337" i="2"/>
  <c r="J337" i="2"/>
  <c r="I337" i="2"/>
  <c r="H337" i="2"/>
  <c r="C337" i="2" s="1"/>
  <c r="G337" i="2"/>
  <c r="F337" i="2"/>
  <c r="E337" i="2"/>
  <c r="D337" i="2"/>
  <c r="M336" i="2"/>
  <c r="L336" i="2"/>
  <c r="K336" i="2"/>
  <c r="J336" i="2"/>
  <c r="I336" i="2"/>
  <c r="H336" i="2"/>
  <c r="C336" i="2" s="1"/>
  <c r="G336" i="2"/>
  <c r="F336" i="2"/>
  <c r="E336" i="2"/>
  <c r="D336" i="2"/>
  <c r="M335" i="2"/>
  <c r="L335" i="2"/>
  <c r="K335" i="2"/>
  <c r="J335" i="2"/>
  <c r="I335" i="2"/>
  <c r="H335" i="2"/>
  <c r="C335" i="2" s="1"/>
  <c r="G335" i="2"/>
  <c r="F335" i="2"/>
  <c r="E335" i="2"/>
  <c r="D335" i="2"/>
  <c r="M334" i="2"/>
  <c r="L334" i="2"/>
  <c r="K334" i="2"/>
  <c r="J334" i="2"/>
  <c r="I334" i="2"/>
  <c r="H334" i="2"/>
  <c r="C334" i="2" s="1"/>
  <c r="G334" i="2"/>
  <c r="F334" i="2"/>
  <c r="E334" i="2"/>
  <c r="D334" i="2"/>
  <c r="M333" i="2"/>
  <c r="L333" i="2"/>
  <c r="K333" i="2"/>
  <c r="J333" i="2"/>
  <c r="I333" i="2"/>
  <c r="H333" i="2"/>
  <c r="C333" i="2" s="1"/>
  <c r="G333" i="2"/>
  <c r="F333" i="2"/>
  <c r="E333" i="2"/>
  <c r="D333" i="2"/>
  <c r="M332" i="2"/>
  <c r="L332" i="2"/>
  <c r="K332" i="2"/>
  <c r="J332" i="2"/>
  <c r="I332" i="2"/>
  <c r="H332" i="2"/>
  <c r="C332" i="2" s="1"/>
  <c r="G332" i="2"/>
  <c r="F332" i="2"/>
  <c r="E332" i="2"/>
  <c r="D332" i="2"/>
  <c r="M331" i="2"/>
  <c r="L331" i="2"/>
  <c r="K331" i="2"/>
  <c r="J331" i="2"/>
  <c r="I331" i="2"/>
  <c r="H331" i="2"/>
  <c r="C331" i="2" s="1"/>
  <c r="G331" i="2"/>
  <c r="F331" i="2"/>
  <c r="E331" i="2"/>
  <c r="D331" i="2"/>
  <c r="M330" i="2"/>
  <c r="L330" i="2"/>
  <c r="K330" i="2"/>
  <c r="J330" i="2"/>
  <c r="I330" i="2"/>
  <c r="H330" i="2"/>
  <c r="C330" i="2" s="1"/>
  <c r="G330" i="2"/>
  <c r="F330" i="2"/>
  <c r="E330" i="2"/>
  <c r="D330" i="2"/>
  <c r="M329" i="2"/>
  <c r="L329" i="2"/>
  <c r="K329" i="2"/>
  <c r="J329" i="2"/>
  <c r="I329" i="2"/>
  <c r="H329" i="2"/>
  <c r="C329" i="2" s="1"/>
  <c r="G329" i="2"/>
  <c r="F329" i="2"/>
  <c r="E329" i="2"/>
  <c r="D329" i="2"/>
  <c r="M328" i="2"/>
  <c r="L328" i="2"/>
  <c r="K328" i="2"/>
  <c r="J328" i="2"/>
  <c r="I328" i="2"/>
  <c r="H328" i="2"/>
  <c r="C328" i="2" s="1"/>
  <c r="G328" i="2"/>
  <c r="F328" i="2"/>
  <c r="E328" i="2"/>
  <c r="D328" i="2"/>
  <c r="M327" i="2"/>
  <c r="L327" i="2"/>
  <c r="K327" i="2"/>
  <c r="J327" i="2"/>
  <c r="I327" i="2"/>
  <c r="H327" i="2"/>
  <c r="C327" i="2" s="1"/>
  <c r="G327" i="2"/>
  <c r="F327" i="2"/>
  <c r="E327" i="2"/>
  <c r="D327" i="2"/>
  <c r="M326" i="2"/>
  <c r="L326" i="2"/>
  <c r="K326" i="2"/>
  <c r="J326" i="2"/>
  <c r="I326" i="2"/>
  <c r="H326" i="2"/>
  <c r="C326" i="2" s="1"/>
  <c r="G326" i="2"/>
  <c r="F326" i="2"/>
  <c r="E326" i="2"/>
  <c r="D326" i="2"/>
  <c r="M325" i="2"/>
  <c r="L325" i="2"/>
  <c r="K325" i="2"/>
  <c r="J325" i="2"/>
  <c r="I325" i="2"/>
  <c r="H325" i="2"/>
  <c r="C325" i="2" s="1"/>
  <c r="G325" i="2"/>
  <c r="F325" i="2"/>
  <c r="E325" i="2"/>
  <c r="D325" i="2"/>
  <c r="M324" i="2"/>
  <c r="L324" i="2"/>
  <c r="K324" i="2"/>
  <c r="J324" i="2"/>
  <c r="I324" i="2"/>
  <c r="H324" i="2"/>
  <c r="C324" i="2" s="1"/>
  <c r="G324" i="2"/>
  <c r="F324" i="2"/>
  <c r="E324" i="2"/>
  <c r="D324" i="2"/>
  <c r="M323" i="2"/>
  <c r="L323" i="2"/>
  <c r="K323" i="2"/>
  <c r="J323" i="2"/>
  <c r="I323" i="2"/>
  <c r="H323" i="2"/>
  <c r="C323" i="2" s="1"/>
  <c r="G323" i="2"/>
  <c r="F323" i="2"/>
  <c r="E323" i="2"/>
  <c r="D323" i="2"/>
  <c r="M322" i="2"/>
  <c r="L322" i="2"/>
  <c r="K322" i="2"/>
  <c r="J322" i="2"/>
  <c r="I322" i="2"/>
  <c r="H322" i="2"/>
  <c r="C322" i="2" s="1"/>
  <c r="G322" i="2"/>
  <c r="F322" i="2"/>
  <c r="E322" i="2"/>
  <c r="D322" i="2"/>
  <c r="M321" i="2"/>
  <c r="L321" i="2"/>
  <c r="K321" i="2"/>
  <c r="J321" i="2"/>
  <c r="I321" i="2"/>
  <c r="H321" i="2"/>
  <c r="C321" i="2" s="1"/>
  <c r="G321" i="2"/>
  <c r="F321" i="2"/>
  <c r="E321" i="2"/>
  <c r="D321" i="2"/>
  <c r="M320" i="2"/>
  <c r="L320" i="2"/>
  <c r="K320" i="2"/>
  <c r="J320" i="2"/>
  <c r="I320" i="2"/>
  <c r="H320" i="2"/>
  <c r="C320" i="2" s="1"/>
  <c r="G320" i="2"/>
  <c r="F320" i="2"/>
  <c r="E320" i="2"/>
  <c r="D320" i="2"/>
  <c r="M319" i="2"/>
  <c r="L319" i="2"/>
  <c r="K319" i="2"/>
  <c r="J319" i="2"/>
  <c r="I319" i="2"/>
  <c r="H319" i="2"/>
  <c r="C319" i="2" s="1"/>
  <c r="G319" i="2"/>
  <c r="F319" i="2"/>
  <c r="E319" i="2"/>
  <c r="D319" i="2"/>
  <c r="M318" i="2"/>
  <c r="L318" i="2"/>
  <c r="K318" i="2"/>
  <c r="J318" i="2"/>
  <c r="I318" i="2"/>
  <c r="H318" i="2"/>
  <c r="C318" i="2" s="1"/>
  <c r="G318" i="2"/>
  <c r="F318" i="2"/>
  <c r="E318" i="2"/>
  <c r="D318" i="2"/>
  <c r="M317" i="2"/>
  <c r="L317" i="2"/>
  <c r="K317" i="2"/>
  <c r="J317" i="2"/>
  <c r="I317" i="2"/>
  <c r="H317" i="2"/>
  <c r="C317" i="2" s="1"/>
  <c r="G317" i="2"/>
  <c r="F317" i="2"/>
  <c r="E317" i="2"/>
  <c r="D317" i="2"/>
  <c r="M316" i="2"/>
  <c r="L316" i="2"/>
  <c r="K316" i="2"/>
  <c r="J316" i="2"/>
  <c r="I316" i="2"/>
  <c r="H316" i="2"/>
  <c r="C316" i="2" s="1"/>
  <c r="G316" i="2"/>
  <c r="F316" i="2"/>
  <c r="E316" i="2"/>
  <c r="D316" i="2"/>
  <c r="M315" i="2"/>
  <c r="L315" i="2"/>
  <c r="K315" i="2"/>
  <c r="J315" i="2"/>
  <c r="I315" i="2"/>
  <c r="H315" i="2"/>
  <c r="C315" i="2" s="1"/>
  <c r="G315" i="2"/>
  <c r="F315" i="2"/>
  <c r="E315" i="2"/>
  <c r="D315" i="2"/>
  <c r="M314" i="2"/>
  <c r="L314" i="2"/>
  <c r="K314" i="2"/>
  <c r="J314" i="2"/>
  <c r="I314" i="2"/>
  <c r="H314" i="2"/>
  <c r="C314" i="2" s="1"/>
  <c r="G314" i="2"/>
  <c r="F314" i="2"/>
  <c r="E314" i="2"/>
  <c r="D314" i="2"/>
  <c r="M313" i="2"/>
  <c r="L313" i="2"/>
  <c r="K313" i="2"/>
  <c r="J313" i="2"/>
  <c r="I313" i="2"/>
  <c r="H313" i="2"/>
  <c r="C313" i="2" s="1"/>
  <c r="G313" i="2"/>
  <c r="F313" i="2"/>
  <c r="E313" i="2"/>
  <c r="D313" i="2"/>
  <c r="M312" i="2"/>
  <c r="L312" i="2"/>
  <c r="K312" i="2"/>
  <c r="J312" i="2"/>
  <c r="I312" i="2"/>
  <c r="H312" i="2"/>
  <c r="C312" i="2" s="1"/>
  <c r="G312" i="2"/>
  <c r="F312" i="2"/>
  <c r="E312" i="2"/>
  <c r="D312" i="2"/>
  <c r="M311" i="2"/>
  <c r="L311" i="2"/>
  <c r="K311" i="2"/>
  <c r="J311" i="2"/>
  <c r="I311" i="2"/>
  <c r="H311" i="2"/>
  <c r="C311" i="2" s="1"/>
  <c r="G311" i="2"/>
  <c r="F311" i="2"/>
  <c r="E311" i="2"/>
  <c r="D311" i="2"/>
  <c r="M310" i="2"/>
  <c r="L310" i="2"/>
  <c r="K310" i="2"/>
  <c r="J310" i="2"/>
  <c r="I310" i="2"/>
  <c r="H310" i="2"/>
  <c r="G310" i="2"/>
  <c r="F310" i="2"/>
  <c r="E310" i="2"/>
  <c r="D310" i="2"/>
  <c r="M309" i="2"/>
  <c r="L309" i="2"/>
  <c r="K309" i="2"/>
  <c r="J309" i="2"/>
  <c r="I309" i="2"/>
  <c r="H309" i="2"/>
  <c r="C309" i="2" s="1"/>
  <c r="G309" i="2"/>
  <c r="F309" i="2"/>
  <c r="E309" i="2"/>
  <c r="D309" i="2"/>
  <c r="M308" i="2"/>
  <c r="L308" i="2"/>
  <c r="K308" i="2"/>
  <c r="J308" i="2"/>
  <c r="I308" i="2"/>
  <c r="H308" i="2"/>
  <c r="C308" i="2" s="1"/>
  <c r="G308" i="2"/>
  <c r="F308" i="2"/>
  <c r="E308" i="2"/>
  <c r="D308" i="2"/>
  <c r="M307" i="2"/>
  <c r="L307" i="2"/>
  <c r="K307" i="2"/>
  <c r="J307" i="2"/>
  <c r="I307" i="2"/>
  <c r="H307" i="2"/>
  <c r="C307" i="2" s="1"/>
  <c r="G307" i="2"/>
  <c r="F307" i="2"/>
  <c r="E307" i="2"/>
  <c r="D307" i="2"/>
  <c r="M306" i="2"/>
  <c r="L306" i="2"/>
  <c r="K306" i="2"/>
  <c r="J306" i="2"/>
  <c r="I306" i="2"/>
  <c r="H306" i="2"/>
  <c r="C306" i="2" s="1"/>
  <c r="G306" i="2"/>
  <c r="F306" i="2"/>
  <c r="E306" i="2"/>
  <c r="D306" i="2"/>
  <c r="M305" i="2"/>
  <c r="L305" i="2"/>
  <c r="K305" i="2"/>
  <c r="J305" i="2"/>
  <c r="I305" i="2"/>
  <c r="H305" i="2"/>
  <c r="C305" i="2" s="1"/>
  <c r="G305" i="2"/>
  <c r="F305" i="2"/>
  <c r="E305" i="2"/>
  <c r="D305" i="2"/>
  <c r="M304" i="2"/>
  <c r="L304" i="2"/>
  <c r="K304" i="2"/>
  <c r="J304" i="2"/>
  <c r="I304" i="2"/>
  <c r="H304" i="2"/>
  <c r="C304" i="2" s="1"/>
  <c r="G304" i="2"/>
  <c r="F304" i="2"/>
  <c r="E304" i="2"/>
  <c r="D304" i="2"/>
  <c r="M303" i="2"/>
  <c r="L303" i="2"/>
  <c r="K303" i="2"/>
  <c r="J303" i="2"/>
  <c r="I303" i="2"/>
  <c r="H303" i="2"/>
  <c r="C303" i="2" s="1"/>
  <c r="G303" i="2"/>
  <c r="F303" i="2"/>
  <c r="E303" i="2"/>
  <c r="D303" i="2"/>
  <c r="M302" i="2"/>
  <c r="L302" i="2"/>
  <c r="K302" i="2"/>
  <c r="J302" i="2"/>
  <c r="I302" i="2"/>
  <c r="H302" i="2"/>
  <c r="C302" i="2" s="1"/>
  <c r="G302" i="2"/>
  <c r="F302" i="2"/>
  <c r="E302" i="2"/>
  <c r="D302" i="2"/>
  <c r="M301" i="2"/>
  <c r="L301" i="2"/>
  <c r="K301" i="2"/>
  <c r="J301" i="2"/>
  <c r="I301" i="2"/>
  <c r="H301" i="2"/>
  <c r="C301" i="2" s="1"/>
  <c r="G301" i="2"/>
  <c r="F301" i="2"/>
  <c r="E301" i="2"/>
  <c r="D301" i="2"/>
  <c r="M300" i="2"/>
  <c r="L300" i="2"/>
  <c r="K300" i="2"/>
  <c r="J300" i="2"/>
  <c r="I300" i="2"/>
  <c r="H300" i="2"/>
  <c r="C300" i="2" s="1"/>
  <c r="G300" i="2"/>
  <c r="F300" i="2"/>
  <c r="E300" i="2"/>
  <c r="D300" i="2"/>
  <c r="M299" i="2"/>
  <c r="L299" i="2"/>
  <c r="K299" i="2"/>
  <c r="J299" i="2"/>
  <c r="I299" i="2"/>
  <c r="H299" i="2"/>
  <c r="C299" i="2" s="1"/>
  <c r="G299" i="2"/>
  <c r="F299" i="2"/>
  <c r="E299" i="2"/>
  <c r="D299" i="2"/>
  <c r="M298" i="2"/>
  <c r="L298" i="2"/>
  <c r="K298" i="2"/>
  <c r="J298" i="2"/>
  <c r="I298" i="2"/>
  <c r="H298" i="2"/>
  <c r="C298" i="2" s="1"/>
  <c r="G298" i="2"/>
  <c r="F298" i="2"/>
  <c r="E298" i="2"/>
  <c r="D298" i="2"/>
  <c r="M297" i="2"/>
  <c r="L297" i="2"/>
  <c r="K297" i="2"/>
  <c r="J297" i="2"/>
  <c r="I297" i="2"/>
  <c r="H297" i="2"/>
  <c r="C297" i="2" s="1"/>
  <c r="G297" i="2"/>
  <c r="F297" i="2"/>
  <c r="E297" i="2"/>
  <c r="D297" i="2"/>
  <c r="M296" i="2"/>
  <c r="L296" i="2"/>
  <c r="K296" i="2"/>
  <c r="J296" i="2"/>
  <c r="I296" i="2"/>
  <c r="H296" i="2"/>
  <c r="C296" i="2" s="1"/>
  <c r="G296" i="2"/>
  <c r="F296" i="2"/>
  <c r="E296" i="2"/>
  <c r="D296" i="2"/>
  <c r="M295" i="2"/>
  <c r="L295" i="2"/>
  <c r="K295" i="2"/>
  <c r="J295" i="2"/>
  <c r="I295" i="2"/>
  <c r="H295" i="2"/>
  <c r="C295" i="2" s="1"/>
  <c r="G295" i="2"/>
  <c r="F295" i="2"/>
  <c r="E295" i="2"/>
  <c r="D295" i="2"/>
  <c r="M294" i="2"/>
  <c r="L294" i="2"/>
  <c r="K294" i="2"/>
  <c r="J294" i="2"/>
  <c r="I294" i="2"/>
  <c r="H294" i="2"/>
  <c r="C294" i="2" s="1"/>
  <c r="G294" i="2"/>
  <c r="F294" i="2"/>
  <c r="E294" i="2"/>
  <c r="D294" i="2"/>
  <c r="M293" i="2"/>
  <c r="L293" i="2"/>
  <c r="K293" i="2"/>
  <c r="J293" i="2"/>
  <c r="I293" i="2"/>
  <c r="H293" i="2"/>
  <c r="C293" i="2" s="1"/>
  <c r="G293" i="2"/>
  <c r="F293" i="2"/>
  <c r="E293" i="2"/>
  <c r="D293" i="2"/>
  <c r="M292" i="2"/>
  <c r="L292" i="2"/>
  <c r="K292" i="2"/>
  <c r="J292" i="2"/>
  <c r="I292" i="2"/>
  <c r="H292" i="2"/>
  <c r="C292" i="2" s="1"/>
  <c r="G292" i="2"/>
  <c r="F292" i="2"/>
  <c r="E292" i="2"/>
  <c r="D292" i="2"/>
  <c r="M291" i="2"/>
  <c r="L291" i="2"/>
  <c r="K291" i="2"/>
  <c r="J291" i="2"/>
  <c r="I291" i="2"/>
  <c r="H291" i="2"/>
  <c r="C291" i="2" s="1"/>
  <c r="G291" i="2"/>
  <c r="F291" i="2"/>
  <c r="E291" i="2"/>
  <c r="D291" i="2"/>
  <c r="M290" i="2"/>
  <c r="L290" i="2"/>
  <c r="K290" i="2"/>
  <c r="J290" i="2"/>
  <c r="I290" i="2"/>
  <c r="H290" i="2"/>
  <c r="C290" i="2" s="1"/>
  <c r="G290" i="2"/>
  <c r="F290" i="2"/>
  <c r="E290" i="2"/>
  <c r="D290" i="2"/>
  <c r="M289" i="2"/>
  <c r="L289" i="2"/>
  <c r="K289" i="2"/>
  <c r="J289" i="2"/>
  <c r="I289" i="2"/>
  <c r="H289" i="2"/>
  <c r="C289" i="2" s="1"/>
  <c r="G289" i="2"/>
  <c r="F289" i="2"/>
  <c r="E289" i="2"/>
  <c r="D289" i="2"/>
  <c r="M288" i="2"/>
  <c r="L288" i="2"/>
  <c r="K288" i="2"/>
  <c r="J288" i="2"/>
  <c r="I288" i="2"/>
  <c r="H288" i="2"/>
  <c r="C288" i="2" s="1"/>
  <c r="G288" i="2"/>
  <c r="F288" i="2"/>
  <c r="E288" i="2"/>
  <c r="D288" i="2"/>
  <c r="M287" i="2"/>
  <c r="L287" i="2"/>
  <c r="K287" i="2"/>
  <c r="J287" i="2"/>
  <c r="I287" i="2"/>
  <c r="H287" i="2"/>
  <c r="C287" i="2" s="1"/>
  <c r="G287" i="2"/>
  <c r="F287" i="2"/>
  <c r="E287" i="2"/>
  <c r="D287" i="2"/>
  <c r="M286" i="2"/>
  <c r="L286" i="2"/>
  <c r="K286" i="2"/>
  <c r="J286" i="2"/>
  <c r="I286" i="2"/>
  <c r="H286" i="2"/>
  <c r="C286" i="2" s="1"/>
  <c r="G286" i="2"/>
  <c r="F286" i="2"/>
  <c r="E286" i="2"/>
  <c r="D286" i="2"/>
  <c r="M285" i="2"/>
  <c r="L285" i="2"/>
  <c r="K285" i="2"/>
  <c r="J285" i="2"/>
  <c r="I285" i="2"/>
  <c r="H285" i="2"/>
  <c r="C285" i="2" s="1"/>
  <c r="G285" i="2"/>
  <c r="F285" i="2"/>
  <c r="E285" i="2"/>
  <c r="D285" i="2"/>
  <c r="M284" i="2"/>
  <c r="L284" i="2"/>
  <c r="K284" i="2"/>
  <c r="J284" i="2"/>
  <c r="I284" i="2"/>
  <c r="H284" i="2"/>
  <c r="C284" i="2" s="1"/>
  <c r="G284" i="2"/>
  <c r="F284" i="2"/>
  <c r="E284" i="2"/>
  <c r="D284" i="2"/>
  <c r="M283" i="2"/>
  <c r="L283" i="2"/>
  <c r="K283" i="2"/>
  <c r="J283" i="2"/>
  <c r="I283" i="2"/>
  <c r="H283" i="2"/>
  <c r="C283" i="2" s="1"/>
  <c r="G283" i="2"/>
  <c r="F283" i="2"/>
  <c r="E283" i="2"/>
  <c r="D283" i="2"/>
  <c r="M282" i="2"/>
  <c r="L282" i="2"/>
  <c r="K282" i="2"/>
  <c r="J282" i="2"/>
  <c r="I282" i="2"/>
  <c r="H282" i="2"/>
  <c r="C282" i="2" s="1"/>
  <c r="G282" i="2"/>
  <c r="F282" i="2"/>
  <c r="E282" i="2"/>
  <c r="D282" i="2"/>
  <c r="M281" i="2"/>
  <c r="L281" i="2"/>
  <c r="K281" i="2"/>
  <c r="J281" i="2"/>
  <c r="I281" i="2"/>
  <c r="H281" i="2"/>
  <c r="C281" i="2" s="1"/>
  <c r="G281" i="2"/>
  <c r="F281" i="2"/>
  <c r="E281" i="2"/>
  <c r="D281" i="2"/>
  <c r="M280" i="2"/>
  <c r="L280" i="2"/>
  <c r="K280" i="2"/>
  <c r="J280" i="2"/>
  <c r="I280" i="2"/>
  <c r="H280" i="2"/>
  <c r="C280" i="2" s="1"/>
  <c r="G280" i="2"/>
  <c r="F280" i="2"/>
  <c r="E280" i="2"/>
  <c r="D280" i="2"/>
  <c r="M279" i="2"/>
  <c r="L279" i="2"/>
  <c r="K279" i="2"/>
  <c r="J279" i="2"/>
  <c r="I279" i="2"/>
  <c r="H279" i="2"/>
  <c r="G279" i="2"/>
  <c r="F279" i="2"/>
  <c r="E279" i="2"/>
  <c r="D279" i="2"/>
  <c r="M278" i="2"/>
  <c r="L278" i="2"/>
  <c r="K278" i="2"/>
  <c r="J278" i="2"/>
  <c r="I278" i="2"/>
  <c r="H278" i="2"/>
  <c r="C278" i="2" s="1"/>
  <c r="G278" i="2"/>
  <c r="F278" i="2"/>
  <c r="E278" i="2"/>
  <c r="D278" i="2"/>
  <c r="M277" i="2"/>
  <c r="L277" i="2"/>
  <c r="K277" i="2"/>
  <c r="J277" i="2"/>
  <c r="I277" i="2"/>
  <c r="H277" i="2"/>
  <c r="C277" i="2" s="1"/>
  <c r="G277" i="2"/>
  <c r="F277" i="2"/>
  <c r="E277" i="2"/>
  <c r="D277" i="2"/>
  <c r="M276" i="2"/>
  <c r="L276" i="2"/>
  <c r="K276" i="2"/>
  <c r="J276" i="2"/>
  <c r="I276" i="2"/>
  <c r="H276" i="2"/>
  <c r="C276" i="2" s="1"/>
  <c r="G276" i="2"/>
  <c r="F276" i="2"/>
  <c r="E276" i="2"/>
  <c r="D276" i="2"/>
  <c r="M275" i="2"/>
  <c r="L275" i="2"/>
  <c r="K275" i="2"/>
  <c r="J275" i="2"/>
  <c r="I275" i="2"/>
  <c r="H275" i="2"/>
  <c r="C275" i="2" s="1"/>
  <c r="G275" i="2"/>
  <c r="F275" i="2"/>
  <c r="E275" i="2"/>
  <c r="D275" i="2"/>
  <c r="M274" i="2"/>
  <c r="L274" i="2"/>
  <c r="K274" i="2"/>
  <c r="J274" i="2"/>
  <c r="I274" i="2"/>
  <c r="H274" i="2"/>
  <c r="C274" i="2" s="1"/>
  <c r="G274" i="2"/>
  <c r="F274" i="2"/>
  <c r="E274" i="2"/>
  <c r="D274" i="2"/>
  <c r="M273" i="2"/>
  <c r="L273" i="2"/>
  <c r="K273" i="2"/>
  <c r="J273" i="2"/>
  <c r="I273" i="2"/>
  <c r="H273" i="2"/>
  <c r="C273" i="2" s="1"/>
  <c r="G273" i="2"/>
  <c r="F273" i="2"/>
  <c r="E273" i="2"/>
  <c r="D273" i="2"/>
  <c r="M272" i="2"/>
  <c r="L272" i="2"/>
  <c r="K272" i="2"/>
  <c r="J272" i="2"/>
  <c r="I272" i="2"/>
  <c r="H272" i="2"/>
  <c r="C272" i="2" s="1"/>
  <c r="G272" i="2"/>
  <c r="F272" i="2"/>
  <c r="E272" i="2"/>
  <c r="D272" i="2"/>
  <c r="M271" i="2"/>
  <c r="L271" i="2"/>
  <c r="K271" i="2"/>
  <c r="J271" i="2"/>
  <c r="I271" i="2"/>
  <c r="H271" i="2"/>
  <c r="C271" i="2" s="1"/>
  <c r="G271" i="2"/>
  <c r="F271" i="2"/>
  <c r="E271" i="2"/>
  <c r="D271" i="2"/>
  <c r="M270" i="2"/>
  <c r="L270" i="2"/>
  <c r="K270" i="2"/>
  <c r="J270" i="2"/>
  <c r="I270" i="2"/>
  <c r="H270" i="2"/>
  <c r="C270" i="2" s="1"/>
  <c r="G270" i="2"/>
  <c r="F270" i="2"/>
  <c r="E270" i="2"/>
  <c r="D270" i="2"/>
  <c r="M269" i="2"/>
  <c r="L269" i="2"/>
  <c r="K269" i="2"/>
  <c r="J269" i="2"/>
  <c r="I269" i="2"/>
  <c r="H269" i="2"/>
  <c r="C269" i="2" s="1"/>
  <c r="G269" i="2"/>
  <c r="F269" i="2"/>
  <c r="E269" i="2"/>
  <c r="D269" i="2"/>
  <c r="M268" i="2"/>
  <c r="L268" i="2"/>
  <c r="K268" i="2"/>
  <c r="J268" i="2"/>
  <c r="I268" i="2"/>
  <c r="H268" i="2"/>
  <c r="C268" i="2" s="1"/>
  <c r="G268" i="2"/>
  <c r="F268" i="2"/>
  <c r="E268" i="2"/>
  <c r="D268" i="2"/>
  <c r="M267" i="2"/>
  <c r="L267" i="2"/>
  <c r="K267" i="2"/>
  <c r="J267" i="2"/>
  <c r="I267" i="2"/>
  <c r="H267" i="2"/>
  <c r="C267" i="2" s="1"/>
  <c r="G267" i="2"/>
  <c r="F267" i="2"/>
  <c r="E267" i="2"/>
  <c r="D267" i="2"/>
  <c r="M266" i="2"/>
  <c r="L266" i="2"/>
  <c r="K266" i="2"/>
  <c r="J266" i="2"/>
  <c r="I266" i="2"/>
  <c r="H266" i="2"/>
  <c r="C266" i="2" s="1"/>
  <c r="G266" i="2"/>
  <c r="F266" i="2"/>
  <c r="E266" i="2"/>
  <c r="D266" i="2"/>
  <c r="M265" i="2"/>
  <c r="L265" i="2"/>
  <c r="K265" i="2"/>
  <c r="J265" i="2"/>
  <c r="I265" i="2"/>
  <c r="H265" i="2"/>
  <c r="C265" i="2" s="1"/>
  <c r="G265" i="2"/>
  <c r="F265" i="2"/>
  <c r="E265" i="2"/>
  <c r="D265" i="2"/>
  <c r="M264" i="2"/>
  <c r="L264" i="2"/>
  <c r="K264" i="2"/>
  <c r="J264" i="2"/>
  <c r="I264" i="2"/>
  <c r="H264" i="2"/>
  <c r="C264" i="2" s="1"/>
  <c r="G264" i="2"/>
  <c r="F264" i="2"/>
  <c r="E264" i="2"/>
  <c r="D264" i="2"/>
  <c r="M263" i="2"/>
  <c r="L263" i="2"/>
  <c r="K263" i="2"/>
  <c r="J263" i="2"/>
  <c r="I263" i="2"/>
  <c r="H263" i="2"/>
  <c r="C263" i="2" s="1"/>
  <c r="G263" i="2"/>
  <c r="F263" i="2"/>
  <c r="E263" i="2"/>
  <c r="D263" i="2"/>
  <c r="M262" i="2"/>
  <c r="L262" i="2"/>
  <c r="K262" i="2"/>
  <c r="J262" i="2"/>
  <c r="I262" i="2"/>
  <c r="H262" i="2"/>
  <c r="C262" i="2" s="1"/>
  <c r="G262" i="2"/>
  <c r="F262" i="2"/>
  <c r="E262" i="2"/>
  <c r="D262" i="2"/>
  <c r="M261" i="2"/>
  <c r="L261" i="2"/>
  <c r="K261" i="2"/>
  <c r="J261" i="2"/>
  <c r="I261" i="2"/>
  <c r="H261" i="2"/>
  <c r="C261" i="2" s="1"/>
  <c r="G261" i="2"/>
  <c r="F261" i="2"/>
  <c r="E261" i="2"/>
  <c r="D261" i="2"/>
  <c r="M260" i="2"/>
  <c r="L260" i="2"/>
  <c r="K260" i="2"/>
  <c r="J260" i="2"/>
  <c r="I260" i="2"/>
  <c r="H260" i="2"/>
  <c r="C260" i="2" s="1"/>
  <c r="G260" i="2"/>
  <c r="F260" i="2"/>
  <c r="E260" i="2"/>
  <c r="D260" i="2"/>
  <c r="M259" i="2"/>
  <c r="L259" i="2"/>
  <c r="K259" i="2"/>
  <c r="J259" i="2"/>
  <c r="I259" i="2"/>
  <c r="H259" i="2"/>
  <c r="C259" i="2" s="1"/>
  <c r="G259" i="2"/>
  <c r="F259" i="2"/>
  <c r="E259" i="2"/>
  <c r="D259" i="2"/>
  <c r="M258" i="2"/>
  <c r="L258" i="2"/>
  <c r="K258" i="2"/>
  <c r="J258" i="2"/>
  <c r="I258" i="2"/>
  <c r="H258" i="2"/>
  <c r="C258" i="2" s="1"/>
  <c r="G258" i="2"/>
  <c r="F258" i="2"/>
  <c r="E258" i="2"/>
  <c r="D258" i="2"/>
  <c r="M257" i="2"/>
  <c r="L257" i="2"/>
  <c r="K257" i="2"/>
  <c r="J257" i="2"/>
  <c r="I257" i="2"/>
  <c r="H257" i="2"/>
  <c r="C257" i="2" s="1"/>
  <c r="G257" i="2"/>
  <c r="F257" i="2"/>
  <c r="E257" i="2"/>
  <c r="D257" i="2"/>
  <c r="M256" i="2"/>
  <c r="L256" i="2"/>
  <c r="K256" i="2"/>
  <c r="J256" i="2"/>
  <c r="I256" i="2"/>
  <c r="H256" i="2"/>
  <c r="C256" i="2" s="1"/>
  <c r="G256" i="2"/>
  <c r="F256" i="2"/>
  <c r="E256" i="2"/>
  <c r="D256" i="2"/>
  <c r="M255" i="2"/>
  <c r="L255" i="2"/>
  <c r="K255" i="2"/>
  <c r="J255" i="2"/>
  <c r="I255" i="2"/>
  <c r="H255" i="2"/>
  <c r="C255" i="2" s="1"/>
  <c r="G255" i="2"/>
  <c r="F255" i="2"/>
  <c r="E255" i="2"/>
  <c r="D255" i="2"/>
  <c r="M254" i="2"/>
  <c r="L254" i="2"/>
  <c r="K254" i="2"/>
  <c r="J254" i="2"/>
  <c r="I254" i="2"/>
  <c r="H254" i="2"/>
  <c r="C254" i="2" s="1"/>
  <c r="G254" i="2"/>
  <c r="F254" i="2"/>
  <c r="E254" i="2"/>
  <c r="D254" i="2"/>
  <c r="M253" i="2"/>
  <c r="L253" i="2"/>
  <c r="K253" i="2"/>
  <c r="J253" i="2"/>
  <c r="I253" i="2"/>
  <c r="H253" i="2"/>
  <c r="C253" i="2" s="1"/>
  <c r="G253" i="2"/>
  <c r="F253" i="2"/>
  <c r="E253" i="2"/>
  <c r="D253" i="2"/>
  <c r="M252" i="2"/>
  <c r="L252" i="2"/>
  <c r="K252" i="2"/>
  <c r="J252" i="2"/>
  <c r="I252" i="2"/>
  <c r="H252" i="2"/>
  <c r="C252" i="2" s="1"/>
  <c r="G252" i="2"/>
  <c r="F252" i="2"/>
  <c r="E252" i="2"/>
  <c r="D252" i="2"/>
  <c r="M251" i="2"/>
  <c r="L251" i="2"/>
  <c r="K251" i="2"/>
  <c r="J251" i="2"/>
  <c r="I251" i="2"/>
  <c r="H251" i="2"/>
  <c r="C251" i="2" s="1"/>
  <c r="G251" i="2"/>
  <c r="F251" i="2"/>
  <c r="E251" i="2"/>
  <c r="D251" i="2"/>
  <c r="M250" i="2"/>
  <c r="L250" i="2"/>
  <c r="K250" i="2"/>
  <c r="J250" i="2"/>
  <c r="I250" i="2"/>
  <c r="H250" i="2"/>
  <c r="C250" i="2" s="1"/>
  <c r="G250" i="2"/>
  <c r="F250" i="2"/>
  <c r="E250" i="2"/>
  <c r="D250" i="2"/>
  <c r="M249" i="2"/>
  <c r="L249" i="2"/>
  <c r="K249" i="2"/>
  <c r="J249" i="2"/>
  <c r="I249" i="2"/>
  <c r="H249" i="2"/>
  <c r="G249" i="2"/>
  <c r="F249" i="2"/>
  <c r="E249" i="2"/>
  <c r="D249" i="2"/>
  <c r="M248" i="2"/>
  <c r="L248" i="2"/>
  <c r="K248" i="2"/>
  <c r="J248" i="2"/>
  <c r="I248" i="2"/>
  <c r="H248" i="2"/>
  <c r="C248" i="2" s="1"/>
  <c r="G248" i="2"/>
  <c r="F248" i="2"/>
  <c r="E248" i="2"/>
  <c r="D248" i="2"/>
  <c r="M247" i="2"/>
  <c r="L247" i="2"/>
  <c r="K247" i="2"/>
  <c r="J247" i="2"/>
  <c r="I247" i="2"/>
  <c r="H247" i="2"/>
  <c r="C247" i="2" s="1"/>
  <c r="G247" i="2"/>
  <c r="F247" i="2"/>
  <c r="E247" i="2"/>
  <c r="D247" i="2"/>
  <c r="M246" i="2"/>
  <c r="L246" i="2"/>
  <c r="K246" i="2"/>
  <c r="J246" i="2"/>
  <c r="I246" i="2"/>
  <c r="H246" i="2"/>
  <c r="C246" i="2" s="1"/>
  <c r="G246" i="2"/>
  <c r="F246" i="2"/>
  <c r="E246" i="2"/>
  <c r="D246" i="2"/>
  <c r="M245" i="2"/>
  <c r="L245" i="2"/>
  <c r="K245" i="2"/>
  <c r="J245" i="2"/>
  <c r="I245" i="2"/>
  <c r="H245" i="2"/>
  <c r="C245" i="2" s="1"/>
  <c r="G245" i="2"/>
  <c r="F245" i="2"/>
  <c r="E245" i="2"/>
  <c r="D245" i="2"/>
  <c r="M244" i="2"/>
  <c r="L244" i="2"/>
  <c r="K244" i="2"/>
  <c r="J244" i="2"/>
  <c r="I244" i="2"/>
  <c r="H244" i="2"/>
  <c r="C244" i="2" s="1"/>
  <c r="G244" i="2"/>
  <c r="F244" i="2"/>
  <c r="E244" i="2"/>
  <c r="D244" i="2"/>
  <c r="M243" i="2"/>
  <c r="L243" i="2"/>
  <c r="K243" i="2"/>
  <c r="J243" i="2"/>
  <c r="I243" i="2"/>
  <c r="H243" i="2"/>
  <c r="C243" i="2" s="1"/>
  <c r="G243" i="2"/>
  <c r="F243" i="2"/>
  <c r="E243" i="2"/>
  <c r="D243" i="2"/>
  <c r="M242" i="2"/>
  <c r="L242" i="2"/>
  <c r="K242" i="2"/>
  <c r="J242" i="2"/>
  <c r="I242" i="2"/>
  <c r="H242" i="2"/>
  <c r="C242" i="2" s="1"/>
  <c r="G242" i="2"/>
  <c r="F242" i="2"/>
  <c r="E242" i="2"/>
  <c r="D242" i="2"/>
  <c r="M241" i="2"/>
  <c r="L241" i="2"/>
  <c r="K241" i="2"/>
  <c r="J241" i="2"/>
  <c r="I241" i="2"/>
  <c r="H241" i="2"/>
  <c r="C241" i="2" s="1"/>
  <c r="G241" i="2"/>
  <c r="F241" i="2"/>
  <c r="E241" i="2"/>
  <c r="D241" i="2"/>
  <c r="M240" i="2"/>
  <c r="L240" i="2"/>
  <c r="K240" i="2"/>
  <c r="J240" i="2"/>
  <c r="I240" i="2"/>
  <c r="H240" i="2"/>
  <c r="C240" i="2" s="1"/>
  <c r="G240" i="2"/>
  <c r="F240" i="2"/>
  <c r="E240" i="2"/>
  <c r="D240" i="2"/>
  <c r="M239" i="2"/>
  <c r="L239" i="2"/>
  <c r="K239" i="2"/>
  <c r="J239" i="2"/>
  <c r="I239" i="2"/>
  <c r="H239" i="2"/>
  <c r="C239" i="2" s="1"/>
  <c r="G239" i="2"/>
  <c r="F239" i="2"/>
  <c r="E239" i="2"/>
  <c r="D239" i="2"/>
  <c r="M238" i="2"/>
  <c r="L238" i="2"/>
  <c r="K238" i="2"/>
  <c r="J238" i="2"/>
  <c r="I238" i="2"/>
  <c r="H238" i="2"/>
  <c r="C238" i="2" s="1"/>
  <c r="G238" i="2"/>
  <c r="F238" i="2"/>
  <c r="E238" i="2"/>
  <c r="D238" i="2"/>
  <c r="M237" i="2"/>
  <c r="L237" i="2"/>
  <c r="K237" i="2"/>
  <c r="J237" i="2"/>
  <c r="I237" i="2"/>
  <c r="H237" i="2"/>
  <c r="C237" i="2" s="1"/>
  <c r="G237" i="2"/>
  <c r="F237" i="2"/>
  <c r="E237" i="2"/>
  <c r="D237" i="2"/>
  <c r="M236" i="2"/>
  <c r="L236" i="2"/>
  <c r="K236" i="2"/>
  <c r="J236" i="2"/>
  <c r="I236" i="2"/>
  <c r="H236" i="2"/>
  <c r="C236" i="2" s="1"/>
  <c r="G236" i="2"/>
  <c r="F236" i="2"/>
  <c r="E236" i="2"/>
  <c r="D236" i="2"/>
  <c r="M235" i="2"/>
  <c r="L235" i="2"/>
  <c r="K235" i="2"/>
  <c r="J235" i="2"/>
  <c r="I235" i="2"/>
  <c r="H235" i="2"/>
  <c r="C235" i="2" s="1"/>
  <c r="G235" i="2"/>
  <c r="F235" i="2"/>
  <c r="E235" i="2"/>
  <c r="D235" i="2"/>
  <c r="M234" i="2"/>
  <c r="L234" i="2"/>
  <c r="K234" i="2"/>
  <c r="J234" i="2"/>
  <c r="I234" i="2"/>
  <c r="H234" i="2"/>
  <c r="C234" i="2" s="1"/>
  <c r="G234" i="2"/>
  <c r="F234" i="2"/>
  <c r="E234" i="2"/>
  <c r="D234" i="2"/>
  <c r="M233" i="2"/>
  <c r="L233" i="2"/>
  <c r="K233" i="2"/>
  <c r="J233" i="2"/>
  <c r="I233" i="2"/>
  <c r="H233" i="2"/>
  <c r="C233" i="2" s="1"/>
  <c r="G233" i="2"/>
  <c r="F233" i="2"/>
  <c r="E233" i="2"/>
  <c r="D233" i="2"/>
  <c r="M232" i="2"/>
  <c r="L232" i="2"/>
  <c r="K232" i="2"/>
  <c r="J232" i="2"/>
  <c r="I232" i="2"/>
  <c r="H232" i="2"/>
  <c r="C232" i="2" s="1"/>
  <c r="G232" i="2"/>
  <c r="F232" i="2"/>
  <c r="E232" i="2"/>
  <c r="D232" i="2"/>
  <c r="M231" i="2"/>
  <c r="L231" i="2"/>
  <c r="K231" i="2"/>
  <c r="J231" i="2"/>
  <c r="I231" i="2"/>
  <c r="H231" i="2"/>
  <c r="C231" i="2" s="1"/>
  <c r="G231" i="2"/>
  <c r="F231" i="2"/>
  <c r="E231" i="2"/>
  <c r="D231" i="2"/>
  <c r="M230" i="2"/>
  <c r="L230" i="2"/>
  <c r="K230" i="2"/>
  <c r="J230" i="2"/>
  <c r="I230" i="2"/>
  <c r="H230" i="2"/>
  <c r="C230" i="2" s="1"/>
  <c r="G230" i="2"/>
  <c r="F230" i="2"/>
  <c r="E230" i="2"/>
  <c r="D230" i="2"/>
  <c r="M229" i="2"/>
  <c r="L229" i="2"/>
  <c r="K229" i="2"/>
  <c r="J229" i="2"/>
  <c r="I229" i="2"/>
  <c r="H229" i="2"/>
  <c r="C229" i="2" s="1"/>
  <c r="G229" i="2"/>
  <c r="F229" i="2"/>
  <c r="E229" i="2"/>
  <c r="D229" i="2"/>
  <c r="M228" i="2"/>
  <c r="L228" i="2"/>
  <c r="K228" i="2"/>
  <c r="J228" i="2"/>
  <c r="I228" i="2"/>
  <c r="H228" i="2"/>
  <c r="C228" i="2" s="1"/>
  <c r="G228" i="2"/>
  <c r="F228" i="2"/>
  <c r="E228" i="2"/>
  <c r="D228" i="2"/>
  <c r="M227" i="2"/>
  <c r="L227" i="2"/>
  <c r="K227" i="2"/>
  <c r="J227" i="2"/>
  <c r="I227" i="2"/>
  <c r="H227" i="2"/>
  <c r="C227" i="2" s="1"/>
  <c r="G227" i="2"/>
  <c r="F227" i="2"/>
  <c r="E227" i="2"/>
  <c r="D227" i="2"/>
  <c r="M226" i="2"/>
  <c r="L226" i="2"/>
  <c r="K226" i="2"/>
  <c r="J226" i="2"/>
  <c r="I226" i="2"/>
  <c r="H226" i="2"/>
  <c r="C226" i="2" s="1"/>
  <c r="G226" i="2"/>
  <c r="F226" i="2"/>
  <c r="E226" i="2"/>
  <c r="D226" i="2"/>
  <c r="M225" i="2"/>
  <c r="L225" i="2"/>
  <c r="K225" i="2"/>
  <c r="J225" i="2"/>
  <c r="I225" i="2"/>
  <c r="H225" i="2"/>
  <c r="C225" i="2" s="1"/>
  <c r="G225" i="2"/>
  <c r="F225" i="2"/>
  <c r="E225" i="2"/>
  <c r="D225" i="2"/>
  <c r="M224" i="2"/>
  <c r="L224" i="2"/>
  <c r="K224" i="2"/>
  <c r="J224" i="2"/>
  <c r="I224" i="2"/>
  <c r="H224" i="2"/>
  <c r="C224" i="2" s="1"/>
  <c r="G224" i="2"/>
  <c r="F224" i="2"/>
  <c r="E224" i="2"/>
  <c r="D224" i="2"/>
  <c r="M223" i="2"/>
  <c r="L223" i="2"/>
  <c r="K223" i="2"/>
  <c r="J223" i="2"/>
  <c r="I223" i="2"/>
  <c r="H223" i="2"/>
  <c r="C223" i="2" s="1"/>
  <c r="G223" i="2"/>
  <c r="F223" i="2"/>
  <c r="E223" i="2"/>
  <c r="D223" i="2"/>
  <c r="M222" i="2"/>
  <c r="L222" i="2"/>
  <c r="K222" i="2"/>
  <c r="J222" i="2"/>
  <c r="I222" i="2"/>
  <c r="H222" i="2"/>
  <c r="C222" i="2" s="1"/>
  <c r="G222" i="2"/>
  <c r="F222" i="2"/>
  <c r="E222" i="2"/>
  <c r="D222" i="2"/>
  <c r="M221" i="2"/>
  <c r="L221" i="2"/>
  <c r="K221" i="2"/>
  <c r="J221" i="2"/>
  <c r="I221" i="2"/>
  <c r="H221" i="2"/>
  <c r="C221" i="2" s="1"/>
  <c r="G221" i="2"/>
  <c r="F221" i="2"/>
  <c r="E221" i="2"/>
  <c r="D221" i="2"/>
  <c r="M220" i="2"/>
  <c r="L220" i="2"/>
  <c r="K220" i="2"/>
  <c r="J220" i="2"/>
  <c r="I220" i="2"/>
  <c r="H220" i="2"/>
  <c r="C220" i="2" s="1"/>
  <c r="G220" i="2"/>
  <c r="F220" i="2"/>
  <c r="E220" i="2"/>
  <c r="D220" i="2"/>
  <c r="M219" i="2"/>
  <c r="L219" i="2"/>
  <c r="K219" i="2"/>
  <c r="J219" i="2"/>
  <c r="I219" i="2"/>
  <c r="H219" i="2"/>
  <c r="C219" i="2" s="1"/>
  <c r="G219" i="2"/>
  <c r="F219" i="2"/>
  <c r="E219" i="2"/>
  <c r="D219" i="2"/>
  <c r="M218" i="2"/>
  <c r="L218" i="2"/>
  <c r="K218" i="2"/>
  <c r="J218" i="2"/>
  <c r="I218" i="2"/>
  <c r="H218" i="2"/>
  <c r="G218" i="2"/>
  <c r="F218" i="2"/>
  <c r="E218" i="2"/>
  <c r="D218" i="2"/>
  <c r="M217" i="2"/>
  <c r="L217" i="2"/>
  <c r="K217" i="2"/>
  <c r="J217" i="2"/>
  <c r="I217" i="2"/>
  <c r="H217" i="2"/>
  <c r="C217" i="2" s="1"/>
  <c r="G217" i="2"/>
  <c r="F217" i="2"/>
  <c r="E217" i="2"/>
  <c r="D217" i="2"/>
  <c r="M216" i="2"/>
  <c r="L216" i="2"/>
  <c r="K216" i="2"/>
  <c r="J216" i="2"/>
  <c r="I216" i="2"/>
  <c r="H216" i="2"/>
  <c r="C216" i="2" s="1"/>
  <c r="G216" i="2"/>
  <c r="F216" i="2"/>
  <c r="E216" i="2"/>
  <c r="D216" i="2"/>
  <c r="M215" i="2"/>
  <c r="L215" i="2"/>
  <c r="K215" i="2"/>
  <c r="J215" i="2"/>
  <c r="I215" i="2"/>
  <c r="H215" i="2"/>
  <c r="C215" i="2" s="1"/>
  <c r="G215" i="2"/>
  <c r="F215" i="2"/>
  <c r="E215" i="2"/>
  <c r="D215" i="2"/>
  <c r="M214" i="2"/>
  <c r="L214" i="2"/>
  <c r="K214" i="2"/>
  <c r="J214" i="2"/>
  <c r="I214" i="2"/>
  <c r="H214" i="2"/>
  <c r="C214" i="2" s="1"/>
  <c r="G214" i="2"/>
  <c r="F214" i="2"/>
  <c r="E214" i="2"/>
  <c r="D214" i="2"/>
  <c r="M213" i="2"/>
  <c r="L213" i="2"/>
  <c r="K213" i="2"/>
  <c r="J213" i="2"/>
  <c r="I213" i="2"/>
  <c r="H213" i="2"/>
  <c r="C213" i="2" s="1"/>
  <c r="G213" i="2"/>
  <c r="F213" i="2"/>
  <c r="E213" i="2"/>
  <c r="D213" i="2"/>
  <c r="M212" i="2"/>
  <c r="L212" i="2"/>
  <c r="K212" i="2"/>
  <c r="J212" i="2"/>
  <c r="I212" i="2"/>
  <c r="H212" i="2"/>
  <c r="C212" i="2" s="1"/>
  <c r="G212" i="2"/>
  <c r="F212" i="2"/>
  <c r="E212" i="2"/>
  <c r="D212" i="2"/>
  <c r="M211" i="2"/>
  <c r="L211" i="2"/>
  <c r="K211" i="2"/>
  <c r="J211" i="2"/>
  <c r="I211" i="2"/>
  <c r="H211" i="2"/>
  <c r="C211" i="2" s="1"/>
  <c r="G211" i="2"/>
  <c r="F211" i="2"/>
  <c r="E211" i="2"/>
  <c r="D211" i="2"/>
  <c r="M210" i="2"/>
  <c r="L210" i="2"/>
  <c r="K210" i="2"/>
  <c r="J210" i="2"/>
  <c r="I210" i="2"/>
  <c r="H210" i="2"/>
  <c r="C210" i="2" s="1"/>
  <c r="G210" i="2"/>
  <c r="F210" i="2"/>
  <c r="E210" i="2"/>
  <c r="D210" i="2"/>
  <c r="M209" i="2"/>
  <c r="L209" i="2"/>
  <c r="K209" i="2"/>
  <c r="J209" i="2"/>
  <c r="I209" i="2"/>
  <c r="H209" i="2"/>
  <c r="C209" i="2" s="1"/>
  <c r="G209" i="2"/>
  <c r="F209" i="2"/>
  <c r="E209" i="2"/>
  <c r="D209" i="2"/>
  <c r="M208" i="2"/>
  <c r="L208" i="2"/>
  <c r="K208" i="2"/>
  <c r="J208" i="2"/>
  <c r="I208" i="2"/>
  <c r="H208" i="2"/>
  <c r="C208" i="2" s="1"/>
  <c r="G208" i="2"/>
  <c r="F208" i="2"/>
  <c r="E208" i="2"/>
  <c r="D208" i="2"/>
  <c r="M207" i="2"/>
  <c r="L207" i="2"/>
  <c r="K207" i="2"/>
  <c r="J207" i="2"/>
  <c r="I207" i="2"/>
  <c r="H207" i="2"/>
  <c r="C207" i="2" s="1"/>
  <c r="G207" i="2"/>
  <c r="F207" i="2"/>
  <c r="E207" i="2"/>
  <c r="D207" i="2"/>
  <c r="M206" i="2"/>
  <c r="L206" i="2"/>
  <c r="K206" i="2"/>
  <c r="J206" i="2"/>
  <c r="I206" i="2"/>
  <c r="H206" i="2"/>
  <c r="C206" i="2" s="1"/>
  <c r="G206" i="2"/>
  <c r="F206" i="2"/>
  <c r="E206" i="2"/>
  <c r="D206" i="2"/>
  <c r="M205" i="2"/>
  <c r="L205" i="2"/>
  <c r="K205" i="2"/>
  <c r="J205" i="2"/>
  <c r="I205" i="2"/>
  <c r="H205" i="2"/>
  <c r="C205" i="2" s="1"/>
  <c r="G205" i="2"/>
  <c r="F205" i="2"/>
  <c r="E205" i="2"/>
  <c r="D205" i="2"/>
  <c r="M204" i="2"/>
  <c r="L204" i="2"/>
  <c r="K204" i="2"/>
  <c r="J204" i="2"/>
  <c r="I204" i="2"/>
  <c r="H204" i="2"/>
  <c r="C204" i="2" s="1"/>
  <c r="G204" i="2"/>
  <c r="F204" i="2"/>
  <c r="E204" i="2"/>
  <c r="D204" i="2"/>
  <c r="M203" i="2"/>
  <c r="L203" i="2"/>
  <c r="K203" i="2"/>
  <c r="J203" i="2"/>
  <c r="I203" i="2"/>
  <c r="H203" i="2"/>
  <c r="C203" i="2" s="1"/>
  <c r="G203" i="2"/>
  <c r="F203" i="2"/>
  <c r="E203" i="2"/>
  <c r="D203" i="2"/>
  <c r="M202" i="2"/>
  <c r="L202" i="2"/>
  <c r="K202" i="2"/>
  <c r="J202" i="2"/>
  <c r="I202" i="2"/>
  <c r="H202" i="2"/>
  <c r="C202" i="2" s="1"/>
  <c r="G202" i="2"/>
  <c r="F202" i="2"/>
  <c r="E202" i="2"/>
  <c r="D202" i="2"/>
  <c r="M201" i="2"/>
  <c r="L201" i="2"/>
  <c r="K201" i="2"/>
  <c r="J201" i="2"/>
  <c r="I201" i="2"/>
  <c r="H201" i="2"/>
  <c r="C201" i="2" s="1"/>
  <c r="G201" i="2"/>
  <c r="F201" i="2"/>
  <c r="E201" i="2"/>
  <c r="D201" i="2"/>
  <c r="M200" i="2"/>
  <c r="L200" i="2"/>
  <c r="K200" i="2"/>
  <c r="J200" i="2"/>
  <c r="I200" i="2"/>
  <c r="H200" i="2"/>
  <c r="C200" i="2" s="1"/>
  <c r="G200" i="2"/>
  <c r="F200" i="2"/>
  <c r="E200" i="2"/>
  <c r="D200" i="2"/>
  <c r="M199" i="2"/>
  <c r="L199" i="2"/>
  <c r="K199" i="2"/>
  <c r="J199" i="2"/>
  <c r="I199" i="2"/>
  <c r="H199" i="2"/>
  <c r="C199" i="2" s="1"/>
  <c r="G199" i="2"/>
  <c r="F199" i="2"/>
  <c r="E199" i="2"/>
  <c r="D199" i="2"/>
  <c r="M198" i="2"/>
  <c r="L198" i="2"/>
  <c r="K198" i="2"/>
  <c r="J198" i="2"/>
  <c r="I198" i="2"/>
  <c r="H198" i="2"/>
  <c r="C198" i="2" s="1"/>
  <c r="G198" i="2"/>
  <c r="F198" i="2"/>
  <c r="E198" i="2"/>
  <c r="D198" i="2"/>
  <c r="M197" i="2"/>
  <c r="L197" i="2"/>
  <c r="K197" i="2"/>
  <c r="J197" i="2"/>
  <c r="I197" i="2"/>
  <c r="H197" i="2"/>
  <c r="C197" i="2" s="1"/>
  <c r="G197" i="2"/>
  <c r="F197" i="2"/>
  <c r="E197" i="2"/>
  <c r="D197" i="2"/>
  <c r="M196" i="2"/>
  <c r="L196" i="2"/>
  <c r="K196" i="2"/>
  <c r="J196" i="2"/>
  <c r="I196" i="2"/>
  <c r="H196" i="2"/>
  <c r="C196" i="2" s="1"/>
  <c r="G196" i="2"/>
  <c r="F196" i="2"/>
  <c r="E196" i="2"/>
  <c r="D196" i="2"/>
  <c r="M195" i="2"/>
  <c r="L195" i="2"/>
  <c r="K195" i="2"/>
  <c r="J195" i="2"/>
  <c r="I195" i="2"/>
  <c r="H195" i="2"/>
  <c r="C195" i="2" s="1"/>
  <c r="G195" i="2"/>
  <c r="F195" i="2"/>
  <c r="E195" i="2"/>
  <c r="D195" i="2"/>
  <c r="M194" i="2"/>
  <c r="L194" i="2"/>
  <c r="K194" i="2"/>
  <c r="J194" i="2"/>
  <c r="I194" i="2"/>
  <c r="H194" i="2"/>
  <c r="C194" i="2" s="1"/>
  <c r="G194" i="2"/>
  <c r="F194" i="2"/>
  <c r="E194" i="2"/>
  <c r="D194" i="2"/>
  <c r="M193" i="2"/>
  <c r="L193" i="2"/>
  <c r="K193" i="2"/>
  <c r="J193" i="2"/>
  <c r="I193" i="2"/>
  <c r="H193" i="2"/>
  <c r="C193" i="2" s="1"/>
  <c r="G193" i="2"/>
  <c r="F193" i="2"/>
  <c r="E193" i="2"/>
  <c r="D193" i="2"/>
  <c r="M192" i="2"/>
  <c r="L192" i="2"/>
  <c r="K192" i="2"/>
  <c r="J192" i="2"/>
  <c r="I192" i="2"/>
  <c r="H192" i="2"/>
  <c r="C192" i="2" s="1"/>
  <c r="G192" i="2"/>
  <c r="F192" i="2"/>
  <c r="E192" i="2"/>
  <c r="D192" i="2"/>
  <c r="M191" i="2"/>
  <c r="L191" i="2"/>
  <c r="K191" i="2"/>
  <c r="J191" i="2"/>
  <c r="I191" i="2"/>
  <c r="H191" i="2"/>
  <c r="C191" i="2" s="1"/>
  <c r="G191" i="2"/>
  <c r="F191" i="2"/>
  <c r="E191" i="2"/>
  <c r="D191" i="2"/>
  <c r="M190" i="2"/>
  <c r="L190" i="2"/>
  <c r="K190" i="2"/>
  <c r="J190" i="2"/>
  <c r="I190" i="2"/>
  <c r="H190" i="2"/>
  <c r="C190" i="2" s="1"/>
  <c r="G190" i="2"/>
  <c r="F190" i="2"/>
  <c r="E190" i="2"/>
  <c r="D190" i="2"/>
  <c r="M189" i="2"/>
  <c r="L189" i="2"/>
  <c r="K189" i="2"/>
  <c r="J189" i="2"/>
  <c r="I189" i="2"/>
  <c r="H189" i="2"/>
  <c r="C189" i="2" s="1"/>
  <c r="G189" i="2"/>
  <c r="F189" i="2"/>
  <c r="E189" i="2"/>
  <c r="D189" i="2"/>
  <c r="M188" i="2"/>
  <c r="L188" i="2"/>
  <c r="K188" i="2"/>
  <c r="J188" i="2"/>
  <c r="I188" i="2"/>
  <c r="H188" i="2"/>
  <c r="C188" i="2" s="1"/>
  <c r="G188" i="2"/>
  <c r="F188" i="2"/>
  <c r="E188" i="2"/>
  <c r="D188" i="2"/>
  <c r="M187" i="2"/>
  <c r="L187" i="2"/>
  <c r="K187" i="2"/>
  <c r="J187" i="2"/>
  <c r="I187" i="2"/>
  <c r="H187" i="2"/>
  <c r="G187" i="2"/>
  <c r="F187" i="2"/>
  <c r="E187" i="2"/>
  <c r="D187" i="2"/>
  <c r="M186" i="2"/>
  <c r="L186" i="2"/>
  <c r="K186" i="2"/>
  <c r="J186" i="2"/>
  <c r="I186" i="2"/>
  <c r="H186" i="2"/>
  <c r="C186" i="2" s="1"/>
  <c r="G186" i="2"/>
  <c r="F186" i="2"/>
  <c r="E186" i="2"/>
  <c r="D186" i="2"/>
  <c r="M185" i="2"/>
  <c r="L185" i="2"/>
  <c r="K185" i="2"/>
  <c r="J185" i="2"/>
  <c r="I185" i="2"/>
  <c r="H185" i="2"/>
  <c r="C185" i="2" s="1"/>
  <c r="G185" i="2"/>
  <c r="F185" i="2"/>
  <c r="E185" i="2"/>
  <c r="D185" i="2"/>
  <c r="M184" i="2"/>
  <c r="L184" i="2"/>
  <c r="K184" i="2"/>
  <c r="J184" i="2"/>
  <c r="I184" i="2"/>
  <c r="H184" i="2"/>
  <c r="C184" i="2" s="1"/>
  <c r="G184" i="2"/>
  <c r="F184" i="2"/>
  <c r="E184" i="2"/>
  <c r="D184" i="2"/>
  <c r="M183" i="2"/>
  <c r="L183" i="2"/>
  <c r="K183" i="2"/>
  <c r="J183" i="2"/>
  <c r="I183" i="2"/>
  <c r="H183" i="2"/>
  <c r="C183" i="2" s="1"/>
  <c r="G183" i="2"/>
  <c r="F183" i="2"/>
  <c r="E183" i="2"/>
  <c r="D183" i="2"/>
  <c r="M182" i="2"/>
  <c r="L182" i="2"/>
  <c r="K182" i="2"/>
  <c r="J182" i="2"/>
  <c r="I182" i="2"/>
  <c r="H182" i="2"/>
  <c r="C182" i="2" s="1"/>
  <c r="G182" i="2"/>
  <c r="F182" i="2"/>
  <c r="E182" i="2"/>
  <c r="D182" i="2"/>
  <c r="M181" i="2"/>
  <c r="L181" i="2"/>
  <c r="K181" i="2"/>
  <c r="J181" i="2"/>
  <c r="I181" i="2"/>
  <c r="H181" i="2"/>
  <c r="C181" i="2" s="1"/>
  <c r="G181" i="2"/>
  <c r="F181" i="2"/>
  <c r="E181" i="2"/>
  <c r="D181" i="2"/>
  <c r="M180" i="2"/>
  <c r="L180" i="2"/>
  <c r="K180" i="2"/>
  <c r="J180" i="2"/>
  <c r="I180" i="2"/>
  <c r="H180" i="2"/>
  <c r="C180" i="2" s="1"/>
  <c r="G180" i="2"/>
  <c r="F180" i="2"/>
  <c r="E180" i="2"/>
  <c r="D180" i="2"/>
  <c r="M179" i="2"/>
  <c r="L179" i="2"/>
  <c r="K179" i="2"/>
  <c r="J179" i="2"/>
  <c r="I179" i="2"/>
  <c r="H179" i="2"/>
  <c r="C179" i="2" s="1"/>
  <c r="G179" i="2"/>
  <c r="F179" i="2"/>
  <c r="E179" i="2"/>
  <c r="D179" i="2"/>
  <c r="M178" i="2"/>
  <c r="L178" i="2"/>
  <c r="K178" i="2"/>
  <c r="J178" i="2"/>
  <c r="I178" i="2"/>
  <c r="H178" i="2"/>
  <c r="C178" i="2" s="1"/>
  <c r="G178" i="2"/>
  <c r="F178" i="2"/>
  <c r="E178" i="2"/>
  <c r="D178" i="2"/>
  <c r="M177" i="2"/>
  <c r="L177" i="2"/>
  <c r="K177" i="2"/>
  <c r="J177" i="2"/>
  <c r="I177" i="2"/>
  <c r="H177" i="2"/>
  <c r="C177" i="2" s="1"/>
  <c r="G177" i="2"/>
  <c r="F177" i="2"/>
  <c r="E177" i="2"/>
  <c r="D177" i="2"/>
  <c r="M176" i="2"/>
  <c r="L176" i="2"/>
  <c r="K176" i="2"/>
  <c r="J176" i="2"/>
  <c r="I176" i="2"/>
  <c r="H176" i="2"/>
  <c r="C176" i="2" s="1"/>
  <c r="G176" i="2"/>
  <c r="F176" i="2"/>
  <c r="E176" i="2"/>
  <c r="D176" i="2"/>
  <c r="M175" i="2"/>
  <c r="L175" i="2"/>
  <c r="K175" i="2"/>
  <c r="J175" i="2"/>
  <c r="I175" i="2"/>
  <c r="H175" i="2"/>
  <c r="C175" i="2" s="1"/>
  <c r="G175" i="2"/>
  <c r="F175" i="2"/>
  <c r="E175" i="2"/>
  <c r="D175" i="2"/>
  <c r="M174" i="2"/>
  <c r="L174" i="2"/>
  <c r="K174" i="2"/>
  <c r="J174" i="2"/>
  <c r="I174" i="2"/>
  <c r="H174" i="2"/>
  <c r="C174" i="2" s="1"/>
  <c r="G174" i="2"/>
  <c r="F174" i="2"/>
  <c r="E174" i="2"/>
  <c r="D174" i="2"/>
  <c r="M173" i="2"/>
  <c r="L173" i="2"/>
  <c r="K173" i="2"/>
  <c r="J173" i="2"/>
  <c r="I173" i="2"/>
  <c r="H173" i="2"/>
  <c r="C173" i="2" s="1"/>
  <c r="G173" i="2"/>
  <c r="F173" i="2"/>
  <c r="E173" i="2"/>
  <c r="D173" i="2"/>
  <c r="M172" i="2"/>
  <c r="L172" i="2"/>
  <c r="K172" i="2"/>
  <c r="J172" i="2"/>
  <c r="I172" i="2"/>
  <c r="H172" i="2"/>
  <c r="C172" i="2" s="1"/>
  <c r="G172" i="2"/>
  <c r="F172" i="2"/>
  <c r="E172" i="2"/>
  <c r="D172" i="2"/>
  <c r="M171" i="2"/>
  <c r="L171" i="2"/>
  <c r="K171" i="2"/>
  <c r="J171" i="2"/>
  <c r="I171" i="2"/>
  <c r="H171" i="2"/>
  <c r="C171" i="2" s="1"/>
  <c r="G171" i="2"/>
  <c r="F171" i="2"/>
  <c r="E171" i="2"/>
  <c r="D171" i="2"/>
  <c r="M170" i="2"/>
  <c r="L170" i="2"/>
  <c r="K170" i="2"/>
  <c r="J170" i="2"/>
  <c r="I170" i="2"/>
  <c r="H170" i="2"/>
  <c r="C170" i="2" s="1"/>
  <c r="G170" i="2"/>
  <c r="F170" i="2"/>
  <c r="E170" i="2"/>
  <c r="D170" i="2"/>
  <c r="M169" i="2"/>
  <c r="L169" i="2"/>
  <c r="K169" i="2"/>
  <c r="J169" i="2"/>
  <c r="I169" i="2"/>
  <c r="H169" i="2"/>
  <c r="C169" i="2" s="1"/>
  <c r="G169" i="2"/>
  <c r="F169" i="2"/>
  <c r="E169" i="2"/>
  <c r="D169" i="2"/>
  <c r="M168" i="2"/>
  <c r="L168" i="2"/>
  <c r="K168" i="2"/>
  <c r="J168" i="2"/>
  <c r="I168" i="2"/>
  <c r="H168" i="2"/>
  <c r="C168" i="2" s="1"/>
  <c r="G168" i="2"/>
  <c r="F168" i="2"/>
  <c r="E168" i="2"/>
  <c r="D168" i="2"/>
  <c r="M167" i="2"/>
  <c r="L167" i="2"/>
  <c r="K167" i="2"/>
  <c r="J167" i="2"/>
  <c r="I167" i="2"/>
  <c r="H167" i="2"/>
  <c r="C167" i="2" s="1"/>
  <c r="G167" i="2"/>
  <c r="F167" i="2"/>
  <c r="E167" i="2"/>
  <c r="D167" i="2"/>
  <c r="M166" i="2"/>
  <c r="L166" i="2"/>
  <c r="K166" i="2"/>
  <c r="J166" i="2"/>
  <c r="I166" i="2"/>
  <c r="H166" i="2"/>
  <c r="C166" i="2" s="1"/>
  <c r="G166" i="2"/>
  <c r="F166" i="2"/>
  <c r="E166" i="2"/>
  <c r="D166" i="2"/>
  <c r="M165" i="2"/>
  <c r="L165" i="2"/>
  <c r="K165" i="2"/>
  <c r="J165" i="2"/>
  <c r="I165" i="2"/>
  <c r="H165" i="2"/>
  <c r="C165" i="2" s="1"/>
  <c r="G165" i="2"/>
  <c r="F165" i="2"/>
  <c r="E165" i="2"/>
  <c r="D165" i="2"/>
  <c r="M164" i="2"/>
  <c r="L164" i="2"/>
  <c r="K164" i="2"/>
  <c r="J164" i="2"/>
  <c r="I164" i="2"/>
  <c r="H164" i="2"/>
  <c r="C164" i="2" s="1"/>
  <c r="G164" i="2"/>
  <c r="F164" i="2"/>
  <c r="E164" i="2"/>
  <c r="D164" i="2"/>
  <c r="M163" i="2"/>
  <c r="L163" i="2"/>
  <c r="K163" i="2"/>
  <c r="J163" i="2"/>
  <c r="I163" i="2"/>
  <c r="H163" i="2"/>
  <c r="C163" i="2" s="1"/>
  <c r="G163" i="2"/>
  <c r="F163" i="2"/>
  <c r="E163" i="2"/>
  <c r="D163" i="2"/>
  <c r="M162" i="2"/>
  <c r="L162" i="2"/>
  <c r="K162" i="2"/>
  <c r="J162" i="2"/>
  <c r="I162" i="2"/>
  <c r="H162" i="2"/>
  <c r="C162" i="2" s="1"/>
  <c r="G162" i="2"/>
  <c r="F162" i="2"/>
  <c r="E162" i="2"/>
  <c r="D162" i="2"/>
  <c r="M161" i="2"/>
  <c r="L161" i="2"/>
  <c r="K161" i="2"/>
  <c r="J161" i="2"/>
  <c r="I161" i="2"/>
  <c r="H161" i="2"/>
  <c r="C161" i="2" s="1"/>
  <c r="G161" i="2"/>
  <c r="F161" i="2"/>
  <c r="E161" i="2"/>
  <c r="D161" i="2"/>
  <c r="M160" i="2"/>
  <c r="L160" i="2"/>
  <c r="K160" i="2"/>
  <c r="J160" i="2"/>
  <c r="I160" i="2"/>
  <c r="H160" i="2"/>
  <c r="C160" i="2" s="1"/>
  <c r="G160" i="2"/>
  <c r="F160" i="2"/>
  <c r="E160" i="2"/>
  <c r="D160" i="2"/>
  <c r="M159" i="2"/>
  <c r="L159" i="2"/>
  <c r="K159" i="2"/>
  <c r="J159" i="2"/>
  <c r="I159" i="2"/>
  <c r="H159" i="2"/>
  <c r="C159" i="2" s="1"/>
  <c r="G159" i="2"/>
  <c r="F159" i="2"/>
  <c r="E159" i="2"/>
  <c r="D159" i="2"/>
  <c r="M158" i="2"/>
  <c r="L158" i="2"/>
  <c r="K158" i="2"/>
  <c r="J158" i="2"/>
  <c r="I158" i="2"/>
  <c r="H158" i="2"/>
  <c r="C158" i="2" s="1"/>
  <c r="G158" i="2"/>
  <c r="F158" i="2"/>
  <c r="E158" i="2"/>
  <c r="D158" i="2"/>
  <c r="M157" i="2"/>
  <c r="L157" i="2"/>
  <c r="K157" i="2"/>
  <c r="J157" i="2"/>
  <c r="I157" i="2"/>
  <c r="H157" i="2"/>
  <c r="G157" i="2"/>
  <c r="F157" i="2"/>
  <c r="E157" i="2"/>
  <c r="D157" i="2"/>
  <c r="M156" i="2"/>
  <c r="L156" i="2"/>
  <c r="K156" i="2"/>
  <c r="J156" i="2"/>
  <c r="I156" i="2"/>
  <c r="H156" i="2"/>
  <c r="C156" i="2" s="1"/>
  <c r="G156" i="2"/>
  <c r="F156" i="2"/>
  <c r="E156" i="2"/>
  <c r="D156" i="2"/>
  <c r="M155" i="2"/>
  <c r="L155" i="2"/>
  <c r="K155" i="2"/>
  <c r="J155" i="2"/>
  <c r="I155" i="2"/>
  <c r="H155" i="2"/>
  <c r="C155" i="2" s="1"/>
  <c r="G155" i="2"/>
  <c r="F155" i="2"/>
  <c r="E155" i="2"/>
  <c r="D155" i="2"/>
  <c r="M154" i="2"/>
  <c r="L154" i="2"/>
  <c r="K154" i="2"/>
  <c r="J154" i="2"/>
  <c r="I154" i="2"/>
  <c r="H154" i="2"/>
  <c r="C154" i="2" s="1"/>
  <c r="G154" i="2"/>
  <c r="F154" i="2"/>
  <c r="E154" i="2"/>
  <c r="D154" i="2"/>
  <c r="M153" i="2"/>
  <c r="L153" i="2"/>
  <c r="K153" i="2"/>
  <c r="J153" i="2"/>
  <c r="I153" i="2"/>
  <c r="H153" i="2"/>
  <c r="C153" i="2" s="1"/>
  <c r="G153" i="2"/>
  <c r="F153" i="2"/>
  <c r="E153" i="2"/>
  <c r="D153" i="2"/>
  <c r="M152" i="2"/>
  <c r="L152" i="2"/>
  <c r="K152" i="2"/>
  <c r="J152" i="2"/>
  <c r="I152" i="2"/>
  <c r="H152" i="2"/>
  <c r="C152" i="2" s="1"/>
  <c r="G152" i="2"/>
  <c r="F152" i="2"/>
  <c r="E152" i="2"/>
  <c r="D152" i="2"/>
  <c r="M151" i="2"/>
  <c r="L151" i="2"/>
  <c r="K151" i="2"/>
  <c r="J151" i="2"/>
  <c r="I151" i="2"/>
  <c r="H151" i="2"/>
  <c r="C151" i="2" s="1"/>
  <c r="G151" i="2"/>
  <c r="F151" i="2"/>
  <c r="E151" i="2"/>
  <c r="D151" i="2"/>
  <c r="M150" i="2"/>
  <c r="L150" i="2"/>
  <c r="K150" i="2"/>
  <c r="J150" i="2"/>
  <c r="I150" i="2"/>
  <c r="H150" i="2"/>
  <c r="C150" i="2" s="1"/>
  <c r="G150" i="2"/>
  <c r="F150" i="2"/>
  <c r="E150" i="2"/>
  <c r="D150" i="2"/>
  <c r="M149" i="2"/>
  <c r="L149" i="2"/>
  <c r="K149" i="2"/>
  <c r="J149" i="2"/>
  <c r="I149" i="2"/>
  <c r="H149" i="2"/>
  <c r="C149" i="2" s="1"/>
  <c r="G149" i="2"/>
  <c r="F149" i="2"/>
  <c r="E149" i="2"/>
  <c r="D149" i="2"/>
  <c r="M148" i="2"/>
  <c r="L148" i="2"/>
  <c r="K148" i="2"/>
  <c r="J148" i="2"/>
  <c r="I148" i="2"/>
  <c r="H148" i="2"/>
  <c r="C148" i="2" s="1"/>
  <c r="G148" i="2"/>
  <c r="F148" i="2"/>
  <c r="E148" i="2"/>
  <c r="D148" i="2"/>
  <c r="M147" i="2"/>
  <c r="L147" i="2"/>
  <c r="K147" i="2"/>
  <c r="J147" i="2"/>
  <c r="I147" i="2"/>
  <c r="H147" i="2"/>
  <c r="C147" i="2" s="1"/>
  <c r="G147" i="2"/>
  <c r="F147" i="2"/>
  <c r="E147" i="2"/>
  <c r="D147" i="2"/>
  <c r="M146" i="2"/>
  <c r="L146" i="2"/>
  <c r="K146" i="2"/>
  <c r="J146" i="2"/>
  <c r="I146" i="2"/>
  <c r="H146" i="2"/>
  <c r="C146" i="2" s="1"/>
  <c r="G146" i="2"/>
  <c r="F146" i="2"/>
  <c r="E146" i="2"/>
  <c r="D146" i="2"/>
  <c r="M145" i="2"/>
  <c r="L145" i="2"/>
  <c r="K145" i="2"/>
  <c r="J145" i="2"/>
  <c r="I145" i="2"/>
  <c r="H145" i="2"/>
  <c r="C145" i="2" s="1"/>
  <c r="G145" i="2"/>
  <c r="F145" i="2"/>
  <c r="E145" i="2"/>
  <c r="D145" i="2"/>
  <c r="M144" i="2"/>
  <c r="L144" i="2"/>
  <c r="K144" i="2"/>
  <c r="J144" i="2"/>
  <c r="I144" i="2"/>
  <c r="H144" i="2"/>
  <c r="C144" i="2" s="1"/>
  <c r="G144" i="2"/>
  <c r="F144" i="2"/>
  <c r="E144" i="2"/>
  <c r="D144" i="2"/>
  <c r="M143" i="2"/>
  <c r="L143" i="2"/>
  <c r="K143" i="2"/>
  <c r="J143" i="2"/>
  <c r="I143" i="2"/>
  <c r="H143" i="2"/>
  <c r="C143" i="2" s="1"/>
  <c r="G143" i="2"/>
  <c r="F143" i="2"/>
  <c r="E143" i="2"/>
  <c r="D143" i="2"/>
  <c r="M142" i="2"/>
  <c r="L142" i="2"/>
  <c r="K142" i="2"/>
  <c r="J142" i="2"/>
  <c r="I142" i="2"/>
  <c r="H142" i="2"/>
  <c r="C142" i="2" s="1"/>
  <c r="G142" i="2"/>
  <c r="F142" i="2"/>
  <c r="E142" i="2"/>
  <c r="D142" i="2"/>
  <c r="M141" i="2"/>
  <c r="L141" i="2"/>
  <c r="K141" i="2"/>
  <c r="J141" i="2"/>
  <c r="I141" i="2"/>
  <c r="H141" i="2"/>
  <c r="C141" i="2" s="1"/>
  <c r="G141" i="2"/>
  <c r="F141" i="2"/>
  <c r="E141" i="2"/>
  <c r="D141" i="2"/>
  <c r="M140" i="2"/>
  <c r="L140" i="2"/>
  <c r="K140" i="2"/>
  <c r="J140" i="2"/>
  <c r="I140" i="2"/>
  <c r="H140" i="2"/>
  <c r="C140" i="2" s="1"/>
  <c r="G140" i="2"/>
  <c r="F140" i="2"/>
  <c r="E140" i="2"/>
  <c r="D140" i="2"/>
  <c r="M139" i="2"/>
  <c r="L139" i="2"/>
  <c r="K139" i="2"/>
  <c r="J139" i="2"/>
  <c r="I139" i="2"/>
  <c r="H139" i="2"/>
  <c r="C139" i="2" s="1"/>
  <c r="G139" i="2"/>
  <c r="F139" i="2"/>
  <c r="E139" i="2"/>
  <c r="D139" i="2"/>
  <c r="M138" i="2"/>
  <c r="L138" i="2"/>
  <c r="K138" i="2"/>
  <c r="J138" i="2"/>
  <c r="I138" i="2"/>
  <c r="H138" i="2"/>
  <c r="C138" i="2" s="1"/>
  <c r="G138" i="2"/>
  <c r="F138" i="2"/>
  <c r="E138" i="2"/>
  <c r="D138" i="2"/>
  <c r="M137" i="2"/>
  <c r="L137" i="2"/>
  <c r="K137" i="2"/>
  <c r="J137" i="2"/>
  <c r="I137" i="2"/>
  <c r="H137" i="2"/>
  <c r="C137" i="2" s="1"/>
  <c r="G137" i="2"/>
  <c r="F137" i="2"/>
  <c r="E137" i="2"/>
  <c r="D137" i="2"/>
  <c r="M136" i="2"/>
  <c r="L136" i="2"/>
  <c r="K136" i="2"/>
  <c r="J136" i="2"/>
  <c r="I136" i="2"/>
  <c r="H136" i="2"/>
  <c r="C136" i="2" s="1"/>
  <c r="G136" i="2"/>
  <c r="F136" i="2"/>
  <c r="E136" i="2"/>
  <c r="D136" i="2"/>
  <c r="M135" i="2"/>
  <c r="L135" i="2"/>
  <c r="K135" i="2"/>
  <c r="J135" i="2"/>
  <c r="I135" i="2"/>
  <c r="H135" i="2"/>
  <c r="C135" i="2" s="1"/>
  <c r="G135" i="2"/>
  <c r="F135" i="2"/>
  <c r="E135" i="2"/>
  <c r="D135" i="2"/>
  <c r="M134" i="2"/>
  <c r="L134" i="2"/>
  <c r="K134" i="2"/>
  <c r="J134" i="2"/>
  <c r="I134" i="2"/>
  <c r="H134" i="2"/>
  <c r="C134" i="2" s="1"/>
  <c r="G134" i="2"/>
  <c r="F134" i="2"/>
  <c r="E134" i="2"/>
  <c r="D134" i="2"/>
  <c r="M133" i="2"/>
  <c r="L133" i="2"/>
  <c r="K133" i="2"/>
  <c r="J133" i="2"/>
  <c r="I133" i="2"/>
  <c r="H133" i="2"/>
  <c r="C133" i="2" s="1"/>
  <c r="G133" i="2"/>
  <c r="F133" i="2"/>
  <c r="E133" i="2"/>
  <c r="D133" i="2"/>
  <c r="M132" i="2"/>
  <c r="L132" i="2"/>
  <c r="K132" i="2"/>
  <c r="J132" i="2"/>
  <c r="I132" i="2"/>
  <c r="H132" i="2"/>
  <c r="C132" i="2" s="1"/>
  <c r="G132" i="2"/>
  <c r="F132" i="2"/>
  <c r="E132" i="2"/>
  <c r="D132" i="2"/>
  <c r="M131" i="2"/>
  <c r="L131" i="2"/>
  <c r="K131" i="2"/>
  <c r="J131" i="2"/>
  <c r="I131" i="2"/>
  <c r="H131" i="2"/>
  <c r="C131" i="2" s="1"/>
  <c r="G131" i="2"/>
  <c r="F131" i="2"/>
  <c r="E131" i="2"/>
  <c r="D131" i="2"/>
  <c r="M130" i="2"/>
  <c r="L130" i="2"/>
  <c r="K130" i="2"/>
  <c r="J130" i="2"/>
  <c r="I130" i="2"/>
  <c r="H130" i="2"/>
  <c r="C130" i="2" s="1"/>
  <c r="G130" i="2"/>
  <c r="F130" i="2"/>
  <c r="E130" i="2"/>
  <c r="D130" i="2"/>
  <c r="M129" i="2"/>
  <c r="L129" i="2"/>
  <c r="K129" i="2"/>
  <c r="J129" i="2"/>
  <c r="I129" i="2"/>
  <c r="H129" i="2"/>
  <c r="C129" i="2" s="1"/>
  <c r="G129" i="2"/>
  <c r="F129" i="2"/>
  <c r="E129" i="2"/>
  <c r="D129" i="2"/>
  <c r="M128" i="2"/>
  <c r="L128" i="2"/>
  <c r="K128" i="2"/>
  <c r="J128" i="2"/>
  <c r="I128" i="2"/>
  <c r="H128" i="2"/>
  <c r="C128" i="2" s="1"/>
  <c r="G128" i="2"/>
  <c r="F128" i="2"/>
  <c r="E128" i="2"/>
  <c r="D128" i="2"/>
  <c r="M127" i="2"/>
  <c r="L127" i="2"/>
  <c r="K127" i="2"/>
  <c r="J127" i="2"/>
  <c r="I127" i="2"/>
  <c r="H127" i="2"/>
  <c r="C127" i="2" s="1"/>
  <c r="G127" i="2"/>
  <c r="F127" i="2"/>
  <c r="E127" i="2"/>
  <c r="D127" i="2"/>
  <c r="M126" i="2"/>
  <c r="L126" i="2"/>
  <c r="K126" i="2"/>
  <c r="J126" i="2"/>
  <c r="I126" i="2"/>
  <c r="H126" i="2"/>
  <c r="G126" i="2"/>
  <c r="F126" i="2"/>
  <c r="E126" i="2"/>
  <c r="D126" i="2"/>
  <c r="M125" i="2"/>
  <c r="L125" i="2"/>
  <c r="K125" i="2"/>
  <c r="J125" i="2"/>
  <c r="I125" i="2"/>
  <c r="H125" i="2"/>
  <c r="C125" i="2" s="1"/>
  <c r="G125" i="2"/>
  <c r="F125" i="2"/>
  <c r="E125" i="2"/>
  <c r="D125" i="2"/>
  <c r="M124" i="2"/>
  <c r="L124" i="2"/>
  <c r="K124" i="2"/>
  <c r="J124" i="2"/>
  <c r="I124" i="2"/>
  <c r="H124" i="2"/>
  <c r="C124" i="2" s="1"/>
  <c r="G124" i="2"/>
  <c r="F124" i="2"/>
  <c r="E124" i="2"/>
  <c r="D124" i="2"/>
  <c r="M123" i="2"/>
  <c r="L123" i="2"/>
  <c r="K123" i="2"/>
  <c r="J123" i="2"/>
  <c r="I123" i="2"/>
  <c r="H123" i="2"/>
  <c r="C123" i="2" s="1"/>
  <c r="G123" i="2"/>
  <c r="F123" i="2"/>
  <c r="E123" i="2"/>
  <c r="D123" i="2"/>
  <c r="M122" i="2"/>
  <c r="L122" i="2"/>
  <c r="K122" i="2"/>
  <c r="J122" i="2"/>
  <c r="I122" i="2"/>
  <c r="H122" i="2"/>
  <c r="C122" i="2" s="1"/>
  <c r="G122" i="2"/>
  <c r="F122" i="2"/>
  <c r="E122" i="2"/>
  <c r="D122" i="2"/>
  <c r="M121" i="2"/>
  <c r="L121" i="2"/>
  <c r="K121" i="2"/>
  <c r="J121" i="2"/>
  <c r="I121" i="2"/>
  <c r="H121" i="2"/>
  <c r="C121" i="2" s="1"/>
  <c r="G121" i="2"/>
  <c r="F121" i="2"/>
  <c r="E121" i="2"/>
  <c r="D121" i="2"/>
  <c r="M120" i="2"/>
  <c r="L120" i="2"/>
  <c r="K120" i="2"/>
  <c r="J120" i="2"/>
  <c r="I120" i="2"/>
  <c r="H120" i="2"/>
  <c r="C120" i="2" s="1"/>
  <c r="G120" i="2"/>
  <c r="F120" i="2"/>
  <c r="E120" i="2"/>
  <c r="D120" i="2"/>
  <c r="M119" i="2"/>
  <c r="L119" i="2"/>
  <c r="K119" i="2"/>
  <c r="J119" i="2"/>
  <c r="I119" i="2"/>
  <c r="H119" i="2"/>
  <c r="C119" i="2" s="1"/>
  <c r="G119" i="2"/>
  <c r="F119" i="2"/>
  <c r="E119" i="2"/>
  <c r="D119" i="2"/>
  <c r="M118" i="2"/>
  <c r="L118" i="2"/>
  <c r="K118" i="2"/>
  <c r="J118" i="2"/>
  <c r="I118" i="2"/>
  <c r="H118" i="2"/>
  <c r="C118" i="2" s="1"/>
  <c r="G118" i="2"/>
  <c r="F118" i="2"/>
  <c r="E118" i="2"/>
  <c r="D118" i="2"/>
  <c r="M117" i="2"/>
  <c r="L117" i="2"/>
  <c r="K117" i="2"/>
  <c r="J117" i="2"/>
  <c r="I117" i="2"/>
  <c r="H117" i="2"/>
  <c r="C117" i="2" s="1"/>
  <c r="G117" i="2"/>
  <c r="F117" i="2"/>
  <c r="E117" i="2"/>
  <c r="D117" i="2"/>
  <c r="M116" i="2"/>
  <c r="L116" i="2"/>
  <c r="K116" i="2"/>
  <c r="J116" i="2"/>
  <c r="I116" i="2"/>
  <c r="H116" i="2"/>
  <c r="C116" i="2" s="1"/>
  <c r="G116" i="2"/>
  <c r="F116" i="2"/>
  <c r="E116" i="2"/>
  <c r="D116" i="2"/>
  <c r="M115" i="2"/>
  <c r="L115" i="2"/>
  <c r="K115" i="2"/>
  <c r="J115" i="2"/>
  <c r="I115" i="2"/>
  <c r="H115" i="2"/>
  <c r="C115" i="2" s="1"/>
  <c r="G115" i="2"/>
  <c r="F115" i="2"/>
  <c r="E115" i="2"/>
  <c r="D115" i="2"/>
  <c r="M114" i="2"/>
  <c r="L114" i="2"/>
  <c r="K114" i="2"/>
  <c r="J114" i="2"/>
  <c r="I114" i="2"/>
  <c r="H114" i="2"/>
  <c r="C114" i="2" s="1"/>
  <c r="G114" i="2"/>
  <c r="F114" i="2"/>
  <c r="E114" i="2"/>
  <c r="D114" i="2"/>
  <c r="M113" i="2"/>
  <c r="L113" i="2"/>
  <c r="K113" i="2"/>
  <c r="J113" i="2"/>
  <c r="I113" i="2"/>
  <c r="H113" i="2"/>
  <c r="C113" i="2" s="1"/>
  <c r="G113" i="2"/>
  <c r="F113" i="2"/>
  <c r="E113" i="2"/>
  <c r="D113" i="2"/>
  <c r="M112" i="2"/>
  <c r="L112" i="2"/>
  <c r="K112" i="2"/>
  <c r="J112" i="2"/>
  <c r="I112" i="2"/>
  <c r="H112" i="2"/>
  <c r="C112" i="2" s="1"/>
  <c r="G112" i="2"/>
  <c r="F112" i="2"/>
  <c r="E112" i="2"/>
  <c r="D112" i="2"/>
  <c r="M111" i="2"/>
  <c r="L111" i="2"/>
  <c r="K111" i="2"/>
  <c r="J111" i="2"/>
  <c r="I111" i="2"/>
  <c r="H111" i="2"/>
  <c r="C111" i="2" s="1"/>
  <c r="G111" i="2"/>
  <c r="F111" i="2"/>
  <c r="E111" i="2"/>
  <c r="D111" i="2"/>
  <c r="M110" i="2"/>
  <c r="L110" i="2"/>
  <c r="K110" i="2"/>
  <c r="J110" i="2"/>
  <c r="I110" i="2"/>
  <c r="H110" i="2"/>
  <c r="C110" i="2" s="1"/>
  <c r="G110" i="2"/>
  <c r="F110" i="2"/>
  <c r="E110" i="2"/>
  <c r="D110" i="2"/>
  <c r="M109" i="2"/>
  <c r="L109" i="2"/>
  <c r="K109" i="2"/>
  <c r="J109" i="2"/>
  <c r="I109" i="2"/>
  <c r="H109" i="2"/>
  <c r="C109" i="2" s="1"/>
  <c r="G109" i="2"/>
  <c r="F109" i="2"/>
  <c r="E109" i="2"/>
  <c r="D109" i="2"/>
  <c r="M108" i="2"/>
  <c r="L108" i="2"/>
  <c r="K108" i="2"/>
  <c r="J108" i="2"/>
  <c r="I108" i="2"/>
  <c r="H108" i="2"/>
  <c r="C108" i="2" s="1"/>
  <c r="G108" i="2"/>
  <c r="F108" i="2"/>
  <c r="E108" i="2"/>
  <c r="D108" i="2"/>
  <c r="M107" i="2"/>
  <c r="L107" i="2"/>
  <c r="K107" i="2"/>
  <c r="J107" i="2"/>
  <c r="I107" i="2"/>
  <c r="H107" i="2"/>
  <c r="C107" i="2" s="1"/>
  <c r="G107" i="2"/>
  <c r="F107" i="2"/>
  <c r="E107" i="2"/>
  <c r="D107" i="2"/>
  <c r="M106" i="2"/>
  <c r="L106" i="2"/>
  <c r="K106" i="2"/>
  <c r="J106" i="2"/>
  <c r="I106" i="2"/>
  <c r="H106" i="2"/>
  <c r="C106" i="2" s="1"/>
  <c r="G106" i="2"/>
  <c r="F106" i="2"/>
  <c r="E106" i="2"/>
  <c r="D106" i="2"/>
  <c r="M105" i="2"/>
  <c r="L105" i="2"/>
  <c r="K105" i="2"/>
  <c r="J105" i="2"/>
  <c r="I105" i="2"/>
  <c r="H105" i="2"/>
  <c r="C105" i="2" s="1"/>
  <c r="G105" i="2"/>
  <c r="F105" i="2"/>
  <c r="E105" i="2"/>
  <c r="D105" i="2"/>
  <c r="M104" i="2"/>
  <c r="L104" i="2"/>
  <c r="K104" i="2"/>
  <c r="J104" i="2"/>
  <c r="I104" i="2"/>
  <c r="H104" i="2"/>
  <c r="C104" i="2" s="1"/>
  <c r="G104" i="2"/>
  <c r="F104" i="2"/>
  <c r="E104" i="2"/>
  <c r="D104" i="2"/>
  <c r="M103" i="2"/>
  <c r="L103" i="2"/>
  <c r="K103" i="2"/>
  <c r="J103" i="2"/>
  <c r="I103" i="2"/>
  <c r="H103" i="2"/>
  <c r="C103" i="2" s="1"/>
  <c r="G103" i="2"/>
  <c r="F103" i="2"/>
  <c r="E103" i="2"/>
  <c r="D103" i="2"/>
  <c r="M102" i="2"/>
  <c r="L102" i="2"/>
  <c r="K102" i="2"/>
  <c r="J102" i="2"/>
  <c r="I102" i="2"/>
  <c r="H102" i="2"/>
  <c r="C102" i="2" s="1"/>
  <c r="G102" i="2"/>
  <c r="F102" i="2"/>
  <c r="E102" i="2"/>
  <c r="D102" i="2"/>
  <c r="M101" i="2"/>
  <c r="L101" i="2"/>
  <c r="K101" i="2"/>
  <c r="J101" i="2"/>
  <c r="I101" i="2"/>
  <c r="H101" i="2"/>
  <c r="C101" i="2" s="1"/>
  <c r="G101" i="2"/>
  <c r="F101" i="2"/>
  <c r="E101" i="2"/>
  <c r="D101" i="2"/>
  <c r="M100" i="2"/>
  <c r="L100" i="2"/>
  <c r="K100" i="2"/>
  <c r="J100" i="2"/>
  <c r="I100" i="2"/>
  <c r="H100" i="2"/>
  <c r="C100" i="2" s="1"/>
  <c r="G100" i="2"/>
  <c r="F100" i="2"/>
  <c r="E100" i="2"/>
  <c r="D100" i="2"/>
  <c r="M99" i="2"/>
  <c r="L99" i="2"/>
  <c r="K99" i="2"/>
  <c r="J99" i="2"/>
  <c r="I99" i="2"/>
  <c r="H99" i="2"/>
  <c r="C99" i="2" s="1"/>
  <c r="G99" i="2"/>
  <c r="F99" i="2"/>
  <c r="E99" i="2"/>
  <c r="D99" i="2"/>
  <c r="M98" i="2"/>
  <c r="L98" i="2"/>
  <c r="K98" i="2"/>
  <c r="J98" i="2"/>
  <c r="I98" i="2"/>
  <c r="H98" i="2"/>
  <c r="C98" i="2" s="1"/>
  <c r="G98" i="2"/>
  <c r="F98" i="2"/>
  <c r="E98" i="2"/>
  <c r="D98" i="2"/>
  <c r="M97" i="2"/>
  <c r="L97" i="2"/>
  <c r="K97" i="2"/>
  <c r="J97" i="2"/>
  <c r="I97" i="2"/>
  <c r="H97" i="2"/>
  <c r="C97" i="2" s="1"/>
  <c r="G97" i="2"/>
  <c r="F97" i="2"/>
  <c r="E97" i="2"/>
  <c r="D97" i="2"/>
  <c r="M96" i="2"/>
  <c r="L96" i="2"/>
  <c r="K96" i="2"/>
  <c r="J96" i="2"/>
  <c r="I96" i="2"/>
  <c r="H96" i="2"/>
  <c r="G96" i="2"/>
  <c r="F96" i="2"/>
  <c r="E96" i="2"/>
  <c r="D96" i="2"/>
  <c r="M95" i="2"/>
  <c r="L95" i="2"/>
  <c r="K95" i="2"/>
  <c r="J95" i="2"/>
  <c r="I95" i="2"/>
  <c r="H95" i="2"/>
  <c r="C95" i="2" s="1"/>
  <c r="G95" i="2"/>
  <c r="F95" i="2"/>
  <c r="E95" i="2"/>
  <c r="D95" i="2"/>
  <c r="M94" i="2"/>
  <c r="L94" i="2"/>
  <c r="K94" i="2"/>
  <c r="J94" i="2"/>
  <c r="I94" i="2"/>
  <c r="H94" i="2"/>
  <c r="C94" i="2" s="1"/>
  <c r="G94" i="2"/>
  <c r="F94" i="2"/>
  <c r="E94" i="2"/>
  <c r="D94" i="2"/>
  <c r="M93" i="2"/>
  <c r="L93" i="2"/>
  <c r="K93" i="2"/>
  <c r="J93" i="2"/>
  <c r="I93" i="2"/>
  <c r="H93" i="2"/>
  <c r="C93" i="2" s="1"/>
  <c r="G93" i="2"/>
  <c r="F93" i="2"/>
  <c r="E93" i="2"/>
  <c r="D93" i="2"/>
  <c r="M92" i="2"/>
  <c r="L92" i="2"/>
  <c r="K92" i="2"/>
  <c r="J92" i="2"/>
  <c r="I92" i="2"/>
  <c r="H92" i="2"/>
  <c r="C92" i="2" s="1"/>
  <c r="G92" i="2"/>
  <c r="F92" i="2"/>
  <c r="E92" i="2"/>
  <c r="D92" i="2"/>
  <c r="M91" i="2"/>
  <c r="L91" i="2"/>
  <c r="K91" i="2"/>
  <c r="J91" i="2"/>
  <c r="I91" i="2"/>
  <c r="H91" i="2"/>
  <c r="C91" i="2" s="1"/>
  <c r="G91" i="2"/>
  <c r="F91" i="2"/>
  <c r="E91" i="2"/>
  <c r="D91" i="2"/>
  <c r="M90" i="2"/>
  <c r="L90" i="2"/>
  <c r="K90" i="2"/>
  <c r="J90" i="2"/>
  <c r="I90" i="2"/>
  <c r="H90" i="2"/>
  <c r="C90" i="2" s="1"/>
  <c r="G90" i="2"/>
  <c r="F90" i="2"/>
  <c r="E90" i="2"/>
  <c r="D90" i="2"/>
  <c r="M89" i="2"/>
  <c r="L89" i="2"/>
  <c r="K89" i="2"/>
  <c r="J89" i="2"/>
  <c r="I89" i="2"/>
  <c r="H89" i="2"/>
  <c r="C89" i="2" s="1"/>
  <c r="G89" i="2"/>
  <c r="F89" i="2"/>
  <c r="E89" i="2"/>
  <c r="D89" i="2"/>
  <c r="M88" i="2"/>
  <c r="L88" i="2"/>
  <c r="K88" i="2"/>
  <c r="J88" i="2"/>
  <c r="I88" i="2"/>
  <c r="H88" i="2"/>
  <c r="C88" i="2" s="1"/>
  <c r="G88" i="2"/>
  <c r="F88" i="2"/>
  <c r="E88" i="2"/>
  <c r="D88" i="2"/>
  <c r="M87" i="2"/>
  <c r="L87" i="2"/>
  <c r="K87" i="2"/>
  <c r="J87" i="2"/>
  <c r="I87" i="2"/>
  <c r="H87" i="2"/>
  <c r="C87" i="2" s="1"/>
  <c r="G87" i="2"/>
  <c r="F87" i="2"/>
  <c r="E87" i="2"/>
  <c r="D87" i="2"/>
  <c r="M86" i="2"/>
  <c r="L86" i="2"/>
  <c r="K86" i="2"/>
  <c r="J86" i="2"/>
  <c r="I86" i="2"/>
  <c r="H86" i="2"/>
  <c r="C86" i="2" s="1"/>
  <c r="G86" i="2"/>
  <c r="F86" i="2"/>
  <c r="E86" i="2"/>
  <c r="D86" i="2"/>
  <c r="M85" i="2"/>
  <c r="L85" i="2"/>
  <c r="K85" i="2"/>
  <c r="J85" i="2"/>
  <c r="I85" i="2"/>
  <c r="H85" i="2"/>
  <c r="C85" i="2" s="1"/>
  <c r="G85" i="2"/>
  <c r="F85" i="2"/>
  <c r="E85" i="2"/>
  <c r="D85" i="2"/>
  <c r="M84" i="2"/>
  <c r="L84" i="2"/>
  <c r="K84" i="2"/>
  <c r="J84" i="2"/>
  <c r="I84" i="2"/>
  <c r="H84" i="2"/>
  <c r="C84" i="2" s="1"/>
  <c r="G84" i="2"/>
  <c r="F84" i="2"/>
  <c r="E84" i="2"/>
  <c r="D84" i="2"/>
  <c r="M83" i="2"/>
  <c r="L83" i="2"/>
  <c r="K83" i="2"/>
  <c r="J83" i="2"/>
  <c r="I83" i="2"/>
  <c r="H83" i="2"/>
  <c r="C83" i="2" s="1"/>
  <c r="G83" i="2"/>
  <c r="F83" i="2"/>
  <c r="E83" i="2"/>
  <c r="D83" i="2"/>
  <c r="M82" i="2"/>
  <c r="L82" i="2"/>
  <c r="K82" i="2"/>
  <c r="J82" i="2"/>
  <c r="I82" i="2"/>
  <c r="H82" i="2"/>
  <c r="C82" i="2" s="1"/>
  <c r="G82" i="2"/>
  <c r="F82" i="2"/>
  <c r="E82" i="2"/>
  <c r="D82" i="2"/>
  <c r="M81" i="2"/>
  <c r="L81" i="2"/>
  <c r="K81" i="2"/>
  <c r="J81" i="2"/>
  <c r="I81" i="2"/>
  <c r="H81" i="2"/>
  <c r="C81" i="2" s="1"/>
  <c r="G81" i="2"/>
  <c r="F81" i="2"/>
  <c r="E81" i="2"/>
  <c r="D81" i="2"/>
  <c r="M80" i="2"/>
  <c r="L80" i="2"/>
  <c r="K80" i="2"/>
  <c r="J80" i="2"/>
  <c r="I80" i="2"/>
  <c r="H80" i="2"/>
  <c r="C80" i="2" s="1"/>
  <c r="G80" i="2"/>
  <c r="F80" i="2"/>
  <c r="E80" i="2"/>
  <c r="D80" i="2"/>
  <c r="M79" i="2"/>
  <c r="L79" i="2"/>
  <c r="K79" i="2"/>
  <c r="J79" i="2"/>
  <c r="I79" i="2"/>
  <c r="H79" i="2"/>
  <c r="C79" i="2" s="1"/>
  <c r="G79" i="2"/>
  <c r="F79" i="2"/>
  <c r="E79" i="2"/>
  <c r="D79" i="2"/>
  <c r="M78" i="2"/>
  <c r="L78" i="2"/>
  <c r="K78" i="2"/>
  <c r="J78" i="2"/>
  <c r="I78" i="2"/>
  <c r="H78" i="2"/>
  <c r="C78" i="2" s="1"/>
  <c r="G78" i="2"/>
  <c r="F78" i="2"/>
  <c r="E78" i="2"/>
  <c r="D78" i="2"/>
  <c r="M77" i="2"/>
  <c r="L77" i="2"/>
  <c r="K77" i="2"/>
  <c r="J77" i="2"/>
  <c r="I77" i="2"/>
  <c r="H77" i="2"/>
  <c r="C77" i="2" s="1"/>
  <c r="G77" i="2"/>
  <c r="F77" i="2"/>
  <c r="E77" i="2"/>
  <c r="D77" i="2"/>
  <c r="M76" i="2"/>
  <c r="L76" i="2"/>
  <c r="K76" i="2"/>
  <c r="J76" i="2"/>
  <c r="I76" i="2"/>
  <c r="H76" i="2"/>
  <c r="C76" i="2" s="1"/>
  <c r="G76" i="2"/>
  <c r="F76" i="2"/>
  <c r="E76" i="2"/>
  <c r="D76" i="2"/>
  <c r="M75" i="2"/>
  <c r="L75" i="2"/>
  <c r="K75" i="2"/>
  <c r="J75" i="2"/>
  <c r="I75" i="2"/>
  <c r="H75" i="2"/>
  <c r="C75" i="2" s="1"/>
  <c r="G75" i="2"/>
  <c r="F75" i="2"/>
  <c r="E75" i="2"/>
  <c r="D75" i="2"/>
  <c r="M74" i="2"/>
  <c r="L74" i="2"/>
  <c r="K74" i="2"/>
  <c r="J74" i="2"/>
  <c r="I74" i="2"/>
  <c r="H74" i="2"/>
  <c r="C74" i="2" s="1"/>
  <c r="G74" i="2"/>
  <c r="F74" i="2"/>
  <c r="E74" i="2"/>
  <c r="D74" i="2"/>
  <c r="M73" i="2"/>
  <c r="L73" i="2"/>
  <c r="K73" i="2"/>
  <c r="J73" i="2"/>
  <c r="I73" i="2"/>
  <c r="H73" i="2"/>
  <c r="C73" i="2" s="1"/>
  <c r="G73" i="2"/>
  <c r="F73" i="2"/>
  <c r="E73" i="2"/>
  <c r="D73" i="2"/>
  <c r="M72" i="2"/>
  <c r="L72" i="2"/>
  <c r="K72" i="2"/>
  <c r="J72" i="2"/>
  <c r="I72" i="2"/>
  <c r="H72" i="2"/>
  <c r="C72" i="2" s="1"/>
  <c r="G72" i="2"/>
  <c r="F72" i="2"/>
  <c r="E72" i="2"/>
  <c r="D72" i="2"/>
  <c r="M71" i="2"/>
  <c r="L71" i="2"/>
  <c r="K71" i="2"/>
  <c r="J71" i="2"/>
  <c r="I71" i="2"/>
  <c r="H71" i="2"/>
  <c r="C71" i="2" s="1"/>
  <c r="G71" i="2"/>
  <c r="F71" i="2"/>
  <c r="E71" i="2"/>
  <c r="D71" i="2"/>
  <c r="M70" i="2"/>
  <c r="L70" i="2"/>
  <c r="K70" i="2"/>
  <c r="J70" i="2"/>
  <c r="I70" i="2"/>
  <c r="H70" i="2"/>
  <c r="C70" i="2" s="1"/>
  <c r="G70" i="2"/>
  <c r="F70" i="2"/>
  <c r="E70" i="2"/>
  <c r="D70" i="2"/>
  <c r="M69" i="2"/>
  <c r="L69" i="2"/>
  <c r="K69" i="2"/>
  <c r="J69" i="2"/>
  <c r="I69" i="2"/>
  <c r="H69" i="2"/>
  <c r="C69" i="2" s="1"/>
  <c r="G69" i="2"/>
  <c r="F69" i="2"/>
  <c r="E69" i="2"/>
  <c r="D69" i="2"/>
  <c r="M68" i="2"/>
  <c r="L68" i="2"/>
  <c r="K68" i="2"/>
  <c r="J68" i="2"/>
  <c r="I68" i="2"/>
  <c r="H68" i="2"/>
  <c r="C68" i="2" s="1"/>
  <c r="G68" i="2"/>
  <c r="F68" i="2"/>
  <c r="E68" i="2"/>
  <c r="D68" i="2"/>
  <c r="M67" i="2"/>
  <c r="L67" i="2"/>
  <c r="K67" i="2"/>
  <c r="J67" i="2"/>
  <c r="I67" i="2"/>
  <c r="H67" i="2"/>
  <c r="C67" i="2" s="1"/>
  <c r="G67" i="2"/>
  <c r="F67" i="2"/>
  <c r="E67" i="2"/>
  <c r="D67" i="2"/>
  <c r="M66" i="2"/>
  <c r="L66" i="2"/>
  <c r="K66" i="2"/>
  <c r="J66" i="2"/>
  <c r="I66" i="2"/>
  <c r="H66" i="2"/>
  <c r="C66" i="2" s="1"/>
  <c r="G66" i="2"/>
  <c r="F66" i="2"/>
  <c r="E66" i="2"/>
  <c r="D66" i="2"/>
  <c r="M65" i="2"/>
  <c r="L65" i="2"/>
  <c r="K65" i="2"/>
  <c r="J65" i="2"/>
  <c r="I65" i="2"/>
  <c r="H65" i="2"/>
  <c r="G65" i="2"/>
  <c r="F65" i="2"/>
  <c r="E65" i="2"/>
  <c r="D65" i="2"/>
  <c r="M64" i="2"/>
  <c r="L64" i="2"/>
  <c r="K64" i="2"/>
  <c r="J64" i="2"/>
  <c r="I64" i="2"/>
  <c r="H64" i="2"/>
  <c r="C64" i="2" s="1"/>
  <c r="G64" i="2"/>
  <c r="F64" i="2"/>
  <c r="E64" i="2"/>
  <c r="D64" i="2"/>
  <c r="M63" i="2"/>
  <c r="L63" i="2"/>
  <c r="K63" i="2"/>
  <c r="J63" i="2"/>
  <c r="I63" i="2"/>
  <c r="H63" i="2"/>
  <c r="C63" i="2" s="1"/>
  <c r="G63" i="2"/>
  <c r="F63" i="2"/>
  <c r="E63" i="2"/>
  <c r="D63" i="2"/>
  <c r="M62" i="2"/>
  <c r="L62" i="2"/>
  <c r="K62" i="2"/>
  <c r="J62" i="2"/>
  <c r="I62" i="2"/>
  <c r="H62" i="2"/>
  <c r="C62" i="2" s="1"/>
  <c r="G62" i="2"/>
  <c r="F62" i="2"/>
  <c r="E62" i="2"/>
  <c r="D62" i="2"/>
  <c r="M61" i="2"/>
  <c r="L61" i="2"/>
  <c r="K61" i="2"/>
  <c r="J61" i="2"/>
  <c r="I61" i="2"/>
  <c r="H61" i="2"/>
  <c r="C61" i="2" s="1"/>
  <c r="G61" i="2"/>
  <c r="F61" i="2"/>
  <c r="E61" i="2"/>
  <c r="D61" i="2"/>
  <c r="M60" i="2"/>
  <c r="L60" i="2"/>
  <c r="K60" i="2"/>
  <c r="J60" i="2"/>
  <c r="I60" i="2"/>
  <c r="H60" i="2"/>
  <c r="C60" i="2" s="1"/>
  <c r="G60" i="2"/>
  <c r="F60" i="2"/>
  <c r="E60" i="2"/>
  <c r="D60" i="2"/>
  <c r="M59" i="2"/>
  <c r="L59" i="2"/>
  <c r="K59" i="2"/>
  <c r="J59" i="2"/>
  <c r="I59" i="2"/>
  <c r="H59" i="2"/>
  <c r="C59" i="2" s="1"/>
  <c r="G59" i="2"/>
  <c r="F59" i="2"/>
  <c r="E59" i="2"/>
  <c r="D59" i="2"/>
  <c r="M58" i="2"/>
  <c r="L58" i="2"/>
  <c r="K58" i="2"/>
  <c r="J58" i="2"/>
  <c r="I58" i="2"/>
  <c r="H58" i="2"/>
  <c r="C58" i="2" s="1"/>
  <c r="G58" i="2"/>
  <c r="F58" i="2"/>
  <c r="E58" i="2"/>
  <c r="D58" i="2"/>
  <c r="M57" i="2"/>
  <c r="L57" i="2"/>
  <c r="K57" i="2"/>
  <c r="J57" i="2"/>
  <c r="I57" i="2"/>
  <c r="H57" i="2"/>
  <c r="C57" i="2" s="1"/>
  <c r="G57" i="2"/>
  <c r="F57" i="2"/>
  <c r="E57" i="2"/>
  <c r="D57" i="2"/>
  <c r="M56" i="2"/>
  <c r="L56" i="2"/>
  <c r="K56" i="2"/>
  <c r="J56" i="2"/>
  <c r="I56" i="2"/>
  <c r="H56" i="2"/>
  <c r="C56" i="2" s="1"/>
  <c r="G56" i="2"/>
  <c r="F56" i="2"/>
  <c r="E56" i="2"/>
  <c r="D56" i="2"/>
  <c r="M55" i="2"/>
  <c r="L55" i="2"/>
  <c r="K55" i="2"/>
  <c r="J55" i="2"/>
  <c r="I55" i="2"/>
  <c r="H55" i="2"/>
  <c r="C55" i="2" s="1"/>
  <c r="G55" i="2"/>
  <c r="F55" i="2"/>
  <c r="E55" i="2"/>
  <c r="D55" i="2"/>
  <c r="M54" i="2"/>
  <c r="L54" i="2"/>
  <c r="K54" i="2"/>
  <c r="J54" i="2"/>
  <c r="I54" i="2"/>
  <c r="H54" i="2"/>
  <c r="C54" i="2" s="1"/>
  <c r="G54" i="2"/>
  <c r="F54" i="2"/>
  <c r="E54" i="2"/>
  <c r="D54" i="2"/>
  <c r="M53" i="2"/>
  <c r="L53" i="2"/>
  <c r="K53" i="2"/>
  <c r="J53" i="2"/>
  <c r="I53" i="2"/>
  <c r="H53" i="2"/>
  <c r="C53" i="2" s="1"/>
  <c r="G53" i="2"/>
  <c r="F53" i="2"/>
  <c r="E53" i="2"/>
  <c r="D53" i="2"/>
  <c r="M52" i="2"/>
  <c r="L52" i="2"/>
  <c r="K52" i="2"/>
  <c r="J52" i="2"/>
  <c r="I52" i="2"/>
  <c r="H52" i="2"/>
  <c r="C52" i="2" s="1"/>
  <c r="G52" i="2"/>
  <c r="F52" i="2"/>
  <c r="E52" i="2"/>
  <c r="D52" i="2"/>
  <c r="M51" i="2"/>
  <c r="L51" i="2"/>
  <c r="K51" i="2"/>
  <c r="J51" i="2"/>
  <c r="I51" i="2"/>
  <c r="H51" i="2"/>
  <c r="C51" i="2" s="1"/>
  <c r="G51" i="2"/>
  <c r="F51" i="2"/>
  <c r="E51" i="2"/>
  <c r="D51" i="2"/>
  <c r="M50" i="2"/>
  <c r="L50" i="2"/>
  <c r="K50" i="2"/>
  <c r="J50" i="2"/>
  <c r="I50" i="2"/>
  <c r="H50" i="2"/>
  <c r="C50" i="2" s="1"/>
  <c r="G50" i="2"/>
  <c r="F50" i="2"/>
  <c r="E50" i="2"/>
  <c r="D50" i="2"/>
  <c r="M49" i="2"/>
  <c r="L49" i="2"/>
  <c r="K49" i="2"/>
  <c r="J49" i="2"/>
  <c r="I49" i="2"/>
  <c r="H49" i="2"/>
  <c r="C49" i="2" s="1"/>
  <c r="G49" i="2"/>
  <c r="F49" i="2"/>
  <c r="E49" i="2"/>
  <c r="D49" i="2"/>
  <c r="M48" i="2"/>
  <c r="L48" i="2"/>
  <c r="K48" i="2"/>
  <c r="J48" i="2"/>
  <c r="I48" i="2"/>
  <c r="H48" i="2"/>
  <c r="C48" i="2" s="1"/>
  <c r="G48" i="2"/>
  <c r="F48" i="2"/>
  <c r="E48" i="2"/>
  <c r="D48" i="2"/>
  <c r="M47" i="2"/>
  <c r="L47" i="2"/>
  <c r="K47" i="2"/>
  <c r="J47" i="2"/>
  <c r="I47" i="2"/>
  <c r="H47" i="2"/>
  <c r="C47" i="2" s="1"/>
  <c r="G47" i="2"/>
  <c r="F47" i="2"/>
  <c r="E47" i="2"/>
  <c r="D47" i="2"/>
  <c r="M46" i="2"/>
  <c r="L46" i="2"/>
  <c r="K46" i="2"/>
  <c r="J46" i="2"/>
  <c r="I46" i="2"/>
  <c r="H46" i="2"/>
  <c r="C46" i="2" s="1"/>
  <c r="G46" i="2"/>
  <c r="F46" i="2"/>
  <c r="E46" i="2"/>
  <c r="D46" i="2"/>
  <c r="M45" i="2"/>
  <c r="L45" i="2"/>
  <c r="K45" i="2"/>
  <c r="J45" i="2"/>
  <c r="I45" i="2"/>
  <c r="H45" i="2"/>
  <c r="C45" i="2" s="1"/>
  <c r="G45" i="2"/>
  <c r="F45" i="2"/>
  <c r="E45" i="2"/>
  <c r="D45" i="2"/>
  <c r="M44" i="2"/>
  <c r="L44" i="2"/>
  <c r="K44" i="2"/>
  <c r="J44" i="2"/>
  <c r="I44" i="2"/>
  <c r="H44" i="2"/>
  <c r="C44" i="2" s="1"/>
  <c r="G44" i="2"/>
  <c r="F44" i="2"/>
  <c r="E44" i="2"/>
  <c r="D44" i="2"/>
  <c r="M43" i="2"/>
  <c r="L43" i="2"/>
  <c r="K43" i="2"/>
  <c r="J43" i="2"/>
  <c r="I43" i="2"/>
  <c r="H43" i="2"/>
  <c r="C43" i="2" s="1"/>
  <c r="G43" i="2"/>
  <c r="F43" i="2"/>
  <c r="E43" i="2"/>
  <c r="D43" i="2"/>
  <c r="M42" i="2"/>
  <c r="L42" i="2"/>
  <c r="K42" i="2"/>
  <c r="J42" i="2"/>
  <c r="I42" i="2"/>
  <c r="H42" i="2"/>
  <c r="C42" i="2" s="1"/>
  <c r="G42" i="2"/>
  <c r="F42" i="2"/>
  <c r="E42" i="2"/>
  <c r="D42" i="2"/>
  <c r="M41" i="2"/>
  <c r="L41" i="2"/>
  <c r="K41" i="2"/>
  <c r="J41" i="2"/>
  <c r="I41" i="2"/>
  <c r="H41" i="2"/>
  <c r="C41" i="2" s="1"/>
  <c r="G41" i="2"/>
  <c r="F41" i="2"/>
  <c r="E41" i="2"/>
  <c r="D41" i="2"/>
  <c r="M40" i="2"/>
  <c r="L40" i="2"/>
  <c r="K40" i="2"/>
  <c r="J40" i="2"/>
  <c r="I40" i="2"/>
  <c r="H40" i="2"/>
  <c r="C40" i="2" s="1"/>
  <c r="G40" i="2"/>
  <c r="F40" i="2"/>
  <c r="E40" i="2"/>
  <c r="D40" i="2"/>
  <c r="M39" i="2"/>
  <c r="L39" i="2"/>
  <c r="K39" i="2"/>
  <c r="J39" i="2"/>
  <c r="I39" i="2"/>
  <c r="H39" i="2"/>
  <c r="C39" i="2" s="1"/>
  <c r="G39" i="2"/>
  <c r="F39" i="2"/>
  <c r="E39" i="2"/>
  <c r="D39" i="2"/>
  <c r="M38" i="2"/>
  <c r="L38" i="2"/>
  <c r="K38" i="2"/>
  <c r="J38" i="2"/>
  <c r="I38" i="2"/>
  <c r="H38" i="2"/>
  <c r="C38" i="2" s="1"/>
  <c r="G38" i="2"/>
  <c r="F38" i="2"/>
  <c r="E38" i="2"/>
  <c r="D38" i="2"/>
  <c r="M37" i="2"/>
  <c r="L37" i="2"/>
  <c r="K37" i="2"/>
  <c r="J37" i="2"/>
  <c r="I37" i="2"/>
  <c r="H37" i="2"/>
  <c r="G37" i="2"/>
  <c r="F37" i="2"/>
  <c r="E37" i="2"/>
  <c r="D37" i="2"/>
  <c r="M36" i="2"/>
  <c r="L36" i="2"/>
  <c r="K36" i="2"/>
  <c r="J36" i="2"/>
  <c r="I36" i="2"/>
  <c r="H36" i="2"/>
  <c r="C36" i="2" s="1"/>
  <c r="G36" i="2"/>
  <c r="F36" i="2"/>
  <c r="E36" i="2"/>
  <c r="D36" i="2"/>
  <c r="M35" i="2"/>
  <c r="L35" i="2"/>
  <c r="K35" i="2"/>
  <c r="J35" i="2"/>
  <c r="I35" i="2"/>
  <c r="H35" i="2"/>
  <c r="C35" i="2" s="1"/>
  <c r="G35" i="2"/>
  <c r="F35" i="2"/>
  <c r="E35" i="2"/>
  <c r="D35" i="2"/>
  <c r="M34" i="2"/>
  <c r="L34" i="2"/>
  <c r="K34" i="2"/>
  <c r="J34" i="2"/>
  <c r="I34" i="2"/>
  <c r="H34" i="2"/>
  <c r="C34" i="2" s="1"/>
  <c r="G34" i="2"/>
  <c r="F34" i="2"/>
  <c r="E34" i="2"/>
  <c r="D34" i="2"/>
  <c r="M33" i="2"/>
  <c r="L33" i="2"/>
  <c r="K33" i="2"/>
  <c r="J33" i="2"/>
  <c r="I33" i="2"/>
  <c r="H33" i="2"/>
  <c r="C33" i="2" s="1"/>
  <c r="G33" i="2"/>
  <c r="F33" i="2"/>
  <c r="E33" i="2"/>
  <c r="D33" i="2"/>
  <c r="M32" i="2"/>
  <c r="L32" i="2"/>
  <c r="K32" i="2"/>
  <c r="J32" i="2"/>
  <c r="I32" i="2"/>
  <c r="H32" i="2"/>
  <c r="C32" i="2" s="1"/>
  <c r="G32" i="2"/>
  <c r="F32" i="2"/>
  <c r="E32" i="2"/>
  <c r="D32" i="2"/>
  <c r="M31" i="2"/>
  <c r="L31" i="2"/>
  <c r="K31" i="2"/>
  <c r="J31" i="2"/>
  <c r="I31" i="2"/>
  <c r="H31" i="2"/>
  <c r="C31" i="2" s="1"/>
  <c r="G31" i="2"/>
  <c r="F31" i="2"/>
  <c r="E31" i="2"/>
  <c r="D31" i="2"/>
  <c r="M30" i="2"/>
  <c r="L30" i="2"/>
  <c r="K30" i="2"/>
  <c r="J30" i="2"/>
  <c r="I30" i="2"/>
  <c r="H30" i="2"/>
  <c r="C30" i="2" s="1"/>
  <c r="G30" i="2"/>
  <c r="F30" i="2"/>
  <c r="E30" i="2"/>
  <c r="D30" i="2"/>
  <c r="M29" i="2"/>
  <c r="L29" i="2"/>
  <c r="K29" i="2"/>
  <c r="J29" i="2"/>
  <c r="I29" i="2"/>
  <c r="H29" i="2"/>
  <c r="C29" i="2" s="1"/>
  <c r="G29" i="2"/>
  <c r="F29" i="2"/>
  <c r="E29" i="2"/>
  <c r="D29" i="2"/>
  <c r="M28" i="2"/>
  <c r="L28" i="2"/>
  <c r="K28" i="2"/>
  <c r="J28" i="2"/>
  <c r="I28" i="2"/>
  <c r="H28" i="2"/>
  <c r="C28" i="2" s="1"/>
  <c r="G28" i="2"/>
  <c r="F28" i="2"/>
  <c r="E28" i="2"/>
  <c r="D28" i="2"/>
  <c r="M27" i="2"/>
  <c r="L27" i="2"/>
  <c r="K27" i="2"/>
  <c r="J27" i="2"/>
  <c r="I27" i="2"/>
  <c r="H27" i="2"/>
  <c r="C27" i="2" s="1"/>
  <c r="G27" i="2"/>
  <c r="F27" i="2"/>
  <c r="E27" i="2"/>
  <c r="D27" i="2"/>
  <c r="M26" i="2"/>
  <c r="L26" i="2"/>
  <c r="K26" i="2"/>
  <c r="J26" i="2"/>
  <c r="I26" i="2"/>
  <c r="H26" i="2"/>
  <c r="C26" i="2" s="1"/>
  <c r="G26" i="2"/>
  <c r="F26" i="2"/>
  <c r="E26" i="2"/>
  <c r="D26" i="2"/>
  <c r="M25" i="2"/>
  <c r="L25" i="2"/>
  <c r="K25" i="2"/>
  <c r="J25" i="2"/>
  <c r="I25" i="2"/>
  <c r="H25" i="2"/>
  <c r="C25" i="2" s="1"/>
  <c r="G25" i="2"/>
  <c r="F25" i="2"/>
  <c r="E25" i="2"/>
  <c r="D25" i="2"/>
  <c r="M24" i="2"/>
  <c r="L24" i="2"/>
  <c r="K24" i="2"/>
  <c r="J24" i="2"/>
  <c r="I24" i="2"/>
  <c r="H24" i="2"/>
  <c r="C24" i="2" s="1"/>
  <c r="G24" i="2"/>
  <c r="F24" i="2"/>
  <c r="E24" i="2"/>
  <c r="D24" i="2"/>
  <c r="M23" i="2"/>
  <c r="L23" i="2"/>
  <c r="K23" i="2"/>
  <c r="J23" i="2"/>
  <c r="I23" i="2"/>
  <c r="H23" i="2"/>
  <c r="C23" i="2" s="1"/>
  <c r="G23" i="2"/>
  <c r="F23" i="2"/>
  <c r="E23" i="2"/>
  <c r="D23" i="2"/>
  <c r="M22" i="2"/>
  <c r="L22" i="2"/>
  <c r="K22" i="2"/>
  <c r="J22" i="2"/>
  <c r="I22" i="2"/>
  <c r="H22" i="2"/>
  <c r="C22" i="2" s="1"/>
  <c r="G22" i="2"/>
  <c r="F22" i="2"/>
  <c r="E22" i="2"/>
  <c r="D22" i="2"/>
  <c r="M21" i="2"/>
  <c r="L21" i="2"/>
  <c r="K21" i="2"/>
  <c r="J21" i="2"/>
  <c r="I21" i="2"/>
  <c r="H21" i="2"/>
  <c r="C21" i="2" s="1"/>
  <c r="G21" i="2"/>
  <c r="F21" i="2"/>
  <c r="E21" i="2"/>
  <c r="D21" i="2"/>
  <c r="M20" i="2"/>
  <c r="L20" i="2"/>
  <c r="K20" i="2"/>
  <c r="J20" i="2"/>
  <c r="I20" i="2"/>
  <c r="H20" i="2"/>
  <c r="C20" i="2" s="1"/>
  <c r="G20" i="2"/>
  <c r="F20" i="2"/>
  <c r="E20" i="2"/>
  <c r="D20" i="2"/>
  <c r="M19" i="2"/>
  <c r="L19" i="2"/>
  <c r="K19" i="2"/>
  <c r="J19" i="2"/>
  <c r="I19" i="2"/>
  <c r="H19" i="2"/>
  <c r="C19" i="2" s="1"/>
  <c r="G19" i="2"/>
  <c r="F19" i="2"/>
  <c r="E19" i="2"/>
  <c r="D19" i="2"/>
  <c r="M18" i="2"/>
  <c r="L18" i="2"/>
  <c r="K18" i="2"/>
  <c r="J18" i="2"/>
  <c r="I18" i="2"/>
  <c r="H18" i="2"/>
  <c r="C18" i="2" s="1"/>
  <c r="G18" i="2"/>
  <c r="F18" i="2"/>
  <c r="E18" i="2"/>
  <c r="D18" i="2"/>
  <c r="M17" i="2"/>
  <c r="L17" i="2"/>
  <c r="K17" i="2"/>
  <c r="J17" i="2"/>
  <c r="I17" i="2"/>
  <c r="H17" i="2"/>
  <c r="C17" i="2" s="1"/>
  <c r="G17" i="2"/>
  <c r="F17" i="2"/>
  <c r="E17" i="2"/>
  <c r="D17" i="2"/>
  <c r="M16" i="2"/>
  <c r="L16" i="2"/>
  <c r="K16" i="2"/>
  <c r="J16" i="2"/>
  <c r="I16" i="2"/>
  <c r="H16" i="2"/>
  <c r="C16" i="2" s="1"/>
  <c r="G16" i="2"/>
  <c r="F16" i="2"/>
  <c r="E16" i="2"/>
  <c r="D16" i="2"/>
  <c r="M15" i="2"/>
  <c r="L15" i="2"/>
  <c r="K15" i="2"/>
  <c r="J15" i="2"/>
  <c r="I15" i="2"/>
  <c r="H15" i="2"/>
  <c r="C15" i="2" s="1"/>
  <c r="G15" i="2"/>
  <c r="F15" i="2"/>
  <c r="E15" i="2"/>
  <c r="D15" i="2"/>
  <c r="M14" i="2"/>
  <c r="L14" i="2"/>
  <c r="K14" i="2"/>
  <c r="J14" i="2"/>
  <c r="I14" i="2"/>
  <c r="H14" i="2"/>
  <c r="C14" i="2" s="1"/>
  <c r="G14" i="2"/>
  <c r="F14" i="2"/>
  <c r="E14" i="2"/>
  <c r="D14" i="2"/>
  <c r="M13" i="2"/>
  <c r="L13" i="2"/>
  <c r="K13" i="2"/>
  <c r="J13" i="2"/>
  <c r="I13" i="2"/>
  <c r="H13" i="2"/>
  <c r="C13" i="2" s="1"/>
  <c r="G13" i="2"/>
  <c r="F13" i="2"/>
  <c r="E13" i="2"/>
  <c r="D13" i="2"/>
  <c r="M12" i="2"/>
  <c r="L12" i="2"/>
  <c r="K12" i="2"/>
  <c r="J12" i="2"/>
  <c r="I12" i="2"/>
  <c r="H12" i="2"/>
  <c r="C12" i="2" s="1"/>
  <c r="G12" i="2"/>
  <c r="F12" i="2"/>
  <c r="E12" i="2"/>
  <c r="D12" i="2"/>
  <c r="M11" i="2"/>
  <c r="L11" i="2"/>
  <c r="K11" i="2"/>
  <c r="J11" i="2"/>
  <c r="I11" i="2"/>
  <c r="H11" i="2"/>
  <c r="C11" i="2" s="1"/>
  <c r="G11" i="2"/>
  <c r="F11" i="2"/>
  <c r="E11" i="2"/>
  <c r="D11" i="2"/>
  <c r="M10" i="2"/>
  <c r="L10" i="2"/>
  <c r="K10" i="2"/>
  <c r="J10" i="2"/>
  <c r="I10" i="2"/>
  <c r="H10" i="2"/>
  <c r="C10" i="2" s="1"/>
  <c r="G10" i="2"/>
  <c r="F10" i="2"/>
  <c r="E10" i="2"/>
  <c r="D10" i="2"/>
  <c r="M9" i="2"/>
  <c r="L9" i="2"/>
  <c r="K9" i="2"/>
  <c r="J9" i="2"/>
  <c r="I9" i="2"/>
  <c r="H9" i="2"/>
  <c r="C9" i="2" s="1"/>
  <c r="G9" i="2"/>
  <c r="F9" i="2"/>
  <c r="E9" i="2"/>
  <c r="D9" i="2"/>
  <c r="M8" i="2"/>
  <c r="L8" i="2"/>
  <c r="K8" i="2"/>
  <c r="J8" i="2"/>
  <c r="I8" i="2"/>
  <c r="H8" i="2"/>
  <c r="C8" i="2" s="1"/>
  <c r="G8" i="2"/>
  <c r="F8" i="2"/>
  <c r="E8" i="2"/>
  <c r="D8" i="2"/>
  <c r="M7" i="2"/>
  <c r="L7" i="2"/>
  <c r="K7" i="2"/>
  <c r="J7" i="2"/>
  <c r="I7" i="2"/>
  <c r="H7" i="2"/>
  <c r="C7" i="2" s="1"/>
  <c r="G7" i="2"/>
  <c r="F7" i="2"/>
  <c r="E7" i="2"/>
  <c r="D7" i="2"/>
  <c r="M6" i="2"/>
  <c r="L6" i="2"/>
  <c r="K6" i="2"/>
  <c r="J6" i="2"/>
  <c r="I6" i="2"/>
  <c r="H6" i="2"/>
  <c r="G6" i="2"/>
  <c r="F6" i="2"/>
  <c r="E6" i="2"/>
  <c r="D6" i="2"/>
  <c r="T388" i="10"/>
  <c r="S388" i="10"/>
  <c r="R388" i="10"/>
  <c r="T387" i="10"/>
  <c r="S387" i="10"/>
  <c r="R387" i="10"/>
  <c r="T386" i="10"/>
  <c r="S386" i="10"/>
  <c r="R386" i="10"/>
  <c r="T385" i="10"/>
  <c r="S385" i="10"/>
  <c r="R385" i="10"/>
  <c r="T384" i="10"/>
  <c r="S384" i="10"/>
  <c r="R384" i="10"/>
  <c r="T383" i="10"/>
  <c r="S383" i="10"/>
  <c r="R383" i="10"/>
  <c r="T382" i="10"/>
  <c r="S382" i="10"/>
  <c r="R382" i="10"/>
  <c r="T381" i="10"/>
  <c r="S381" i="10"/>
  <c r="R381" i="10"/>
  <c r="T380" i="10"/>
  <c r="S380" i="10"/>
  <c r="R380" i="10"/>
  <c r="T379" i="10"/>
  <c r="S379" i="10"/>
  <c r="R379" i="10"/>
  <c r="T378" i="10"/>
  <c r="S378" i="10"/>
  <c r="R378" i="10"/>
  <c r="T377" i="10"/>
  <c r="S377" i="10"/>
  <c r="R377" i="10"/>
  <c r="M369" i="10"/>
  <c r="L369" i="10"/>
  <c r="K369" i="10"/>
  <c r="J369" i="10"/>
  <c r="I369" i="10"/>
  <c r="H369" i="10"/>
  <c r="C369" i="10" s="1"/>
  <c r="G369" i="10"/>
  <c r="F369" i="10"/>
  <c r="E369" i="10"/>
  <c r="D369" i="10"/>
  <c r="M368" i="10"/>
  <c r="L368" i="10"/>
  <c r="K368" i="10"/>
  <c r="J368" i="10"/>
  <c r="I368" i="10"/>
  <c r="H368" i="10"/>
  <c r="C368" i="10" s="1"/>
  <c r="G368" i="10"/>
  <c r="F368" i="10"/>
  <c r="E368" i="10"/>
  <c r="D368" i="10"/>
  <c r="M367" i="10"/>
  <c r="L367" i="10"/>
  <c r="K367" i="10"/>
  <c r="J367" i="10"/>
  <c r="I367" i="10"/>
  <c r="H367" i="10"/>
  <c r="C367" i="10" s="1"/>
  <c r="G367" i="10"/>
  <c r="F367" i="10"/>
  <c r="E367" i="10"/>
  <c r="D367" i="10"/>
  <c r="M366" i="10"/>
  <c r="L366" i="10"/>
  <c r="K366" i="10"/>
  <c r="J366" i="10"/>
  <c r="I366" i="10"/>
  <c r="H366" i="10"/>
  <c r="C366" i="10" s="1"/>
  <c r="G366" i="10"/>
  <c r="F366" i="10"/>
  <c r="E366" i="10"/>
  <c r="D366" i="10"/>
  <c r="M365" i="10"/>
  <c r="L365" i="10"/>
  <c r="K365" i="10"/>
  <c r="J365" i="10"/>
  <c r="I365" i="10"/>
  <c r="H365" i="10"/>
  <c r="C365" i="10" s="1"/>
  <c r="G365" i="10"/>
  <c r="F365" i="10"/>
  <c r="E365" i="10"/>
  <c r="D365" i="10"/>
  <c r="M364" i="10"/>
  <c r="L364" i="10"/>
  <c r="K364" i="10"/>
  <c r="J364" i="10"/>
  <c r="I364" i="10"/>
  <c r="H364" i="10"/>
  <c r="C364" i="10" s="1"/>
  <c r="G364" i="10"/>
  <c r="F364" i="10"/>
  <c r="E364" i="10"/>
  <c r="D364" i="10"/>
  <c r="M363" i="10"/>
  <c r="L363" i="10"/>
  <c r="K363" i="10"/>
  <c r="J363" i="10"/>
  <c r="I363" i="10"/>
  <c r="H363" i="10"/>
  <c r="C363" i="10" s="1"/>
  <c r="G363" i="10"/>
  <c r="F363" i="10"/>
  <c r="E363" i="10"/>
  <c r="D363" i="10"/>
  <c r="M362" i="10"/>
  <c r="L362" i="10"/>
  <c r="K362" i="10"/>
  <c r="J362" i="10"/>
  <c r="I362" i="10"/>
  <c r="H362" i="10"/>
  <c r="C362" i="10" s="1"/>
  <c r="G362" i="10"/>
  <c r="F362" i="10"/>
  <c r="E362" i="10"/>
  <c r="D362" i="10"/>
  <c r="M361" i="10"/>
  <c r="L361" i="10"/>
  <c r="K361" i="10"/>
  <c r="J361" i="10"/>
  <c r="I361" i="10"/>
  <c r="H361" i="10"/>
  <c r="C361" i="10" s="1"/>
  <c r="G361" i="10"/>
  <c r="F361" i="10"/>
  <c r="E361" i="10"/>
  <c r="D361" i="10"/>
  <c r="M360" i="10"/>
  <c r="L360" i="10"/>
  <c r="K360" i="10"/>
  <c r="J360" i="10"/>
  <c r="I360" i="10"/>
  <c r="H360" i="10"/>
  <c r="C360" i="10" s="1"/>
  <c r="G360" i="10"/>
  <c r="F360" i="10"/>
  <c r="E360" i="10"/>
  <c r="D360" i="10"/>
  <c r="M359" i="10"/>
  <c r="L359" i="10"/>
  <c r="K359" i="10"/>
  <c r="J359" i="10"/>
  <c r="I359" i="10"/>
  <c r="H359" i="10"/>
  <c r="C359" i="10" s="1"/>
  <c r="G359" i="10"/>
  <c r="F359" i="10"/>
  <c r="E359" i="10"/>
  <c r="D359" i="10"/>
  <c r="M358" i="10"/>
  <c r="L358" i="10"/>
  <c r="K358" i="10"/>
  <c r="J358" i="10"/>
  <c r="I358" i="10"/>
  <c r="H358" i="10"/>
  <c r="C358" i="10" s="1"/>
  <c r="G358" i="10"/>
  <c r="F358" i="10"/>
  <c r="E358" i="10"/>
  <c r="D358" i="10"/>
  <c r="M357" i="10"/>
  <c r="L357" i="10"/>
  <c r="K357" i="10"/>
  <c r="J357" i="10"/>
  <c r="I357" i="10"/>
  <c r="H357" i="10"/>
  <c r="C357" i="10" s="1"/>
  <c r="G357" i="10"/>
  <c r="F357" i="10"/>
  <c r="E357" i="10"/>
  <c r="D357" i="10"/>
  <c r="M356" i="10"/>
  <c r="L356" i="10"/>
  <c r="K356" i="10"/>
  <c r="J356" i="10"/>
  <c r="I356" i="10"/>
  <c r="H356" i="10"/>
  <c r="C356" i="10" s="1"/>
  <c r="G356" i="10"/>
  <c r="F356" i="10"/>
  <c r="E356" i="10"/>
  <c r="D356" i="10"/>
  <c r="M355" i="10"/>
  <c r="L355" i="10"/>
  <c r="K355" i="10"/>
  <c r="J355" i="10"/>
  <c r="I355" i="10"/>
  <c r="H355" i="10"/>
  <c r="C355" i="10" s="1"/>
  <c r="G355" i="10"/>
  <c r="F355" i="10"/>
  <c r="E355" i="10"/>
  <c r="D355" i="10"/>
  <c r="M354" i="10"/>
  <c r="L354" i="10"/>
  <c r="K354" i="10"/>
  <c r="J354" i="10"/>
  <c r="I354" i="10"/>
  <c r="H354" i="10"/>
  <c r="C354" i="10" s="1"/>
  <c r="G354" i="10"/>
  <c r="F354" i="10"/>
  <c r="E354" i="10"/>
  <c r="D354" i="10"/>
  <c r="M353" i="10"/>
  <c r="L353" i="10"/>
  <c r="K353" i="10"/>
  <c r="J353" i="10"/>
  <c r="I353" i="10"/>
  <c r="H353" i="10"/>
  <c r="C353" i="10" s="1"/>
  <c r="G353" i="10"/>
  <c r="F353" i="10"/>
  <c r="E353" i="10"/>
  <c r="D353" i="10"/>
  <c r="M352" i="10"/>
  <c r="L352" i="10"/>
  <c r="K352" i="10"/>
  <c r="J352" i="10"/>
  <c r="I352" i="10"/>
  <c r="H352" i="10"/>
  <c r="C352" i="10" s="1"/>
  <c r="G352" i="10"/>
  <c r="F352" i="10"/>
  <c r="E352" i="10"/>
  <c r="D352" i="10"/>
  <c r="M351" i="10"/>
  <c r="L351" i="10"/>
  <c r="K351" i="10"/>
  <c r="J351" i="10"/>
  <c r="I351" i="10"/>
  <c r="H351" i="10"/>
  <c r="C351" i="10" s="1"/>
  <c r="G351" i="10"/>
  <c r="F351" i="10"/>
  <c r="E351" i="10"/>
  <c r="D351" i="10"/>
  <c r="M350" i="10"/>
  <c r="L350" i="10"/>
  <c r="K350" i="10"/>
  <c r="J350" i="10"/>
  <c r="I350" i="10"/>
  <c r="H350" i="10"/>
  <c r="C350" i="10" s="1"/>
  <c r="G350" i="10"/>
  <c r="F350" i="10"/>
  <c r="E350" i="10"/>
  <c r="D350" i="10"/>
  <c r="M349" i="10"/>
  <c r="L349" i="10"/>
  <c r="K349" i="10"/>
  <c r="J349" i="10"/>
  <c r="I349" i="10"/>
  <c r="H349" i="10"/>
  <c r="C349" i="10" s="1"/>
  <c r="G349" i="10"/>
  <c r="F349" i="10"/>
  <c r="E349" i="10"/>
  <c r="D349" i="10"/>
  <c r="M348" i="10"/>
  <c r="L348" i="10"/>
  <c r="K348" i="10"/>
  <c r="J348" i="10"/>
  <c r="I348" i="10"/>
  <c r="H348" i="10"/>
  <c r="C348" i="10" s="1"/>
  <c r="G348" i="10"/>
  <c r="F348" i="10"/>
  <c r="E348" i="10"/>
  <c r="D348" i="10"/>
  <c r="M347" i="10"/>
  <c r="L347" i="10"/>
  <c r="K347" i="10"/>
  <c r="J347" i="10"/>
  <c r="I347" i="10"/>
  <c r="H347" i="10"/>
  <c r="C347" i="10" s="1"/>
  <c r="G347" i="10"/>
  <c r="F347" i="10"/>
  <c r="E347" i="10"/>
  <c r="D347" i="10"/>
  <c r="M346" i="10"/>
  <c r="L346" i="10"/>
  <c r="K346" i="10"/>
  <c r="J346" i="10"/>
  <c r="I346" i="10"/>
  <c r="H346" i="10"/>
  <c r="C346" i="10" s="1"/>
  <c r="G346" i="10"/>
  <c r="F346" i="10"/>
  <c r="E346" i="10"/>
  <c r="D346" i="10"/>
  <c r="M345" i="10"/>
  <c r="L345" i="10"/>
  <c r="K345" i="10"/>
  <c r="J345" i="10"/>
  <c r="I345" i="10"/>
  <c r="H345" i="10"/>
  <c r="C345" i="10" s="1"/>
  <c r="G345" i="10"/>
  <c r="F345" i="10"/>
  <c r="E345" i="10"/>
  <c r="D345" i="10"/>
  <c r="M344" i="10"/>
  <c r="L344" i="10"/>
  <c r="K344" i="10"/>
  <c r="J344" i="10"/>
  <c r="I344" i="10"/>
  <c r="H344" i="10"/>
  <c r="C344" i="10" s="1"/>
  <c r="G344" i="10"/>
  <c r="F344" i="10"/>
  <c r="E344" i="10"/>
  <c r="D344" i="10"/>
  <c r="M343" i="10"/>
  <c r="L343" i="10"/>
  <c r="K343" i="10"/>
  <c r="J343" i="10"/>
  <c r="I343" i="10"/>
  <c r="H343" i="10"/>
  <c r="C343" i="10" s="1"/>
  <c r="G343" i="10"/>
  <c r="F343" i="10"/>
  <c r="E343" i="10"/>
  <c r="D343" i="10"/>
  <c r="M342" i="10"/>
  <c r="L342" i="10"/>
  <c r="K342" i="10"/>
  <c r="J342" i="10"/>
  <c r="I342" i="10"/>
  <c r="H342" i="10"/>
  <c r="C342" i="10" s="1"/>
  <c r="G342" i="10"/>
  <c r="F342" i="10"/>
  <c r="E342" i="10"/>
  <c r="D342" i="10"/>
  <c r="M341" i="10"/>
  <c r="L341" i="10"/>
  <c r="K341" i="10"/>
  <c r="J341" i="10"/>
  <c r="I341" i="10"/>
  <c r="H341" i="10"/>
  <c r="C341" i="10" s="1"/>
  <c r="G341" i="10"/>
  <c r="F341" i="10"/>
  <c r="E341" i="10"/>
  <c r="D341" i="10"/>
  <c r="M340" i="10"/>
  <c r="L340" i="10"/>
  <c r="K340" i="10"/>
  <c r="J340" i="10"/>
  <c r="I340" i="10"/>
  <c r="H340" i="10"/>
  <c r="G340" i="10"/>
  <c r="F340" i="10"/>
  <c r="E340" i="10"/>
  <c r="D340" i="10"/>
  <c r="M339" i="10"/>
  <c r="L339" i="10"/>
  <c r="K339" i="10"/>
  <c r="J339" i="10"/>
  <c r="I339" i="10"/>
  <c r="H339" i="10"/>
  <c r="C339" i="10" s="1"/>
  <c r="G339" i="10"/>
  <c r="F339" i="10"/>
  <c r="E339" i="10"/>
  <c r="D339" i="10"/>
  <c r="M338" i="10"/>
  <c r="L338" i="10"/>
  <c r="K338" i="10"/>
  <c r="J338" i="10"/>
  <c r="I338" i="10"/>
  <c r="H338" i="10"/>
  <c r="C338" i="10" s="1"/>
  <c r="G338" i="10"/>
  <c r="F338" i="10"/>
  <c r="E338" i="10"/>
  <c r="D338" i="10"/>
  <c r="M337" i="10"/>
  <c r="L337" i="10"/>
  <c r="K337" i="10"/>
  <c r="J337" i="10"/>
  <c r="I337" i="10"/>
  <c r="H337" i="10"/>
  <c r="C337" i="10" s="1"/>
  <c r="G337" i="10"/>
  <c r="F337" i="10"/>
  <c r="E337" i="10"/>
  <c r="D337" i="10"/>
  <c r="M336" i="10"/>
  <c r="L336" i="10"/>
  <c r="K336" i="10"/>
  <c r="J336" i="10"/>
  <c r="I336" i="10"/>
  <c r="H336" i="10"/>
  <c r="C336" i="10" s="1"/>
  <c r="G336" i="10"/>
  <c r="F336" i="10"/>
  <c r="E336" i="10"/>
  <c r="D336" i="10"/>
  <c r="M335" i="10"/>
  <c r="L335" i="10"/>
  <c r="K335" i="10"/>
  <c r="J335" i="10"/>
  <c r="I335" i="10"/>
  <c r="H335" i="10"/>
  <c r="C335" i="10" s="1"/>
  <c r="G335" i="10"/>
  <c r="F335" i="10"/>
  <c r="E335" i="10"/>
  <c r="D335" i="10"/>
  <c r="M334" i="10"/>
  <c r="L334" i="10"/>
  <c r="K334" i="10"/>
  <c r="J334" i="10"/>
  <c r="I334" i="10"/>
  <c r="H334" i="10"/>
  <c r="C334" i="10" s="1"/>
  <c r="G334" i="10"/>
  <c r="F334" i="10"/>
  <c r="E334" i="10"/>
  <c r="D334" i="10"/>
  <c r="M333" i="10"/>
  <c r="L333" i="10"/>
  <c r="K333" i="10"/>
  <c r="J333" i="10"/>
  <c r="I333" i="10"/>
  <c r="H333" i="10"/>
  <c r="C333" i="10" s="1"/>
  <c r="G333" i="10"/>
  <c r="F333" i="10"/>
  <c r="E333" i="10"/>
  <c r="D333" i="10"/>
  <c r="M332" i="10"/>
  <c r="L332" i="10"/>
  <c r="K332" i="10"/>
  <c r="J332" i="10"/>
  <c r="I332" i="10"/>
  <c r="H332" i="10"/>
  <c r="C332" i="10" s="1"/>
  <c r="G332" i="10"/>
  <c r="F332" i="10"/>
  <c r="E332" i="10"/>
  <c r="D332" i="10"/>
  <c r="M331" i="10"/>
  <c r="L331" i="10"/>
  <c r="K331" i="10"/>
  <c r="J331" i="10"/>
  <c r="I331" i="10"/>
  <c r="H331" i="10"/>
  <c r="C331" i="10" s="1"/>
  <c r="G331" i="10"/>
  <c r="F331" i="10"/>
  <c r="E331" i="10"/>
  <c r="D331" i="10"/>
  <c r="M330" i="10"/>
  <c r="L330" i="10"/>
  <c r="K330" i="10"/>
  <c r="J330" i="10"/>
  <c r="I330" i="10"/>
  <c r="H330" i="10"/>
  <c r="C330" i="10" s="1"/>
  <c r="G330" i="10"/>
  <c r="F330" i="10"/>
  <c r="E330" i="10"/>
  <c r="D330" i="10"/>
  <c r="M329" i="10"/>
  <c r="L329" i="10"/>
  <c r="K329" i="10"/>
  <c r="J329" i="10"/>
  <c r="I329" i="10"/>
  <c r="H329" i="10"/>
  <c r="C329" i="10" s="1"/>
  <c r="G329" i="10"/>
  <c r="F329" i="10"/>
  <c r="E329" i="10"/>
  <c r="D329" i="10"/>
  <c r="M328" i="10"/>
  <c r="L328" i="10"/>
  <c r="K328" i="10"/>
  <c r="J328" i="10"/>
  <c r="I328" i="10"/>
  <c r="H328" i="10"/>
  <c r="C328" i="10" s="1"/>
  <c r="G328" i="10"/>
  <c r="F328" i="10"/>
  <c r="E328" i="10"/>
  <c r="D328" i="10"/>
  <c r="M327" i="10"/>
  <c r="L327" i="10"/>
  <c r="K327" i="10"/>
  <c r="J327" i="10"/>
  <c r="I327" i="10"/>
  <c r="H327" i="10"/>
  <c r="C327" i="10" s="1"/>
  <c r="G327" i="10"/>
  <c r="F327" i="10"/>
  <c r="E327" i="10"/>
  <c r="D327" i="10"/>
  <c r="M326" i="10"/>
  <c r="L326" i="10"/>
  <c r="K326" i="10"/>
  <c r="J326" i="10"/>
  <c r="I326" i="10"/>
  <c r="H326" i="10"/>
  <c r="C326" i="10" s="1"/>
  <c r="G326" i="10"/>
  <c r="F326" i="10"/>
  <c r="E326" i="10"/>
  <c r="D326" i="10"/>
  <c r="M325" i="10"/>
  <c r="L325" i="10"/>
  <c r="K325" i="10"/>
  <c r="J325" i="10"/>
  <c r="I325" i="10"/>
  <c r="H325" i="10"/>
  <c r="C325" i="10" s="1"/>
  <c r="G325" i="10"/>
  <c r="F325" i="10"/>
  <c r="E325" i="10"/>
  <c r="D325" i="10"/>
  <c r="M324" i="10"/>
  <c r="L324" i="10"/>
  <c r="K324" i="10"/>
  <c r="J324" i="10"/>
  <c r="I324" i="10"/>
  <c r="H324" i="10"/>
  <c r="C324" i="10" s="1"/>
  <c r="G324" i="10"/>
  <c r="F324" i="10"/>
  <c r="E324" i="10"/>
  <c r="D324" i="10"/>
  <c r="M323" i="10"/>
  <c r="L323" i="10"/>
  <c r="K323" i="10"/>
  <c r="J323" i="10"/>
  <c r="I323" i="10"/>
  <c r="H323" i="10"/>
  <c r="C323" i="10" s="1"/>
  <c r="G323" i="10"/>
  <c r="F323" i="10"/>
  <c r="E323" i="10"/>
  <c r="D323" i="10"/>
  <c r="M322" i="10"/>
  <c r="L322" i="10"/>
  <c r="K322" i="10"/>
  <c r="J322" i="10"/>
  <c r="I322" i="10"/>
  <c r="H322" i="10"/>
  <c r="C322" i="10" s="1"/>
  <c r="G322" i="10"/>
  <c r="F322" i="10"/>
  <c r="E322" i="10"/>
  <c r="D322" i="10"/>
  <c r="M321" i="10"/>
  <c r="L321" i="10"/>
  <c r="K321" i="10"/>
  <c r="J321" i="10"/>
  <c r="I321" i="10"/>
  <c r="H321" i="10"/>
  <c r="C321" i="10" s="1"/>
  <c r="G321" i="10"/>
  <c r="F321" i="10"/>
  <c r="E321" i="10"/>
  <c r="D321" i="10"/>
  <c r="M320" i="10"/>
  <c r="L320" i="10"/>
  <c r="K320" i="10"/>
  <c r="J320" i="10"/>
  <c r="I320" i="10"/>
  <c r="H320" i="10"/>
  <c r="C320" i="10" s="1"/>
  <c r="G320" i="10"/>
  <c r="F320" i="10"/>
  <c r="E320" i="10"/>
  <c r="D320" i="10"/>
  <c r="M319" i="10"/>
  <c r="L319" i="10"/>
  <c r="K319" i="10"/>
  <c r="J319" i="10"/>
  <c r="I319" i="10"/>
  <c r="H319" i="10"/>
  <c r="C319" i="10" s="1"/>
  <c r="G319" i="10"/>
  <c r="F319" i="10"/>
  <c r="E319" i="10"/>
  <c r="D319" i="10"/>
  <c r="M318" i="10"/>
  <c r="L318" i="10"/>
  <c r="K318" i="10"/>
  <c r="J318" i="10"/>
  <c r="I318" i="10"/>
  <c r="H318" i="10"/>
  <c r="C318" i="10" s="1"/>
  <c r="G318" i="10"/>
  <c r="F318" i="10"/>
  <c r="E318" i="10"/>
  <c r="D318" i="10"/>
  <c r="M317" i="10"/>
  <c r="L317" i="10"/>
  <c r="K317" i="10"/>
  <c r="J317" i="10"/>
  <c r="I317" i="10"/>
  <c r="H317" i="10"/>
  <c r="C317" i="10" s="1"/>
  <c r="G317" i="10"/>
  <c r="F317" i="10"/>
  <c r="E317" i="10"/>
  <c r="D317" i="10"/>
  <c r="M316" i="10"/>
  <c r="L316" i="10"/>
  <c r="K316" i="10"/>
  <c r="J316" i="10"/>
  <c r="I316" i="10"/>
  <c r="H316" i="10"/>
  <c r="C316" i="10" s="1"/>
  <c r="G316" i="10"/>
  <c r="F316" i="10"/>
  <c r="E316" i="10"/>
  <c r="D316" i="10"/>
  <c r="M315" i="10"/>
  <c r="L315" i="10"/>
  <c r="K315" i="10"/>
  <c r="J315" i="10"/>
  <c r="I315" i="10"/>
  <c r="H315" i="10"/>
  <c r="C315" i="10" s="1"/>
  <c r="G315" i="10"/>
  <c r="F315" i="10"/>
  <c r="E315" i="10"/>
  <c r="D315" i="10"/>
  <c r="M314" i="10"/>
  <c r="L314" i="10"/>
  <c r="K314" i="10"/>
  <c r="J314" i="10"/>
  <c r="I314" i="10"/>
  <c r="H314" i="10"/>
  <c r="C314" i="10" s="1"/>
  <c r="G314" i="10"/>
  <c r="F314" i="10"/>
  <c r="E314" i="10"/>
  <c r="D314" i="10"/>
  <c r="M313" i="10"/>
  <c r="L313" i="10"/>
  <c r="K313" i="10"/>
  <c r="J313" i="10"/>
  <c r="I313" i="10"/>
  <c r="H313" i="10"/>
  <c r="C313" i="10" s="1"/>
  <c r="G313" i="10"/>
  <c r="F313" i="10"/>
  <c r="E313" i="10"/>
  <c r="D313" i="10"/>
  <c r="M312" i="10"/>
  <c r="L312" i="10"/>
  <c r="K312" i="10"/>
  <c r="J312" i="10"/>
  <c r="I312" i="10"/>
  <c r="H312" i="10"/>
  <c r="C312" i="10" s="1"/>
  <c r="G312" i="10"/>
  <c r="F312" i="10"/>
  <c r="E312" i="10"/>
  <c r="D312" i="10"/>
  <c r="M311" i="10"/>
  <c r="L311" i="10"/>
  <c r="K311" i="10"/>
  <c r="J311" i="10"/>
  <c r="I311" i="10"/>
  <c r="H311" i="10"/>
  <c r="C311" i="10" s="1"/>
  <c r="G311" i="10"/>
  <c r="F311" i="10"/>
  <c r="E311" i="10"/>
  <c r="D311" i="10"/>
  <c r="M310" i="10"/>
  <c r="L310" i="10"/>
  <c r="K310" i="10"/>
  <c r="J310" i="10"/>
  <c r="I310" i="10"/>
  <c r="H310" i="10"/>
  <c r="G310" i="10"/>
  <c r="F310" i="10"/>
  <c r="E310" i="10"/>
  <c r="D310" i="10"/>
  <c r="M309" i="10"/>
  <c r="L309" i="10"/>
  <c r="K309" i="10"/>
  <c r="J309" i="10"/>
  <c r="I309" i="10"/>
  <c r="H309" i="10"/>
  <c r="C309" i="10" s="1"/>
  <c r="G309" i="10"/>
  <c r="F309" i="10"/>
  <c r="E309" i="10"/>
  <c r="D309" i="10"/>
  <c r="M308" i="10"/>
  <c r="L308" i="10"/>
  <c r="K308" i="10"/>
  <c r="J308" i="10"/>
  <c r="I308" i="10"/>
  <c r="H308" i="10"/>
  <c r="C308" i="10" s="1"/>
  <c r="G308" i="10"/>
  <c r="F308" i="10"/>
  <c r="E308" i="10"/>
  <c r="D308" i="10"/>
  <c r="M307" i="10"/>
  <c r="L307" i="10"/>
  <c r="K307" i="10"/>
  <c r="J307" i="10"/>
  <c r="I307" i="10"/>
  <c r="H307" i="10"/>
  <c r="C307" i="10" s="1"/>
  <c r="G307" i="10"/>
  <c r="F307" i="10"/>
  <c r="E307" i="10"/>
  <c r="D307" i="10"/>
  <c r="M306" i="10"/>
  <c r="L306" i="10"/>
  <c r="K306" i="10"/>
  <c r="J306" i="10"/>
  <c r="I306" i="10"/>
  <c r="H306" i="10"/>
  <c r="C306" i="10" s="1"/>
  <c r="G306" i="10"/>
  <c r="F306" i="10"/>
  <c r="E306" i="10"/>
  <c r="D306" i="10"/>
  <c r="M305" i="10"/>
  <c r="L305" i="10"/>
  <c r="K305" i="10"/>
  <c r="J305" i="10"/>
  <c r="I305" i="10"/>
  <c r="H305" i="10"/>
  <c r="C305" i="10" s="1"/>
  <c r="G305" i="10"/>
  <c r="F305" i="10"/>
  <c r="E305" i="10"/>
  <c r="D305" i="10"/>
  <c r="M304" i="10"/>
  <c r="L304" i="10"/>
  <c r="K304" i="10"/>
  <c r="J304" i="10"/>
  <c r="I304" i="10"/>
  <c r="H304" i="10"/>
  <c r="C304" i="10" s="1"/>
  <c r="G304" i="10"/>
  <c r="F304" i="10"/>
  <c r="E304" i="10"/>
  <c r="D304" i="10"/>
  <c r="M303" i="10"/>
  <c r="L303" i="10"/>
  <c r="K303" i="10"/>
  <c r="J303" i="10"/>
  <c r="I303" i="10"/>
  <c r="H303" i="10"/>
  <c r="C303" i="10" s="1"/>
  <c r="G303" i="10"/>
  <c r="F303" i="10"/>
  <c r="E303" i="10"/>
  <c r="D303" i="10"/>
  <c r="M302" i="10"/>
  <c r="L302" i="10"/>
  <c r="K302" i="10"/>
  <c r="J302" i="10"/>
  <c r="I302" i="10"/>
  <c r="H302" i="10"/>
  <c r="C302" i="10" s="1"/>
  <c r="G302" i="10"/>
  <c r="F302" i="10"/>
  <c r="E302" i="10"/>
  <c r="D302" i="10"/>
  <c r="M301" i="10"/>
  <c r="L301" i="10"/>
  <c r="K301" i="10"/>
  <c r="J301" i="10"/>
  <c r="I301" i="10"/>
  <c r="H301" i="10"/>
  <c r="C301" i="10" s="1"/>
  <c r="G301" i="10"/>
  <c r="F301" i="10"/>
  <c r="E301" i="10"/>
  <c r="D301" i="10"/>
  <c r="M300" i="10"/>
  <c r="L300" i="10"/>
  <c r="K300" i="10"/>
  <c r="J300" i="10"/>
  <c r="I300" i="10"/>
  <c r="H300" i="10"/>
  <c r="C300" i="10" s="1"/>
  <c r="G300" i="10"/>
  <c r="F300" i="10"/>
  <c r="E300" i="10"/>
  <c r="D300" i="10"/>
  <c r="M299" i="10"/>
  <c r="L299" i="10"/>
  <c r="K299" i="10"/>
  <c r="J299" i="10"/>
  <c r="I299" i="10"/>
  <c r="H299" i="10"/>
  <c r="C299" i="10" s="1"/>
  <c r="G299" i="10"/>
  <c r="F299" i="10"/>
  <c r="E299" i="10"/>
  <c r="D299" i="10"/>
  <c r="M298" i="10"/>
  <c r="L298" i="10"/>
  <c r="K298" i="10"/>
  <c r="J298" i="10"/>
  <c r="I298" i="10"/>
  <c r="H298" i="10"/>
  <c r="C298" i="10" s="1"/>
  <c r="G298" i="10"/>
  <c r="F298" i="10"/>
  <c r="E298" i="10"/>
  <c r="D298" i="10"/>
  <c r="M297" i="10"/>
  <c r="L297" i="10"/>
  <c r="K297" i="10"/>
  <c r="J297" i="10"/>
  <c r="I297" i="10"/>
  <c r="H297" i="10"/>
  <c r="C297" i="10" s="1"/>
  <c r="G297" i="10"/>
  <c r="F297" i="10"/>
  <c r="E297" i="10"/>
  <c r="D297" i="10"/>
  <c r="M296" i="10"/>
  <c r="L296" i="10"/>
  <c r="K296" i="10"/>
  <c r="J296" i="10"/>
  <c r="I296" i="10"/>
  <c r="H296" i="10"/>
  <c r="C296" i="10" s="1"/>
  <c r="G296" i="10"/>
  <c r="F296" i="10"/>
  <c r="E296" i="10"/>
  <c r="D296" i="10"/>
  <c r="M295" i="10"/>
  <c r="L295" i="10"/>
  <c r="K295" i="10"/>
  <c r="J295" i="10"/>
  <c r="I295" i="10"/>
  <c r="H295" i="10"/>
  <c r="C295" i="10" s="1"/>
  <c r="G295" i="10"/>
  <c r="F295" i="10"/>
  <c r="E295" i="10"/>
  <c r="D295" i="10"/>
  <c r="M294" i="10"/>
  <c r="L294" i="10"/>
  <c r="K294" i="10"/>
  <c r="J294" i="10"/>
  <c r="I294" i="10"/>
  <c r="H294" i="10"/>
  <c r="C294" i="10" s="1"/>
  <c r="G294" i="10"/>
  <c r="F294" i="10"/>
  <c r="E294" i="10"/>
  <c r="D294" i="10"/>
  <c r="M293" i="10"/>
  <c r="L293" i="10"/>
  <c r="K293" i="10"/>
  <c r="J293" i="10"/>
  <c r="I293" i="10"/>
  <c r="H293" i="10"/>
  <c r="C293" i="10" s="1"/>
  <c r="G293" i="10"/>
  <c r="F293" i="10"/>
  <c r="E293" i="10"/>
  <c r="D293" i="10"/>
  <c r="M292" i="10"/>
  <c r="L292" i="10"/>
  <c r="K292" i="10"/>
  <c r="J292" i="10"/>
  <c r="I292" i="10"/>
  <c r="H292" i="10"/>
  <c r="C292" i="10" s="1"/>
  <c r="G292" i="10"/>
  <c r="F292" i="10"/>
  <c r="E292" i="10"/>
  <c r="D292" i="10"/>
  <c r="M291" i="10"/>
  <c r="L291" i="10"/>
  <c r="K291" i="10"/>
  <c r="J291" i="10"/>
  <c r="I291" i="10"/>
  <c r="H291" i="10"/>
  <c r="C291" i="10" s="1"/>
  <c r="G291" i="10"/>
  <c r="F291" i="10"/>
  <c r="E291" i="10"/>
  <c r="D291" i="10"/>
  <c r="M290" i="10"/>
  <c r="L290" i="10"/>
  <c r="K290" i="10"/>
  <c r="J290" i="10"/>
  <c r="I290" i="10"/>
  <c r="H290" i="10"/>
  <c r="C290" i="10" s="1"/>
  <c r="G290" i="10"/>
  <c r="F290" i="10"/>
  <c r="E290" i="10"/>
  <c r="D290" i="10"/>
  <c r="M289" i="10"/>
  <c r="L289" i="10"/>
  <c r="K289" i="10"/>
  <c r="J289" i="10"/>
  <c r="I289" i="10"/>
  <c r="H289" i="10"/>
  <c r="C289" i="10" s="1"/>
  <c r="G289" i="10"/>
  <c r="F289" i="10"/>
  <c r="E289" i="10"/>
  <c r="D289" i="10"/>
  <c r="M288" i="10"/>
  <c r="L288" i="10"/>
  <c r="K288" i="10"/>
  <c r="J288" i="10"/>
  <c r="I288" i="10"/>
  <c r="H288" i="10"/>
  <c r="C288" i="10" s="1"/>
  <c r="G288" i="10"/>
  <c r="F288" i="10"/>
  <c r="E288" i="10"/>
  <c r="D288" i="10"/>
  <c r="M287" i="10"/>
  <c r="L287" i="10"/>
  <c r="K287" i="10"/>
  <c r="J287" i="10"/>
  <c r="I287" i="10"/>
  <c r="H287" i="10"/>
  <c r="C287" i="10" s="1"/>
  <c r="G287" i="10"/>
  <c r="F287" i="10"/>
  <c r="E287" i="10"/>
  <c r="D287" i="10"/>
  <c r="M286" i="10"/>
  <c r="L286" i="10"/>
  <c r="K286" i="10"/>
  <c r="J286" i="10"/>
  <c r="I286" i="10"/>
  <c r="H286" i="10"/>
  <c r="C286" i="10" s="1"/>
  <c r="G286" i="10"/>
  <c r="F286" i="10"/>
  <c r="E286" i="10"/>
  <c r="D286" i="10"/>
  <c r="M285" i="10"/>
  <c r="L285" i="10"/>
  <c r="K285" i="10"/>
  <c r="J285" i="10"/>
  <c r="I285" i="10"/>
  <c r="H285" i="10"/>
  <c r="C285" i="10" s="1"/>
  <c r="G285" i="10"/>
  <c r="F285" i="10"/>
  <c r="E285" i="10"/>
  <c r="D285" i="10"/>
  <c r="M284" i="10"/>
  <c r="L284" i="10"/>
  <c r="K284" i="10"/>
  <c r="J284" i="10"/>
  <c r="I284" i="10"/>
  <c r="H284" i="10"/>
  <c r="C284" i="10" s="1"/>
  <c r="G284" i="10"/>
  <c r="F284" i="10"/>
  <c r="E284" i="10"/>
  <c r="D284" i="10"/>
  <c r="M283" i="10"/>
  <c r="L283" i="10"/>
  <c r="K283" i="10"/>
  <c r="J283" i="10"/>
  <c r="I283" i="10"/>
  <c r="H283" i="10"/>
  <c r="C283" i="10" s="1"/>
  <c r="G283" i="10"/>
  <c r="F283" i="10"/>
  <c r="E283" i="10"/>
  <c r="D283" i="10"/>
  <c r="M282" i="10"/>
  <c r="L282" i="10"/>
  <c r="K282" i="10"/>
  <c r="J282" i="10"/>
  <c r="I282" i="10"/>
  <c r="H282" i="10"/>
  <c r="C282" i="10" s="1"/>
  <c r="G282" i="10"/>
  <c r="F282" i="10"/>
  <c r="E282" i="10"/>
  <c r="D282" i="10"/>
  <c r="M281" i="10"/>
  <c r="L281" i="10"/>
  <c r="K281" i="10"/>
  <c r="J281" i="10"/>
  <c r="I281" i="10"/>
  <c r="H281" i="10"/>
  <c r="C281" i="10" s="1"/>
  <c r="G281" i="10"/>
  <c r="F281" i="10"/>
  <c r="E281" i="10"/>
  <c r="D281" i="10"/>
  <c r="M280" i="10"/>
  <c r="L280" i="10"/>
  <c r="K280" i="10"/>
  <c r="J280" i="10"/>
  <c r="I280" i="10"/>
  <c r="H280" i="10"/>
  <c r="C280" i="10" s="1"/>
  <c r="G280" i="10"/>
  <c r="F280" i="10"/>
  <c r="E280" i="10"/>
  <c r="D280" i="10"/>
  <c r="M279" i="10"/>
  <c r="L279" i="10"/>
  <c r="K279" i="10"/>
  <c r="J279" i="10"/>
  <c r="I279" i="10"/>
  <c r="H279" i="10"/>
  <c r="G279" i="10"/>
  <c r="F279" i="10"/>
  <c r="E279" i="10"/>
  <c r="D279" i="10"/>
  <c r="M278" i="10"/>
  <c r="L278" i="10"/>
  <c r="K278" i="10"/>
  <c r="J278" i="10"/>
  <c r="I278" i="10"/>
  <c r="H278" i="10"/>
  <c r="C278" i="10" s="1"/>
  <c r="G278" i="10"/>
  <c r="F278" i="10"/>
  <c r="E278" i="10"/>
  <c r="D278" i="10"/>
  <c r="M277" i="10"/>
  <c r="L277" i="10"/>
  <c r="K277" i="10"/>
  <c r="J277" i="10"/>
  <c r="I277" i="10"/>
  <c r="H277" i="10"/>
  <c r="C277" i="10" s="1"/>
  <c r="G277" i="10"/>
  <c r="F277" i="10"/>
  <c r="E277" i="10"/>
  <c r="D277" i="10"/>
  <c r="M276" i="10"/>
  <c r="L276" i="10"/>
  <c r="K276" i="10"/>
  <c r="J276" i="10"/>
  <c r="I276" i="10"/>
  <c r="H276" i="10"/>
  <c r="C276" i="10" s="1"/>
  <c r="G276" i="10"/>
  <c r="F276" i="10"/>
  <c r="E276" i="10"/>
  <c r="D276" i="10"/>
  <c r="M275" i="10"/>
  <c r="L275" i="10"/>
  <c r="K275" i="10"/>
  <c r="J275" i="10"/>
  <c r="I275" i="10"/>
  <c r="H275" i="10"/>
  <c r="C275" i="10" s="1"/>
  <c r="G275" i="10"/>
  <c r="F275" i="10"/>
  <c r="E275" i="10"/>
  <c r="D275" i="10"/>
  <c r="M274" i="10"/>
  <c r="L274" i="10"/>
  <c r="K274" i="10"/>
  <c r="J274" i="10"/>
  <c r="I274" i="10"/>
  <c r="H274" i="10"/>
  <c r="C274" i="10" s="1"/>
  <c r="G274" i="10"/>
  <c r="F274" i="10"/>
  <c r="E274" i="10"/>
  <c r="D274" i="10"/>
  <c r="M273" i="10"/>
  <c r="L273" i="10"/>
  <c r="K273" i="10"/>
  <c r="J273" i="10"/>
  <c r="I273" i="10"/>
  <c r="H273" i="10"/>
  <c r="C273" i="10" s="1"/>
  <c r="G273" i="10"/>
  <c r="F273" i="10"/>
  <c r="E273" i="10"/>
  <c r="D273" i="10"/>
  <c r="M272" i="10"/>
  <c r="L272" i="10"/>
  <c r="K272" i="10"/>
  <c r="J272" i="10"/>
  <c r="I272" i="10"/>
  <c r="H272" i="10"/>
  <c r="C272" i="10" s="1"/>
  <c r="G272" i="10"/>
  <c r="F272" i="10"/>
  <c r="E272" i="10"/>
  <c r="D272" i="10"/>
  <c r="M271" i="10"/>
  <c r="L271" i="10"/>
  <c r="K271" i="10"/>
  <c r="J271" i="10"/>
  <c r="I271" i="10"/>
  <c r="H271" i="10"/>
  <c r="C271" i="10" s="1"/>
  <c r="G271" i="10"/>
  <c r="F271" i="10"/>
  <c r="E271" i="10"/>
  <c r="D271" i="10"/>
  <c r="M270" i="10"/>
  <c r="L270" i="10"/>
  <c r="K270" i="10"/>
  <c r="J270" i="10"/>
  <c r="I270" i="10"/>
  <c r="H270" i="10"/>
  <c r="C270" i="10" s="1"/>
  <c r="G270" i="10"/>
  <c r="F270" i="10"/>
  <c r="E270" i="10"/>
  <c r="D270" i="10"/>
  <c r="M269" i="10"/>
  <c r="L269" i="10"/>
  <c r="K269" i="10"/>
  <c r="J269" i="10"/>
  <c r="I269" i="10"/>
  <c r="H269" i="10"/>
  <c r="C269" i="10" s="1"/>
  <c r="G269" i="10"/>
  <c r="F269" i="10"/>
  <c r="E269" i="10"/>
  <c r="D269" i="10"/>
  <c r="M268" i="10"/>
  <c r="L268" i="10"/>
  <c r="K268" i="10"/>
  <c r="J268" i="10"/>
  <c r="I268" i="10"/>
  <c r="H268" i="10"/>
  <c r="C268" i="10" s="1"/>
  <c r="G268" i="10"/>
  <c r="F268" i="10"/>
  <c r="E268" i="10"/>
  <c r="D268" i="10"/>
  <c r="M267" i="10"/>
  <c r="L267" i="10"/>
  <c r="K267" i="10"/>
  <c r="J267" i="10"/>
  <c r="I267" i="10"/>
  <c r="H267" i="10"/>
  <c r="C267" i="10" s="1"/>
  <c r="G267" i="10"/>
  <c r="F267" i="10"/>
  <c r="E267" i="10"/>
  <c r="D267" i="10"/>
  <c r="M266" i="10"/>
  <c r="L266" i="10"/>
  <c r="K266" i="10"/>
  <c r="J266" i="10"/>
  <c r="I266" i="10"/>
  <c r="H266" i="10"/>
  <c r="C266" i="10" s="1"/>
  <c r="G266" i="10"/>
  <c r="F266" i="10"/>
  <c r="E266" i="10"/>
  <c r="D266" i="10"/>
  <c r="M265" i="10"/>
  <c r="L265" i="10"/>
  <c r="K265" i="10"/>
  <c r="J265" i="10"/>
  <c r="I265" i="10"/>
  <c r="H265" i="10"/>
  <c r="C265" i="10" s="1"/>
  <c r="G265" i="10"/>
  <c r="F265" i="10"/>
  <c r="E265" i="10"/>
  <c r="D265" i="10"/>
  <c r="M264" i="10"/>
  <c r="L264" i="10"/>
  <c r="K264" i="10"/>
  <c r="J264" i="10"/>
  <c r="I264" i="10"/>
  <c r="H264" i="10"/>
  <c r="C264" i="10" s="1"/>
  <c r="G264" i="10"/>
  <c r="F264" i="10"/>
  <c r="E264" i="10"/>
  <c r="D264" i="10"/>
  <c r="M263" i="10"/>
  <c r="L263" i="10"/>
  <c r="K263" i="10"/>
  <c r="J263" i="10"/>
  <c r="I263" i="10"/>
  <c r="H263" i="10"/>
  <c r="C263" i="10" s="1"/>
  <c r="G263" i="10"/>
  <c r="F263" i="10"/>
  <c r="E263" i="10"/>
  <c r="D263" i="10"/>
  <c r="M262" i="10"/>
  <c r="L262" i="10"/>
  <c r="K262" i="10"/>
  <c r="J262" i="10"/>
  <c r="I262" i="10"/>
  <c r="H262" i="10"/>
  <c r="C262" i="10" s="1"/>
  <c r="G262" i="10"/>
  <c r="F262" i="10"/>
  <c r="E262" i="10"/>
  <c r="D262" i="10"/>
  <c r="M261" i="10"/>
  <c r="L261" i="10"/>
  <c r="K261" i="10"/>
  <c r="J261" i="10"/>
  <c r="I261" i="10"/>
  <c r="H261" i="10"/>
  <c r="C261" i="10" s="1"/>
  <c r="G261" i="10"/>
  <c r="F261" i="10"/>
  <c r="E261" i="10"/>
  <c r="D261" i="10"/>
  <c r="M260" i="10"/>
  <c r="L260" i="10"/>
  <c r="K260" i="10"/>
  <c r="J260" i="10"/>
  <c r="I260" i="10"/>
  <c r="H260" i="10"/>
  <c r="C260" i="10" s="1"/>
  <c r="G260" i="10"/>
  <c r="F260" i="10"/>
  <c r="E260" i="10"/>
  <c r="D260" i="10"/>
  <c r="M259" i="10"/>
  <c r="L259" i="10"/>
  <c r="K259" i="10"/>
  <c r="J259" i="10"/>
  <c r="I259" i="10"/>
  <c r="H259" i="10"/>
  <c r="C259" i="10" s="1"/>
  <c r="G259" i="10"/>
  <c r="F259" i="10"/>
  <c r="E259" i="10"/>
  <c r="D259" i="10"/>
  <c r="M258" i="10"/>
  <c r="L258" i="10"/>
  <c r="K258" i="10"/>
  <c r="J258" i="10"/>
  <c r="I258" i="10"/>
  <c r="H258" i="10"/>
  <c r="C258" i="10" s="1"/>
  <c r="G258" i="10"/>
  <c r="F258" i="10"/>
  <c r="E258" i="10"/>
  <c r="D258" i="10"/>
  <c r="M257" i="10"/>
  <c r="L257" i="10"/>
  <c r="K257" i="10"/>
  <c r="J257" i="10"/>
  <c r="I257" i="10"/>
  <c r="H257" i="10"/>
  <c r="C257" i="10" s="1"/>
  <c r="G257" i="10"/>
  <c r="F257" i="10"/>
  <c r="E257" i="10"/>
  <c r="D257" i="10"/>
  <c r="M256" i="10"/>
  <c r="L256" i="10"/>
  <c r="K256" i="10"/>
  <c r="J256" i="10"/>
  <c r="I256" i="10"/>
  <c r="H256" i="10"/>
  <c r="C256" i="10" s="1"/>
  <c r="G256" i="10"/>
  <c r="F256" i="10"/>
  <c r="E256" i="10"/>
  <c r="D256" i="10"/>
  <c r="M255" i="10"/>
  <c r="L255" i="10"/>
  <c r="K255" i="10"/>
  <c r="J255" i="10"/>
  <c r="I255" i="10"/>
  <c r="H255" i="10"/>
  <c r="C255" i="10" s="1"/>
  <c r="G255" i="10"/>
  <c r="F255" i="10"/>
  <c r="E255" i="10"/>
  <c r="D255" i="10"/>
  <c r="M254" i="10"/>
  <c r="L254" i="10"/>
  <c r="K254" i="10"/>
  <c r="J254" i="10"/>
  <c r="I254" i="10"/>
  <c r="H254" i="10"/>
  <c r="C254" i="10" s="1"/>
  <c r="G254" i="10"/>
  <c r="F254" i="10"/>
  <c r="E254" i="10"/>
  <c r="D254" i="10"/>
  <c r="M253" i="10"/>
  <c r="L253" i="10"/>
  <c r="K253" i="10"/>
  <c r="J253" i="10"/>
  <c r="I253" i="10"/>
  <c r="H253" i="10"/>
  <c r="C253" i="10" s="1"/>
  <c r="G253" i="10"/>
  <c r="F253" i="10"/>
  <c r="E253" i="10"/>
  <c r="D253" i="10"/>
  <c r="M252" i="10"/>
  <c r="L252" i="10"/>
  <c r="K252" i="10"/>
  <c r="J252" i="10"/>
  <c r="I252" i="10"/>
  <c r="H252" i="10"/>
  <c r="C252" i="10" s="1"/>
  <c r="G252" i="10"/>
  <c r="F252" i="10"/>
  <c r="E252" i="10"/>
  <c r="D252" i="10"/>
  <c r="M251" i="10"/>
  <c r="L251" i="10"/>
  <c r="K251" i="10"/>
  <c r="J251" i="10"/>
  <c r="I251" i="10"/>
  <c r="H251" i="10"/>
  <c r="C251" i="10" s="1"/>
  <c r="G251" i="10"/>
  <c r="F251" i="10"/>
  <c r="E251" i="10"/>
  <c r="D251" i="10"/>
  <c r="M250" i="10"/>
  <c r="L250" i="10"/>
  <c r="K250" i="10"/>
  <c r="J250" i="10"/>
  <c r="I250" i="10"/>
  <c r="H250" i="10"/>
  <c r="C250" i="10" s="1"/>
  <c r="G250" i="10"/>
  <c r="F250" i="10"/>
  <c r="E250" i="10"/>
  <c r="D250" i="10"/>
  <c r="M249" i="10"/>
  <c r="L249" i="10"/>
  <c r="K249" i="10"/>
  <c r="J249" i="10"/>
  <c r="I249" i="10"/>
  <c r="H249" i="10"/>
  <c r="G249" i="10"/>
  <c r="F249" i="10"/>
  <c r="E249" i="10"/>
  <c r="D249" i="10"/>
  <c r="M248" i="10"/>
  <c r="L248" i="10"/>
  <c r="K248" i="10"/>
  <c r="J248" i="10"/>
  <c r="I248" i="10"/>
  <c r="H248" i="10"/>
  <c r="C248" i="10" s="1"/>
  <c r="G248" i="10"/>
  <c r="F248" i="10"/>
  <c r="E248" i="10"/>
  <c r="D248" i="10"/>
  <c r="M247" i="10"/>
  <c r="L247" i="10"/>
  <c r="K247" i="10"/>
  <c r="J247" i="10"/>
  <c r="I247" i="10"/>
  <c r="H247" i="10"/>
  <c r="C247" i="10" s="1"/>
  <c r="G247" i="10"/>
  <c r="F247" i="10"/>
  <c r="E247" i="10"/>
  <c r="D247" i="10"/>
  <c r="M246" i="10"/>
  <c r="L246" i="10"/>
  <c r="K246" i="10"/>
  <c r="J246" i="10"/>
  <c r="I246" i="10"/>
  <c r="H246" i="10"/>
  <c r="C246" i="10" s="1"/>
  <c r="G246" i="10"/>
  <c r="F246" i="10"/>
  <c r="E246" i="10"/>
  <c r="D246" i="10"/>
  <c r="M245" i="10"/>
  <c r="L245" i="10"/>
  <c r="K245" i="10"/>
  <c r="J245" i="10"/>
  <c r="I245" i="10"/>
  <c r="H245" i="10"/>
  <c r="C245" i="10" s="1"/>
  <c r="G245" i="10"/>
  <c r="F245" i="10"/>
  <c r="E245" i="10"/>
  <c r="D245" i="10"/>
  <c r="M244" i="10"/>
  <c r="L244" i="10"/>
  <c r="K244" i="10"/>
  <c r="J244" i="10"/>
  <c r="I244" i="10"/>
  <c r="H244" i="10"/>
  <c r="C244" i="10" s="1"/>
  <c r="G244" i="10"/>
  <c r="F244" i="10"/>
  <c r="E244" i="10"/>
  <c r="D244" i="10"/>
  <c r="M243" i="10"/>
  <c r="L243" i="10"/>
  <c r="K243" i="10"/>
  <c r="J243" i="10"/>
  <c r="I243" i="10"/>
  <c r="H243" i="10"/>
  <c r="C243" i="10" s="1"/>
  <c r="G243" i="10"/>
  <c r="F243" i="10"/>
  <c r="E243" i="10"/>
  <c r="D243" i="10"/>
  <c r="M242" i="10"/>
  <c r="L242" i="10"/>
  <c r="K242" i="10"/>
  <c r="J242" i="10"/>
  <c r="I242" i="10"/>
  <c r="H242" i="10"/>
  <c r="C242" i="10" s="1"/>
  <c r="G242" i="10"/>
  <c r="F242" i="10"/>
  <c r="E242" i="10"/>
  <c r="D242" i="10"/>
  <c r="M241" i="10"/>
  <c r="L241" i="10"/>
  <c r="K241" i="10"/>
  <c r="J241" i="10"/>
  <c r="I241" i="10"/>
  <c r="H241" i="10"/>
  <c r="C241" i="10" s="1"/>
  <c r="G241" i="10"/>
  <c r="F241" i="10"/>
  <c r="E241" i="10"/>
  <c r="D241" i="10"/>
  <c r="M240" i="10"/>
  <c r="L240" i="10"/>
  <c r="K240" i="10"/>
  <c r="J240" i="10"/>
  <c r="I240" i="10"/>
  <c r="H240" i="10"/>
  <c r="C240" i="10" s="1"/>
  <c r="G240" i="10"/>
  <c r="F240" i="10"/>
  <c r="E240" i="10"/>
  <c r="D240" i="10"/>
  <c r="M239" i="10"/>
  <c r="L239" i="10"/>
  <c r="K239" i="10"/>
  <c r="J239" i="10"/>
  <c r="I239" i="10"/>
  <c r="H239" i="10"/>
  <c r="C239" i="10" s="1"/>
  <c r="G239" i="10"/>
  <c r="F239" i="10"/>
  <c r="E239" i="10"/>
  <c r="D239" i="10"/>
  <c r="M238" i="10"/>
  <c r="L238" i="10"/>
  <c r="K238" i="10"/>
  <c r="J238" i="10"/>
  <c r="I238" i="10"/>
  <c r="H238" i="10"/>
  <c r="C238" i="10" s="1"/>
  <c r="G238" i="10"/>
  <c r="F238" i="10"/>
  <c r="E238" i="10"/>
  <c r="D238" i="10"/>
  <c r="M237" i="10"/>
  <c r="L237" i="10"/>
  <c r="K237" i="10"/>
  <c r="J237" i="10"/>
  <c r="I237" i="10"/>
  <c r="H237" i="10"/>
  <c r="C237" i="10" s="1"/>
  <c r="G237" i="10"/>
  <c r="F237" i="10"/>
  <c r="E237" i="10"/>
  <c r="D237" i="10"/>
  <c r="M236" i="10"/>
  <c r="L236" i="10"/>
  <c r="K236" i="10"/>
  <c r="J236" i="10"/>
  <c r="I236" i="10"/>
  <c r="H236" i="10"/>
  <c r="C236" i="10" s="1"/>
  <c r="G236" i="10"/>
  <c r="F236" i="10"/>
  <c r="E236" i="10"/>
  <c r="D236" i="10"/>
  <c r="M235" i="10"/>
  <c r="L235" i="10"/>
  <c r="K235" i="10"/>
  <c r="J235" i="10"/>
  <c r="I235" i="10"/>
  <c r="H235" i="10"/>
  <c r="C235" i="10" s="1"/>
  <c r="G235" i="10"/>
  <c r="F235" i="10"/>
  <c r="E235" i="10"/>
  <c r="D235" i="10"/>
  <c r="M234" i="10"/>
  <c r="L234" i="10"/>
  <c r="K234" i="10"/>
  <c r="J234" i="10"/>
  <c r="I234" i="10"/>
  <c r="H234" i="10"/>
  <c r="C234" i="10" s="1"/>
  <c r="G234" i="10"/>
  <c r="F234" i="10"/>
  <c r="E234" i="10"/>
  <c r="D234" i="10"/>
  <c r="M233" i="10"/>
  <c r="L233" i="10"/>
  <c r="K233" i="10"/>
  <c r="J233" i="10"/>
  <c r="I233" i="10"/>
  <c r="H233" i="10"/>
  <c r="C233" i="10" s="1"/>
  <c r="G233" i="10"/>
  <c r="F233" i="10"/>
  <c r="E233" i="10"/>
  <c r="D233" i="10"/>
  <c r="M232" i="10"/>
  <c r="L232" i="10"/>
  <c r="K232" i="10"/>
  <c r="J232" i="10"/>
  <c r="I232" i="10"/>
  <c r="H232" i="10"/>
  <c r="C232" i="10" s="1"/>
  <c r="G232" i="10"/>
  <c r="F232" i="10"/>
  <c r="E232" i="10"/>
  <c r="D232" i="10"/>
  <c r="M231" i="10"/>
  <c r="L231" i="10"/>
  <c r="K231" i="10"/>
  <c r="J231" i="10"/>
  <c r="I231" i="10"/>
  <c r="H231" i="10"/>
  <c r="C231" i="10" s="1"/>
  <c r="G231" i="10"/>
  <c r="F231" i="10"/>
  <c r="E231" i="10"/>
  <c r="D231" i="10"/>
  <c r="M230" i="10"/>
  <c r="L230" i="10"/>
  <c r="K230" i="10"/>
  <c r="J230" i="10"/>
  <c r="I230" i="10"/>
  <c r="H230" i="10"/>
  <c r="C230" i="10" s="1"/>
  <c r="G230" i="10"/>
  <c r="F230" i="10"/>
  <c r="E230" i="10"/>
  <c r="D230" i="10"/>
  <c r="M229" i="10"/>
  <c r="L229" i="10"/>
  <c r="K229" i="10"/>
  <c r="J229" i="10"/>
  <c r="I229" i="10"/>
  <c r="H229" i="10"/>
  <c r="C229" i="10" s="1"/>
  <c r="G229" i="10"/>
  <c r="F229" i="10"/>
  <c r="E229" i="10"/>
  <c r="D229" i="10"/>
  <c r="M228" i="10"/>
  <c r="L228" i="10"/>
  <c r="K228" i="10"/>
  <c r="J228" i="10"/>
  <c r="I228" i="10"/>
  <c r="H228" i="10"/>
  <c r="C228" i="10" s="1"/>
  <c r="G228" i="10"/>
  <c r="F228" i="10"/>
  <c r="E228" i="10"/>
  <c r="D228" i="10"/>
  <c r="M227" i="10"/>
  <c r="L227" i="10"/>
  <c r="K227" i="10"/>
  <c r="J227" i="10"/>
  <c r="I227" i="10"/>
  <c r="H227" i="10"/>
  <c r="C227" i="10" s="1"/>
  <c r="G227" i="10"/>
  <c r="F227" i="10"/>
  <c r="E227" i="10"/>
  <c r="D227" i="10"/>
  <c r="M226" i="10"/>
  <c r="L226" i="10"/>
  <c r="K226" i="10"/>
  <c r="J226" i="10"/>
  <c r="I226" i="10"/>
  <c r="H226" i="10"/>
  <c r="C226" i="10" s="1"/>
  <c r="G226" i="10"/>
  <c r="F226" i="10"/>
  <c r="E226" i="10"/>
  <c r="D226" i="10"/>
  <c r="M225" i="10"/>
  <c r="L225" i="10"/>
  <c r="K225" i="10"/>
  <c r="J225" i="10"/>
  <c r="I225" i="10"/>
  <c r="H225" i="10"/>
  <c r="C225" i="10" s="1"/>
  <c r="G225" i="10"/>
  <c r="F225" i="10"/>
  <c r="E225" i="10"/>
  <c r="D225" i="10"/>
  <c r="M224" i="10"/>
  <c r="L224" i="10"/>
  <c r="K224" i="10"/>
  <c r="J224" i="10"/>
  <c r="I224" i="10"/>
  <c r="H224" i="10"/>
  <c r="C224" i="10" s="1"/>
  <c r="G224" i="10"/>
  <c r="F224" i="10"/>
  <c r="E224" i="10"/>
  <c r="D224" i="10"/>
  <c r="M223" i="10"/>
  <c r="L223" i="10"/>
  <c r="K223" i="10"/>
  <c r="J223" i="10"/>
  <c r="I223" i="10"/>
  <c r="H223" i="10"/>
  <c r="C223" i="10" s="1"/>
  <c r="G223" i="10"/>
  <c r="F223" i="10"/>
  <c r="E223" i="10"/>
  <c r="D223" i="10"/>
  <c r="M222" i="10"/>
  <c r="L222" i="10"/>
  <c r="K222" i="10"/>
  <c r="J222" i="10"/>
  <c r="I222" i="10"/>
  <c r="H222" i="10"/>
  <c r="C222" i="10" s="1"/>
  <c r="G222" i="10"/>
  <c r="F222" i="10"/>
  <c r="E222" i="10"/>
  <c r="D222" i="10"/>
  <c r="M221" i="10"/>
  <c r="L221" i="10"/>
  <c r="K221" i="10"/>
  <c r="J221" i="10"/>
  <c r="I221" i="10"/>
  <c r="H221" i="10"/>
  <c r="C221" i="10" s="1"/>
  <c r="G221" i="10"/>
  <c r="F221" i="10"/>
  <c r="E221" i="10"/>
  <c r="D221" i="10"/>
  <c r="M220" i="10"/>
  <c r="L220" i="10"/>
  <c r="K220" i="10"/>
  <c r="J220" i="10"/>
  <c r="I220" i="10"/>
  <c r="H220" i="10"/>
  <c r="C220" i="10" s="1"/>
  <c r="G220" i="10"/>
  <c r="F220" i="10"/>
  <c r="E220" i="10"/>
  <c r="D220" i="10"/>
  <c r="M219" i="10"/>
  <c r="L219" i="10"/>
  <c r="K219" i="10"/>
  <c r="J219" i="10"/>
  <c r="I219" i="10"/>
  <c r="H219" i="10"/>
  <c r="C219" i="10" s="1"/>
  <c r="G219" i="10"/>
  <c r="F219" i="10"/>
  <c r="E219" i="10"/>
  <c r="D219" i="10"/>
  <c r="M218" i="10"/>
  <c r="L218" i="10"/>
  <c r="K218" i="10"/>
  <c r="J218" i="10"/>
  <c r="I218" i="10"/>
  <c r="H218" i="10"/>
  <c r="G218" i="10"/>
  <c r="F218" i="10"/>
  <c r="E218" i="10"/>
  <c r="D218" i="10"/>
  <c r="M217" i="10"/>
  <c r="L217" i="10"/>
  <c r="K217" i="10"/>
  <c r="J217" i="10"/>
  <c r="I217" i="10"/>
  <c r="H217" i="10"/>
  <c r="C217" i="10" s="1"/>
  <c r="G217" i="10"/>
  <c r="F217" i="10"/>
  <c r="E217" i="10"/>
  <c r="D217" i="10"/>
  <c r="M216" i="10"/>
  <c r="L216" i="10"/>
  <c r="K216" i="10"/>
  <c r="J216" i="10"/>
  <c r="I216" i="10"/>
  <c r="H216" i="10"/>
  <c r="C216" i="10" s="1"/>
  <c r="G216" i="10"/>
  <c r="F216" i="10"/>
  <c r="E216" i="10"/>
  <c r="D216" i="10"/>
  <c r="M215" i="10"/>
  <c r="L215" i="10"/>
  <c r="K215" i="10"/>
  <c r="J215" i="10"/>
  <c r="I215" i="10"/>
  <c r="H215" i="10"/>
  <c r="C215" i="10" s="1"/>
  <c r="G215" i="10"/>
  <c r="F215" i="10"/>
  <c r="E215" i="10"/>
  <c r="D215" i="10"/>
  <c r="M214" i="10"/>
  <c r="L214" i="10"/>
  <c r="K214" i="10"/>
  <c r="J214" i="10"/>
  <c r="I214" i="10"/>
  <c r="H214" i="10"/>
  <c r="C214" i="10" s="1"/>
  <c r="G214" i="10"/>
  <c r="F214" i="10"/>
  <c r="E214" i="10"/>
  <c r="D214" i="10"/>
  <c r="M213" i="10"/>
  <c r="L213" i="10"/>
  <c r="K213" i="10"/>
  <c r="J213" i="10"/>
  <c r="I213" i="10"/>
  <c r="H213" i="10"/>
  <c r="C213" i="10" s="1"/>
  <c r="G213" i="10"/>
  <c r="F213" i="10"/>
  <c r="E213" i="10"/>
  <c r="D213" i="10"/>
  <c r="M212" i="10"/>
  <c r="L212" i="10"/>
  <c r="K212" i="10"/>
  <c r="J212" i="10"/>
  <c r="I212" i="10"/>
  <c r="H212" i="10"/>
  <c r="C212" i="10" s="1"/>
  <c r="G212" i="10"/>
  <c r="F212" i="10"/>
  <c r="E212" i="10"/>
  <c r="D212" i="10"/>
  <c r="M211" i="10"/>
  <c r="L211" i="10"/>
  <c r="K211" i="10"/>
  <c r="J211" i="10"/>
  <c r="I211" i="10"/>
  <c r="H211" i="10"/>
  <c r="C211" i="10" s="1"/>
  <c r="G211" i="10"/>
  <c r="F211" i="10"/>
  <c r="E211" i="10"/>
  <c r="D211" i="10"/>
  <c r="M210" i="10"/>
  <c r="L210" i="10"/>
  <c r="K210" i="10"/>
  <c r="J210" i="10"/>
  <c r="I210" i="10"/>
  <c r="H210" i="10"/>
  <c r="C210" i="10" s="1"/>
  <c r="G210" i="10"/>
  <c r="F210" i="10"/>
  <c r="E210" i="10"/>
  <c r="D210" i="10"/>
  <c r="M209" i="10"/>
  <c r="L209" i="10"/>
  <c r="K209" i="10"/>
  <c r="J209" i="10"/>
  <c r="I209" i="10"/>
  <c r="H209" i="10"/>
  <c r="C209" i="10" s="1"/>
  <c r="G209" i="10"/>
  <c r="F209" i="10"/>
  <c r="E209" i="10"/>
  <c r="D209" i="10"/>
  <c r="M208" i="10"/>
  <c r="L208" i="10"/>
  <c r="K208" i="10"/>
  <c r="J208" i="10"/>
  <c r="I208" i="10"/>
  <c r="H208" i="10"/>
  <c r="C208" i="10" s="1"/>
  <c r="G208" i="10"/>
  <c r="F208" i="10"/>
  <c r="E208" i="10"/>
  <c r="D208" i="10"/>
  <c r="M207" i="10"/>
  <c r="L207" i="10"/>
  <c r="K207" i="10"/>
  <c r="J207" i="10"/>
  <c r="I207" i="10"/>
  <c r="H207" i="10"/>
  <c r="C207" i="10" s="1"/>
  <c r="G207" i="10"/>
  <c r="F207" i="10"/>
  <c r="E207" i="10"/>
  <c r="D207" i="10"/>
  <c r="M206" i="10"/>
  <c r="L206" i="10"/>
  <c r="K206" i="10"/>
  <c r="J206" i="10"/>
  <c r="I206" i="10"/>
  <c r="H206" i="10"/>
  <c r="C206" i="10" s="1"/>
  <c r="G206" i="10"/>
  <c r="F206" i="10"/>
  <c r="E206" i="10"/>
  <c r="D206" i="10"/>
  <c r="M205" i="10"/>
  <c r="L205" i="10"/>
  <c r="K205" i="10"/>
  <c r="J205" i="10"/>
  <c r="I205" i="10"/>
  <c r="H205" i="10"/>
  <c r="C205" i="10" s="1"/>
  <c r="G205" i="10"/>
  <c r="F205" i="10"/>
  <c r="E205" i="10"/>
  <c r="D205" i="10"/>
  <c r="M204" i="10"/>
  <c r="L204" i="10"/>
  <c r="K204" i="10"/>
  <c r="J204" i="10"/>
  <c r="I204" i="10"/>
  <c r="H204" i="10"/>
  <c r="C204" i="10" s="1"/>
  <c r="G204" i="10"/>
  <c r="F204" i="10"/>
  <c r="E204" i="10"/>
  <c r="D204" i="10"/>
  <c r="M203" i="10"/>
  <c r="L203" i="10"/>
  <c r="K203" i="10"/>
  <c r="J203" i="10"/>
  <c r="I203" i="10"/>
  <c r="H203" i="10"/>
  <c r="C203" i="10" s="1"/>
  <c r="G203" i="10"/>
  <c r="F203" i="10"/>
  <c r="E203" i="10"/>
  <c r="D203" i="10"/>
  <c r="M202" i="10"/>
  <c r="L202" i="10"/>
  <c r="K202" i="10"/>
  <c r="J202" i="10"/>
  <c r="I202" i="10"/>
  <c r="H202" i="10"/>
  <c r="C202" i="10" s="1"/>
  <c r="G202" i="10"/>
  <c r="F202" i="10"/>
  <c r="E202" i="10"/>
  <c r="D202" i="10"/>
  <c r="M201" i="10"/>
  <c r="L201" i="10"/>
  <c r="K201" i="10"/>
  <c r="J201" i="10"/>
  <c r="I201" i="10"/>
  <c r="H201" i="10"/>
  <c r="C201" i="10" s="1"/>
  <c r="G201" i="10"/>
  <c r="F201" i="10"/>
  <c r="E201" i="10"/>
  <c r="D201" i="10"/>
  <c r="M200" i="10"/>
  <c r="L200" i="10"/>
  <c r="K200" i="10"/>
  <c r="J200" i="10"/>
  <c r="I200" i="10"/>
  <c r="H200" i="10"/>
  <c r="C200" i="10" s="1"/>
  <c r="G200" i="10"/>
  <c r="F200" i="10"/>
  <c r="E200" i="10"/>
  <c r="D200" i="10"/>
  <c r="M199" i="10"/>
  <c r="L199" i="10"/>
  <c r="K199" i="10"/>
  <c r="J199" i="10"/>
  <c r="I199" i="10"/>
  <c r="H199" i="10"/>
  <c r="C199" i="10" s="1"/>
  <c r="G199" i="10"/>
  <c r="F199" i="10"/>
  <c r="E199" i="10"/>
  <c r="D199" i="10"/>
  <c r="M198" i="10"/>
  <c r="L198" i="10"/>
  <c r="K198" i="10"/>
  <c r="J198" i="10"/>
  <c r="I198" i="10"/>
  <c r="H198" i="10"/>
  <c r="C198" i="10" s="1"/>
  <c r="G198" i="10"/>
  <c r="F198" i="10"/>
  <c r="E198" i="10"/>
  <c r="D198" i="10"/>
  <c r="M197" i="10"/>
  <c r="L197" i="10"/>
  <c r="K197" i="10"/>
  <c r="J197" i="10"/>
  <c r="I197" i="10"/>
  <c r="H197" i="10"/>
  <c r="C197" i="10" s="1"/>
  <c r="G197" i="10"/>
  <c r="F197" i="10"/>
  <c r="E197" i="10"/>
  <c r="D197" i="10"/>
  <c r="M196" i="10"/>
  <c r="L196" i="10"/>
  <c r="K196" i="10"/>
  <c r="J196" i="10"/>
  <c r="I196" i="10"/>
  <c r="H196" i="10"/>
  <c r="C196" i="10" s="1"/>
  <c r="G196" i="10"/>
  <c r="F196" i="10"/>
  <c r="E196" i="10"/>
  <c r="D196" i="10"/>
  <c r="M195" i="10"/>
  <c r="L195" i="10"/>
  <c r="K195" i="10"/>
  <c r="J195" i="10"/>
  <c r="I195" i="10"/>
  <c r="H195" i="10"/>
  <c r="C195" i="10" s="1"/>
  <c r="G195" i="10"/>
  <c r="F195" i="10"/>
  <c r="E195" i="10"/>
  <c r="D195" i="10"/>
  <c r="M194" i="10"/>
  <c r="L194" i="10"/>
  <c r="K194" i="10"/>
  <c r="J194" i="10"/>
  <c r="I194" i="10"/>
  <c r="H194" i="10"/>
  <c r="C194" i="10" s="1"/>
  <c r="G194" i="10"/>
  <c r="F194" i="10"/>
  <c r="E194" i="10"/>
  <c r="D194" i="10"/>
  <c r="M193" i="10"/>
  <c r="L193" i="10"/>
  <c r="K193" i="10"/>
  <c r="J193" i="10"/>
  <c r="I193" i="10"/>
  <c r="H193" i="10"/>
  <c r="C193" i="10" s="1"/>
  <c r="G193" i="10"/>
  <c r="F193" i="10"/>
  <c r="E193" i="10"/>
  <c r="D193" i="10"/>
  <c r="M192" i="10"/>
  <c r="L192" i="10"/>
  <c r="K192" i="10"/>
  <c r="J192" i="10"/>
  <c r="I192" i="10"/>
  <c r="H192" i="10"/>
  <c r="C192" i="10" s="1"/>
  <c r="G192" i="10"/>
  <c r="F192" i="10"/>
  <c r="E192" i="10"/>
  <c r="D192" i="10"/>
  <c r="M191" i="10"/>
  <c r="L191" i="10"/>
  <c r="K191" i="10"/>
  <c r="J191" i="10"/>
  <c r="I191" i="10"/>
  <c r="H191" i="10"/>
  <c r="C191" i="10" s="1"/>
  <c r="G191" i="10"/>
  <c r="F191" i="10"/>
  <c r="E191" i="10"/>
  <c r="D191" i="10"/>
  <c r="M190" i="10"/>
  <c r="L190" i="10"/>
  <c r="K190" i="10"/>
  <c r="J190" i="10"/>
  <c r="I190" i="10"/>
  <c r="H190" i="10"/>
  <c r="C190" i="10" s="1"/>
  <c r="G190" i="10"/>
  <c r="F190" i="10"/>
  <c r="E190" i="10"/>
  <c r="D190" i="10"/>
  <c r="M189" i="10"/>
  <c r="L189" i="10"/>
  <c r="K189" i="10"/>
  <c r="J189" i="10"/>
  <c r="I189" i="10"/>
  <c r="H189" i="10"/>
  <c r="C189" i="10" s="1"/>
  <c r="G189" i="10"/>
  <c r="F189" i="10"/>
  <c r="E189" i="10"/>
  <c r="D189" i="10"/>
  <c r="M188" i="10"/>
  <c r="L188" i="10"/>
  <c r="K188" i="10"/>
  <c r="J188" i="10"/>
  <c r="I188" i="10"/>
  <c r="H188" i="10"/>
  <c r="C188" i="10" s="1"/>
  <c r="G188" i="10"/>
  <c r="F188" i="10"/>
  <c r="E188" i="10"/>
  <c r="D188" i="10"/>
  <c r="M187" i="10"/>
  <c r="L187" i="10"/>
  <c r="K187" i="10"/>
  <c r="J187" i="10"/>
  <c r="I187" i="10"/>
  <c r="H187" i="10"/>
  <c r="G187" i="10"/>
  <c r="F187" i="10"/>
  <c r="E187" i="10"/>
  <c r="D187" i="10"/>
  <c r="M186" i="10"/>
  <c r="L186" i="10"/>
  <c r="K186" i="10"/>
  <c r="J186" i="10"/>
  <c r="I186" i="10"/>
  <c r="H186" i="10"/>
  <c r="C186" i="10" s="1"/>
  <c r="G186" i="10"/>
  <c r="F186" i="10"/>
  <c r="E186" i="10"/>
  <c r="D186" i="10"/>
  <c r="M185" i="10"/>
  <c r="L185" i="10"/>
  <c r="K185" i="10"/>
  <c r="J185" i="10"/>
  <c r="I185" i="10"/>
  <c r="H185" i="10"/>
  <c r="C185" i="10" s="1"/>
  <c r="G185" i="10"/>
  <c r="F185" i="10"/>
  <c r="E185" i="10"/>
  <c r="D185" i="10"/>
  <c r="M184" i="10"/>
  <c r="L184" i="10"/>
  <c r="K184" i="10"/>
  <c r="J184" i="10"/>
  <c r="I184" i="10"/>
  <c r="H184" i="10"/>
  <c r="C184" i="10" s="1"/>
  <c r="G184" i="10"/>
  <c r="F184" i="10"/>
  <c r="E184" i="10"/>
  <c r="D184" i="10"/>
  <c r="M183" i="10"/>
  <c r="L183" i="10"/>
  <c r="K183" i="10"/>
  <c r="J183" i="10"/>
  <c r="I183" i="10"/>
  <c r="H183" i="10"/>
  <c r="C183" i="10" s="1"/>
  <c r="G183" i="10"/>
  <c r="F183" i="10"/>
  <c r="E183" i="10"/>
  <c r="D183" i="10"/>
  <c r="M182" i="10"/>
  <c r="L182" i="10"/>
  <c r="K182" i="10"/>
  <c r="J182" i="10"/>
  <c r="I182" i="10"/>
  <c r="H182" i="10"/>
  <c r="C182" i="10" s="1"/>
  <c r="G182" i="10"/>
  <c r="F182" i="10"/>
  <c r="E182" i="10"/>
  <c r="D182" i="10"/>
  <c r="M181" i="10"/>
  <c r="L181" i="10"/>
  <c r="K181" i="10"/>
  <c r="J181" i="10"/>
  <c r="I181" i="10"/>
  <c r="H181" i="10"/>
  <c r="C181" i="10" s="1"/>
  <c r="G181" i="10"/>
  <c r="F181" i="10"/>
  <c r="E181" i="10"/>
  <c r="D181" i="10"/>
  <c r="M180" i="10"/>
  <c r="L180" i="10"/>
  <c r="K180" i="10"/>
  <c r="J180" i="10"/>
  <c r="I180" i="10"/>
  <c r="H180" i="10"/>
  <c r="C180" i="10" s="1"/>
  <c r="G180" i="10"/>
  <c r="F180" i="10"/>
  <c r="E180" i="10"/>
  <c r="D180" i="10"/>
  <c r="M179" i="10"/>
  <c r="L179" i="10"/>
  <c r="K179" i="10"/>
  <c r="J179" i="10"/>
  <c r="I179" i="10"/>
  <c r="H179" i="10"/>
  <c r="C179" i="10" s="1"/>
  <c r="G179" i="10"/>
  <c r="F179" i="10"/>
  <c r="E179" i="10"/>
  <c r="D179" i="10"/>
  <c r="M178" i="10"/>
  <c r="L178" i="10"/>
  <c r="K178" i="10"/>
  <c r="J178" i="10"/>
  <c r="I178" i="10"/>
  <c r="H178" i="10"/>
  <c r="C178" i="10" s="1"/>
  <c r="G178" i="10"/>
  <c r="F178" i="10"/>
  <c r="E178" i="10"/>
  <c r="D178" i="10"/>
  <c r="M177" i="10"/>
  <c r="L177" i="10"/>
  <c r="K177" i="10"/>
  <c r="J177" i="10"/>
  <c r="I177" i="10"/>
  <c r="H177" i="10"/>
  <c r="C177" i="10" s="1"/>
  <c r="G177" i="10"/>
  <c r="F177" i="10"/>
  <c r="E177" i="10"/>
  <c r="D177" i="10"/>
  <c r="M176" i="10"/>
  <c r="L176" i="10"/>
  <c r="K176" i="10"/>
  <c r="J176" i="10"/>
  <c r="I176" i="10"/>
  <c r="H176" i="10"/>
  <c r="C176" i="10" s="1"/>
  <c r="G176" i="10"/>
  <c r="F176" i="10"/>
  <c r="E176" i="10"/>
  <c r="D176" i="10"/>
  <c r="M175" i="10"/>
  <c r="L175" i="10"/>
  <c r="K175" i="10"/>
  <c r="J175" i="10"/>
  <c r="I175" i="10"/>
  <c r="H175" i="10"/>
  <c r="C175" i="10" s="1"/>
  <c r="G175" i="10"/>
  <c r="F175" i="10"/>
  <c r="E175" i="10"/>
  <c r="D175" i="10"/>
  <c r="M174" i="10"/>
  <c r="L174" i="10"/>
  <c r="K174" i="10"/>
  <c r="J174" i="10"/>
  <c r="I174" i="10"/>
  <c r="H174" i="10"/>
  <c r="C174" i="10" s="1"/>
  <c r="G174" i="10"/>
  <c r="F174" i="10"/>
  <c r="E174" i="10"/>
  <c r="D174" i="10"/>
  <c r="M173" i="10"/>
  <c r="L173" i="10"/>
  <c r="K173" i="10"/>
  <c r="J173" i="10"/>
  <c r="I173" i="10"/>
  <c r="H173" i="10"/>
  <c r="C173" i="10" s="1"/>
  <c r="G173" i="10"/>
  <c r="F173" i="10"/>
  <c r="E173" i="10"/>
  <c r="D173" i="10"/>
  <c r="M172" i="10"/>
  <c r="L172" i="10"/>
  <c r="K172" i="10"/>
  <c r="J172" i="10"/>
  <c r="I172" i="10"/>
  <c r="H172" i="10"/>
  <c r="C172" i="10" s="1"/>
  <c r="G172" i="10"/>
  <c r="F172" i="10"/>
  <c r="E172" i="10"/>
  <c r="D172" i="10"/>
  <c r="M171" i="10"/>
  <c r="L171" i="10"/>
  <c r="K171" i="10"/>
  <c r="J171" i="10"/>
  <c r="I171" i="10"/>
  <c r="H171" i="10"/>
  <c r="C171" i="10" s="1"/>
  <c r="G171" i="10"/>
  <c r="F171" i="10"/>
  <c r="E171" i="10"/>
  <c r="D171" i="10"/>
  <c r="M170" i="10"/>
  <c r="L170" i="10"/>
  <c r="K170" i="10"/>
  <c r="J170" i="10"/>
  <c r="I170" i="10"/>
  <c r="H170" i="10"/>
  <c r="C170" i="10" s="1"/>
  <c r="G170" i="10"/>
  <c r="F170" i="10"/>
  <c r="E170" i="10"/>
  <c r="D170" i="10"/>
  <c r="M169" i="10"/>
  <c r="L169" i="10"/>
  <c r="K169" i="10"/>
  <c r="J169" i="10"/>
  <c r="I169" i="10"/>
  <c r="H169" i="10"/>
  <c r="C169" i="10" s="1"/>
  <c r="G169" i="10"/>
  <c r="F169" i="10"/>
  <c r="E169" i="10"/>
  <c r="D169" i="10"/>
  <c r="M168" i="10"/>
  <c r="L168" i="10"/>
  <c r="K168" i="10"/>
  <c r="J168" i="10"/>
  <c r="I168" i="10"/>
  <c r="H168" i="10"/>
  <c r="C168" i="10" s="1"/>
  <c r="G168" i="10"/>
  <c r="F168" i="10"/>
  <c r="E168" i="10"/>
  <c r="D168" i="10"/>
  <c r="M167" i="10"/>
  <c r="L167" i="10"/>
  <c r="K167" i="10"/>
  <c r="J167" i="10"/>
  <c r="I167" i="10"/>
  <c r="H167" i="10"/>
  <c r="C167" i="10" s="1"/>
  <c r="G167" i="10"/>
  <c r="F167" i="10"/>
  <c r="E167" i="10"/>
  <c r="D167" i="10"/>
  <c r="M166" i="10"/>
  <c r="L166" i="10"/>
  <c r="K166" i="10"/>
  <c r="J166" i="10"/>
  <c r="I166" i="10"/>
  <c r="H166" i="10"/>
  <c r="C166" i="10" s="1"/>
  <c r="G166" i="10"/>
  <c r="F166" i="10"/>
  <c r="E166" i="10"/>
  <c r="D166" i="10"/>
  <c r="M165" i="10"/>
  <c r="L165" i="10"/>
  <c r="K165" i="10"/>
  <c r="J165" i="10"/>
  <c r="I165" i="10"/>
  <c r="H165" i="10"/>
  <c r="C165" i="10" s="1"/>
  <c r="G165" i="10"/>
  <c r="F165" i="10"/>
  <c r="E165" i="10"/>
  <c r="D165" i="10"/>
  <c r="M164" i="10"/>
  <c r="L164" i="10"/>
  <c r="K164" i="10"/>
  <c r="J164" i="10"/>
  <c r="I164" i="10"/>
  <c r="H164" i="10"/>
  <c r="C164" i="10" s="1"/>
  <c r="G164" i="10"/>
  <c r="F164" i="10"/>
  <c r="E164" i="10"/>
  <c r="D164" i="10"/>
  <c r="M163" i="10"/>
  <c r="L163" i="10"/>
  <c r="K163" i="10"/>
  <c r="J163" i="10"/>
  <c r="I163" i="10"/>
  <c r="H163" i="10"/>
  <c r="C163" i="10" s="1"/>
  <c r="G163" i="10"/>
  <c r="F163" i="10"/>
  <c r="E163" i="10"/>
  <c r="D163" i="10"/>
  <c r="M162" i="10"/>
  <c r="L162" i="10"/>
  <c r="K162" i="10"/>
  <c r="J162" i="10"/>
  <c r="I162" i="10"/>
  <c r="H162" i="10"/>
  <c r="C162" i="10" s="1"/>
  <c r="G162" i="10"/>
  <c r="F162" i="10"/>
  <c r="E162" i="10"/>
  <c r="D162" i="10"/>
  <c r="M161" i="10"/>
  <c r="L161" i="10"/>
  <c r="K161" i="10"/>
  <c r="J161" i="10"/>
  <c r="I161" i="10"/>
  <c r="H161" i="10"/>
  <c r="C161" i="10" s="1"/>
  <c r="G161" i="10"/>
  <c r="F161" i="10"/>
  <c r="E161" i="10"/>
  <c r="D161" i="10"/>
  <c r="M160" i="10"/>
  <c r="L160" i="10"/>
  <c r="K160" i="10"/>
  <c r="J160" i="10"/>
  <c r="I160" i="10"/>
  <c r="H160" i="10"/>
  <c r="C160" i="10" s="1"/>
  <c r="G160" i="10"/>
  <c r="F160" i="10"/>
  <c r="E160" i="10"/>
  <c r="D160" i="10"/>
  <c r="M159" i="10"/>
  <c r="L159" i="10"/>
  <c r="K159" i="10"/>
  <c r="J159" i="10"/>
  <c r="I159" i="10"/>
  <c r="H159" i="10"/>
  <c r="C159" i="10" s="1"/>
  <c r="G159" i="10"/>
  <c r="F159" i="10"/>
  <c r="E159" i="10"/>
  <c r="D159" i="10"/>
  <c r="M158" i="10"/>
  <c r="L158" i="10"/>
  <c r="K158" i="10"/>
  <c r="J158" i="10"/>
  <c r="I158" i="10"/>
  <c r="H158" i="10"/>
  <c r="C158" i="10" s="1"/>
  <c r="G158" i="10"/>
  <c r="F158" i="10"/>
  <c r="E158" i="10"/>
  <c r="D158" i="10"/>
  <c r="M157" i="10"/>
  <c r="L157" i="10"/>
  <c r="K157" i="10"/>
  <c r="J157" i="10"/>
  <c r="I157" i="10"/>
  <c r="H157" i="10"/>
  <c r="G157" i="10"/>
  <c r="F157" i="10"/>
  <c r="E157" i="10"/>
  <c r="D157" i="10"/>
  <c r="M156" i="10"/>
  <c r="L156" i="10"/>
  <c r="K156" i="10"/>
  <c r="J156" i="10"/>
  <c r="I156" i="10"/>
  <c r="H156" i="10"/>
  <c r="C156" i="10" s="1"/>
  <c r="G156" i="10"/>
  <c r="F156" i="10"/>
  <c r="E156" i="10"/>
  <c r="D156" i="10"/>
  <c r="M155" i="10"/>
  <c r="L155" i="10"/>
  <c r="K155" i="10"/>
  <c r="J155" i="10"/>
  <c r="I155" i="10"/>
  <c r="H155" i="10"/>
  <c r="C155" i="10" s="1"/>
  <c r="G155" i="10"/>
  <c r="F155" i="10"/>
  <c r="E155" i="10"/>
  <c r="D155" i="10"/>
  <c r="M154" i="10"/>
  <c r="L154" i="10"/>
  <c r="K154" i="10"/>
  <c r="J154" i="10"/>
  <c r="I154" i="10"/>
  <c r="H154" i="10"/>
  <c r="C154" i="10" s="1"/>
  <c r="G154" i="10"/>
  <c r="F154" i="10"/>
  <c r="E154" i="10"/>
  <c r="D154" i="10"/>
  <c r="M153" i="10"/>
  <c r="L153" i="10"/>
  <c r="K153" i="10"/>
  <c r="J153" i="10"/>
  <c r="I153" i="10"/>
  <c r="H153" i="10"/>
  <c r="C153" i="10" s="1"/>
  <c r="G153" i="10"/>
  <c r="F153" i="10"/>
  <c r="E153" i="10"/>
  <c r="D153" i="10"/>
  <c r="M152" i="10"/>
  <c r="L152" i="10"/>
  <c r="K152" i="10"/>
  <c r="J152" i="10"/>
  <c r="I152" i="10"/>
  <c r="H152" i="10"/>
  <c r="C152" i="10" s="1"/>
  <c r="G152" i="10"/>
  <c r="F152" i="10"/>
  <c r="E152" i="10"/>
  <c r="D152" i="10"/>
  <c r="M151" i="10"/>
  <c r="L151" i="10"/>
  <c r="K151" i="10"/>
  <c r="J151" i="10"/>
  <c r="I151" i="10"/>
  <c r="H151" i="10"/>
  <c r="C151" i="10" s="1"/>
  <c r="G151" i="10"/>
  <c r="F151" i="10"/>
  <c r="E151" i="10"/>
  <c r="D151" i="10"/>
  <c r="M150" i="10"/>
  <c r="L150" i="10"/>
  <c r="K150" i="10"/>
  <c r="J150" i="10"/>
  <c r="I150" i="10"/>
  <c r="H150" i="10"/>
  <c r="C150" i="10" s="1"/>
  <c r="G150" i="10"/>
  <c r="F150" i="10"/>
  <c r="E150" i="10"/>
  <c r="D150" i="10"/>
  <c r="M149" i="10"/>
  <c r="L149" i="10"/>
  <c r="K149" i="10"/>
  <c r="J149" i="10"/>
  <c r="I149" i="10"/>
  <c r="H149" i="10"/>
  <c r="C149" i="10" s="1"/>
  <c r="G149" i="10"/>
  <c r="F149" i="10"/>
  <c r="E149" i="10"/>
  <c r="D149" i="10"/>
  <c r="M148" i="10"/>
  <c r="L148" i="10"/>
  <c r="K148" i="10"/>
  <c r="J148" i="10"/>
  <c r="I148" i="10"/>
  <c r="H148" i="10"/>
  <c r="C148" i="10" s="1"/>
  <c r="G148" i="10"/>
  <c r="F148" i="10"/>
  <c r="E148" i="10"/>
  <c r="D148" i="10"/>
  <c r="M147" i="10"/>
  <c r="L147" i="10"/>
  <c r="K147" i="10"/>
  <c r="J147" i="10"/>
  <c r="I147" i="10"/>
  <c r="H147" i="10"/>
  <c r="C147" i="10" s="1"/>
  <c r="G147" i="10"/>
  <c r="F147" i="10"/>
  <c r="E147" i="10"/>
  <c r="D147" i="10"/>
  <c r="M146" i="10"/>
  <c r="L146" i="10"/>
  <c r="K146" i="10"/>
  <c r="J146" i="10"/>
  <c r="I146" i="10"/>
  <c r="H146" i="10"/>
  <c r="C146" i="10" s="1"/>
  <c r="G146" i="10"/>
  <c r="F146" i="10"/>
  <c r="E146" i="10"/>
  <c r="D146" i="10"/>
  <c r="M145" i="10"/>
  <c r="L145" i="10"/>
  <c r="K145" i="10"/>
  <c r="J145" i="10"/>
  <c r="I145" i="10"/>
  <c r="H145" i="10"/>
  <c r="C145" i="10" s="1"/>
  <c r="G145" i="10"/>
  <c r="F145" i="10"/>
  <c r="E145" i="10"/>
  <c r="D145" i="10"/>
  <c r="M144" i="10"/>
  <c r="L144" i="10"/>
  <c r="K144" i="10"/>
  <c r="J144" i="10"/>
  <c r="I144" i="10"/>
  <c r="H144" i="10"/>
  <c r="C144" i="10" s="1"/>
  <c r="G144" i="10"/>
  <c r="F144" i="10"/>
  <c r="E144" i="10"/>
  <c r="D144" i="10"/>
  <c r="M143" i="10"/>
  <c r="L143" i="10"/>
  <c r="K143" i="10"/>
  <c r="J143" i="10"/>
  <c r="I143" i="10"/>
  <c r="H143" i="10"/>
  <c r="C143" i="10" s="1"/>
  <c r="G143" i="10"/>
  <c r="F143" i="10"/>
  <c r="E143" i="10"/>
  <c r="D143" i="10"/>
  <c r="M142" i="10"/>
  <c r="L142" i="10"/>
  <c r="K142" i="10"/>
  <c r="J142" i="10"/>
  <c r="I142" i="10"/>
  <c r="H142" i="10"/>
  <c r="C142" i="10" s="1"/>
  <c r="G142" i="10"/>
  <c r="F142" i="10"/>
  <c r="E142" i="10"/>
  <c r="D142" i="10"/>
  <c r="M141" i="10"/>
  <c r="L141" i="10"/>
  <c r="K141" i="10"/>
  <c r="J141" i="10"/>
  <c r="I141" i="10"/>
  <c r="H141" i="10"/>
  <c r="C141" i="10" s="1"/>
  <c r="G141" i="10"/>
  <c r="F141" i="10"/>
  <c r="E141" i="10"/>
  <c r="D141" i="10"/>
  <c r="M140" i="10"/>
  <c r="L140" i="10"/>
  <c r="K140" i="10"/>
  <c r="J140" i="10"/>
  <c r="I140" i="10"/>
  <c r="H140" i="10"/>
  <c r="C140" i="10" s="1"/>
  <c r="G140" i="10"/>
  <c r="F140" i="10"/>
  <c r="E140" i="10"/>
  <c r="D140" i="10"/>
  <c r="M139" i="10"/>
  <c r="L139" i="10"/>
  <c r="K139" i="10"/>
  <c r="J139" i="10"/>
  <c r="I139" i="10"/>
  <c r="H139" i="10"/>
  <c r="C139" i="10" s="1"/>
  <c r="G139" i="10"/>
  <c r="F139" i="10"/>
  <c r="E139" i="10"/>
  <c r="D139" i="10"/>
  <c r="M138" i="10"/>
  <c r="L138" i="10"/>
  <c r="K138" i="10"/>
  <c r="J138" i="10"/>
  <c r="I138" i="10"/>
  <c r="H138" i="10"/>
  <c r="C138" i="10" s="1"/>
  <c r="G138" i="10"/>
  <c r="F138" i="10"/>
  <c r="E138" i="10"/>
  <c r="D138" i="10"/>
  <c r="M137" i="10"/>
  <c r="L137" i="10"/>
  <c r="K137" i="10"/>
  <c r="J137" i="10"/>
  <c r="I137" i="10"/>
  <c r="H137" i="10"/>
  <c r="C137" i="10" s="1"/>
  <c r="G137" i="10"/>
  <c r="F137" i="10"/>
  <c r="E137" i="10"/>
  <c r="D137" i="10"/>
  <c r="M136" i="10"/>
  <c r="L136" i="10"/>
  <c r="K136" i="10"/>
  <c r="J136" i="10"/>
  <c r="I136" i="10"/>
  <c r="H136" i="10"/>
  <c r="C136" i="10" s="1"/>
  <c r="G136" i="10"/>
  <c r="F136" i="10"/>
  <c r="E136" i="10"/>
  <c r="D136" i="10"/>
  <c r="M135" i="10"/>
  <c r="L135" i="10"/>
  <c r="K135" i="10"/>
  <c r="J135" i="10"/>
  <c r="I135" i="10"/>
  <c r="H135" i="10"/>
  <c r="C135" i="10" s="1"/>
  <c r="G135" i="10"/>
  <c r="F135" i="10"/>
  <c r="E135" i="10"/>
  <c r="D135" i="10"/>
  <c r="M134" i="10"/>
  <c r="L134" i="10"/>
  <c r="K134" i="10"/>
  <c r="J134" i="10"/>
  <c r="I134" i="10"/>
  <c r="H134" i="10"/>
  <c r="C134" i="10" s="1"/>
  <c r="G134" i="10"/>
  <c r="F134" i="10"/>
  <c r="E134" i="10"/>
  <c r="D134" i="10"/>
  <c r="M133" i="10"/>
  <c r="L133" i="10"/>
  <c r="K133" i="10"/>
  <c r="J133" i="10"/>
  <c r="I133" i="10"/>
  <c r="H133" i="10"/>
  <c r="C133" i="10" s="1"/>
  <c r="G133" i="10"/>
  <c r="F133" i="10"/>
  <c r="E133" i="10"/>
  <c r="D133" i="10"/>
  <c r="M132" i="10"/>
  <c r="L132" i="10"/>
  <c r="K132" i="10"/>
  <c r="J132" i="10"/>
  <c r="I132" i="10"/>
  <c r="H132" i="10"/>
  <c r="C132" i="10" s="1"/>
  <c r="G132" i="10"/>
  <c r="F132" i="10"/>
  <c r="E132" i="10"/>
  <c r="D132" i="10"/>
  <c r="M131" i="10"/>
  <c r="L131" i="10"/>
  <c r="K131" i="10"/>
  <c r="J131" i="10"/>
  <c r="I131" i="10"/>
  <c r="H131" i="10"/>
  <c r="C131" i="10" s="1"/>
  <c r="G131" i="10"/>
  <c r="F131" i="10"/>
  <c r="E131" i="10"/>
  <c r="D131" i="10"/>
  <c r="M130" i="10"/>
  <c r="L130" i="10"/>
  <c r="K130" i="10"/>
  <c r="J130" i="10"/>
  <c r="I130" i="10"/>
  <c r="H130" i="10"/>
  <c r="C130" i="10" s="1"/>
  <c r="G130" i="10"/>
  <c r="F130" i="10"/>
  <c r="E130" i="10"/>
  <c r="D130" i="10"/>
  <c r="M129" i="10"/>
  <c r="L129" i="10"/>
  <c r="K129" i="10"/>
  <c r="J129" i="10"/>
  <c r="I129" i="10"/>
  <c r="H129" i="10"/>
  <c r="C129" i="10" s="1"/>
  <c r="G129" i="10"/>
  <c r="F129" i="10"/>
  <c r="E129" i="10"/>
  <c r="D129" i="10"/>
  <c r="M128" i="10"/>
  <c r="L128" i="10"/>
  <c r="K128" i="10"/>
  <c r="J128" i="10"/>
  <c r="I128" i="10"/>
  <c r="H128" i="10"/>
  <c r="C128" i="10" s="1"/>
  <c r="G128" i="10"/>
  <c r="F128" i="10"/>
  <c r="E128" i="10"/>
  <c r="D128" i="10"/>
  <c r="M127" i="10"/>
  <c r="L127" i="10"/>
  <c r="K127" i="10"/>
  <c r="J127" i="10"/>
  <c r="I127" i="10"/>
  <c r="H127" i="10"/>
  <c r="C127" i="10" s="1"/>
  <c r="G127" i="10"/>
  <c r="F127" i="10"/>
  <c r="E127" i="10"/>
  <c r="D127" i="10"/>
  <c r="M126" i="10"/>
  <c r="L126" i="10"/>
  <c r="K126" i="10"/>
  <c r="J126" i="10"/>
  <c r="I126" i="10"/>
  <c r="H126" i="10"/>
  <c r="G126" i="10"/>
  <c r="F126" i="10"/>
  <c r="E126" i="10"/>
  <c r="D126" i="10"/>
  <c r="M125" i="10"/>
  <c r="L125" i="10"/>
  <c r="K125" i="10"/>
  <c r="J125" i="10"/>
  <c r="I125" i="10"/>
  <c r="H125" i="10"/>
  <c r="C125" i="10" s="1"/>
  <c r="G125" i="10"/>
  <c r="F125" i="10"/>
  <c r="E125" i="10"/>
  <c r="D125" i="10"/>
  <c r="M124" i="10"/>
  <c r="L124" i="10"/>
  <c r="K124" i="10"/>
  <c r="J124" i="10"/>
  <c r="I124" i="10"/>
  <c r="H124" i="10"/>
  <c r="C124" i="10" s="1"/>
  <c r="G124" i="10"/>
  <c r="F124" i="10"/>
  <c r="E124" i="10"/>
  <c r="D124" i="10"/>
  <c r="M123" i="10"/>
  <c r="L123" i="10"/>
  <c r="K123" i="10"/>
  <c r="J123" i="10"/>
  <c r="I123" i="10"/>
  <c r="H123" i="10"/>
  <c r="C123" i="10" s="1"/>
  <c r="G123" i="10"/>
  <c r="F123" i="10"/>
  <c r="E123" i="10"/>
  <c r="D123" i="10"/>
  <c r="M122" i="10"/>
  <c r="L122" i="10"/>
  <c r="K122" i="10"/>
  <c r="J122" i="10"/>
  <c r="I122" i="10"/>
  <c r="H122" i="10"/>
  <c r="C122" i="10" s="1"/>
  <c r="G122" i="10"/>
  <c r="F122" i="10"/>
  <c r="E122" i="10"/>
  <c r="D122" i="10"/>
  <c r="M121" i="10"/>
  <c r="L121" i="10"/>
  <c r="K121" i="10"/>
  <c r="J121" i="10"/>
  <c r="I121" i="10"/>
  <c r="H121" i="10"/>
  <c r="C121" i="10" s="1"/>
  <c r="G121" i="10"/>
  <c r="F121" i="10"/>
  <c r="E121" i="10"/>
  <c r="D121" i="10"/>
  <c r="M120" i="10"/>
  <c r="L120" i="10"/>
  <c r="K120" i="10"/>
  <c r="J120" i="10"/>
  <c r="I120" i="10"/>
  <c r="H120" i="10"/>
  <c r="C120" i="10" s="1"/>
  <c r="G120" i="10"/>
  <c r="F120" i="10"/>
  <c r="E120" i="10"/>
  <c r="D120" i="10"/>
  <c r="M119" i="10"/>
  <c r="L119" i="10"/>
  <c r="K119" i="10"/>
  <c r="J119" i="10"/>
  <c r="I119" i="10"/>
  <c r="H119" i="10"/>
  <c r="C119" i="10" s="1"/>
  <c r="G119" i="10"/>
  <c r="F119" i="10"/>
  <c r="E119" i="10"/>
  <c r="D119" i="10"/>
  <c r="M118" i="10"/>
  <c r="L118" i="10"/>
  <c r="K118" i="10"/>
  <c r="J118" i="10"/>
  <c r="I118" i="10"/>
  <c r="H118" i="10"/>
  <c r="C118" i="10" s="1"/>
  <c r="G118" i="10"/>
  <c r="F118" i="10"/>
  <c r="E118" i="10"/>
  <c r="D118" i="10"/>
  <c r="M117" i="10"/>
  <c r="L117" i="10"/>
  <c r="K117" i="10"/>
  <c r="J117" i="10"/>
  <c r="I117" i="10"/>
  <c r="H117" i="10"/>
  <c r="C117" i="10" s="1"/>
  <c r="G117" i="10"/>
  <c r="F117" i="10"/>
  <c r="E117" i="10"/>
  <c r="D117" i="10"/>
  <c r="M116" i="10"/>
  <c r="L116" i="10"/>
  <c r="K116" i="10"/>
  <c r="J116" i="10"/>
  <c r="I116" i="10"/>
  <c r="H116" i="10"/>
  <c r="C116" i="10" s="1"/>
  <c r="G116" i="10"/>
  <c r="F116" i="10"/>
  <c r="E116" i="10"/>
  <c r="D116" i="10"/>
  <c r="M115" i="10"/>
  <c r="L115" i="10"/>
  <c r="K115" i="10"/>
  <c r="J115" i="10"/>
  <c r="I115" i="10"/>
  <c r="H115" i="10"/>
  <c r="C115" i="10" s="1"/>
  <c r="G115" i="10"/>
  <c r="F115" i="10"/>
  <c r="E115" i="10"/>
  <c r="D115" i="10"/>
  <c r="M114" i="10"/>
  <c r="L114" i="10"/>
  <c r="K114" i="10"/>
  <c r="J114" i="10"/>
  <c r="I114" i="10"/>
  <c r="H114" i="10"/>
  <c r="C114" i="10" s="1"/>
  <c r="G114" i="10"/>
  <c r="F114" i="10"/>
  <c r="E114" i="10"/>
  <c r="D114" i="10"/>
  <c r="M113" i="10"/>
  <c r="L113" i="10"/>
  <c r="K113" i="10"/>
  <c r="J113" i="10"/>
  <c r="I113" i="10"/>
  <c r="H113" i="10"/>
  <c r="C113" i="10" s="1"/>
  <c r="G113" i="10"/>
  <c r="F113" i="10"/>
  <c r="E113" i="10"/>
  <c r="D113" i="10"/>
  <c r="M112" i="10"/>
  <c r="L112" i="10"/>
  <c r="K112" i="10"/>
  <c r="J112" i="10"/>
  <c r="I112" i="10"/>
  <c r="H112" i="10"/>
  <c r="C112" i="10" s="1"/>
  <c r="G112" i="10"/>
  <c r="F112" i="10"/>
  <c r="E112" i="10"/>
  <c r="D112" i="10"/>
  <c r="M111" i="10"/>
  <c r="L111" i="10"/>
  <c r="K111" i="10"/>
  <c r="J111" i="10"/>
  <c r="I111" i="10"/>
  <c r="H111" i="10"/>
  <c r="C111" i="10" s="1"/>
  <c r="G111" i="10"/>
  <c r="F111" i="10"/>
  <c r="E111" i="10"/>
  <c r="D111" i="10"/>
  <c r="M110" i="10"/>
  <c r="L110" i="10"/>
  <c r="K110" i="10"/>
  <c r="J110" i="10"/>
  <c r="I110" i="10"/>
  <c r="H110" i="10"/>
  <c r="C110" i="10" s="1"/>
  <c r="G110" i="10"/>
  <c r="F110" i="10"/>
  <c r="E110" i="10"/>
  <c r="D110" i="10"/>
  <c r="M109" i="10"/>
  <c r="L109" i="10"/>
  <c r="K109" i="10"/>
  <c r="J109" i="10"/>
  <c r="I109" i="10"/>
  <c r="H109" i="10"/>
  <c r="C109" i="10" s="1"/>
  <c r="G109" i="10"/>
  <c r="F109" i="10"/>
  <c r="E109" i="10"/>
  <c r="D109" i="10"/>
  <c r="M108" i="10"/>
  <c r="L108" i="10"/>
  <c r="K108" i="10"/>
  <c r="J108" i="10"/>
  <c r="I108" i="10"/>
  <c r="H108" i="10"/>
  <c r="C108" i="10" s="1"/>
  <c r="G108" i="10"/>
  <c r="F108" i="10"/>
  <c r="E108" i="10"/>
  <c r="D108" i="10"/>
  <c r="M107" i="10"/>
  <c r="L107" i="10"/>
  <c r="K107" i="10"/>
  <c r="J107" i="10"/>
  <c r="I107" i="10"/>
  <c r="H107" i="10"/>
  <c r="C107" i="10" s="1"/>
  <c r="G107" i="10"/>
  <c r="F107" i="10"/>
  <c r="E107" i="10"/>
  <c r="D107" i="10"/>
  <c r="M106" i="10"/>
  <c r="L106" i="10"/>
  <c r="K106" i="10"/>
  <c r="J106" i="10"/>
  <c r="I106" i="10"/>
  <c r="H106" i="10"/>
  <c r="C106" i="10" s="1"/>
  <c r="G106" i="10"/>
  <c r="F106" i="10"/>
  <c r="E106" i="10"/>
  <c r="D106" i="10"/>
  <c r="M105" i="10"/>
  <c r="L105" i="10"/>
  <c r="K105" i="10"/>
  <c r="J105" i="10"/>
  <c r="I105" i="10"/>
  <c r="H105" i="10"/>
  <c r="C105" i="10" s="1"/>
  <c r="G105" i="10"/>
  <c r="F105" i="10"/>
  <c r="E105" i="10"/>
  <c r="D105" i="10"/>
  <c r="M104" i="10"/>
  <c r="L104" i="10"/>
  <c r="K104" i="10"/>
  <c r="J104" i="10"/>
  <c r="I104" i="10"/>
  <c r="H104" i="10"/>
  <c r="C104" i="10" s="1"/>
  <c r="G104" i="10"/>
  <c r="F104" i="10"/>
  <c r="E104" i="10"/>
  <c r="D104" i="10"/>
  <c r="M103" i="10"/>
  <c r="L103" i="10"/>
  <c r="K103" i="10"/>
  <c r="J103" i="10"/>
  <c r="I103" i="10"/>
  <c r="H103" i="10"/>
  <c r="C103" i="10" s="1"/>
  <c r="G103" i="10"/>
  <c r="F103" i="10"/>
  <c r="E103" i="10"/>
  <c r="D103" i="10"/>
  <c r="M102" i="10"/>
  <c r="L102" i="10"/>
  <c r="K102" i="10"/>
  <c r="J102" i="10"/>
  <c r="I102" i="10"/>
  <c r="H102" i="10"/>
  <c r="C102" i="10" s="1"/>
  <c r="G102" i="10"/>
  <c r="F102" i="10"/>
  <c r="E102" i="10"/>
  <c r="D102" i="10"/>
  <c r="M101" i="10"/>
  <c r="L101" i="10"/>
  <c r="K101" i="10"/>
  <c r="J101" i="10"/>
  <c r="I101" i="10"/>
  <c r="H101" i="10"/>
  <c r="C101" i="10" s="1"/>
  <c r="G101" i="10"/>
  <c r="F101" i="10"/>
  <c r="E101" i="10"/>
  <c r="D101" i="10"/>
  <c r="M100" i="10"/>
  <c r="L100" i="10"/>
  <c r="K100" i="10"/>
  <c r="J100" i="10"/>
  <c r="I100" i="10"/>
  <c r="H100" i="10"/>
  <c r="C100" i="10" s="1"/>
  <c r="G100" i="10"/>
  <c r="F100" i="10"/>
  <c r="E100" i="10"/>
  <c r="D100" i="10"/>
  <c r="M99" i="10"/>
  <c r="L99" i="10"/>
  <c r="K99" i="10"/>
  <c r="J99" i="10"/>
  <c r="I99" i="10"/>
  <c r="H99" i="10"/>
  <c r="C99" i="10" s="1"/>
  <c r="G99" i="10"/>
  <c r="F99" i="10"/>
  <c r="E99" i="10"/>
  <c r="D99" i="10"/>
  <c r="M98" i="10"/>
  <c r="L98" i="10"/>
  <c r="K98" i="10"/>
  <c r="J98" i="10"/>
  <c r="I98" i="10"/>
  <c r="H98" i="10"/>
  <c r="C98" i="10" s="1"/>
  <c r="G98" i="10"/>
  <c r="F98" i="10"/>
  <c r="E98" i="10"/>
  <c r="D98" i="10"/>
  <c r="M97" i="10"/>
  <c r="L97" i="10"/>
  <c r="K97" i="10"/>
  <c r="J97" i="10"/>
  <c r="I97" i="10"/>
  <c r="H97" i="10"/>
  <c r="C97" i="10" s="1"/>
  <c r="G97" i="10"/>
  <c r="F97" i="10"/>
  <c r="E97" i="10"/>
  <c r="D97" i="10"/>
  <c r="M96" i="10"/>
  <c r="L96" i="10"/>
  <c r="K96" i="10"/>
  <c r="J96" i="10"/>
  <c r="I96" i="10"/>
  <c r="H96" i="10"/>
  <c r="G96" i="10"/>
  <c r="F96" i="10"/>
  <c r="E96" i="10"/>
  <c r="D96" i="10"/>
  <c r="M95" i="10"/>
  <c r="L95" i="10"/>
  <c r="K95" i="10"/>
  <c r="J95" i="10"/>
  <c r="I95" i="10"/>
  <c r="H95" i="10"/>
  <c r="C95" i="10" s="1"/>
  <c r="G95" i="10"/>
  <c r="F95" i="10"/>
  <c r="E95" i="10"/>
  <c r="D95" i="10"/>
  <c r="M94" i="10"/>
  <c r="L94" i="10"/>
  <c r="K94" i="10"/>
  <c r="J94" i="10"/>
  <c r="I94" i="10"/>
  <c r="H94" i="10"/>
  <c r="C94" i="10" s="1"/>
  <c r="G94" i="10"/>
  <c r="F94" i="10"/>
  <c r="E94" i="10"/>
  <c r="D94" i="10"/>
  <c r="M93" i="10"/>
  <c r="L93" i="10"/>
  <c r="K93" i="10"/>
  <c r="J93" i="10"/>
  <c r="I93" i="10"/>
  <c r="H93" i="10"/>
  <c r="C93" i="10" s="1"/>
  <c r="G93" i="10"/>
  <c r="F93" i="10"/>
  <c r="E93" i="10"/>
  <c r="D93" i="10"/>
  <c r="M92" i="10"/>
  <c r="L92" i="10"/>
  <c r="K92" i="10"/>
  <c r="J92" i="10"/>
  <c r="I92" i="10"/>
  <c r="H92" i="10"/>
  <c r="C92" i="10" s="1"/>
  <c r="G92" i="10"/>
  <c r="F92" i="10"/>
  <c r="E92" i="10"/>
  <c r="D92" i="10"/>
  <c r="M91" i="10"/>
  <c r="L91" i="10"/>
  <c r="K91" i="10"/>
  <c r="J91" i="10"/>
  <c r="I91" i="10"/>
  <c r="H91" i="10"/>
  <c r="C91" i="10" s="1"/>
  <c r="G91" i="10"/>
  <c r="F91" i="10"/>
  <c r="E91" i="10"/>
  <c r="D91" i="10"/>
  <c r="M90" i="10"/>
  <c r="L90" i="10"/>
  <c r="K90" i="10"/>
  <c r="J90" i="10"/>
  <c r="I90" i="10"/>
  <c r="H90" i="10"/>
  <c r="C90" i="10" s="1"/>
  <c r="G90" i="10"/>
  <c r="F90" i="10"/>
  <c r="E90" i="10"/>
  <c r="D90" i="10"/>
  <c r="M89" i="10"/>
  <c r="L89" i="10"/>
  <c r="K89" i="10"/>
  <c r="J89" i="10"/>
  <c r="I89" i="10"/>
  <c r="H89" i="10"/>
  <c r="C89" i="10" s="1"/>
  <c r="G89" i="10"/>
  <c r="F89" i="10"/>
  <c r="E89" i="10"/>
  <c r="D89" i="10"/>
  <c r="M88" i="10"/>
  <c r="L88" i="10"/>
  <c r="K88" i="10"/>
  <c r="J88" i="10"/>
  <c r="I88" i="10"/>
  <c r="H88" i="10"/>
  <c r="C88" i="10" s="1"/>
  <c r="G88" i="10"/>
  <c r="F88" i="10"/>
  <c r="E88" i="10"/>
  <c r="D88" i="10"/>
  <c r="M87" i="10"/>
  <c r="L87" i="10"/>
  <c r="K87" i="10"/>
  <c r="J87" i="10"/>
  <c r="I87" i="10"/>
  <c r="H87" i="10"/>
  <c r="C87" i="10" s="1"/>
  <c r="G87" i="10"/>
  <c r="F87" i="10"/>
  <c r="E87" i="10"/>
  <c r="D87" i="10"/>
  <c r="M86" i="10"/>
  <c r="L86" i="10"/>
  <c r="K86" i="10"/>
  <c r="J86" i="10"/>
  <c r="I86" i="10"/>
  <c r="H86" i="10"/>
  <c r="C86" i="10" s="1"/>
  <c r="G86" i="10"/>
  <c r="F86" i="10"/>
  <c r="E86" i="10"/>
  <c r="D86" i="10"/>
  <c r="M85" i="10"/>
  <c r="L85" i="10"/>
  <c r="K85" i="10"/>
  <c r="J85" i="10"/>
  <c r="I85" i="10"/>
  <c r="H85" i="10"/>
  <c r="C85" i="10" s="1"/>
  <c r="G85" i="10"/>
  <c r="F85" i="10"/>
  <c r="E85" i="10"/>
  <c r="D85" i="10"/>
  <c r="M84" i="10"/>
  <c r="L84" i="10"/>
  <c r="K84" i="10"/>
  <c r="J84" i="10"/>
  <c r="I84" i="10"/>
  <c r="H84" i="10"/>
  <c r="C84" i="10" s="1"/>
  <c r="G84" i="10"/>
  <c r="F84" i="10"/>
  <c r="E84" i="10"/>
  <c r="D84" i="10"/>
  <c r="M83" i="10"/>
  <c r="L83" i="10"/>
  <c r="K83" i="10"/>
  <c r="J83" i="10"/>
  <c r="I83" i="10"/>
  <c r="H83" i="10"/>
  <c r="C83" i="10" s="1"/>
  <c r="G83" i="10"/>
  <c r="F83" i="10"/>
  <c r="E83" i="10"/>
  <c r="D83" i="10"/>
  <c r="M82" i="10"/>
  <c r="L82" i="10"/>
  <c r="K82" i="10"/>
  <c r="J82" i="10"/>
  <c r="I82" i="10"/>
  <c r="H82" i="10"/>
  <c r="C82" i="10" s="1"/>
  <c r="G82" i="10"/>
  <c r="F82" i="10"/>
  <c r="E82" i="10"/>
  <c r="D82" i="10"/>
  <c r="M81" i="10"/>
  <c r="L81" i="10"/>
  <c r="K81" i="10"/>
  <c r="J81" i="10"/>
  <c r="I81" i="10"/>
  <c r="H81" i="10"/>
  <c r="C81" i="10" s="1"/>
  <c r="G81" i="10"/>
  <c r="F81" i="10"/>
  <c r="E81" i="10"/>
  <c r="D81" i="10"/>
  <c r="M80" i="10"/>
  <c r="L80" i="10"/>
  <c r="K80" i="10"/>
  <c r="J80" i="10"/>
  <c r="I80" i="10"/>
  <c r="H80" i="10"/>
  <c r="C80" i="10" s="1"/>
  <c r="G80" i="10"/>
  <c r="F80" i="10"/>
  <c r="E80" i="10"/>
  <c r="D80" i="10"/>
  <c r="M79" i="10"/>
  <c r="L79" i="10"/>
  <c r="K79" i="10"/>
  <c r="J79" i="10"/>
  <c r="I79" i="10"/>
  <c r="H79" i="10"/>
  <c r="C79" i="10" s="1"/>
  <c r="G79" i="10"/>
  <c r="F79" i="10"/>
  <c r="E79" i="10"/>
  <c r="D79" i="10"/>
  <c r="M78" i="10"/>
  <c r="L78" i="10"/>
  <c r="K78" i="10"/>
  <c r="J78" i="10"/>
  <c r="I78" i="10"/>
  <c r="H78" i="10"/>
  <c r="C78" i="10" s="1"/>
  <c r="G78" i="10"/>
  <c r="F78" i="10"/>
  <c r="E78" i="10"/>
  <c r="D78" i="10"/>
  <c r="M77" i="10"/>
  <c r="L77" i="10"/>
  <c r="K77" i="10"/>
  <c r="J77" i="10"/>
  <c r="I77" i="10"/>
  <c r="H77" i="10"/>
  <c r="C77" i="10" s="1"/>
  <c r="G77" i="10"/>
  <c r="F77" i="10"/>
  <c r="E77" i="10"/>
  <c r="D77" i="10"/>
  <c r="M76" i="10"/>
  <c r="L76" i="10"/>
  <c r="K76" i="10"/>
  <c r="J76" i="10"/>
  <c r="I76" i="10"/>
  <c r="H76" i="10"/>
  <c r="C76" i="10" s="1"/>
  <c r="G76" i="10"/>
  <c r="F76" i="10"/>
  <c r="E76" i="10"/>
  <c r="D76" i="10"/>
  <c r="M75" i="10"/>
  <c r="L75" i="10"/>
  <c r="K75" i="10"/>
  <c r="J75" i="10"/>
  <c r="I75" i="10"/>
  <c r="H75" i="10"/>
  <c r="C75" i="10" s="1"/>
  <c r="G75" i="10"/>
  <c r="F75" i="10"/>
  <c r="E75" i="10"/>
  <c r="D75" i="10"/>
  <c r="M74" i="10"/>
  <c r="L74" i="10"/>
  <c r="K74" i="10"/>
  <c r="J74" i="10"/>
  <c r="I74" i="10"/>
  <c r="H74" i="10"/>
  <c r="C74" i="10" s="1"/>
  <c r="G74" i="10"/>
  <c r="F74" i="10"/>
  <c r="E74" i="10"/>
  <c r="D74" i="10"/>
  <c r="M73" i="10"/>
  <c r="L73" i="10"/>
  <c r="K73" i="10"/>
  <c r="J73" i="10"/>
  <c r="I73" i="10"/>
  <c r="H73" i="10"/>
  <c r="C73" i="10" s="1"/>
  <c r="G73" i="10"/>
  <c r="F73" i="10"/>
  <c r="E73" i="10"/>
  <c r="D73" i="10"/>
  <c r="M72" i="10"/>
  <c r="L72" i="10"/>
  <c r="K72" i="10"/>
  <c r="J72" i="10"/>
  <c r="I72" i="10"/>
  <c r="H72" i="10"/>
  <c r="C72" i="10" s="1"/>
  <c r="G72" i="10"/>
  <c r="F72" i="10"/>
  <c r="E72" i="10"/>
  <c r="D72" i="10"/>
  <c r="M71" i="10"/>
  <c r="L71" i="10"/>
  <c r="K71" i="10"/>
  <c r="J71" i="10"/>
  <c r="I71" i="10"/>
  <c r="H71" i="10"/>
  <c r="C71" i="10" s="1"/>
  <c r="G71" i="10"/>
  <c r="F71" i="10"/>
  <c r="E71" i="10"/>
  <c r="D71" i="10"/>
  <c r="M70" i="10"/>
  <c r="L70" i="10"/>
  <c r="K70" i="10"/>
  <c r="J70" i="10"/>
  <c r="I70" i="10"/>
  <c r="H70" i="10"/>
  <c r="C70" i="10" s="1"/>
  <c r="G70" i="10"/>
  <c r="F70" i="10"/>
  <c r="E70" i="10"/>
  <c r="D70" i="10"/>
  <c r="M69" i="10"/>
  <c r="L69" i="10"/>
  <c r="K69" i="10"/>
  <c r="J69" i="10"/>
  <c r="I69" i="10"/>
  <c r="H69" i="10"/>
  <c r="C69" i="10" s="1"/>
  <c r="G69" i="10"/>
  <c r="F69" i="10"/>
  <c r="E69" i="10"/>
  <c r="D69" i="10"/>
  <c r="M68" i="10"/>
  <c r="L68" i="10"/>
  <c r="K68" i="10"/>
  <c r="J68" i="10"/>
  <c r="I68" i="10"/>
  <c r="H68" i="10"/>
  <c r="C68" i="10" s="1"/>
  <c r="G68" i="10"/>
  <c r="F68" i="10"/>
  <c r="E68" i="10"/>
  <c r="D68" i="10"/>
  <c r="M67" i="10"/>
  <c r="L67" i="10"/>
  <c r="K67" i="10"/>
  <c r="J67" i="10"/>
  <c r="I67" i="10"/>
  <c r="H67" i="10"/>
  <c r="C67" i="10" s="1"/>
  <c r="G67" i="10"/>
  <c r="F67" i="10"/>
  <c r="E67" i="10"/>
  <c r="D67" i="10"/>
  <c r="M66" i="10"/>
  <c r="L66" i="10"/>
  <c r="K66" i="10"/>
  <c r="J66" i="10"/>
  <c r="I66" i="10"/>
  <c r="H66" i="10"/>
  <c r="C66" i="10" s="1"/>
  <c r="G66" i="10"/>
  <c r="F66" i="10"/>
  <c r="E66" i="10"/>
  <c r="D66" i="10"/>
  <c r="M65" i="10"/>
  <c r="L65" i="10"/>
  <c r="K65" i="10"/>
  <c r="J65" i="10"/>
  <c r="I65" i="10"/>
  <c r="H65" i="10"/>
  <c r="G65" i="10"/>
  <c r="F65" i="10"/>
  <c r="E65" i="10"/>
  <c r="D65" i="10"/>
  <c r="M64" i="10"/>
  <c r="L64" i="10"/>
  <c r="K64" i="10"/>
  <c r="J64" i="10"/>
  <c r="I64" i="10"/>
  <c r="H64" i="10"/>
  <c r="C64" i="10" s="1"/>
  <c r="G64" i="10"/>
  <c r="F64" i="10"/>
  <c r="E64" i="10"/>
  <c r="D64" i="10"/>
  <c r="M63" i="10"/>
  <c r="L63" i="10"/>
  <c r="K63" i="10"/>
  <c r="J63" i="10"/>
  <c r="I63" i="10"/>
  <c r="H63" i="10"/>
  <c r="C63" i="10" s="1"/>
  <c r="G63" i="10"/>
  <c r="F63" i="10"/>
  <c r="E63" i="10"/>
  <c r="D63" i="10"/>
  <c r="M62" i="10"/>
  <c r="L62" i="10"/>
  <c r="K62" i="10"/>
  <c r="J62" i="10"/>
  <c r="I62" i="10"/>
  <c r="H62" i="10"/>
  <c r="C62" i="10" s="1"/>
  <c r="G62" i="10"/>
  <c r="F62" i="10"/>
  <c r="E62" i="10"/>
  <c r="D62" i="10"/>
  <c r="M61" i="10"/>
  <c r="L61" i="10"/>
  <c r="K61" i="10"/>
  <c r="J61" i="10"/>
  <c r="I61" i="10"/>
  <c r="H61" i="10"/>
  <c r="C61" i="10" s="1"/>
  <c r="G61" i="10"/>
  <c r="F61" i="10"/>
  <c r="E61" i="10"/>
  <c r="D61" i="10"/>
  <c r="M60" i="10"/>
  <c r="L60" i="10"/>
  <c r="K60" i="10"/>
  <c r="J60" i="10"/>
  <c r="I60" i="10"/>
  <c r="H60" i="10"/>
  <c r="C60" i="10" s="1"/>
  <c r="G60" i="10"/>
  <c r="F60" i="10"/>
  <c r="E60" i="10"/>
  <c r="D60" i="10"/>
  <c r="M59" i="10"/>
  <c r="L59" i="10"/>
  <c r="K59" i="10"/>
  <c r="J59" i="10"/>
  <c r="I59" i="10"/>
  <c r="H59" i="10"/>
  <c r="C59" i="10" s="1"/>
  <c r="G59" i="10"/>
  <c r="F59" i="10"/>
  <c r="E59" i="10"/>
  <c r="D59" i="10"/>
  <c r="M58" i="10"/>
  <c r="L58" i="10"/>
  <c r="K58" i="10"/>
  <c r="J58" i="10"/>
  <c r="I58" i="10"/>
  <c r="H58" i="10"/>
  <c r="C58" i="10" s="1"/>
  <c r="G58" i="10"/>
  <c r="F58" i="10"/>
  <c r="E58" i="10"/>
  <c r="D58" i="10"/>
  <c r="M57" i="10"/>
  <c r="L57" i="10"/>
  <c r="K57" i="10"/>
  <c r="J57" i="10"/>
  <c r="I57" i="10"/>
  <c r="H57" i="10"/>
  <c r="C57" i="10" s="1"/>
  <c r="G57" i="10"/>
  <c r="F57" i="10"/>
  <c r="E57" i="10"/>
  <c r="D57" i="10"/>
  <c r="M56" i="10"/>
  <c r="L56" i="10"/>
  <c r="K56" i="10"/>
  <c r="J56" i="10"/>
  <c r="I56" i="10"/>
  <c r="H56" i="10"/>
  <c r="C56" i="10" s="1"/>
  <c r="G56" i="10"/>
  <c r="F56" i="10"/>
  <c r="E56" i="10"/>
  <c r="D56" i="10"/>
  <c r="M55" i="10"/>
  <c r="L55" i="10"/>
  <c r="K55" i="10"/>
  <c r="J55" i="10"/>
  <c r="I55" i="10"/>
  <c r="H55" i="10"/>
  <c r="C55" i="10" s="1"/>
  <c r="G55" i="10"/>
  <c r="F55" i="10"/>
  <c r="E55" i="10"/>
  <c r="D55" i="10"/>
  <c r="M54" i="10"/>
  <c r="L54" i="10"/>
  <c r="K54" i="10"/>
  <c r="J54" i="10"/>
  <c r="I54" i="10"/>
  <c r="H54" i="10"/>
  <c r="C54" i="10" s="1"/>
  <c r="G54" i="10"/>
  <c r="F54" i="10"/>
  <c r="E54" i="10"/>
  <c r="D54" i="10"/>
  <c r="M53" i="10"/>
  <c r="L53" i="10"/>
  <c r="K53" i="10"/>
  <c r="J53" i="10"/>
  <c r="I53" i="10"/>
  <c r="H53" i="10"/>
  <c r="C53" i="10" s="1"/>
  <c r="G53" i="10"/>
  <c r="F53" i="10"/>
  <c r="E53" i="10"/>
  <c r="D53" i="10"/>
  <c r="M52" i="10"/>
  <c r="L52" i="10"/>
  <c r="K52" i="10"/>
  <c r="J52" i="10"/>
  <c r="I52" i="10"/>
  <c r="H52" i="10"/>
  <c r="C52" i="10" s="1"/>
  <c r="G52" i="10"/>
  <c r="F52" i="10"/>
  <c r="E52" i="10"/>
  <c r="D52" i="10"/>
  <c r="M51" i="10"/>
  <c r="L51" i="10"/>
  <c r="K51" i="10"/>
  <c r="J51" i="10"/>
  <c r="I51" i="10"/>
  <c r="H51" i="10"/>
  <c r="C51" i="10" s="1"/>
  <c r="G51" i="10"/>
  <c r="F51" i="10"/>
  <c r="E51" i="10"/>
  <c r="D51" i="10"/>
  <c r="M50" i="10"/>
  <c r="L50" i="10"/>
  <c r="K50" i="10"/>
  <c r="J50" i="10"/>
  <c r="I50" i="10"/>
  <c r="H50" i="10"/>
  <c r="C50" i="10" s="1"/>
  <c r="G50" i="10"/>
  <c r="F50" i="10"/>
  <c r="E50" i="10"/>
  <c r="D50" i="10"/>
  <c r="M49" i="10"/>
  <c r="L49" i="10"/>
  <c r="K49" i="10"/>
  <c r="J49" i="10"/>
  <c r="I49" i="10"/>
  <c r="H49" i="10"/>
  <c r="C49" i="10" s="1"/>
  <c r="G49" i="10"/>
  <c r="F49" i="10"/>
  <c r="E49" i="10"/>
  <c r="D49" i="10"/>
  <c r="M48" i="10"/>
  <c r="L48" i="10"/>
  <c r="K48" i="10"/>
  <c r="J48" i="10"/>
  <c r="I48" i="10"/>
  <c r="H48" i="10"/>
  <c r="C48" i="10" s="1"/>
  <c r="G48" i="10"/>
  <c r="F48" i="10"/>
  <c r="E48" i="10"/>
  <c r="D48" i="10"/>
  <c r="M47" i="10"/>
  <c r="L47" i="10"/>
  <c r="K47" i="10"/>
  <c r="J47" i="10"/>
  <c r="I47" i="10"/>
  <c r="H47" i="10"/>
  <c r="C47" i="10" s="1"/>
  <c r="G47" i="10"/>
  <c r="F47" i="10"/>
  <c r="E47" i="10"/>
  <c r="D47" i="10"/>
  <c r="M46" i="10"/>
  <c r="L46" i="10"/>
  <c r="K46" i="10"/>
  <c r="J46" i="10"/>
  <c r="I46" i="10"/>
  <c r="H46" i="10"/>
  <c r="C46" i="10" s="1"/>
  <c r="G46" i="10"/>
  <c r="F46" i="10"/>
  <c r="E46" i="10"/>
  <c r="D46" i="10"/>
  <c r="M45" i="10"/>
  <c r="L45" i="10"/>
  <c r="K45" i="10"/>
  <c r="J45" i="10"/>
  <c r="I45" i="10"/>
  <c r="H45" i="10"/>
  <c r="C45" i="10" s="1"/>
  <c r="G45" i="10"/>
  <c r="F45" i="10"/>
  <c r="E45" i="10"/>
  <c r="D45" i="10"/>
  <c r="M44" i="10"/>
  <c r="L44" i="10"/>
  <c r="K44" i="10"/>
  <c r="J44" i="10"/>
  <c r="I44" i="10"/>
  <c r="H44" i="10"/>
  <c r="C44" i="10" s="1"/>
  <c r="G44" i="10"/>
  <c r="F44" i="10"/>
  <c r="E44" i="10"/>
  <c r="D44" i="10"/>
  <c r="M43" i="10"/>
  <c r="L43" i="10"/>
  <c r="K43" i="10"/>
  <c r="J43" i="10"/>
  <c r="I43" i="10"/>
  <c r="H43" i="10"/>
  <c r="C43" i="10" s="1"/>
  <c r="G43" i="10"/>
  <c r="F43" i="10"/>
  <c r="E43" i="10"/>
  <c r="D43" i="10"/>
  <c r="M42" i="10"/>
  <c r="L42" i="10"/>
  <c r="K42" i="10"/>
  <c r="J42" i="10"/>
  <c r="I42" i="10"/>
  <c r="H42" i="10"/>
  <c r="C42" i="10" s="1"/>
  <c r="G42" i="10"/>
  <c r="F42" i="10"/>
  <c r="E42" i="10"/>
  <c r="D42" i="10"/>
  <c r="M41" i="10"/>
  <c r="L41" i="10"/>
  <c r="K41" i="10"/>
  <c r="J41" i="10"/>
  <c r="I41" i="10"/>
  <c r="H41" i="10"/>
  <c r="C41" i="10" s="1"/>
  <c r="G41" i="10"/>
  <c r="F41" i="10"/>
  <c r="E41" i="10"/>
  <c r="D41" i="10"/>
  <c r="M40" i="10"/>
  <c r="L40" i="10"/>
  <c r="K40" i="10"/>
  <c r="J40" i="10"/>
  <c r="I40" i="10"/>
  <c r="H40" i="10"/>
  <c r="C40" i="10" s="1"/>
  <c r="G40" i="10"/>
  <c r="F40" i="10"/>
  <c r="E40" i="10"/>
  <c r="D40" i="10"/>
  <c r="M39" i="10"/>
  <c r="L39" i="10"/>
  <c r="K39" i="10"/>
  <c r="J39" i="10"/>
  <c r="I39" i="10"/>
  <c r="H39" i="10"/>
  <c r="C39" i="10" s="1"/>
  <c r="G39" i="10"/>
  <c r="F39" i="10"/>
  <c r="E39" i="10"/>
  <c r="D39" i="10"/>
  <c r="M38" i="10"/>
  <c r="L38" i="10"/>
  <c r="K38" i="10"/>
  <c r="J38" i="10"/>
  <c r="I38" i="10"/>
  <c r="H38" i="10"/>
  <c r="C38" i="10" s="1"/>
  <c r="G38" i="10"/>
  <c r="F38" i="10"/>
  <c r="E38" i="10"/>
  <c r="D38" i="10"/>
  <c r="M37" i="10"/>
  <c r="L37" i="10"/>
  <c r="K37" i="10"/>
  <c r="J37" i="10"/>
  <c r="I37" i="10"/>
  <c r="H37" i="10"/>
  <c r="G37" i="10"/>
  <c r="F37" i="10"/>
  <c r="E37" i="10"/>
  <c r="D37" i="10"/>
  <c r="M36" i="10"/>
  <c r="L36" i="10"/>
  <c r="K36" i="10"/>
  <c r="J36" i="10"/>
  <c r="I36" i="10"/>
  <c r="H36" i="10"/>
  <c r="C36" i="10" s="1"/>
  <c r="G36" i="10"/>
  <c r="F36" i="10"/>
  <c r="E36" i="10"/>
  <c r="D36" i="10"/>
  <c r="M35" i="10"/>
  <c r="L35" i="10"/>
  <c r="K35" i="10"/>
  <c r="J35" i="10"/>
  <c r="I35" i="10"/>
  <c r="H35" i="10"/>
  <c r="C35" i="10" s="1"/>
  <c r="G35" i="10"/>
  <c r="F35" i="10"/>
  <c r="E35" i="10"/>
  <c r="D35" i="10"/>
  <c r="M34" i="10"/>
  <c r="L34" i="10"/>
  <c r="K34" i="10"/>
  <c r="J34" i="10"/>
  <c r="I34" i="10"/>
  <c r="H34" i="10"/>
  <c r="C34" i="10" s="1"/>
  <c r="G34" i="10"/>
  <c r="F34" i="10"/>
  <c r="E34" i="10"/>
  <c r="D34" i="10"/>
  <c r="M33" i="10"/>
  <c r="L33" i="10"/>
  <c r="K33" i="10"/>
  <c r="J33" i="10"/>
  <c r="I33" i="10"/>
  <c r="H33" i="10"/>
  <c r="C33" i="10" s="1"/>
  <c r="G33" i="10"/>
  <c r="F33" i="10"/>
  <c r="E33" i="10"/>
  <c r="D33" i="10"/>
  <c r="M32" i="10"/>
  <c r="L32" i="10"/>
  <c r="K32" i="10"/>
  <c r="J32" i="10"/>
  <c r="I32" i="10"/>
  <c r="H32" i="10"/>
  <c r="C32" i="10" s="1"/>
  <c r="G32" i="10"/>
  <c r="F32" i="10"/>
  <c r="E32" i="10"/>
  <c r="D32" i="10"/>
  <c r="M31" i="10"/>
  <c r="L31" i="10"/>
  <c r="K31" i="10"/>
  <c r="J31" i="10"/>
  <c r="I31" i="10"/>
  <c r="H31" i="10"/>
  <c r="C31" i="10" s="1"/>
  <c r="G31" i="10"/>
  <c r="F31" i="10"/>
  <c r="E31" i="10"/>
  <c r="D31" i="10"/>
  <c r="M30" i="10"/>
  <c r="L30" i="10"/>
  <c r="K30" i="10"/>
  <c r="J30" i="10"/>
  <c r="I30" i="10"/>
  <c r="H30" i="10"/>
  <c r="C30" i="10" s="1"/>
  <c r="G30" i="10"/>
  <c r="F30" i="10"/>
  <c r="E30" i="10"/>
  <c r="D30" i="10"/>
  <c r="M29" i="10"/>
  <c r="L29" i="10"/>
  <c r="K29" i="10"/>
  <c r="J29" i="10"/>
  <c r="I29" i="10"/>
  <c r="H29" i="10"/>
  <c r="C29" i="10" s="1"/>
  <c r="G29" i="10"/>
  <c r="F29" i="10"/>
  <c r="E29" i="10"/>
  <c r="D29" i="10"/>
  <c r="M28" i="10"/>
  <c r="L28" i="10"/>
  <c r="K28" i="10"/>
  <c r="J28" i="10"/>
  <c r="I28" i="10"/>
  <c r="H28" i="10"/>
  <c r="C28" i="10" s="1"/>
  <c r="G28" i="10"/>
  <c r="F28" i="10"/>
  <c r="E28" i="10"/>
  <c r="D28" i="10"/>
  <c r="M27" i="10"/>
  <c r="L27" i="10"/>
  <c r="K27" i="10"/>
  <c r="J27" i="10"/>
  <c r="I27" i="10"/>
  <c r="H27" i="10"/>
  <c r="C27" i="10" s="1"/>
  <c r="G27" i="10"/>
  <c r="F27" i="10"/>
  <c r="E27" i="10"/>
  <c r="D27" i="10"/>
  <c r="M26" i="10"/>
  <c r="L26" i="10"/>
  <c r="K26" i="10"/>
  <c r="J26" i="10"/>
  <c r="I26" i="10"/>
  <c r="H26" i="10"/>
  <c r="C26" i="10" s="1"/>
  <c r="G26" i="10"/>
  <c r="F26" i="10"/>
  <c r="E26" i="10"/>
  <c r="D26" i="10"/>
  <c r="M25" i="10"/>
  <c r="L25" i="10"/>
  <c r="K25" i="10"/>
  <c r="J25" i="10"/>
  <c r="I25" i="10"/>
  <c r="H25" i="10"/>
  <c r="C25" i="10" s="1"/>
  <c r="G25" i="10"/>
  <c r="F25" i="10"/>
  <c r="E25" i="10"/>
  <c r="D25" i="10"/>
  <c r="M24" i="10"/>
  <c r="L24" i="10"/>
  <c r="K24" i="10"/>
  <c r="J24" i="10"/>
  <c r="I24" i="10"/>
  <c r="H24" i="10"/>
  <c r="C24" i="10" s="1"/>
  <c r="G24" i="10"/>
  <c r="F24" i="10"/>
  <c r="E24" i="10"/>
  <c r="D24" i="10"/>
  <c r="M23" i="10"/>
  <c r="L23" i="10"/>
  <c r="K23" i="10"/>
  <c r="J23" i="10"/>
  <c r="I23" i="10"/>
  <c r="H23" i="10"/>
  <c r="C23" i="10" s="1"/>
  <c r="G23" i="10"/>
  <c r="F23" i="10"/>
  <c r="E23" i="10"/>
  <c r="D23" i="10"/>
  <c r="M22" i="10"/>
  <c r="L22" i="10"/>
  <c r="K22" i="10"/>
  <c r="J22" i="10"/>
  <c r="I22" i="10"/>
  <c r="H22" i="10"/>
  <c r="C22" i="10" s="1"/>
  <c r="G22" i="10"/>
  <c r="F22" i="10"/>
  <c r="E22" i="10"/>
  <c r="D22" i="10"/>
  <c r="M21" i="10"/>
  <c r="L21" i="10"/>
  <c r="K21" i="10"/>
  <c r="J21" i="10"/>
  <c r="I21" i="10"/>
  <c r="H21" i="10"/>
  <c r="C21" i="10" s="1"/>
  <c r="G21" i="10"/>
  <c r="F21" i="10"/>
  <c r="E21" i="10"/>
  <c r="D21" i="10"/>
  <c r="M20" i="10"/>
  <c r="L20" i="10"/>
  <c r="K20" i="10"/>
  <c r="J20" i="10"/>
  <c r="I20" i="10"/>
  <c r="H20" i="10"/>
  <c r="C20" i="10" s="1"/>
  <c r="G20" i="10"/>
  <c r="F20" i="10"/>
  <c r="E20" i="10"/>
  <c r="D20" i="10"/>
  <c r="M19" i="10"/>
  <c r="L19" i="10"/>
  <c r="K19" i="10"/>
  <c r="J19" i="10"/>
  <c r="I19" i="10"/>
  <c r="H19" i="10"/>
  <c r="C19" i="10" s="1"/>
  <c r="G19" i="10"/>
  <c r="F19" i="10"/>
  <c r="E19" i="10"/>
  <c r="D19" i="10"/>
  <c r="M18" i="10"/>
  <c r="L18" i="10"/>
  <c r="K18" i="10"/>
  <c r="J18" i="10"/>
  <c r="I18" i="10"/>
  <c r="H18" i="10"/>
  <c r="C18" i="10" s="1"/>
  <c r="G18" i="10"/>
  <c r="F18" i="10"/>
  <c r="E18" i="10"/>
  <c r="D18" i="10"/>
  <c r="M17" i="10"/>
  <c r="L17" i="10"/>
  <c r="K17" i="10"/>
  <c r="J17" i="10"/>
  <c r="I17" i="10"/>
  <c r="H17" i="10"/>
  <c r="C17" i="10" s="1"/>
  <c r="G17" i="10"/>
  <c r="F17" i="10"/>
  <c r="E17" i="10"/>
  <c r="D17" i="10"/>
  <c r="M16" i="10"/>
  <c r="L16" i="10"/>
  <c r="K16" i="10"/>
  <c r="J16" i="10"/>
  <c r="I16" i="10"/>
  <c r="H16" i="10"/>
  <c r="C16" i="10" s="1"/>
  <c r="G16" i="10"/>
  <c r="F16" i="10"/>
  <c r="E16" i="10"/>
  <c r="D16" i="10"/>
  <c r="M15" i="10"/>
  <c r="L15" i="10"/>
  <c r="K15" i="10"/>
  <c r="J15" i="10"/>
  <c r="I15" i="10"/>
  <c r="H15" i="10"/>
  <c r="C15" i="10" s="1"/>
  <c r="G15" i="10"/>
  <c r="F15" i="10"/>
  <c r="E15" i="10"/>
  <c r="D15" i="10"/>
  <c r="M14" i="10"/>
  <c r="L14" i="10"/>
  <c r="K14" i="10"/>
  <c r="J14" i="10"/>
  <c r="I14" i="10"/>
  <c r="H14" i="10"/>
  <c r="C14" i="10" s="1"/>
  <c r="G14" i="10"/>
  <c r="F14" i="10"/>
  <c r="E14" i="10"/>
  <c r="D14" i="10"/>
  <c r="M13" i="10"/>
  <c r="L13" i="10"/>
  <c r="K13" i="10"/>
  <c r="J13" i="10"/>
  <c r="I13" i="10"/>
  <c r="H13" i="10"/>
  <c r="C13" i="10" s="1"/>
  <c r="G13" i="10"/>
  <c r="F13" i="10"/>
  <c r="E13" i="10"/>
  <c r="D13" i="10"/>
  <c r="M12" i="10"/>
  <c r="L12" i="10"/>
  <c r="K12" i="10"/>
  <c r="J12" i="10"/>
  <c r="I12" i="10"/>
  <c r="H12" i="10"/>
  <c r="C12" i="10" s="1"/>
  <c r="G12" i="10"/>
  <c r="F12" i="10"/>
  <c r="E12" i="10"/>
  <c r="D12" i="10"/>
  <c r="M11" i="10"/>
  <c r="L11" i="10"/>
  <c r="K11" i="10"/>
  <c r="J11" i="10"/>
  <c r="I11" i="10"/>
  <c r="H11" i="10"/>
  <c r="C11" i="10" s="1"/>
  <c r="G11" i="10"/>
  <c r="F11" i="10"/>
  <c r="E11" i="10"/>
  <c r="D11" i="10"/>
  <c r="M10" i="10"/>
  <c r="L10" i="10"/>
  <c r="K10" i="10"/>
  <c r="J10" i="10"/>
  <c r="I10" i="10"/>
  <c r="H10" i="10"/>
  <c r="C10" i="10" s="1"/>
  <c r="G10" i="10"/>
  <c r="F10" i="10"/>
  <c r="E10" i="10"/>
  <c r="D10" i="10"/>
  <c r="M9" i="10"/>
  <c r="L9" i="10"/>
  <c r="K9" i="10"/>
  <c r="J9" i="10"/>
  <c r="I9" i="10"/>
  <c r="H9" i="10"/>
  <c r="C9" i="10" s="1"/>
  <c r="G9" i="10"/>
  <c r="F9" i="10"/>
  <c r="E9" i="10"/>
  <c r="D9" i="10"/>
  <c r="M8" i="10"/>
  <c r="L8" i="10"/>
  <c r="K8" i="10"/>
  <c r="J8" i="10"/>
  <c r="I8" i="10"/>
  <c r="H8" i="10"/>
  <c r="C8" i="10" s="1"/>
  <c r="G8" i="10"/>
  <c r="F8" i="10"/>
  <c r="E8" i="10"/>
  <c r="D8" i="10"/>
  <c r="M7" i="10"/>
  <c r="L7" i="10"/>
  <c r="K7" i="10"/>
  <c r="J7" i="10"/>
  <c r="I7" i="10"/>
  <c r="H7" i="10"/>
  <c r="C7" i="10" s="1"/>
  <c r="G7" i="10"/>
  <c r="F7" i="10"/>
  <c r="E7" i="10"/>
  <c r="D7" i="10"/>
  <c r="M6" i="10"/>
  <c r="L6" i="10"/>
  <c r="K6" i="10"/>
  <c r="J6" i="10"/>
  <c r="I6" i="10"/>
  <c r="H6" i="10"/>
  <c r="G6" i="10"/>
  <c r="F6" i="10"/>
  <c r="E6" i="10"/>
  <c r="D6" i="10"/>
  <c r="R125" i="25"/>
  <c r="P125" i="25"/>
  <c r="N125" i="25"/>
  <c r="L125" i="25"/>
  <c r="J125" i="25"/>
  <c r="H125" i="25"/>
  <c r="F125" i="25"/>
  <c r="D125" i="25"/>
  <c r="R110" i="25"/>
  <c r="P110" i="25"/>
  <c r="N110" i="25"/>
  <c r="L110" i="25"/>
  <c r="J110" i="25"/>
  <c r="H110" i="25"/>
  <c r="F110" i="25"/>
  <c r="D110" i="25"/>
  <c r="R95" i="25"/>
  <c r="P95" i="25"/>
  <c r="N95" i="25"/>
  <c r="L95" i="25"/>
  <c r="J95" i="25"/>
  <c r="H95" i="25"/>
  <c r="F95" i="25"/>
  <c r="D95" i="25"/>
  <c r="R80" i="25"/>
  <c r="P80" i="25"/>
  <c r="N80" i="25"/>
  <c r="L80" i="25"/>
  <c r="J80" i="25"/>
  <c r="H80" i="25"/>
  <c r="F80" i="25"/>
  <c r="D80" i="25"/>
  <c r="R65" i="25"/>
  <c r="P65" i="25"/>
  <c r="N65" i="25"/>
  <c r="L65" i="25"/>
  <c r="J65" i="25"/>
  <c r="H65" i="25"/>
  <c r="F65" i="25"/>
  <c r="D65" i="25"/>
  <c r="R50" i="25"/>
  <c r="P50" i="25"/>
  <c r="N50" i="25"/>
  <c r="L50" i="25"/>
  <c r="J50" i="25"/>
  <c r="H50" i="25"/>
  <c r="F50" i="25"/>
  <c r="D50" i="25"/>
  <c r="R124" i="25"/>
  <c r="P124" i="25"/>
  <c r="N124" i="25"/>
  <c r="L124" i="25"/>
  <c r="J124" i="25"/>
  <c r="H124" i="25"/>
  <c r="F124" i="25"/>
  <c r="D124" i="25"/>
  <c r="R109" i="25"/>
  <c r="P109" i="25"/>
  <c r="N109" i="25"/>
  <c r="L109" i="25"/>
  <c r="J109" i="25"/>
  <c r="H109" i="25"/>
  <c r="F109" i="25"/>
  <c r="D109" i="25"/>
  <c r="R94" i="25"/>
  <c r="P94" i="25"/>
  <c r="N94" i="25"/>
  <c r="L94" i="25"/>
  <c r="J94" i="25"/>
  <c r="H94" i="25"/>
  <c r="F94" i="25"/>
  <c r="D94" i="25"/>
  <c r="R79" i="25"/>
  <c r="P79" i="25"/>
  <c r="N79" i="25"/>
  <c r="L79" i="25"/>
  <c r="J79" i="25"/>
  <c r="H79" i="25"/>
  <c r="F79" i="25"/>
  <c r="D79" i="25"/>
  <c r="R64" i="25"/>
  <c r="P64" i="25"/>
  <c r="N64" i="25"/>
  <c r="L64" i="25"/>
  <c r="J64" i="25"/>
  <c r="H64" i="25"/>
  <c r="F64" i="25"/>
  <c r="D64" i="25"/>
  <c r="R49" i="25"/>
  <c r="P49" i="25"/>
  <c r="N49" i="25"/>
  <c r="L49" i="25"/>
  <c r="J49" i="25"/>
  <c r="H49" i="25"/>
  <c r="F49" i="25"/>
  <c r="D49" i="25"/>
  <c r="R123" i="25"/>
  <c r="P123" i="25"/>
  <c r="N123" i="25"/>
  <c r="L123" i="25"/>
  <c r="J123" i="25"/>
  <c r="H123" i="25"/>
  <c r="F123" i="25"/>
  <c r="D123" i="25"/>
  <c r="R108" i="25"/>
  <c r="P108" i="25"/>
  <c r="N108" i="25"/>
  <c r="L108" i="25"/>
  <c r="J108" i="25"/>
  <c r="H108" i="25"/>
  <c r="F108" i="25"/>
  <c r="D108" i="25"/>
  <c r="R93" i="25"/>
  <c r="P93" i="25"/>
  <c r="N93" i="25"/>
  <c r="L93" i="25"/>
  <c r="J93" i="25"/>
  <c r="H93" i="25"/>
  <c r="F93" i="25"/>
  <c r="D93" i="25"/>
  <c r="R78" i="25"/>
  <c r="P78" i="25"/>
  <c r="N78" i="25"/>
  <c r="L78" i="25"/>
  <c r="J78" i="25"/>
  <c r="H78" i="25"/>
  <c r="F78" i="25"/>
  <c r="D78" i="25"/>
  <c r="R63" i="25"/>
  <c r="P63" i="25"/>
  <c r="N63" i="25"/>
  <c r="L63" i="25"/>
  <c r="J63" i="25"/>
  <c r="H63" i="25"/>
  <c r="F63" i="25"/>
  <c r="D63" i="25"/>
  <c r="R48" i="25"/>
  <c r="P48" i="25"/>
  <c r="N48" i="25"/>
  <c r="L48" i="25"/>
  <c r="J48" i="25"/>
  <c r="H48" i="25"/>
  <c r="F48" i="25"/>
  <c r="D48" i="25"/>
  <c r="R122" i="25"/>
  <c r="P122" i="25"/>
  <c r="N122" i="25"/>
  <c r="L122" i="25"/>
  <c r="J122" i="25"/>
  <c r="H122" i="25"/>
  <c r="F122" i="25"/>
  <c r="D122" i="25"/>
  <c r="R107" i="25"/>
  <c r="P107" i="25"/>
  <c r="N107" i="25"/>
  <c r="L107" i="25"/>
  <c r="J107" i="25"/>
  <c r="H107" i="25"/>
  <c r="F107" i="25"/>
  <c r="D107" i="25"/>
  <c r="R92" i="25"/>
  <c r="P92" i="25"/>
  <c r="N92" i="25"/>
  <c r="L92" i="25"/>
  <c r="J92" i="25"/>
  <c r="H92" i="25"/>
  <c r="F92" i="25"/>
  <c r="D92" i="25"/>
  <c r="R77" i="25"/>
  <c r="P77" i="25"/>
  <c r="N77" i="25"/>
  <c r="L77" i="25"/>
  <c r="J77" i="25"/>
  <c r="H77" i="25"/>
  <c r="F77" i="25"/>
  <c r="D77" i="25"/>
  <c r="R62" i="25"/>
  <c r="P62" i="25"/>
  <c r="N62" i="25"/>
  <c r="L62" i="25"/>
  <c r="J62" i="25"/>
  <c r="H62" i="25"/>
  <c r="F62" i="25"/>
  <c r="D62" i="25"/>
  <c r="R47" i="25"/>
  <c r="P47" i="25"/>
  <c r="N47" i="25"/>
  <c r="L47" i="25"/>
  <c r="J47" i="25"/>
  <c r="H47" i="25"/>
  <c r="F47" i="25"/>
  <c r="D47" i="25"/>
  <c r="R121" i="25"/>
  <c r="P121" i="25"/>
  <c r="N121" i="25"/>
  <c r="L121" i="25"/>
  <c r="J121" i="25"/>
  <c r="H121" i="25"/>
  <c r="F121" i="25"/>
  <c r="D121" i="25"/>
  <c r="R106" i="25"/>
  <c r="P106" i="25"/>
  <c r="N106" i="25"/>
  <c r="L106" i="25"/>
  <c r="J106" i="25"/>
  <c r="H106" i="25"/>
  <c r="F106" i="25"/>
  <c r="D106" i="25"/>
  <c r="R91" i="25"/>
  <c r="P91" i="25"/>
  <c r="N91" i="25"/>
  <c r="L91" i="25"/>
  <c r="J91" i="25"/>
  <c r="H91" i="25"/>
  <c r="F91" i="25"/>
  <c r="D91" i="25"/>
  <c r="R76" i="25"/>
  <c r="P76" i="25"/>
  <c r="N76" i="25"/>
  <c r="L76" i="25"/>
  <c r="J76" i="25"/>
  <c r="H76" i="25"/>
  <c r="F76" i="25"/>
  <c r="D76" i="25"/>
  <c r="R61" i="25"/>
  <c r="P61" i="25"/>
  <c r="N61" i="25"/>
  <c r="L61" i="25"/>
  <c r="J61" i="25"/>
  <c r="H61" i="25"/>
  <c r="F61" i="25"/>
  <c r="D61" i="25"/>
  <c r="R46" i="25"/>
  <c r="P46" i="25"/>
  <c r="N46" i="25"/>
  <c r="L46" i="25"/>
  <c r="J46" i="25"/>
  <c r="H46" i="25"/>
  <c r="F46" i="25"/>
  <c r="D46" i="25"/>
  <c r="R120" i="25"/>
  <c r="P120" i="25"/>
  <c r="N120" i="25"/>
  <c r="L120" i="25"/>
  <c r="J120" i="25"/>
  <c r="H120" i="25"/>
  <c r="F120" i="25"/>
  <c r="D120" i="25"/>
  <c r="R105" i="25"/>
  <c r="P105" i="25"/>
  <c r="N105" i="25"/>
  <c r="L105" i="25"/>
  <c r="J105" i="25"/>
  <c r="H105" i="25"/>
  <c r="F105" i="25"/>
  <c r="D105" i="25"/>
  <c r="R90" i="25"/>
  <c r="P90" i="25"/>
  <c r="N90" i="25"/>
  <c r="L90" i="25"/>
  <c r="J90" i="25"/>
  <c r="H90" i="25"/>
  <c r="F90" i="25"/>
  <c r="D90" i="25"/>
  <c r="R75" i="25"/>
  <c r="P75" i="25"/>
  <c r="N75" i="25"/>
  <c r="L75" i="25"/>
  <c r="J75" i="25"/>
  <c r="H75" i="25"/>
  <c r="F75" i="25"/>
  <c r="D75" i="25"/>
  <c r="R60" i="25"/>
  <c r="P60" i="25"/>
  <c r="N60" i="25"/>
  <c r="L60" i="25"/>
  <c r="J60" i="25"/>
  <c r="H60" i="25"/>
  <c r="F60" i="25"/>
  <c r="D60" i="25"/>
  <c r="R45" i="25"/>
  <c r="P45" i="25"/>
  <c r="N45" i="25"/>
  <c r="L45" i="25"/>
  <c r="J45" i="25"/>
  <c r="H45" i="25"/>
  <c r="F45" i="25"/>
  <c r="D45" i="25"/>
  <c r="R119" i="25"/>
  <c r="P119" i="25"/>
  <c r="N119" i="25"/>
  <c r="L119" i="25"/>
  <c r="J119" i="25"/>
  <c r="H119" i="25"/>
  <c r="F119" i="25"/>
  <c r="D119" i="25"/>
  <c r="R104" i="25"/>
  <c r="P104" i="25"/>
  <c r="N104" i="25"/>
  <c r="L104" i="25"/>
  <c r="J104" i="25"/>
  <c r="H104" i="25"/>
  <c r="F104" i="25"/>
  <c r="D104" i="25"/>
  <c r="R89" i="25"/>
  <c r="P89" i="25"/>
  <c r="N89" i="25"/>
  <c r="L89" i="25"/>
  <c r="J89" i="25"/>
  <c r="H89" i="25"/>
  <c r="F89" i="25"/>
  <c r="D89" i="25"/>
  <c r="R74" i="25"/>
  <c r="P74" i="25"/>
  <c r="N74" i="25"/>
  <c r="L74" i="25"/>
  <c r="J74" i="25"/>
  <c r="H74" i="25"/>
  <c r="F74" i="25"/>
  <c r="D74" i="25"/>
  <c r="R59" i="25"/>
  <c r="P59" i="25"/>
  <c r="N59" i="25"/>
  <c r="L59" i="25"/>
  <c r="J59" i="25"/>
  <c r="H59" i="25"/>
  <c r="F59" i="25"/>
  <c r="D59" i="25"/>
  <c r="R44" i="25"/>
  <c r="P44" i="25"/>
  <c r="N44" i="25"/>
  <c r="L44" i="25"/>
  <c r="J44" i="25"/>
  <c r="H44" i="25"/>
  <c r="F44" i="25"/>
  <c r="D44" i="25"/>
  <c r="R118" i="25"/>
  <c r="P118" i="25"/>
  <c r="N118" i="25"/>
  <c r="L118" i="25"/>
  <c r="J118" i="25"/>
  <c r="H118" i="25"/>
  <c r="F118" i="25"/>
  <c r="D118" i="25"/>
  <c r="R103" i="25"/>
  <c r="P103" i="25"/>
  <c r="N103" i="25"/>
  <c r="L103" i="25"/>
  <c r="J103" i="25"/>
  <c r="H103" i="25"/>
  <c r="F103" i="25"/>
  <c r="D103" i="25"/>
  <c r="R88" i="25"/>
  <c r="P88" i="25"/>
  <c r="N88" i="25"/>
  <c r="L88" i="25"/>
  <c r="J88" i="25"/>
  <c r="H88" i="25"/>
  <c r="F88" i="25"/>
  <c r="D88" i="25"/>
  <c r="R73" i="25"/>
  <c r="P73" i="25"/>
  <c r="N73" i="25"/>
  <c r="L73" i="25"/>
  <c r="J73" i="25"/>
  <c r="H73" i="25"/>
  <c r="F73" i="25"/>
  <c r="D73" i="25"/>
  <c r="R58" i="25"/>
  <c r="P58" i="25"/>
  <c r="N58" i="25"/>
  <c r="L58" i="25"/>
  <c r="J58" i="25"/>
  <c r="H58" i="25"/>
  <c r="F58" i="25"/>
  <c r="D58" i="25"/>
  <c r="R43" i="25"/>
  <c r="P43" i="25"/>
  <c r="N43" i="25"/>
  <c r="L43" i="25"/>
  <c r="J43" i="25"/>
  <c r="H43" i="25"/>
  <c r="F43" i="25"/>
  <c r="D43" i="25"/>
  <c r="R117" i="25"/>
  <c r="P117" i="25"/>
  <c r="N117" i="25"/>
  <c r="L117" i="25"/>
  <c r="J117" i="25"/>
  <c r="H117" i="25"/>
  <c r="F117" i="25"/>
  <c r="D117" i="25"/>
  <c r="R102" i="25"/>
  <c r="P102" i="25"/>
  <c r="N102" i="25"/>
  <c r="L102" i="25"/>
  <c r="J102" i="25"/>
  <c r="H102" i="25"/>
  <c r="F102" i="25"/>
  <c r="D102" i="25"/>
  <c r="R87" i="25"/>
  <c r="P87" i="25"/>
  <c r="N87" i="25"/>
  <c r="L87" i="25"/>
  <c r="J87" i="25"/>
  <c r="H87" i="25"/>
  <c r="F87" i="25"/>
  <c r="D87" i="25"/>
  <c r="R72" i="25"/>
  <c r="P72" i="25"/>
  <c r="N72" i="25"/>
  <c r="L72" i="25"/>
  <c r="J72" i="25"/>
  <c r="H72" i="25"/>
  <c r="F72" i="25"/>
  <c r="D72" i="25"/>
  <c r="R57" i="25"/>
  <c r="P57" i="25"/>
  <c r="N57" i="25"/>
  <c r="L57" i="25"/>
  <c r="J57" i="25"/>
  <c r="H57" i="25"/>
  <c r="F57" i="25"/>
  <c r="D57" i="25"/>
  <c r="R42" i="25"/>
  <c r="P42" i="25"/>
  <c r="N42" i="25"/>
  <c r="L42" i="25"/>
  <c r="J42" i="25"/>
  <c r="H42" i="25"/>
  <c r="F42" i="25"/>
  <c r="D42" i="25"/>
  <c r="R116" i="25"/>
  <c r="P116" i="25"/>
  <c r="N116" i="25"/>
  <c r="L116" i="25"/>
  <c r="J116" i="25"/>
  <c r="H116" i="25"/>
  <c r="F116" i="25"/>
  <c r="D116" i="25"/>
  <c r="R101" i="25"/>
  <c r="P101" i="25"/>
  <c r="N101" i="25"/>
  <c r="L101" i="25"/>
  <c r="J101" i="25"/>
  <c r="H101" i="25"/>
  <c r="F101" i="25"/>
  <c r="D101" i="25"/>
  <c r="R86" i="25"/>
  <c r="P86" i="25"/>
  <c r="N86" i="25"/>
  <c r="L86" i="25"/>
  <c r="J86" i="25"/>
  <c r="H86" i="25"/>
  <c r="F86" i="25"/>
  <c r="D86" i="25"/>
  <c r="R71" i="25"/>
  <c r="P71" i="25"/>
  <c r="N71" i="25"/>
  <c r="L71" i="25"/>
  <c r="J71" i="25"/>
  <c r="H71" i="25"/>
  <c r="F71" i="25"/>
  <c r="D71" i="25"/>
  <c r="R56" i="25"/>
  <c r="P56" i="25"/>
  <c r="N56" i="25"/>
  <c r="L56" i="25"/>
  <c r="J56" i="25"/>
  <c r="H56" i="25"/>
  <c r="F56" i="25"/>
  <c r="D56" i="25"/>
  <c r="R41" i="25"/>
  <c r="P41" i="25"/>
  <c r="N41" i="25"/>
  <c r="L41" i="25"/>
  <c r="J41" i="25"/>
  <c r="H41" i="25"/>
  <c r="F41" i="25"/>
  <c r="D41" i="25"/>
  <c r="R115" i="25"/>
  <c r="P115" i="25"/>
  <c r="N115" i="25"/>
  <c r="L115" i="25"/>
  <c r="J115" i="25"/>
  <c r="H115" i="25"/>
  <c r="F115" i="25"/>
  <c r="D115" i="25"/>
  <c r="R100" i="25"/>
  <c r="P100" i="25"/>
  <c r="N100" i="25"/>
  <c r="L100" i="25"/>
  <c r="J100" i="25"/>
  <c r="H100" i="25"/>
  <c r="F100" i="25"/>
  <c r="D100" i="25"/>
  <c r="R85" i="25"/>
  <c r="P85" i="25"/>
  <c r="N85" i="25"/>
  <c r="L85" i="25"/>
  <c r="J85" i="25"/>
  <c r="H85" i="25"/>
  <c r="F85" i="25"/>
  <c r="D85" i="25"/>
  <c r="R70" i="25"/>
  <c r="P70" i="25"/>
  <c r="N70" i="25"/>
  <c r="L70" i="25"/>
  <c r="J70" i="25"/>
  <c r="H70" i="25"/>
  <c r="F70" i="25"/>
  <c r="D70" i="25"/>
  <c r="R55" i="25"/>
  <c r="P55" i="25"/>
  <c r="N55" i="25"/>
  <c r="L55" i="25"/>
  <c r="J55" i="25"/>
  <c r="H55" i="25"/>
  <c r="F55" i="25"/>
  <c r="D55" i="25"/>
  <c r="R40" i="25"/>
  <c r="P40" i="25"/>
  <c r="N40" i="25"/>
  <c r="L40" i="25"/>
  <c r="J40" i="25"/>
  <c r="H40" i="25"/>
  <c r="F40" i="25"/>
  <c r="D40" i="25"/>
  <c r="R114" i="25"/>
  <c r="P114" i="25"/>
  <c r="N114" i="25"/>
  <c r="L114" i="25"/>
  <c r="J114" i="25"/>
  <c r="H114" i="25"/>
  <c r="F114" i="25"/>
  <c r="D114" i="25"/>
  <c r="R99" i="25"/>
  <c r="P99" i="25"/>
  <c r="N99" i="25"/>
  <c r="L99" i="25"/>
  <c r="J99" i="25"/>
  <c r="H99" i="25"/>
  <c r="F99" i="25"/>
  <c r="D99" i="25"/>
  <c r="R84" i="25"/>
  <c r="P84" i="25"/>
  <c r="N84" i="25"/>
  <c r="L84" i="25"/>
  <c r="J84" i="25"/>
  <c r="H84" i="25"/>
  <c r="F84" i="25"/>
  <c r="D84" i="25"/>
  <c r="R69" i="25"/>
  <c r="P69" i="25"/>
  <c r="N69" i="25"/>
  <c r="L69" i="25"/>
  <c r="J69" i="25"/>
  <c r="H69" i="25"/>
  <c r="F69" i="25"/>
  <c r="D69" i="25"/>
  <c r="R54" i="25"/>
  <c r="P54" i="25"/>
  <c r="N54" i="25"/>
  <c r="L54" i="25"/>
  <c r="J54" i="25"/>
  <c r="H54" i="25"/>
  <c r="F54" i="25"/>
  <c r="D54" i="25"/>
  <c r="R39" i="25"/>
  <c r="P39" i="25"/>
  <c r="N39" i="25"/>
  <c r="L39" i="25"/>
  <c r="J39" i="25"/>
  <c r="H39" i="25"/>
  <c r="F39" i="25"/>
  <c r="D39" i="25"/>
  <c r="T380" i="14" l="1"/>
  <c r="R378" i="14"/>
  <c r="S383" i="14"/>
  <c r="T377" i="14"/>
  <c r="S380" i="14"/>
  <c r="R383" i="14"/>
  <c r="T385" i="14"/>
  <c r="S388" i="14"/>
  <c r="S378" i="14"/>
  <c r="R381" i="14"/>
  <c r="T383" i="14"/>
  <c r="S386" i="14"/>
  <c r="R382" i="14"/>
  <c r="T384" i="14"/>
  <c r="R377" i="14"/>
  <c r="T379" i="14"/>
  <c r="S382" i="14"/>
  <c r="R385" i="14"/>
  <c r="T387" i="14"/>
  <c r="S379" i="14"/>
  <c r="S387" i="14"/>
  <c r="S377" i="14"/>
  <c r="R380" i="14"/>
  <c r="T382" i="14"/>
  <c r="S385" i="14"/>
  <c r="R388" i="14"/>
  <c r="R386" i="14"/>
  <c r="T388" i="14"/>
  <c r="T378" i="14"/>
  <c r="S381" i="14"/>
  <c r="R384" i="14"/>
  <c r="T386" i="14"/>
  <c r="R379" i="14"/>
  <c r="T381" i="14"/>
  <c r="S384" i="14"/>
  <c r="R387" i="14"/>
  <c r="X67" i="14"/>
  <c r="X95" i="14"/>
  <c r="X123" i="14"/>
  <c r="X32" i="14"/>
  <c r="X60" i="14"/>
  <c r="X88" i="14"/>
  <c r="X116" i="14"/>
  <c r="X144" i="14"/>
  <c r="X172" i="14"/>
  <c r="X200" i="14"/>
  <c r="X228" i="14"/>
  <c r="X256" i="14"/>
  <c r="X284" i="14"/>
  <c r="X312" i="14"/>
  <c r="X340" i="14"/>
  <c r="X368" i="14"/>
  <c r="X151" i="14"/>
  <c r="X179" i="14"/>
  <c r="X207" i="14"/>
  <c r="X25" i="14"/>
  <c r="X53" i="14"/>
  <c r="X81" i="14"/>
  <c r="X109" i="14"/>
  <c r="X137" i="14"/>
  <c r="X165" i="14"/>
  <c r="X193" i="14"/>
  <c r="X221" i="14"/>
  <c r="X249" i="14"/>
  <c r="X277" i="14"/>
  <c r="X305" i="14"/>
  <c r="X333" i="14"/>
  <c r="X361" i="14"/>
  <c r="X46" i="14"/>
  <c r="X74" i="14"/>
  <c r="X102" i="14"/>
  <c r="X130" i="14"/>
  <c r="X186" i="14"/>
  <c r="X270" i="14"/>
  <c r="X298" i="14"/>
  <c r="X326" i="14"/>
  <c r="X354" i="14"/>
  <c r="X18" i="14"/>
  <c r="X158" i="14"/>
  <c r="X214" i="14"/>
  <c r="X242" i="14"/>
  <c r="X11" i="14"/>
  <c r="X39" i="14"/>
  <c r="X235" i="14"/>
  <c r="X263" i="14"/>
  <c r="X291" i="14"/>
  <c r="X319" i="14"/>
  <c r="X347" i="14"/>
  <c r="M377" i="13"/>
  <c r="G377" i="13" s="1"/>
  <c r="O378" i="13"/>
  <c r="O379" i="13"/>
  <c r="I380" i="13"/>
  <c r="Q380" i="13"/>
  <c r="M381" i="13"/>
  <c r="G381" i="13" s="1"/>
  <c r="O382" i="13"/>
  <c r="K383" i="13"/>
  <c r="M384" i="13"/>
  <c r="G384" i="13" s="1"/>
  <c r="O385" i="13"/>
  <c r="K386" i="13"/>
  <c r="M387" i="13"/>
  <c r="G387" i="13" s="1"/>
  <c r="I388" i="13"/>
  <c r="Q388" i="13"/>
  <c r="J377" i="13"/>
  <c r="L378" i="13"/>
  <c r="L379" i="13"/>
  <c r="N380" i="13"/>
  <c r="J381" i="13"/>
  <c r="L382" i="13"/>
  <c r="H383" i="13"/>
  <c r="P383" i="13"/>
  <c r="J384" i="13"/>
  <c r="L385" i="13"/>
  <c r="H386" i="13"/>
  <c r="P386" i="13"/>
  <c r="J387" i="13"/>
  <c r="N388" i="13"/>
  <c r="D380" i="1"/>
  <c r="D388" i="1"/>
  <c r="D377" i="6"/>
  <c r="D381" i="6"/>
  <c r="D384" i="6"/>
  <c r="D387" i="6"/>
  <c r="D386" i="6"/>
  <c r="D382" i="1"/>
  <c r="N377" i="13"/>
  <c r="H378" i="13"/>
  <c r="P378" i="13"/>
  <c r="H379" i="13"/>
  <c r="P379" i="13"/>
  <c r="J380" i="13"/>
  <c r="N381" i="13"/>
  <c r="H382" i="13"/>
  <c r="P382" i="13"/>
  <c r="L383" i="13"/>
  <c r="N384" i="13"/>
  <c r="Y384" i="13" s="1"/>
  <c r="H385" i="13"/>
  <c r="P385" i="13"/>
  <c r="L386" i="13"/>
  <c r="N387" i="13"/>
  <c r="J388" i="13"/>
  <c r="Y388" i="13" s="1"/>
  <c r="D383" i="6"/>
  <c r="D378" i="1"/>
  <c r="D380" i="6"/>
  <c r="D388" i="6"/>
  <c r="D381" i="1"/>
  <c r="D384" i="1"/>
  <c r="D387" i="1"/>
  <c r="O377" i="13"/>
  <c r="I378" i="13"/>
  <c r="Q378" i="13"/>
  <c r="I379" i="13"/>
  <c r="Q379" i="13"/>
  <c r="K380" i="13"/>
  <c r="O381" i="13"/>
  <c r="I382" i="13"/>
  <c r="Q382" i="13"/>
  <c r="M383" i="13"/>
  <c r="G383" i="13" s="1"/>
  <c r="O384" i="13"/>
  <c r="I385" i="13"/>
  <c r="Q385" i="13"/>
  <c r="M386" i="13"/>
  <c r="O387" i="13"/>
  <c r="K388" i="13"/>
  <c r="D379" i="1"/>
  <c r="H377" i="13"/>
  <c r="P377" i="13"/>
  <c r="J378" i="13"/>
  <c r="J379" i="13"/>
  <c r="L380" i="13"/>
  <c r="H381" i="13"/>
  <c r="P381" i="13"/>
  <c r="J382" i="13"/>
  <c r="N383" i="13"/>
  <c r="H384" i="13"/>
  <c r="P384" i="13"/>
  <c r="J385" i="13"/>
  <c r="N386" i="13"/>
  <c r="H387" i="13"/>
  <c r="P387" i="13"/>
  <c r="L388" i="13"/>
  <c r="D385" i="1"/>
  <c r="D378" i="6"/>
  <c r="D379" i="6"/>
  <c r="D382" i="6"/>
  <c r="D385" i="6"/>
  <c r="D383" i="1"/>
  <c r="D386" i="1"/>
  <c r="I377" i="13"/>
  <c r="Q377" i="13"/>
  <c r="K378" i="13"/>
  <c r="K379" i="13"/>
  <c r="M380" i="13"/>
  <c r="I381" i="13"/>
  <c r="Q381" i="13"/>
  <c r="K382" i="13"/>
  <c r="O383" i="13"/>
  <c r="I384" i="13"/>
  <c r="Q384" i="13"/>
  <c r="K385" i="13"/>
  <c r="O386" i="13"/>
  <c r="I387" i="13"/>
  <c r="Q387" i="13"/>
  <c r="M388" i="13"/>
  <c r="G388" i="13" s="1"/>
  <c r="K377" i="13"/>
  <c r="M378" i="13"/>
  <c r="M379" i="13"/>
  <c r="O380" i="13"/>
  <c r="K381" i="13"/>
  <c r="M382" i="13"/>
  <c r="G382" i="13" s="1"/>
  <c r="I383" i="13"/>
  <c r="Q383" i="13"/>
  <c r="K384" i="13"/>
  <c r="M385" i="13"/>
  <c r="I386" i="13"/>
  <c r="Q386" i="13"/>
  <c r="K387" i="13"/>
  <c r="O388" i="13"/>
  <c r="L377" i="13"/>
  <c r="N378" i="13"/>
  <c r="N379" i="13"/>
  <c r="H380" i="13"/>
  <c r="P380" i="13"/>
  <c r="L381" i="13"/>
  <c r="N382" i="13"/>
  <c r="J383" i="13"/>
  <c r="L384" i="13"/>
  <c r="N385" i="13"/>
  <c r="J386" i="13"/>
  <c r="L387" i="13"/>
  <c r="H388" i="13"/>
  <c r="P388" i="13"/>
  <c r="I377" i="9"/>
  <c r="Q377" i="9"/>
  <c r="I377" i="12"/>
  <c r="Q377" i="12"/>
  <c r="K378" i="12"/>
  <c r="K379" i="12"/>
  <c r="M380" i="12"/>
  <c r="Q387" i="12"/>
  <c r="N379" i="1"/>
  <c r="H380" i="1"/>
  <c r="J383" i="1"/>
  <c r="N385" i="1"/>
  <c r="J386" i="1"/>
  <c r="H388" i="1"/>
  <c r="P388" i="1"/>
  <c r="N378" i="1"/>
  <c r="P380" i="1"/>
  <c r="K388" i="6"/>
  <c r="K377" i="2"/>
  <c r="M378" i="2"/>
  <c r="M379" i="2"/>
  <c r="K381" i="2"/>
  <c r="M382" i="2"/>
  <c r="I383" i="2"/>
  <c r="Q383" i="2"/>
  <c r="M385" i="2"/>
  <c r="K387" i="2"/>
  <c r="O388" i="2"/>
  <c r="J377" i="11"/>
  <c r="N380" i="11"/>
  <c r="J381" i="11"/>
  <c r="H383" i="11"/>
  <c r="P383" i="11"/>
  <c r="J384" i="11"/>
  <c r="H386" i="11"/>
  <c r="P386" i="11"/>
  <c r="J387" i="11"/>
  <c r="N388" i="11"/>
  <c r="K377" i="11"/>
  <c r="M378" i="11"/>
  <c r="M379" i="11"/>
  <c r="O380" i="11"/>
  <c r="K381" i="11"/>
  <c r="M382" i="11"/>
  <c r="I383" i="11"/>
  <c r="Q383" i="11"/>
  <c r="K384" i="11"/>
  <c r="M385" i="11"/>
  <c r="I386" i="11"/>
  <c r="Q386" i="11"/>
  <c r="K387" i="11"/>
  <c r="O388" i="11"/>
  <c r="O378" i="10"/>
  <c r="O379" i="10"/>
  <c r="I388" i="10"/>
  <c r="I377" i="1"/>
  <c r="Q377" i="1"/>
  <c r="K378" i="1"/>
  <c r="K379" i="1"/>
  <c r="M380" i="1"/>
  <c r="I381" i="1"/>
  <c r="Q381" i="1"/>
  <c r="K382" i="1"/>
  <c r="O383" i="1"/>
  <c r="I384" i="1"/>
  <c r="Q384" i="1"/>
  <c r="K385" i="1"/>
  <c r="O386" i="1"/>
  <c r="M388" i="1"/>
  <c r="N377" i="12"/>
  <c r="H378" i="12"/>
  <c r="P378" i="12"/>
  <c r="H379" i="12"/>
  <c r="P379" i="12"/>
  <c r="J380" i="12"/>
  <c r="N381" i="12"/>
  <c r="H382" i="12"/>
  <c r="P382" i="12"/>
  <c r="N384" i="12"/>
  <c r="H385" i="12"/>
  <c r="P385" i="12"/>
  <c r="N387" i="12"/>
  <c r="J388" i="12"/>
  <c r="H377" i="11"/>
  <c r="P377" i="11"/>
  <c r="J378" i="11"/>
  <c r="J379" i="11"/>
  <c r="C96" i="11"/>
  <c r="D380" i="11" s="1"/>
  <c r="L380" i="11"/>
  <c r="H381" i="11"/>
  <c r="P381" i="11"/>
  <c r="J382" i="11"/>
  <c r="N383" i="11"/>
  <c r="H384" i="11"/>
  <c r="P384" i="11"/>
  <c r="J385" i="11"/>
  <c r="N386" i="11"/>
  <c r="H387" i="11"/>
  <c r="P387" i="11"/>
  <c r="C340" i="11"/>
  <c r="D388" i="11" s="1"/>
  <c r="L388" i="11"/>
  <c r="M377" i="10"/>
  <c r="I380" i="10"/>
  <c r="O382" i="10"/>
  <c r="K383" i="10"/>
  <c r="M384" i="10"/>
  <c r="O385" i="10"/>
  <c r="K386" i="10"/>
  <c r="M387" i="10"/>
  <c r="Q388" i="10"/>
  <c r="N377" i="10"/>
  <c r="H378" i="10"/>
  <c r="P378" i="10"/>
  <c r="H379" i="10"/>
  <c r="J380" i="10"/>
  <c r="N381" i="10"/>
  <c r="H382" i="10"/>
  <c r="N384" i="10"/>
  <c r="H385" i="10"/>
  <c r="P385" i="10"/>
  <c r="N387" i="10"/>
  <c r="J388" i="10"/>
  <c r="H386" i="2"/>
  <c r="P386" i="2"/>
  <c r="J387" i="2"/>
  <c r="N388" i="2"/>
  <c r="I377" i="11"/>
  <c r="Q377" i="11"/>
  <c r="K378" i="11"/>
  <c r="K379" i="11"/>
  <c r="M380" i="11"/>
  <c r="I381" i="11"/>
  <c r="Q381" i="11"/>
  <c r="K382" i="11"/>
  <c r="O383" i="11"/>
  <c r="I384" i="11"/>
  <c r="Q384" i="11"/>
  <c r="K385" i="11"/>
  <c r="O386" i="11"/>
  <c r="I387" i="11"/>
  <c r="Q387" i="11"/>
  <c r="M388" i="11"/>
  <c r="K388" i="9"/>
  <c r="I386" i="2"/>
  <c r="C37" i="11"/>
  <c r="D378" i="11" s="1"/>
  <c r="L378" i="11"/>
  <c r="C65" i="11"/>
  <c r="D379" i="11" s="1"/>
  <c r="L379" i="11"/>
  <c r="C157" i="11"/>
  <c r="D382" i="11" s="1"/>
  <c r="L382" i="11"/>
  <c r="C249" i="11"/>
  <c r="D385" i="11" s="1"/>
  <c r="L385" i="11"/>
  <c r="O380" i="2"/>
  <c r="H380" i="2"/>
  <c r="N382" i="1"/>
  <c r="K378" i="9"/>
  <c r="K379" i="9"/>
  <c r="M380" i="9"/>
  <c r="I381" i="9"/>
  <c r="Q381" i="9"/>
  <c r="K382" i="9"/>
  <c r="O383" i="9"/>
  <c r="I384" i="9"/>
  <c r="Q384" i="9"/>
  <c r="K385" i="9"/>
  <c r="O386" i="9"/>
  <c r="I387" i="9"/>
  <c r="Q387" i="9"/>
  <c r="M388" i="9"/>
  <c r="Q386" i="2"/>
  <c r="J386" i="2"/>
  <c r="P381" i="6"/>
  <c r="K386" i="1"/>
  <c r="M387" i="1"/>
  <c r="I388" i="1"/>
  <c r="Q388" i="1"/>
  <c r="C6" i="11"/>
  <c r="D377" i="11" s="1"/>
  <c r="L377" i="11"/>
  <c r="N378" i="11"/>
  <c r="N379" i="11"/>
  <c r="H380" i="11"/>
  <c r="P380" i="11"/>
  <c r="C126" i="11"/>
  <c r="D381" i="11" s="1"/>
  <c r="L381" i="11"/>
  <c r="N382" i="11"/>
  <c r="J383" i="11"/>
  <c r="C218" i="11"/>
  <c r="D384" i="11" s="1"/>
  <c r="L384" i="11"/>
  <c r="N385" i="11"/>
  <c r="J386" i="11"/>
  <c r="C310" i="11"/>
  <c r="D387" i="11" s="1"/>
  <c r="L387" i="11"/>
  <c r="H388" i="11"/>
  <c r="P388" i="11"/>
  <c r="J377" i="9"/>
  <c r="N380" i="9"/>
  <c r="J381" i="9"/>
  <c r="H383" i="9"/>
  <c r="P383" i="9"/>
  <c r="J384" i="9"/>
  <c r="H386" i="9"/>
  <c r="P386" i="9"/>
  <c r="J387" i="9"/>
  <c r="N388" i="9"/>
  <c r="N382" i="2"/>
  <c r="N385" i="2"/>
  <c r="H388" i="2"/>
  <c r="H387" i="6"/>
  <c r="L377" i="1"/>
  <c r="C6" i="1"/>
  <c r="D377" i="1" s="1"/>
  <c r="M379" i="12"/>
  <c r="O380" i="12"/>
  <c r="K381" i="12"/>
  <c r="M382" i="12"/>
  <c r="I383" i="12"/>
  <c r="Q383" i="12"/>
  <c r="K384" i="12"/>
  <c r="M385" i="12"/>
  <c r="I386" i="12"/>
  <c r="Q386" i="12"/>
  <c r="K387" i="12"/>
  <c r="O388" i="12"/>
  <c r="M377" i="11"/>
  <c r="O378" i="11"/>
  <c r="O379" i="11"/>
  <c r="I380" i="11"/>
  <c r="Q380" i="11"/>
  <c r="M381" i="11"/>
  <c r="O382" i="11"/>
  <c r="K383" i="11"/>
  <c r="M384" i="11"/>
  <c r="O385" i="11"/>
  <c r="K386" i="11"/>
  <c r="M387" i="11"/>
  <c r="I388" i="11"/>
  <c r="Q388" i="11"/>
  <c r="N378" i="2"/>
  <c r="N379" i="2"/>
  <c r="P380" i="2"/>
  <c r="J383" i="2"/>
  <c r="P388" i="2"/>
  <c r="O387" i="1"/>
  <c r="K388" i="1"/>
  <c r="N377" i="11"/>
  <c r="H378" i="11"/>
  <c r="P378" i="11"/>
  <c r="H379" i="11"/>
  <c r="P379" i="11"/>
  <c r="J380" i="11"/>
  <c r="N381" i="11"/>
  <c r="H382" i="11"/>
  <c r="P382" i="11"/>
  <c r="C187" i="11"/>
  <c r="D383" i="11" s="1"/>
  <c r="L383" i="11"/>
  <c r="N384" i="11"/>
  <c r="H385" i="11"/>
  <c r="P385" i="11"/>
  <c r="C279" i="11"/>
  <c r="D386" i="11" s="1"/>
  <c r="L386" i="11"/>
  <c r="N387" i="11"/>
  <c r="J388" i="11"/>
  <c r="O377" i="11"/>
  <c r="I378" i="11"/>
  <c r="Q378" i="11"/>
  <c r="I379" i="11"/>
  <c r="Q379" i="11"/>
  <c r="K380" i="11"/>
  <c r="O381" i="11"/>
  <c r="I382" i="11"/>
  <c r="Q382" i="11"/>
  <c r="M383" i="11"/>
  <c r="O384" i="11"/>
  <c r="I385" i="11"/>
  <c r="Q385" i="11"/>
  <c r="M386" i="11"/>
  <c r="O387" i="11"/>
  <c r="K388" i="11"/>
  <c r="O377" i="12"/>
  <c r="I378" i="12"/>
  <c r="Q378" i="12"/>
  <c r="I379" i="12"/>
  <c r="Q379" i="12"/>
  <c r="K380" i="12"/>
  <c r="O381" i="12"/>
  <c r="I382" i="12"/>
  <c r="Q382" i="12"/>
  <c r="M383" i="12"/>
  <c r="O384" i="12"/>
  <c r="I385" i="12"/>
  <c r="Q385" i="12"/>
  <c r="M386" i="12"/>
  <c r="O387" i="12"/>
  <c r="K388" i="12"/>
  <c r="H377" i="12"/>
  <c r="P377" i="12"/>
  <c r="J378" i="12"/>
  <c r="J379" i="12"/>
  <c r="C96" i="12"/>
  <c r="D380" i="12" s="1"/>
  <c r="L380" i="12"/>
  <c r="H381" i="12"/>
  <c r="P381" i="12"/>
  <c r="J382" i="12"/>
  <c r="N383" i="12"/>
  <c r="H384" i="12"/>
  <c r="P384" i="12"/>
  <c r="J385" i="12"/>
  <c r="N386" i="12"/>
  <c r="H387" i="12"/>
  <c r="P387" i="12"/>
  <c r="C340" i="12"/>
  <c r="D388" i="12" s="1"/>
  <c r="L388" i="12"/>
  <c r="C187" i="12"/>
  <c r="D383" i="12" s="1"/>
  <c r="L383" i="12"/>
  <c r="I381" i="12"/>
  <c r="Q381" i="12"/>
  <c r="K382" i="12"/>
  <c r="O383" i="12"/>
  <c r="I384" i="12"/>
  <c r="Q384" i="12"/>
  <c r="K385" i="12"/>
  <c r="O386" i="12"/>
  <c r="I387" i="12"/>
  <c r="M388" i="12"/>
  <c r="J377" i="12"/>
  <c r="C37" i="12"/>
  <c r="D378" i="12" s="1"/>
  <c r="L378" i="12"/>
  <c r="C65" i="12"/>
  <c r="D379" i="12" s="1"/>
  <c r="L379" i="12"/>
  <c r="N380" i="12"/>
  <c r="J381" i="12"/>
  <c r="C157" i="12"/>
  <c r="D382" i="12" s="1"/>
  <c r="L382" i="12"/>
  <c r="H383" i="12"/>
  <c r="P383" i="12"/>
  <c r="J384" i="12"/>
  <c r="C249" i="12"/>
  <c r="D385" i="12" s="1"/>
  <c r="L385" i="12"/>
  <c r="H386" i="12"/>
  <c r="P386" i="12"/>
  <c r="J387" i="12"/>
  <c r="N388" i="12"/>
  <c r="K377" i="12"/>
  <c r="M378" i="12"/>
  <c r="C6" i="12"/>
  <c r="D377" i="12" s="1"/>
  <c r="L377" i="12"/>
  <c r="N378" i="12"/>
  <c r="N379" i="12"/>
  <c r="H380" i="12"/>
  <c r="P380" i="12"/>
  <c r="C126" i="12"/>
  <c r="D381" i="12" s="1"/>
  <c r="L381" i="12"/>
  <c r="N382" i="12"/>
  <c r="J383" i="12"/>
  <c r="C218" i="12"/>
  <c r="D384" i="12" s="1"/>
  <c r="L384" i="12"/>
  <c r="N385" i="12"/>
  <c r="J386" i="12"/>
  <c r="C310" i="12"/>
  <c r="D387" i="12" s="1"/>
  <c r="L387" i="12"/>
  <c r="H388" i="12"/>
  <c r="P388" i="12"/>
  <c r="C279" i="12"/>
  <c r="D386" i="12" s="1"/>
  <c r="L386" i="12"/>
  <c r="M377" i="12"/>
  <c r="G377" i="12" s="1"/>
  <c r="O378" i="12"/>
  <c r="O379" i="12"/>
  <c r="I380" i="12"/>
  <c r="Q380" i="12"/>
  <c r="M381" i="12"/>
  <c r="O382" i="12"/>
  <c r="K383" i="12"/>
  <c r="M384" i="12"/>
  <c r="O385" i="12"/>
  <c r="K386" i="12"/>
  <c r="M387" i="12"/>
  <c r="I388" i="12"/>
  <c r="Q388" i="12"/>
  <c r="N377" i="6"/>
  <c r="H378" i="6"/>
  <c r="P378" i="6"/>
  <c r="H379" i="6"/>
  <c r="P379" i="6"/>
  <c r="J382" i="6"/>
  <c r="N383" i="6"/>
  <c r="H384" i="6"/>
  <c r="P384" i="6"/>
  <c r="J385" i="6"/>
  <c r="N386" i="6"/>
  <c r="P387" i="6"/>
  <c r="I377" i="6"/>
  <c r="Q377" i="6"/>
  <c r="K378" i="6"/>
  <c r="K379" i="6"/>
  <c r="M380" i="6"/>
  <c r="G380" i="6" s="1"/>
  <c r="I381" i="6"/>
  <c r="Q381" i="6"/>
  <c r="K382" i="6"/>
  <c r="O383" i="6"/>
  <c r="I384" i="6"/>
  <c r="Q384" i="6"/>
  <c r="K385" i="6"/>
  <c r="O386" i="6"/>
  <c r="I387" i="6"/>
  <c r="Q387" i="6"/>
  <c r="P379" i="10"/>
  <c r="C187" i="10"/>
  <c r="D383" i="10" s="1"/>
  <c r="L383" i="10"/>
  <c r="C279" i="10"/>
  <c r="D386" i="10" s="1"/>
  <c r="L386" i="10"/>
  <c r="M381" i="10"/>
  <c r="P382" i="10"/>
  <c r="O377" i="10"/>
  <c r="I378" i="10"/>
  <c r="Q378" i="10"/>
  <c r="I379" i="10"/>
  <c r="Q379" i="10"/>
  <c r="K380" i="10"/>
  <c r="O381" i="10"/>
  <c r="I382" i="10"/>
  <c r="Q382" i="10"/>
  <c r="M383" i="10"/>
  <c r="O384" i="10"/>
  <c r="I385" i="10"/>
  <c r="Q385" i="10"/>
  <c r="M386" i="10"/>
  <c r="O387" i="10"/>
  <c r="K388" i="10"/>
  <c r="Q380" i="10"/>
  <c r="H377" i="10"/>
  <c r="P377" i="10"/>
  <c r="J378" i="10"/>
  <c r="J379" i="10"/>
  <c r="C96" i="10"/>
  <c r="D380" i="10" s="1"/>
  <c r="L380" i="10"/>
  <c r="H381" i="10"/>
  <c r="P381" i="10"/>
  <c r="J382" i="10"/>
  <c r="N383" i="10"/>
  <c r="H384" i="10"/>
  <c r="P384" i="10"/>
  <c r="J385" i="10"/>
  <c r="N386" i="10"/>
  <c r="H387" i="10"/>
  <c r="P387" i="10"/>
  <c r="C340" i="10"/>
  <c r="D388" i="10" s="1"/>
  <c r="L388" i="10"/>
  <c r="K382" i="10"/>
  <c r="O383" i="10"/>
  <c r="I384" i="10"/>
  <c r="Q384" i="10"/>
  <c r="K385" i="10"/>
  <c r="O386" i="10"/>
  <c r="I387" i="10"/>
  <c r="Q387" i="10"/>
  <c r="M388" i="10"/>
  <c r="I377" i="10"/>
  <c r="K378" i="10"/>
  <c r="K379" i="10"/>
  <c r="M380" i="10"/>
  <c r="Q381" i="10"/>
  <c r="J377" i="10"/>
  <c r="C37" i="10"/>
  <c r="D378" i="10" s="1"/>
  <c r="L378" i="10"/>
  <c r="C65" i="10"/>
  <c r="D379" i="10" s="1"/>
  <c r="L379" i="10"/>
  <c r="N380" i="10"/>
  <c r="J381" i="10"/>
  <c r="C157" i="10"/>
  <c r="D382" i="10" s="1"/>
  <c r="L382" i="10"/>
  <c r="H383" i="10"/>
  <c r="P383" i="10"/>
  <c r="J384" i="10"/>
  <c r="C249" i="10"/>
  <c r="D385" i="10" s="1"/>
  <c r="L385" i="10"/>
  <c r="H386" i="10"/>
  <c r="P386" i="10"/>
  <c r="J387" i="10"/>
  <c r="N388" i="10"/>
  <c r="Q377" i="10"/>
  <c r="I381" i="10"/>
  <c r="K377" i="10"/>
  <c r="M378" i="10"/>
  <c r="M379" i="10"/>
  <c r="O380" i="10"/>
  <c r="K381" i="10"/>
  <c r="M382" i="10"/>
  <c r="I383" i="10"/>
  <c r="Q383" i="10"/>
  <c r="K384" i="10"/>
  <c r="M385" i="10"/>
  <c r="I386" i="10"/>
  <c r="Q386" i="10"/>
  <c r="K387" i="10"/>
  <c r="O388" i="10"/>
  <c r="C6" i="10"/>
  <c r="D377" i="10" s="1"/>
  <c r="L377" i="10"/>
  <c r="N378" i="10"/>
  <c r="N379" i="10"/>
  <c r="H380" i="10"/>
  <c r="P380" i="10"/>
  <c r="C126" i="10"/>
  <c r="D381" i="10" s="1"/>
  <c r="L381" i="10"/>
  <c r="N382" i="10"/>
  <c r="J383" i="10"/>
  <c r="C218" i="10"/>
  <c r="D384" i="10" s="1"/>
  <c r="L384" i="10"/>
  <c r="N385" i="10"/>
  <c r="J386" i="10"/>
  <c r="C310" i="10"/>
  <c r="D387" i="10" s="1"/>
  <c r="L387" i="10"/>
  <c r="H388" i="10"/>
  <c r="P388" i="10"/>
  <c r="C37" i="13"/>
  <c r="C65" i="13"/>
  <c r="C157" i="13"/>
  <c r="C249" i="13"/>
  <c r="C6" i="13"/>
  <c r="D377" i="13" s="1"/>
  <c r="C126" i="13"/>
  <c r="C218" i="13"/>
  <c r="C310" i="13"/>
  <c r="C187" i="13"/>
  <c r="C279" i="13"/>
  <c r="C96" i="13"/>
  <c r="C340" i="13"/>
  <c r="N377" i="9"/>
  <c r="H378" i="9"/>
  <c r="P378" i="9"/>
  <c r="H379" i="9"/>
  <c r="P379" i="9"/>
  <c r="J380" i="9"/>
  <c r="N381" i="9"/>
  <c r="H382" i="9"/>
  <c r="P382" i="9"/>
  <c r="C187" i="9"/>
  <c r="D383" i="9" s="1"/>
  <c r="L383" i="9"/>
  <c r="N384" i="9"/>
  <c r="H385" i="9"/>
  <c r="P385" i="9"/>
  <c r="C279" i="9"/>
  <c r="D386" i="9" s="1"/>
  <c r="L386" i="9"/>
  <c r="N387" i="9"/>
  <c r="J388" i="9"/>
  <c r="O377" i="9"/>
  <c r="I378" i="9"/>
  <c r="Q378" i="9"/>
  <c r="I379" i="9"/>
  <c r="Q379" i="9"/>
  <c r="K380" i="9"/>
  <c r="O381" i="9"/>
  <c r="I382" i="9"/>
  <c r="Q382" i="9"/>
  <c r="M383" i="9"/>
  <c r="O384" i="9"/>
  <c r="I385" i="9"/>
  <c r="Q385" i="9"/>
  <c r="M386" i="9"/>
  <c r="O387" i="9"/>
  <c r="H377" i="9"/>
  <c r="P377" i="9"/>
  <c r="J378" i="9"/>
  <c r="J379" i="9"/>
  <c r="C96" i="9"/>
  <c r="D380" i="9" s="1"/>
  <c r="L380" i="9"/>
  <c r="H381" i="9"/>
  <c r="P381" i="9"/>
  <c r="J382" i="9"/>
  <c r="N383" i="9"/>
  <c r="H384" i="9"/>
  <c r="P384" i="9"/>
  <c r="J385" i="9"/>
  <c r="N386" i="9"/>
  <c r="H387" i="9"/>
  <c r="P387" i="9"/>
  <c r="C340" i="9"/>
  <c r="D388" i="9" s="1"/>
  <c r="L388" i="9"/>
  <c r="C37" i="9"/>
  <c r="D378" i="9" s="1"/>
  <c r="L378" i="9"/>
  <c r="C65" i="9"/>
  <c r="D379" i="9" s="1"/>
  <c r="L379" i="9"/>
  <c r="C157" i="9"/>
  <c r="D382" i="9" s="1"/>
  <c r="L382" i="9"/>
  <c r="C249" i="9"/>
  <c r="D385" i="9" s="1"/>
  <c r="L385" i="9"/>
  <c r="K377" i="9"/>
  <c r="M378" i="9"/>
  <c r="M379" i="9"/>
  <c r="O380" i="9"/>
  <c r="K381" i="9"/>
  <c r="M382" i="9"/>
  <c r="I383" i="9"/>
  <c r="Q383" i="9"/>
  <c r="K384" i="9"/>
  <c r="M385" i="9"/>
  <c r="I386" i="9"/>
  <c r="Q386" i="9"/>
  <c r="K387" i="9"/>
  <c r="O388" i="9"/>
  <c r="C6" i="9"/>
  <c r="D377" i="9" s="1"/>
  <c r="L377" i="9"/>
  <c r="N378" i="9"/>
  <c r="N379" i="9"/>
  <c r="Y379" i="9" s="1"/>
  <c r="H380" i="9"/>
  <c r="P380" i="9"/>
  <c r="C126" i="9"/>
  <c r="D381" i="9" s="1"/>
  <c r="L381" i="9"/>
  <c r="N382" i="9"/>
  <c r="J383" i="9"/>
  <c r="C218" i="9"/>
  <c r="D384" i="9" s="1"/>
  <c r="L384" i="9"/>
  <c r="N385" i="9"/>
  <c r="Y385" i="9" s="1"/>
  <c r="J386" i="9"/>
  <c r="C310" i="9"/>
  <c r="D387" i="9" s="1"/>
  <c r="L387" i="9"/>
  <c r="H388" i="9"/>
  <c r="P388" i="9"/>
  <c r="M377" i="9"/>
  <c r="O378" i="9"/>
  <c r="O379" i="9"/>
  <c r="I380" i="9"/>
  <c r="Q380" i="9"/>
  <c r="M381" i="9"/>
  <c r="O382" i="9"/>
  <c r="K383" i="9"/>
  <c r="M384" i="9"/>
  <c r="O385" i="9"/>
  <c r="K386" i="9"/>
  <c r="M387" i="9"/>
  <c r="I388" i="9"/>
  <c r="Q388" i="9"/>
  <c r="K384" i="2"/>
  <c r="I377" i="2"/>
  <c r="Q377" i="2"/>
  <c r="K378" i="2"/>
  <c r="K379" i="2"/>
  <c r="M380" i="2"/>
  <c r="I381" i="2"/>
  <c r="Q381" i="2"/>
  <c r="K382" i="2"/>
  <c r="O383" i="2"/>
  <c r="I384" i="2"/>
  <c r="Q384" i="2"/>
  <c r="K385" i="2"/>
  <c r="O386" i="2"/>
  <c r="I387" i="2"/>
  <c r="Q387" i="2"/>
  <c r="M388" i="2"/>
  <c r="J377" i="2"/>
  <c r="C37" i="2"/>
  <c r="D378" i="2" s="1"/>
  <c r="L378" i="2"/>
  <c r="C65" i="2"/>
  <c r="D379" i="2" s="1"/>
  <c r="L379" i="2"/>
  <c r="N380" i="2"/>
  <c r="J381" i="2"/>
  <c r="C157" i="2"/>
  <c r="D382" i="2" s="1"/>
  <c r="L382" i="2"/>
  <c r="H383" i="2"/>
  <c r="P383" i="2"/>
  <c r="J384" i="2"/>
  <c r="C249" i="2"/>
  <c r="D385" i="2" s="1"/>
  <c r="L385" i="2"/>
  <c r="C6" i="2"/>
  <c r="D377" i="2" s="1"/>
  <c r="L377" i="2"/>
  <c r="C126" i="2"/>
  <c r="D381" i="2" s="1"/>
  <c r="L381" i="2"/>
  <c r="C218" i="2"/>
  <c r="D384" i="2" s="1"/>
  <c r="L384" i="2"/>
  <c r="C310" i="2"/>
  <c r="D387" i="2" s="1"/>
  <c r="L387" i="2"/>
  <c r="M377" i="2"/>
  <c r="O378" i="2"/>
  <c r="O379" i="2"/>
  <c r="I380" i="2"/>
  <c r="Q380" i="2"/>
  <c r="M381" i="2"/>
  <c r="O382" i="2"/>
  <c r="K383" i="2"/>
  <c r="M384" i="2"/>
  <c r="O385" i="2"/>
  <c r="K386" i="2"/>
  <c r="M387" i="2"/>
  <c r="I388" i="2"/>
  <c r="Q388" i="2"/>
  <c r="N377" i="2"/>
  <c r="H378" i="2"/>
  <c r="P378" i="2"/>
  <c r="H379" i="2"/>
  <c r="P379" i="2"/>
  <c r="J380" i="2"/>
  <c r="N381" i="2"/>
  <c r="H382" i="2"/>
  <c r="P382" i="2"/>
  <c r="C187" i="2"/>
  <c r="D383" i="2" s="1"/>
  <c r="L383" i="2"/>
  <c r="N384" i="2"/>
  <c r="H385" i="2"/>
  <c r="P385" i="2"/>
  <c r="C279" i="2"/>
  <c r="D386" i="2" s="1"/>
  <c r="L386" i="2"/>
  <c r="N387" i="2"/>
  <c r="J388" i="2"/>
  <c r="O377" i="2"/>
  <c r="I378" i="2"/>
  <c r="Q378" i="2"/>
  <c r="I379" i="2"/>
  <c r="Q379" i="2"/>
  <c r="K380" i="2"/>
  <c r="O381" i="2"/>
  <c r="I382" i="2"/>
  <c r="Q382" i="2"/>
  <c r="M383" i="2"/>
  <c r="O384" i="2"/>
  <c r="I385" i="2"/>
  <c r="Q385" i="2"/>
  <c r="M386" i="2"/>
  <c r="O387" i="2"/>
  <c r="K388" i="2"/>
  <c r="H377" i="2"/>
  <c r="P377" i="2"/>
  <c r="J378" i="2"/>
  <c r="J379" i="2"/>
  <c r="C96" i="2"/>
  <c r="D380" i="2" s="1"/>
  <c r="L380" i="2"/>
  <c r="H381" i="2"/>
  <c r="P381" i="2"/>
  <c r="J382" i="2"/>
  <c r="N383" i="2"/>
  <c r="H384" i="2"/>
  <c r="P384" i="2"/>
  <c r="J385" i="2"/>
  <c r="N386" i="2"/>
  <c r="H387" i="2"/>
  <c r="P387" i="2"/>
  <c r="C340" i="2"/>
  <c r="D388" i="2" s="1"/>
  <c r="L388" i="2"/>
  <c r="I387" i="1"/>
  <c r="Q387" i="1"/>
  <c r="J377" i="1"/>
  <c r="L378" i="1"/>
  <c r="L379" i="1"/>
  <c r="N380" i="1"/>
  <c r="J381" i="1"/>
  <c r="L382" i="1"/>
  <c r="H383" i="1"/>
  <c r="P383" i="1"/>
  <c r="J384" i="1"/>
  <c r="L385" i="1"/>
  <c r="H386" i="1"/>
  <c r="P386" i="1"/>
  <c r="J387" i="1"/>
  <c r="N388" i="1"/>
  <c r="K377" i="1"/>
  <c r="M378" i="1"/>
  <c r="M379" i="1"/>
  <c r="O380" i="1"/>
  <c r="K381" i="1"/>
  <c r="M382" i="1"/>
  <c r="I383" i="1"/>
  <c r="Q383" i="1"/>
  <c r="K384" i="1"/>
  <c r="M385" i="1"/>
  <c r="I386" i="1"/>
  <c r="Q386" i="1"/>
  <c r="K387" i="1"/>
  <c r="O388" i="1"/>
  <c r="L381" i="1"/>
  <c r="L384" i="1"/>
  <c r="L387" i="1"/>
  <c r="M377" i="1"/>
  <c r="O378" i="1"/>
  <c r="O379" i="1"/>
  <c r="I380" i="1"/>
  <c r="Q380" i="1"/>
  <c r="M381" i="1"/>
  <c r="O382" i="1"/>
  <c r="K383" i="1"/>
  <c r="M384" i="1"/>
  <c r="O385" i="1"/>
  <c r="N377" i="1"/>
  <c r="H378" i="1"/>
  <c r="P378" i="1"/>
  <c r="H379" i="1"/>
  <c r="P379" i="1"/>
  <c r="J380" i="1"/>
  <c r="N381" i="1"/>
  <c r="H382" i="1"/>
  <c r="P382" i="1"/>
  <c r="L383" i="1"/>
  <c r="N384" i="1"/>
  <c r="H385" i="1"/>
  <c r="P385" i="1"/>
  <c r="L386" i="1"/>
  <c r="N387" i="1"/>
  <c r="J388" i="1"/>
  <c r="O377" i="1"/>
  <c r="I378" i="1"/>
  <c r="Q378" i="1"/>
  <c r="I379" i="1"/>
  <c r="Q379" i="1"/>
  <c r="K380" i="1"/>
  <c r="O381" i="1"/>
  <c r="I382" i="1"/>
  <c r="Q382" i="1"/>
  <c r="M383" i="1"/>
  <c r="O384" i="1"/>
  <c r="I385" i="1"/>
  <c r="Q385" i="1"/>
  <c r="M386" i="1"/>
  <c r="H377" i="1"/>
  <c r="P377" i="1"/>
  <c r="J378" i="1"/>
  <c r="J379" i="1"/>
  <c r="L380" i="1"/>
  <c r="H381" i="1"/>
  <c r="P381" i="1"/>
  <c r="J382" i="1"/>
  <c r="N383" i="1"/>
  <c r="H384" i="1"/>
  <c r="P384" i="1"/>
  <c r="J385" i="1"/>
  <c r="N386" i="1"/>
  <c r="H387" i="1"/>
  <c r="P387" i="1"/>
  <c r="L388" i="1"/>
  <c r="J378" i="6"/>
  <c r="M377" i="6"/>
  <c r="O378" i="6"/>
  <c r="J380" i="6"/>
  <c r="N381" i="6"/>
  <c r="H382" i="6"/>
  <c r="P382" i="6"/>
  <c r="L383" i="6"/>
  <c r="N384" i="6"/>
  <c r="H385" i="6"/>
  <c r="P385" i="6"/>
  <c r="L386" i="6"/>
  <c r="N387" i="6"/>
  <c r="J388" i="6"/>
  <c r="H9" i="14"/>
  <c r="H13" i="14"/>
  <c r="H17" i="14"/>
  <c r="H21" i="14"/>
  <c r="H25" i="14"/>
  <c r="H29" i="14"/>
  <c r="H33" i="14"/>
  <c r="H37" i="14"/>
  <c r="O377" i="6"/>
  <c r="I378" i="6"/>
  <c r="Q378" i="6"/>
  <c r="I379" i="6"/>
  <c r="Q379" i="6"/>
  <c r="K380" i="6"/>
  <c r="P377" i="6"/>
  <c r="L380" i="6"/>
  <c r="H381" i="6"/>
  <c r="L388" i="6"/>
  <c r="H6" i="14"/>
  <c r="H10" i="14"/>
  <c r="H14" i="14"/>
  <c r="H18" i="14"/>
  <c r="H22" i="14"/>
  <c r="H26" i="14"/>
  <c r="H30" i="14"/>
  <c r="J379" i="6"/>
  <c r="J377" i="6"/>
  <c r="L378" i="6"/>
  <c r="L379" i="6"/>
  <c r="N380" i="6"/>
  <c r="J381" i="6"/>
  <c r="L382" i="6"/>
  <c r="H383" i="6"/>
  <c r="P383" i="6"/>
  <c r="J384" i="6"/>
  <c r="L385" i="6"/>
  <c r="H386" i="6"/>
  <c r="P386" i="6"/>
  <c r="J387" i="6"/>
  <c r="N388" i="6"/>
  <c r="H7" i="14"/>
  <c r="H11" i="14"/>
  <c r="H15" i="14"/>
  <c r="H19" i="14"/>
  <c r="H23" i="14"/>
  <c r="H27" i="14"/>
  <c r="H31" i="14"/>
  <c r="H377" i="6"/>
  <c r="K377" i="6"/>
  <c r="M378" i="6"/>
  <c r="L377" i="6"/>
  <c r="N378" i="6"/>
  <c r="N379" i="6"/>
  <c r="H380" i="6"/>
  <c r="P380" i="6"/>
  <c r="L381" i="6"/>
  <c r="N382" i="6"/>
  <c r="J383" i="6"/>
  <c r="L384" i="6"/>
  <c r="N385" i="6"/>
  <c r="J386" i="6"/>
  <c r="L387" i="6"/>
  <c r="H388" i="6"/>
  <c r="P388" i="6"/>
  <c r="H8" i="14"/>
  <c r="H12" i="14"/>
  <c r="H16" i="14"/>
  <c r="H20" i="14"/>
  <c r="H24" i="14"/>
  <c r="H28" i="14"/>
  <c r="O379" i="6"/>
  <c r="I380" i="6"/>
  <c r="Q380" i="6"/>
  <c r="M381" i="6"/>
  <c r="O382" i="6"/>
  <c r="K383" i="6"/>
  <c r="M384" i="6"/>
  <c r="O385" i="6"/>
  <c r="K386" i="6"/>
  <c r="M387" i="6"/>
  <c r="I388" i="6"/>
  <c r="Q388" i="6"/>
  <c r="H41" i="14"/>
  <c r="H45" i="14"/>
  <c r="H49" i="14"/>
  <c r="H53" i="14"/>
  <c r="H57" i="14"/>
  <c r="H61" i="14"/>
  <c r="H65" i="14"/>
  <c r="H69" i="14"/>
  <c r="H73" i="14"/>
  <c r="H77" i="14"/>
  <c r="H81" i="14"/>
  <c r="H85" i="14"/>
  <c r="H89" i="14"/>
  <c r="H93" i="14"/>
  <c r="H97" i="14"/>
  <c r="H101" i="14"/>
  <c r="H105" i="14"/>
  <c r="H109" i="14"/>
  <c r="H113" i="14"/>
  <c r="H117" i="14"/>
  <c r="H121" i="14"/>
  <c r="H125" i="14"/>
  <c r="H129" i="14"/>
  <c r="H133" i="14"/>
  <c r="H137" i="14"/>
  <c r="H141" i="14"/>
  <c r="H145" i="14"/>
  <c r="H149" i="14"/>
  <c r="H153" i="14"/>
  <c r="H157" i="14"/>
  <c r="J26" i="35" s="1"/>
  <c r="H161" i="14"/>
  <c r="J30" i="35" s="1"/>
  <c r="H165" i="14"/>
  <c r="H169" i="14"/>
  <c r="H173" i="14"/>
  <c r="H177" i="14"/>
  <c r="H181" i="14"/>
  <c r="H185" i="14"/>
  <c r="H189" i="14"/>
  <c r="H193" i="14"/>
  <c r="H197" i="14"/>
  <c r="H201" i="14"/>
  <c r="H205" i="14"/>
  <c r="H209" i="14"/>
  <c r="H213" i="14"/>
  <c r="H217" i="14"/>
  <c r="H221" i="14"/>
  <c r="H225" i="14"/>
  <c r="H229" i="14"/>
  <c r="H233" i="14"/>
  <c r="H237" i="14"/>
  <c r="H241" i="14"/>
  <c r="H245" i="14"/>
  <c r="H249" i="14"/>
  <c r="H253" i="14"/>
  <c r="H257" i="14"/>
  <c r="H261" i="14"/>
  <c r="H265" i="14"/>
  <c r="H269" i="14"/>
  <c r="H273" i="14"/>
  <c r="H277" i="14"/>
  <c r="H281" i="14"/>
  <c r="H285" i="14"/>
  <c r="H289" i="14"/>
  <c r="H293" i="14"/>
  <c r="H297" i="14"/>
  <c r="H301" i="14"/>
  <c r="H305" i="14"/>
  <c r="H309" i="14"/>
  <c r="H313" i="14"/>
  <c r="H317" i="14"/>
  <c r="H321" i="14"/>
  <c r="H325" i="14"/>
  <c r="H329" i="14"/>
  <c r="H333" i="14"/>
  <c r="H337" i="14"/>
  <c r="H341" i="14"/>
  <c r="H345" i="14"/>
  <c r="H349" i="14"/>
  <c r="H353" i="14"/>
  <c r="H357" i="14"/>
  <c r="H361" i="14"/>
  <c r="H365" i="14"/>
  <c r="O381" i="6"/>
  <c r="I382" i="6"/>
  <c r="Q382" i="6"/>
  <c r="M383" i="6"/>
  <c r="O384" i="6"/>
  <c r="I385" i="6"/>
  <c r="Q385" i="6"/>
  <c r="M386" i="6"/>
  <c r="O387" i="6"/>
  <c r="H34" i="14"/>
  <c r="H38" i="14"/>
  <c r="H42" i="14"/>
  <c r="H46" i="14"/>
  <c r="H50" i="14"/>
  <c r="H54" i="14"/>
  <c r="H58" i="14"/>
  <c r="H62" i="14"/>
  <c r="H66" i="14"/>
  <c r="H70" i="14"/>
  <c r="H74" i="14"/>
  <c r="H78" i="14"/>
  <c r="H82" i="14"/>
  <c r="H86" i="14"/>
  <c r="H90" i="14"/>
  <c r="H94" i="14"/>
  <c r="H98" i="14"/>
  <c r="H102" i="14"/>
  <c r="H106" i="14"/>
  <c r="H110" i="14"/>
  <c r="H114" i="14"/>
  <c r="H118" i="14"/>
  <c r="H122" i="14"/>
  <c r="H126" i="14"/>
  <c r="H130" i="14"/>
  <c r="H134" i="14"/>
  <c r="H138" i="14"/>
  <c r="H142" i="14"/>
  <c r="H146" i="14"/>
  <c r="H150" i="14"/>
  <c r="H154" i="14"/>
  <c r="H158" i="14"/>
  <c r="J27" i="35" s="1"/>
  <c r="H162" i="14"/>
  <c r="J31" i="35" s="1"/>
  <c r="H166" i="14"/>
  <c r="H170" i="14"/>
  <c r="H174" i="14"/>
  <c r="H178" i="14"/>
  <c r="H182" i="14"/>
  <c r="H186" i="14"/>
  <c r="H190" i="14"/>
  <c r="H194" i="14"/>
  <c r="H198" i="14"/>
  <c r="H202" i="14"/>
  <c r="H206" i="14"/>
  <c r="H210" i="14"/>
  <c r="H214" i="14"/>
  <c r="H218" i="14"/>
  <c r="H222" i="14"/>
  <c r="H226" i="14"/>
  <c r="H230" i="14"/>
  <c r="H234" i="14"/>
  <c r="H238" i="14"/>
  <c r="H242" i="14"/>
  <c r="H246" i="14"/>
  <c r="H250" i="14"/>
  <c r="H254" i="14"/>
  <c r="H258" i="14"/>
  <c r="H262" i="14"/>
  <c r="H266" i="14"/>
  <c r="H270" i="14"/>
  <c r="H274" i="14"/>
  <c r="H278" i="14"/>
  <c r="H282" i="14"/>
  <c r="H286" i="14"/>
  <c r="H290" i="14"/>
  <c r="H294" i="14"/>
  <c r="H298" i="14"/>
  <c r="H302" i="14"/>
  <c r="H306" i="14"/>
  <c r="H310" i="14"/>
  <c r="H314" i="14"/>
  <c r="H318" i="14"/>
  <c r="H322" i="14"/>
  <c r="H326" i="14"/>
  <c r="H330" i="14"/>
  <c r="H334" i="14"/>
  <c r="H338" i="14"/>
  <c r="H342" i="14"/>
  <c r="H346" i="14"/>
  <c r="H350" i="14"/>
  <c r="H354" i="14"/>
  <c r="H358" i="14"/>
  <c r="H362" i="14"/>
  <c r="H366" i="14"/>
  <c r="M388" i="6"/>
  <c r="H35" i="14"/>
  <c r="H39" i="14"/>
  <c r="H43" i="14"/>
  <c r="H47" i="14"/>
  <c r="H51" i="14"/>
  <c r="H55" i="14"/>
  <c r="H59" i="14"/>
  <c r="H63" i="14"/>
  <c r="H67" i="14"/>
  <c r="H71" i="14"/>
  <c r="H75" i="14"/>
  <c r="H79" i="14"/>
  <c r="H83" i="14"/>
  <c r="H87" i="14"/>
  <c r="H91" i="14"/>
  <c r="H95" i="14"/>
  <c r="H99" i="14"/>
  <c r="H103" i="14"/>
  <c r="H107" i="14"/>
  <c r="H111" i="14"/>
  <c r="H115" i="14"/>
  <c r="H119" i="14"/>
  <c r="H123" i="14"/>
  <c r="H127" i="14"/>
  <c r="H131" i="14"/>
  <c r="H135" i="14"/>
  <c r="H139" i="14"/>
  <c r="H143" i="14"/>
  <c r="H147" i="14"/>
  <c r="H151" i="14"/>
  <c r="H155" i="14"/>
  <c r="H159" i="14"/>
  <c r="J28" i="35" s="1"/>
  <c r="H163" i="14"/>
  <c r="J32" i="35" s="1"/>
  <c r="H167" i="14"/>
  <c r="H171" i="14"/>
  <c r="H175" i="14"/>
  <c r="H179" i="14"/>
  <c r="H183" i="14"/>
  <c r="H187" i="14"/>
  <c r="H191" i="14"/>
  <c r="H195" i="14"/>
  <c r="H199" i="14"/>
  <c r="H203" i="14"/>
  <c r="H207" i="14"/>
  <c r="H211" i="14"/>
  <c r="H215" i="14"/>
  <c r="H219" i="14"/>
  <c r="H223" i="14"/>
  <c r="H227" i="14"/>
  <c r="H231" i="14"/>
  <c r="H235" i="14"/>
  <c r="H239" i="14"/>
  <c r="H243" i="14"/>
  <c r="H247" i="14"/>
  <c r="H251" i="14"/>
  <c r="H255" i="14"/>
  <c r="H259" i="14"/>
  <c r="H263" i="14"/>
  <c r="H267" i="14"/>
  <c r="H271" i="14"/>
  <c r="H275" i="14"/>
  <c r="H279" i="14"/>
  <c r="H283" i="14"/>
  <c r="H287" i="14"/>
  <c r="H291" i="14"/>
  <c r="H295" i="14"/>
  <c r="H299" i="14"/>
  <c r="H303" i="14"/>
  <c r="H307" i="14"/>
  <c r="H311" i="14"/>
  <c r="H315" i="14"/>
  <c r="H319" i="14"/>
  <c r="H323" i="14"/>
  <c r="H327" i="14"/>
  <c r="H331" i="14"/>
  <c r="H335" i="14"/>
  <c r="H339" i="14"/>
  <c r="H343" i="14"/>
  <c r="H347" i="14"/>
  <c r="H351" i="14"/>
  <c r="H355" i="14"/>
  <c r="H359" i="14"/>
  <c r="H363" i="14"/>
  <c r="H367" i="14"/>
  <c r="M379" i="6"/>
  <c r="O380" i="6"/>
  <c r="K381" i="6"/>
  <c r="M382" i="6"/>
  <c r="I383" i="6"/>
  <c r="Q383" i="6"/>
  <c r="K384" i="6"/>
  <c r="M385" i="6"/>
  <c r="I386" i="6"/>
  <c r="Q386" i="6"/>
  <c r="K387" i="6"/>
  <c r="O388" i="6"/>
  <c r="H32" i="14"/>
  <c r="H36" i="14"/>
  <c r="H40" i="14"/>
  <c r="H44" i="14"/>
  <c r="H48" i="14"/>
  <c r="H52" i="14"/>
  <c r="H56" i="14"/>
  <c r="H60" i="14"/>
  <c r="H64" i="14"/>
  <c r="H68" i="14"/>
  <c r="H72" i="14"/>
  <c r="H76" i="14"/>
  <c r="H80" i="14"/>
  <c r="H84" i="14"/>
  <c r="H88" i="14"/>
  <c r="H92" i="14"/>
  <c r="H96" i="14"/>
  <c r="H100" i="14"/>
  <c r="H104" i="14"/>
  <c r="H108" i="14"/>
  <c r="H112" i="14"/>
  <c r="H116" i="14"/>
  <c r="H120" i="14"/>
  <c r="H124" i="14"/>
  <c r="H128" i="14"/>
  <c r="H132" i="14"/>
  <c r="H136" i="14"/>
  <c r="H140" i="14"/>
  <c r="H144" i="14"/>
  <c r="H148" i="14"/>
  <c r="H152" i="14"/>
  <c r="H156" i="14"/>
  <c r="H160" i="14"/>
  <c r="J29" i="35" s="1"/>
  <c r="H164" i="14"/>
  <c r="H168" i="14"/>
  <c r="H172" i="14"/>
  <c r="H176" i="14"/>
  <c r="H180" i="14"/>
  <c r="H184" i="14"/>
  <c r="H188" i="14"/>
  <c r="H192" i="14"/>
  <c r="H196" i="14"/>
  <c r="H200" i="14"/>
  <c r="H204" i="14"/>
  <c r="H208" i="14"/>
  <c r="H212" i="14"/>
  <c r="H216" i="14"/>
  <c r="H220" i="14"/>
  <c r="H224" i="14"/>
  <c r="H228" i="14"/>
  <c r="H232" i="14"/>
  <c r="H236" i="14"/>
  <c r="H240" i="14"/>
  <c r="H244" i="14"/>
  <c r="H248" i="14"/>
  <c r="H252" i="14"/>
  <c r="H256" i="14"/>
  <c r="H260" i="14"/>
  <c r="H264" i="14"/>
  <c r="H268" i="14"/>
  <c r="H272" i="14"/>
  <c r="H276" i="14"/>
  <c r="H280" i="14"/>
  <c r="H284" i="14"/>
  <c r="H288" i="14"/>
  <c r="H292" i="14"/>
  <c r="H296" i="14"/>
  <c r="H300" i="14"/>
  <c r="H304" i="14"/>
  <c r="H308" i="14"/>
  <c r="H312" i="14"/>
  <c r="H316" i="14"/>
  <c r="H320" i="14"/>
  <c r="H324" i="14"/>
  <c r="H328" i="14"/>
  <c r="H332" i="14"/>
  <c r="H336" i="14"/>
  <c r="H340" i="14"/>
  <c r="H344" i="14"/>
  <c r="H348" i="14"/>
  <c r="H352" i="14"/>
  <c r="H356" i="14"/>
  <c r="H360" i="14"/>
  <c r="H364" i="14"/>
  <c r="H368" i="14"/>
  <c r="T67" i="16"/>
  <c r="S67" i="16"/>
  <c r="R62" i="7"/>
  <c r="J62" i="7"/>
  <c r="N62" i="7"/>
  <c r="P62" i="7"/>
  <c r="D62" i="7"/>
  <c r="H62" i="7"/>
  <c r="F62" i="7"/>
  <c r="L62" i="7"/>
  <c r="Y384" i="9" l="1"/>
  <c r="Y382" i="9"/>
  <c r="Y378" i="9"/>
  <c r="Y380" i="6"/>
  <c r="X377" i="1"/>
  <c r="X381" i="1"/>
  <c r="X384" i="6"/>
  <c r="Y379" i="6"/>
  <c r="X377" i="6"/>
  <c r="Y381" i="11"/>
  <c r="Y385" i="6"/>
  <c r="Y385" i="11"/>
  <c r="Y379" i="13"/>
  <c r="V384" i="6"/>
  <c r="W379" i="13"/>
  <c r="X384" i="13"/>
  <c r="Y387" i="9"/>
  <c r="Y377" i="9"/>
  <c r="V388" i="10"/>
  <c r="Y380" i="12"/>
  <c r="V383" i="11"/>
  <c r="Y386" i="2"/>
  <c r="X387" i="13"/>
  <c r="X381" i="13"/>
  <c r="X388" i="6"/>
  <c r="Y378" i="6"/>
  <c r="V380" i="2"/>
  <c r="G31" i="22" s="1"/>
  <c r="Y378" i="10"/>
  <c r="Y382" i="6"/>
  <c r="M389" i="13"/>
  <c r="W385" i="13"/>
  <c r="X379" i="6"/>
  <c r="Y386" i="1"/>
  <c r="Y387" i="11"/>
  <c r="Y377" i="11"/>
  <c r="Y385" i="13"/>
  <c r="Y378" i="13"/>
  <c r="X385" i="6"/>
  <c r="X383" i="13"/>
  <c r="Y387" i="13"/>
  <c r="Y381" i="13"/>
  <c r="X377" i="13"/>
  <c r="Y379" i="10"/>
  <c r="Y378" i="12"/>
  <c r="Y380" i="13"/>
  <c r="Y381" i="10"/>
  <c r="Y380" i="10"/>
  <c r="Y388" i="10"/>
  <c r="Y383" i="10"/>
  <c r="W380" i="13"/>
  <c r="J389" i="13"/>
  <c r="P389" i="13"/>
  <c r="W378" i="13"/>
  <c r="I389" i="13"/>
  <c r="Y382" i="13"/>
  <c r="W382" i="13"/>
  <c r="Y385" i="12"/>
  <c r="Y381" i="12"/>
  <c r="Y388" i="12"/>
  <c r="Y380" i="1"/>
  <c r="X380" i="1"/>
  <c r="Y385" i="1"/>
  <c r="Y383" i="1"/>
  <c r="X384" i="1"/>
  <c r="X388" i="1"/>
  <c r="X387" i="6"/>
  <c r="Y386" i="6"/>
  <c r="X381" i="6"/>
  <c r="Y383" i="2"/>
  <c r="V388" i="2"/>
  <c r="Y378" i="2"/>
  <c r="Y380" i="2"/>
  <c r="V381" i="2"/>
  <c r="G32" i="22" s="1"/>
  <c r="Y388" i="9"/>
  <c r="Y380" i="9"/>
  <c r="Y384" i="11"/>
  <c r="Y383" i="11"/>
  <c r="Y379" i="11"/>
  <c r="Y378" i="11"/>
  <c r="G384" i="2"/>
  <c r="X384" i="2"/>
  <c r="J32" i="22"/>
  <c r="W381" i="9"/>
  <c r="V381" i="9"/>
  <c r="V382" i="9"/>
  <c r="J33" i="22"/>
  <c r="W382" i="9"/>
  <c r="L380" i="14"/>
  <c r="Y381" i="2"/>
  <c r="J35" i="22"/>
  <c r="V384" i="9"/>
  <c r="W384" i="9"/>
  <c r="G378" i="9"/>
  <c r="X378" i="9"/>
  <c r="W378" i="9"/>
  <c r="J29" i="22"/>
  <c r="V378" i="9"/>
  <c r="D383" i="13"/>
  <c r="R34" i="22" s="1"/>
  <c r="D378" i="13"/>
  <c r="V378" i="13" s="1"/>
  <c r="S29" i="22" s="1"/>
  <c r="V379" i="10"/>
  <c r="L30" i="22"/>
  <c r="W379" i="10"/>
  <c r="G386" i="10"/>
  <c r="X386" i="10"/>
  <c r="V386" i="10"/>
  <c r="L37" i="22"/>
  <c r="W386" i="10"/>
  <c r="P28" i="22"/>
  <c r="V377" i="12"/>
  <c r="Q28" i="22" s="1"/>
  <c r="P36" i="22"/>
  <c r="W385" i="12"/>
  <c r="V385" i="12"/>
  <c r="L383" i="14"/>
  <c r="H39" i="22"/>
  <c r="W388" i="6"/>
  <c r="V388" i="6"/>
  <c r="H34" i="22"/>
  <c r="W383" i="6"/>
  <c r="D39" i="22"/>
  <c r="V388" i="1"/>
  <c r="W388" i="1"/>
  <c r="X386" i="1"/>
  <c r="V386" i="1"/>
  <c r="D37" i="22"/>
  <c r="W386" i="1"/>
  <c r="D38" i="22"/>
  <c r="V387" i="1"/>
  <c r="W387" i="1"/>
  <c r="F33" i="22"/>
  <c r="W382" i="2"/>
  <c r="V377" i="9"/>
  <c r="K28" i="22" s="1"/>
  <c r="J28" i="22"/>
  <c r="W377" i="9"/>
  <c r="W385" i="9"/>
  <c r="J36" i="22"/>
  <c r="V385" i="9"/>
  <c r="J39" i="22"/>
  <c r="W388" i="9"/>
  <c r="Y383" i="9"/>
  <c r="J34" i="22"/>
  <c r="W383" i="9"/>
  <c r="D384" i="13"/>
  <c r="R35" i="22" s="1"/>
  <c r="Y382" i="10"/>
  <c r="L29" i="22"/>
  <c r="W378" i="10"/>
  <c r="V378" i="10"/>
  <c r="G388" i="10"/>
  <c r="X388" i="10"/>
  <c r="W383" i="10"/>
  <c r="L34" i="22"/>
  <c r="G387" i="12"/>
  <c r="X387" i="12"/>
  <c r="P38" i="22"/>
  <c r="W387" i="12"/>
  <c r="V387" i="12"/>
  <c r="P32" i="22"/>
  <c r="W381" i="12"/>
  <c r="G378" i="12"/>
  <c r="X378" i="12"/>
  <c r="P39" i="22"/>
  <c r="W388" i="12"/>
  <c r="Y383" i="12"/>
  <c r="G383" i="12"/>
  <c r="X383" i="12"/>
  <c r="G383" i="11"/>
  <c r="X383" i="11"/>
  <c r="G384" i="11"/>
  <c r="X384" i="11"/>
  <c r="G377" i="11"/>
  <c r="X377" i="11"/>
  <c r="Y377" i="10"/>
  <c r="Y384" i="12"/>
  <c r="G382" i="2"/>
  <c r="X382" i="2"/>
  <c r="G380" i="12"/>
  <c r="X380" i="12"/>
  <c r="W388" i="13"/>
  <c r="G379" i="13"/>
  <c r="X379" i="13"/>
  <c r="Y386" i="13"/>
  <c r="X386" i="13"/>
  <c r="G386" i="13"/>
  <c r="X379" i="1"/>
  <c r="L379" i="14"/>
  <c r="L388" i="14"/>
  <c r="L386" i="14"/>
  <c r="X383" i="6"/>
  <c r="L382" i="14"/>
  <c r="V381" i="6"/>
  <c r="I32" i="22" s="1"/>
  <c r="H32" i="22"/>
  <c r="W381" i="6"/>
  <c r="Y388" i="6"/>
  <c r="V382" i="6"/>
  <c r="H33" i="22"/>
  <c r="W382" i="6"/>
  <c r="D35" i="22"/>
  <c r="W384" i="1"/>
  <c r="Y388" i="1"/>
  <c r="W382" i="1"/>
  <c r="D33" i="22"/>
  <c r="W388" i="2"/>
  <c r="F39" i="22"/>
  <c r="G383" i="2"/>
  <c r="X383" i="2"/>
  <c r="Y384" i="2"/>
  <c r="V377" i="2"/>
  <c r="G28" i="22" s="1"/>
  <c r="W377" i="2"/>
  <c r="F28" i="22"/>
  <c r="V382" i="2"/>
  <c r="G388" i="2"/>
  <c r="X388" i="2"/>
  <c r="V388" i="9"/>
  <c r="V383" i="9"/>
  <c r="D381" i="13"/>
  <c r="R32" i="22" s="1"/>
  <c r="V387" i="10"/>
  <c r="W387" i="10"/>
  <c r="L38" i="22"/>
  <c r="W381" i="10"/>
  <c r="L32" i="22"/>
  <c r="V381" i="10"/>
  <c r="G382" i="10"/>
  <c r="X382" i="10"/>
  <c r="L39" i="22"/>
  <c r="W388" i="10"/>
  <c r="V383" i="10"/>
  <c r="V381" i="12"/>
  <c r="W378" i="12"/>
  <c r="V378" i="12"/>
  <c r="Q29" i="22" s="1"/>
  <c r="P29" i="22"/>
  <c r="V388" i="12"/>
  <c r="W377" i="12"/>
  <c r="N34" i="22"/>
  <c r="W383" i="11"/>
  <c r="Y379" i="2"/>
  <c r="G382" i="12"/>
  <c r="X382" i="12"/>
  <c r="Y385" i="2"/>
  <c r="X387" i="1"/>
  <c r="G380" i="9"/>
  <c r="X380" i="9"/>
  <c r="W382" i="11"/>
  <c r="N33" i="22"/>
  <c r="V382" i="11"/>
  <c r="G388" i="11"/>
  <c r="X388" i="11"/>
  <c r="Y388" i="2"/>
  <c r="Y384" i="10"/>
  <c r="G377" i="10"/>
  <c r="X377" i="10"/>
  <c r="Y377" i="12"/>
  <c r="Y388" i="11"/>
  <c r="Y380" i="11"/>
  <c r="W387" i="13"/>
  <c r="H389" i="13"/>
  <c r="X385" i="13"/>
  <c r="G385" i="13"/>
  <c r="X378" i="13"/>
  <c r="G378" i="13"/>
  <c r="X380" i="13"/>
  <c r="G380" i="13"/>
  <c r="G383" i="10"/>
  <c r="X383" i="10"/>
  <c r="G387" i="10"/>
  <c r="X387" i="10"/>
  <c r="N39" i="22"/>
  <c r="W388" i="11"/>
  <c r="V388" i="11"/>
  <c r="G379" i="2"/>
  <c r="X379" i="2"/>
  <c r="K389" i="13"/>
  <c r="L385" i="14"/>
  <c r="H31" i="22"/>
  <c r="W380" i="6"/>
  <c r="V380" i="6"/>
  <c r="I31" i="22" s="1"/>
  <c r="L378" i="14"/>
  <c r="D32" i="22"/>
  <c r="V381" i="1"/>
  <c r="W381" i="1"/>
  <c r="F34" i="22"/>
  <c r="W383" i="2"/>
  <c r="G377" i="2"/>
  <c r="X377" i="2"/>
  <c r="W387" i="9"/>
  <c r="J38" i="22"/>
  <c r="V387" i="9"/>
  <c r="Y387" i="6"/>
  <c r="Y384" i="1"/>
  <c r="X382" i="1"/>
  <c r="V383" i="2"/>
  <c r="F38" i="22"/>
  <c r="W387" i="2"/>
  <c r="V387" i="2"/>
  <c r="V385" i="2"/>
  <c r="F36" i="22"/>
  <c r="W385" i="2"/>
  <c r="G386" i="9"/>
  <c r="X386" i="9"/>
  <c r="J37" i="22"/>
  <c r="V386" i="9"/>
  <c r="W386" i="9"/>
  <c r="D388" i="13"/>
  <c r="V388" i="13" s="1"/>
  <c r="D385" i="13"/>
  <c r="V385" i="13" s="1"/>
  <c r="G384" i="12"/>
  <c r="X384" i="12"/>
  <c r="P33" i="22"/>
  <c r="W382" i="12"/>
  <c r="G381" i="11"/>
  <c r="X381" i="11"/>
  <c r="W379" i="11"/>
  <c r="N30" i="22"/>
  <c r="V379" i="11"/>
  <c r="G382" i="11"/>
  <c r="X382" i="11"/>
  <c r="G378" i="2"/>
  <c r="X378" i="2"/>
  <c r="W383" i="13"/>
  <c r="H38" i="22"/>
  <c r="V387" i="6"/>
  <c r="W387" i="6"/>
  <c r="N35" i="22"/>
  <c r="W384" i="11"/>
  <c r="L381" i="14"/>
  <c r="H30" i="22"/>
  <c r="W379" i="6"/>
  <c r="V379" i="6"/>
  <c r="I30" i="22" s="1"/>
  <c r="H37" i="22"/>
  <c r="W386" i="6"/>
  <c r="V386" i="6"/>
  <c r="X383" i="1"/>
  <c r="D34" i="22"/>
  <c r="W383" i="1"/>
  <c r="D30" i="22"/>
  <c r="W379" i="1"/>
  <c r="V379" i="1"/>
  <c r="Y387" i="2"/>
  <c r="Y377" i="2"/>
  <c r="F30" i="22"/>
  <c r="W379" i="2"/>
  <c r="V379" i="2"/>
  <c r="G30" i="22" s="1"/>
  <c r="G380" i="2"/>
  <c r="X380" i="2"/>
  <c r="G387" i="9"/>
  <c r="X387" i="9"/>
  <c r="J30" i="22"/>
  <c r="W379" i="9"/>
  <c r="V379" i="9"/>
  <c r="Y386" i="9"/>
  <c r="W380" i="9"/>
  <c r="J31" i="22"/>
  <c r="V380" i="9"/>
  <c r="Y381" i="9"/>
  <c r="D380" i="13"/>
  <c r="V380" i="13" s="1"/>
  <c r="S31" i="22" s="1"/>
  <c r="D382" i="13"/>
  <c r="V382" i="13" s="1"/>
  <c r="Y385" i="10"/>
  <c r="G379" i="10"/>
  <c r="X379" i="10"/>
  <c r="G380" i="10"/>
  <c r="X380" i="10"/>
  <c r="V386" i="12"/>
  <c r="P37" i="22"/>
  <c r="W386" i="12"/>
  <c r="W384" i="12"/>
  <c r="P35" i="22"/>
  <c r="Y379" i="12"/>
  <c r="V382" i="12"/>
  <c r="G388" i="12"/>
  <c r="X388" i="12"/>
  <c r="Y386" i="12"/>
  <c r="P31" i="22"/>
  <c r="W380" i="12"/>
  <c r="G386" i="12"/>
  <c r="X386" i="12"/>
  <c r="G386" i="11"/>
  <c r="X386" i="11"/>
  <c r="N37" i="22"/>
  <c r="V386" i="11"/>
  <c r="W386" i="11"/>
  <c r="G379" i="12"/>
  <c r="X379" i="12"/>
  <c r="V384" i="11"/>
  <c r="Y382" i="1"/>
  <c r="G380" i="11"/>
  <c r="X380" i="11"/>
  <c r="X377" i="12"/>
  <c r="W384" i="13"/>
  <c r="L389" i="13"/>
  <c r="V377" i="13"/>
  <c r="S28" i="22" s="1"/>
  <c r="R28" i="22"/>
  <c r="W377" i="13"/>
  <c r="Q389" i="13"/>
  <c r="V383" i="6"/>
  <c r="Y377" i="13"/>
  <c r="N389" i="13"/>
  <c r="Y382" i="2"/>
  <c r="Y381" i="6"/>
  <c r="D31" i="22"/>
  <c r="V380" i="1"/>
  <c r="W380" i="1"/>
  <c r="L384" i="14"/>
  <c r="X386" i="6"/>
  <c r="V385" i="6"/>
  <c r="H36" i="22"/>
  <c r="W385" i="6"/>
  <c r="H29" i="22"/>
  <c r="V378" i="6"/>
  <c r="I29" i="22" s="1"/>
  <c r="W378" i="6"/>
  <c r="Y377" i="1"/>
  <c r="V385" i="1"/>
  <c r="D36" i="22"/>
  <c r="W385" i="1"/>
  <c r="D29" i="22"/>
  <c r="W378" i="1"/>
  <c r="V378" i="1"/>
  <c r="F31" i="22"/>
  <c r="W380" i="2"/>
  <c r="G386" i="2"/>
  <c r="X386" i="2"/>
  <c r="V386" i="2"/>
  <c r="F37" i="22"/>
  <c r="W386" i="2"/>
  <c r="G381" i="2"/>
  <c r="X381" i="2"/>
  <c r="F35" i="22"/>
  <c r="W384" i="2"/>
  <c r="V384" i="2"/>
  <c r="G379" i="9"/>
  <c r="X379" i="9"/>
  <c r="D386" i="13"/>
  <c r="R37" i="22" s="1"/>
  <c r="D379" i="13"/>
  <c r="V379" i="13" s="1"/>
  <c r="S30" i="22" s="1"/>
  <c r="V384" i="10"/>
  <c r="L35" i="22"/>
  <c r="W384" i="10"/>
  <c r="G385" i="10"/>
  <c r="X385" i="10"/>
  <c r="G378" i="10"/>
  <c r="X378" i="10"/>
  <c r="V385" i="10"/>
  <c r="L36" i="22"/>
  <c r="W385" i="10"/>
  <c r="Y386" i="10"/>
  <c r="L31" i="22"/>
  <c r="V380" i="10"/>
  <c r="W380" i="10"/>
  <c r="G381" i="10"/>
  <c r="X381" i="10"/>
  <c r="X380" i="6"/>
  <c r="Y377" i="6"/>
  <c r="V384" i="12"/>
  <c r="V380" i="12"/>
  <c r="G387" i="11"/>
  <c r="X387" i="11"/>
  <c r="G385" i="12"/>
  <c r="X385" i="12"/>
  <c r="V377" i="11"/>
  <c r="O28" i="22" s="1"/>
  <c r="W377" i="11"/>
  <c r="N28" i="22"/>
  <c r="N29" i="22"/>
  <c r="W378" i="11"/>
  <c r="V378" i="11"/>
  <c r="O29" i="22" s="1"/>
  <c r="G384" i="10"/>
  <c r="X384" i="10"/>
  <c r="Y387" i="12"/>
  <c r="G385" i="2"/>
  <c r="X385" i="2"/>
  <c r="Y383" i="13"/>
  <c r="W377" i="6"/>
  <c r="H28" i="22"/>
  <c r="V377" i="6"/>
  <c r="I28" i="22" s="1"/>
  <c r="G385" i="9"/>
  <c r="X385" i="9"/>
  <c r="V383" i="12"/>
  <c r="W383" i="12"/>
  <c r="P34" i="22"/>
  <c r="V377" i="1"/>
  <c r="D28" i="22"/>
  <c r="W377" i="1"/>
  <c r="Y382" i="11"/>
  <c r="G388" i="9"/>
  <c r="X388" i="9"/>
  <c r="Y387" i="10"/>
  <c r="Y386" i="11"/>
  <c r="N31" i="22"/>
  <c r="W380" i="11"/>
  <c r="G379" i="11"/>
  <c r="X379" i="11"/>
  <c r="Y379" i="1"/>
  <c r="X382" i="13"/>
  <c r="X388" i="13"/>
  <c r="V382" i="1"/>
  <c r="G381" i="9"/>
  <c r="X381" i="9"/>
  <c r="G382" i="9"/>
  <c r="X382" i="9"/>
  <c r="L33" i="22"/>
  <c r="V382" i="10"/>
  <c r="W382" i="10"/>
  <c r="L387" i="14"/>
  <c r="W384" i="6"/>
  <c r="H35" i="22"/>
  <c r="W378" i="2"/>
  <c r="F29" i="22"/>
  <c r="V378" i="2"/>
  <c r="G29" i="22" s="1"/>
  <c r="G381" i="12"/>
  <c r="X381" i="12"/>
  <c r="X382" i="6"/>
  <c r="X378" i="6"/>
  <c r="L377" i="14"/>
  <c r="Y384" i="6"/>
  <c r="Y387" i="1"/>
  <c r="Y381" i="1"/>
  <c r="X385" i="1"/>
  <c r="X378" i="1"/>
  <c r="G387" i="2"/>
  <c r="X387" i="2"/>
  <c r="W381" i="2"/>
  <c r="F32" i="22"/>
  <c r="G384" i="9"/>
  <c r="X384" i="9"/>
  <c r="G377" i="9"/>
  <c r="X377" i="9"/>
  <c r="G383" i="9"/>
  <c r="X383" i="9"/>
  <c r="D387" i="13"/>
  <c r="V387" i="13" s="1"/>
  <c r="L28" i="22"/>
  <c r="V377" i="10"/>
  <c r="M28" i="22" s="1"/>
  <c r="W377" i="10"/>
  <c r="Y383" i="6"/>
  <c r="Y382" i="12"/>
  <c r="V379" i="12"/>
  <c r="P30" i="22"/>
  <c r="W379" i="12"/>
  <c r="V387" i="11"/>
  <c r="W387" i="11"/>
  <c r="N38" i="22"/>
  <c r="N32" i="22"/>
  <c r="W381" i="11"/>
  <c r="V381" i="11"/>
  <c r="N36" i="22"/>
  <c r="W385" i="11"/>
  <c r="V385" i="11"/>
  <c r="V380" i="11"/>
  <c r="G385" i="11"/>
  <c r="X385" i="11"/>
  <c r="G378" i="11"/>
  <c r="X378" i="11"/>
  <c r="Y378" i="1"/>
  <c r="V383" i="1"/>
  <c r="W381" i="13"/>
  <c r="O389" i="13"/>
  <c r="V384" i="1"/>
  <c r="W386" i="13"/>
  <c r="G383" i="6"/>
  <c r="G385" i="6"/>
  <c r="G382" i="6"/>
  <c r="G388" i="6"/>
  <c r="G381" i="6"/>
  <c r="G387" i="6"/>
  <c r="G384" i="6"/>
  <c r="G379" i="6"/>
  <c r="G386" i="6"/>
  <c r="G378" i="6"/>
  <c r="G377" i="6"/>
  <c r="P80" i="3"/>
  <c r="R80" i="3"/>
  <c r="N80" i="3"/>
  <c r="L80" i="3"/>
  <c r="J80" i="3"/>
  <c r="H80" i="3"/>
  <c r="F80" i="3"/>
  <c r="D80" i="3"/>
  <c r="T66" i="16"/>
  <c r="S66" i="16"/>
  <c r="Y389" i="13" l="1"/>
  <c r="X389" i="13"/>
  <c r="V383" i="13"/>
  <c r="V381" i="13"/>
  <c r="S32" i="22" s="1"/>
  <c r="V384" i="13"/>
  <c r="R39" i="22"/>
  <c r="T39" i="22" s="1"/>
  <c r="T34" i="22"/>
  <c r="R36" i="22"/>
  <c r="T36" i="22" s="1"/>
  <c r="R30" i="22"/>
  <c r="T30" i="22" s="1"/>
  <c r="R38" i="22"/>
  <c r="T38" i="22" s="1"/>
  <c r="V386" i="13"/>
  <c r="T35" i="22"/>
  <c r="T37" i="22"/>
  <c r="T32" i="22"/>
  <c r="G389" i="13"/>
  <c r="W389" i="13"/>
  <c r="R33" i="22"/>
  <c r="T33" i="22" s="1"/>
  <c r="R29" i="22"/>
  <c r="T29" i="22" s="1"/>
  <c r="R31" i="22"/>
  <c r="T31" i="22" s="1"/>
  <c r="D389" i="13"/>
  <c r="V389" i="13" s="1"/>
  <c r="T28" i="22"/>
  <c r="E28" i="22"/>
  <c r="T80" i="3"/>
  <c r="AA24" i="33"/>
  <c r="AA25" i="33" l="1"/>
  <c r="R41" i="33" l="1"/>
  <c r="R40" i="33"/>
  <c r="R39" i="33"/>
  <c r="R38" i="33"/>
  <c r="R37" i="33"/>
  <c r="R36" i="33"/>
  <c r="R35" i="33"/>
  <c r="R34" i="33"/>
  <c r="Q34" i="33" s="1" a="1"/>
  <c r="Q34" i="33" s="1"/>
  <c r="Q35" i="33" l="1" a="1"/>
  <c r="Q35" i="33" s="1"/>
  <c r="S35" i="33" s="1"/>
  <c r="T35" i="33" s="1"/>
  <c r="Q39" i="33" a="1"/>
  <c r="Q39" i="33" s="1"/>
  <c r="S39" i="33" s="1"/>
  <c r="T39" i="33" s="1"/>
  <c r="S34" i="33"/>
  <c r="T34" i="33" s="1"/>
  <c r="Q37" i="33" a="1"/>
  <c r="Q37" i="33" s="1"/>
  <c r="S37" i="33" s="1"/>
  <c r="T37" i="33" s="1"/>
  <c r="Q40" i="33" a="1"/>
  <c r="Q40" i="33" s="1"/>
  <c r="S40" i="33" s="1"/>
  <c r="T40" i="33" s="1"/>
  <c r="Q36" i="33" a="1"/>
  <c r="Q36" i="33" s="1"/>
  <c r="S36" i="33" s="1"/>
  <c r="T36" i="33" s="1"/>
  <c r="Q38" i="33" a="1"/>
  <c r="Q38" i="33" s="1"/>
  <c r="S38" i="33" s="1"/>
  <c r="T38" i="33" s="1"/>
  <c r="Q41" i="33" a="1"/>
  <c r="Q41" i="33" s="1"/>
  <c r="S41" i="33" s="1"/>
  <c r="T41" i="33" s="1"/>
  <c r="O25" i="33" l="1"/>
  <c r="T75" i="5" l="1"/>
  <c r="H16" i="33" l="1"/>
  <c r="R92" i="3" l="1"/>
  <c r="P92" i="3"/>
  <c r="N92" i="3"/>
  <c r="L92" i="3"/>
  <c r="J92" i="3"/>
  <c r="H92" i="3"/>
  <c r="F92" i="3"/>
  <c r="D92" i="3"/>
  <c r="H14" i="33"/>
  <c r="H19" i="33"/>
  <c r="H20" i="33"/>
  <c r="H15" i="33"/>
  <c r="H17" i="33"/>
  <c r="H18" i="33"/>
  <c r="H12" i="33"/>
  <c r="H13" i="33"/>
  <c r="H26" i="33"/>
  <c r="H27" i="33"/>
  <c r="H23" i="33"/>
  <c r="H28" i="33"/>
  <c r="H29" i="33"/>
  <c r="H30" i="33"/>
  <c r="H31" i="33"/>
  <c r="H24" i="33"/>
  <c r="H25" i="33"/>
  <c r="G15" i="33" l="1" a="1"/>
  <c r="G15" i="33" s="1"/>
  <c r="G20" i="33" a="1"/>
  <c r="G20" i="33" s="1"/>
  <c r="G17" i="33" a="1"/>
  <c r="G17" i="33" s="1"/>
  <c r="G18" i="33" a="1"/>
  <c r="G18" i="33" s="1"/>
  <c r="G19" i="33" a="1"/>
  <c r="G19" i="33" s="1"/>
  <c r="G14" i="33" a="1"/>
  <c r="G14" i="33" s="1"/>
  <c r="G12" i="33" a="1"/>
  <c r="G12" i="33" s="1"/>
  <c r="I12" i="33" s="1"/>
  <c r="J12" i="33" s="1"/>
  <c r="G13" i="33" a="1"/>
  <c r="G13" i="33" s="1"/>
  <c r="I13" i="33" s="1"/>
  <c r="J13" i="33" s="1"/>
  <c r="G16" i="33" a="1"/>
  <c r="G16" i="33" s="1"/>
  <c r="G30" i="33" a="1"/>
  <c r="G30" i="33" s="1"/>
  <c r="G27" i="33" a="1"/>
  <c r="G27" i="33" s="1"/>
  <c r="G29" i="33" a="1"/>
  <c r="G29" i="33" s="1"/>
  <c r="G23" i="33" a="1"/>
  <c r="G23" i="33" s="1"/>
  <c r="K23" i="33" s="1"/>
  <c r="G26" i="33" a="1"/>
  <c r="G26" i="33" s="1"/>
  <c r="G31" i="33" a="1"/>
  <c r="G31" i="33" s="1"/>
  <c r="G28" i="33" a="1"/>
  <c r="G28" i="33" s="1"/>
  <c r="G25" i="33" a="1"/>
  <c r="G25" i="33" s="1"/>
  <c r="G24" i="33" a="1"/>
  <c r="G24" i="33" s="1"/>
  <c r="K14" i="33" l="1"/>
  <c r="K24" i="33"/>
  <c r="K13" i="33"/>
  <c r="K12" i="33"/>
  <c r="K16" i="33"/>
  <c r="K15" i="33"/>
  <c r="K25" i="33"/>
  <c r="K30" i="33"/>
  <c r="K26" i="33"/>
  <c r="K28" i="33"/>
  <c r="K29" i="33"/>
  <c r="K31" i="33"/>
  <c r="K27" i="33"/>
  <c r="K19" i="33"/>
  <c r="K20" i="33"/>
  <c r="K18" i="33"/>
  <c r="K17" i="33"/>
  <c r="I20" i="33"/>
  <c r="J20" i="33" s="1"/>
  <c r="I14" i="33"/>
  <c r="J14" i="33" s="1"/>
  <c r="I18" i="33"/>
  <c r="J18" i="33" s="1"/>
  <c r="I15" i="33"/>
  <c r="J15" i="33" s="1"/>
  <c r="I16" i="33"/>
  <c r="J16" i="33" s="1"/>
  <c r="I19" i="33"/>
  <c r="J19" i="33" s="1"/>
  <c r="I17" i="33"/>
  <c r="J17" i="33" s="1"/>
  <c r="I30" i="33"/>
  <c r="J30" i="33" s="1"/>
  <c r="I25" i="33"/>
  <c r="J25" i="33" s="1"/>
  <c r="I28" i="33"/>
  <c r="J28" i="33" s="1"/>
  <c r="I31" i="33"/>
  <c r="J31" i="33" s="1"/>
  <c r="I26" i="33"/>
  <c r="J26" i="33" s="1"/>
  <c r="I24" i="33"/>
  <c r="J24" i="33" s="1"/>
  <c r="I23" i="33"/>
  <c r="J23" i="33" s="1"/>
  <c r="I29" i="33"/>
  <c r="J29" i="33" s="1"/>
  <c r="I27" i="33"/>
  <c r="J27" i="33" s="1"/>
  <c r="AA27" i="33"/>
  <c r="AC21" i="33"/>
  <c r="AB21" i="33" s="1"/>
  <c r="AC27" i="33"/>
  <c r="AB27" i="33" s="1"/>
  <c r="AC26" i="33"/>
  <c r="AB26" i="33" s="1"/>
  <c r="AC25" i="33"/>
  <c r="AB25" i="33" s="1"/>
  <c r="AC24" i="33"/>
  <c r="AB24" i="33" s="1"/>
  <c r="AC23" i="33"/>
  <c r="AB23" i="33" s="1"/>
  <c r="AC22" i="33"/>
  <c r="AB22" i="33" s="1"/>
  <c r="AC20" i="33"/>
  <c r="AB20" i="33" s="1"/>
  <c r="AC19" i="33"/>
  <c r="AB19" i="33" s="1"/>
  <c r="AC18" i="33"/>
  <c r="AB18" i="33" s="1"/>
  <c r="AC17" i="33"/>
  <c r="AB17" i="33" s="1"/>
  <c r="AC16" i="33"/>
  <c r="AB16" i="33" s="1"/>
  <c r="AA26" i="33"/>
  <c r="AD18" i="33" l="1"/>
  <c r="AA23" i="33"/>
  <c r="AA17" i="33"/>
  <c r="AA18" i="33"/>
  <c r="AA19" i="33"/>
  <c r="AD17" i="33" s="1"/>
  <c r="AA21" i="33"/>
  <c r="AA22" i="33"/>
  <c r="AD16" i="33" l="1"/>
  <c r="AD25" i="33"/>
  <c r="AD21" i="33"/>
  <c r="AD27" i="33"/>
  <c r="AD22" i="33"/>
  <c r="AD20" i="33"/>
  <c r="AD19" i="33"/>
  <c r="AA20" i="33"/>
  <c r="AD24" i="33" l="1"/>
  <c r="AD26" i="33"/>
  <c r="AD23" i="33"/>
  <c r="W26" i="34" l="1"/>
  <c r="W17" i="34"/>
  <c r="W12" i="34"/>
  <c r="W7" i="34"/>
  <c r="T103" i="7"/>
  <c r="W18" i="34" l="1"/>
  <c r="W21" i="34"/>
  <c r="W32" i="34"/>
  <c r="W45" i="34"/>
  <c r="W16" i="34"/>
  <c r="W42" i="34"/>
  <c r="W23" i="34"/>
  <c r="W36" i="34"/>
  <c r="W50" i="34"/>
  <c r="W31" i="34"/>
  <c r="W56" i="34"/>
  <c r="W22" i="34"/>
  <c r="W33" i="34"/>
  <c r="W46" i="34"/>
  <c r="W30" i="34"/>
  <c r="W43" i="34"/>
  <c r="W44" i="34"/>
  <c r="W25" i="34"/>
  <c r="W41" i="34"/>
  <c r="W24" i="34"/>
  <c r="W39" i="34"/>
  <c r="W53" i="34"/>
  <c r="X21" i="34"/>
  <c r="X17" i="34"/>
  <c r="X25" i="34"/>
  <c r="X16" i="34"/>
  <c r="X26" i="34"/>
  <c r="X18" i="34"/>
  <c r="X24" i="34"/>
  <c r="T104" i="7"/>
  <c r="X43" i="34" l="1"/>
  <c r="X7" i="34"/>
  <c r="X36" i="34"/>
  <c r="X32" i="34"/>
  <c r="X53" i="34"/>
  <c r="X12" i="34"/>
  <c r="X50" i="34"/>
  <c r="X56" i="34"/>
  <c r="X42" i="34"/>
  <c r="X39" i="34"/>
  <c r="X33" i="34"/>
  <c r="X22" i="34"/>
  <c r="X41" i="34"/>
  <c r="X31" i="34"/>
  <c r="X30" i="34"/>
  <c r="X46" i="34"/>
  <c r="X45" i="34"/>
  <c r="X44" i="34"/>
  <c r="X23" i="34"/>
  <c r="X53" i="37"/>
  <c r="X39" i="37"/>
  <c r="D90" i="3"/>
  <c r="F90" i="3"/>
  <c r="H90" i="3"/>
  <c r="J90" i="3"/>
  <c r="L90" i="3"/>
  <c r="N90" i="3"/>
  <c r="P90" i="3"/>
  <c r="R90" i="3"/>
  <c r="X24" i="37" l="1"/>
  <c r="X43" i="37"/>
  <c r="X21" i="37"/>
  <c r="X30" i="37"/>
  <c r="X32" i="37"/>
  <c r="X23" i="37"/>
  <c r="X50" i="37"/>
  <c r="X41" i="37"/>
  <c r="X31" i="37"/>
  <c r="X56" i="37"/>
  <c r="X36" i="37"/>
  <c r="X7" i="37"/>
  <c r="X45" i="37"/>
  <c r="X16" i="37"/>
  <c r="X18" i="37"/>
  <c r="X33" i="37"/>
  <c r="X12" i="37"/>
  <c r="X57" i="37"/>
  <c r="X25" i="37"/>
  <c r="X17" i="37"/>
  <c r="X44" i="37"/>
  <c r="X46" i="37"/>
  <c r="X42" i="37"/>
  <c r="X22" i="37"/>
  <c r="X19" i="37"/>
  <c r="N35" i="32"/>
  <c r="M35" i="32" s="1"/>
  <c r="N34" i="32"/>
  <c r="M34" i="32" s="1"/>
  <c r="N33" i="32"/>
  <c r="M33" i="32" s="1"/>
  <c r="N32" i="32"/>
  <c r="M32" i="32" s="1"/>
  <c r="N31" i="32"/>
  <c r="M31" i="32" s="1"/>
  <c r="N30" i="32"/>
  <c r="M30" i="32" s="1"/>
  <c r="N29" i="32"/>
  <c r="M29" i="32" s="1"/>
  <c r="N28" i="32"/>
  <c r="M28" i="32" s="1"/>
  <c r="J13" i="32"/>
  <c r="I13" i="32" s="1"/>
  <c r="J12" i="32"/>
  <c r="I12" i="32" s="1"/>
  <c r="J11" i="32"/>
  <c r="I11" i="32" s="1"/>
  <c r="J10" i="32"/>
  <c r="I10" i="32" s="1"/>
  <c r="J9" i="32"/>
  <c r="I9" i="32" s="1"/>
  <c r="J8" i="32"/>
  <c r="I8" i="32" s="1"/>
  <c r="J7" i="32"/>
  <c r="I7" i="32" s="1"/>
  <c r="J6" i="32"/>
  <c r="I6" i="32" s="1"/>
  <c r="X26" i="37" l="1"/>
  <c r="T58" i="34"/>
  <c r="T57" i="34"/>
  <c r="T55" i="34"/>
  <c r="T54" i="34"/>
  <c r="T52" i="34"/>
  <c r="T51" i="34"/>
  <c r="T48" i="34"/>
  <c r="T47" i="34"/>
  <c r="T40" i="34"/>
  <c r="T38" i="34"/>
  <c r="T37" i="34"/>
  <c r="T35" i="34"/>
  <c r="T34" i="34"/>
  <c r="T29" i="34"/>
  <c r="T28" i="34"/>
  <c r="T27" i="34"/>
  <c r="T26" i="34"/>
  <c r="T20" i="34"/>
  <c r="T17" i="34"/>
  <c r="T15" i="34"/>
  <c r="T13" i="34"/>
  <c r="T12" i="34"/>
  <c r="T11" i="34"/>
  <c r="T10" i="34"/>
  <c r="T9" i="34"/>
  <c r="T8" i="34"/>
  <c r="T6" i="34"/>
  <c r="O28" i="8"/>
  <c r="O30" i="8"/>
  <c r="O32" i="8"/>
  <c r="L29" i="8"/>
  <c r="L31" i="8"/>
  <c r="L33" i="8"/>
  <c r="D30" i="8"/>
  <c r="E30" i="8"/>
  <c r="F31" i="8"/>
  <c r="F28" i="8"/>
  <c r="O34" i="8"/>
  <c r="F34" i="8"/>
  <c r="F33" i="8"/>
  <c r="L30" i="8"/>
  <c r="I29" i="8"/>
  <c r="F29" i="8"/>
  <c r="L28" i="8"/>
  <c r="T18" i="34" l="1"/>
  <c r="T42" i="34"/>
  <c r="T23" i="34"/>
  <c r="T31" i="34"/>
  <c r="T39" i="34"/>
  <c r="T36" i="34"/>
  <c r="T44" i="34"/>
  <c r="T49" i="34"/>
  <c r="T25" i="34"/>
  <c r="T33" i="34"/>
  <c r="T41" i="34"/>
  <c r="T22" i="34"/>
  <c r="T30" i="34"/>
  <c r="T46" i="34"/>
  <c r="T19" i="34"/>
  <c r="T43" i="34"/>
  <c r="T56" i="34"/>
  <c r="T16" i="34"/>
  <c r="T24" i="34"/>
  <c r="T32" i="34"/>
  <c r="T53" i="34"/>
  <c r="T21" i="34"/>
  <c r="T45" i="34"/>
  <c r="T50" i="34"/>
  <c r="T7" i="34"/>
  <c r="U30" i="34"/>
  <c r="U42" i="34"/>
  <c r="U38" i="34"/>
  <c r="U21" i="34"/>
  <c r="U24" i="34"/>
  <c r="U18" i="34"/>
  <c r="U26" i="34"/>
  <c r="U55" i="34"/>
  <c r="U47" i="34"/>
  <c r="U15" i="34"/>
  <c r="U34" i="34"/>
  <c r="U44" i="34"/>
  <c r="U14" i="34"/>
  <c r="U41" i="34"/>
  <c r="U32" i="34"/>
  <c r="U57" i="34"/>
  <c r="U17" i="34"/>
  <c r="U23" i="34"/>
  <c r="U43" i="34"/>
  <c r="U46" i="34"/>
  <c r="U25" i="34"/>
  <c r="U31" i="34"/>
  <c r="U13" i="34"/>
  <c r="X50" i="33" s="1"/>
  <c r="U45" i="34"/>
  <c r="U48" i="34"/>
  <c r="U33" i="34"/>
  <c r="U58" i="34"/>
  <c r="U52" i="34"/>
  <c r="U16" i="34"/>
  <c r="U20" i="34"/>
  <c r="X60" i="33" s="1"/>
  <c r="U51" i="34"/>
  <c r="O33" i="8"/>
  <c r="O31" i="8"/>
  <c r="F32" i="8"/>
  <c r="I28" i="8"/>
  <c r="O29" i="8"/>
  <c r="I32" i="8"/>
  <c r="I30" i="8"/>
  <c r="F30" i="8"/>
  <c r="O35" i="8"/>
  <c r="L35" i="8"/>
  <c r="L32" i="8"/>
  <c r="L34" i="8"/>
  <c r="I31" i="8"/>
  <c r="I34" i="8"/>
  <c r="I35" i="8"/>
  <c r="I33" i="8"/>
  <c r="T61" i="34" l="1"/>
  <c r="T14" i="34"/>
  <c r="U36" i="34"/>
  <c r="U28" i="34"/>
  <c r="U22" i="34"/>
  <c r="U8" i="34"/>
  <c r="U53" i="34"/>
  <c r="U6" i="34"/>
  <c r="U49" i="34"/>
  <c r="U10" i="34"/>
  <c r="U12" i="34"/>
  <c r="U40" i="34"/>
  <c r="U35" i="34"/>
  <c r="U9" i="34"/>
  <c r="U7" i="34"/>
  <c r="U19" i="34"/>
  <c r="U37" i="34"/>
  <c r="U56" i="34"/>
  <c r="U50" i="34"/>
  <c r="U11" i="34"/>
  <c r="U29" i="34"/>
  <c r="U39" i="34"/>
  <c r="U54" i="34"/>
  <c r="U27" i="34"/>
  <c r="U60" i="34"/>
  <c r="O36" i="8"/>
  <c r="I36" i="8"/>
  <c r="U15" i="37" l="1"/>
  <c r="U48" i="37"/>
  <c r="U16" i="37"/>
  <c r="T102" i="7"/>
  <c r="U102" i="7" s="1"/>
  <c r="AO5" i="8"/>
  <c r="AO6" i="8"/>
  <c r="AO7" i="8"/>
  <c r="AO8" i="8"/>
  <c r="AO9" i="8"/>
  <c r="AO10" i="8"/>
  <c r="AO11" i="8"/>
  <c r="AN5" i="8"/>
  <c r="AN6" i="8"/>
  <c r="AN7" i="8"/>
  <c r="AN8" i="8"/>
  <c r="AN9" i="8"/>
  <c r="AN10" i="8"/>
  <c r="AN11" i="8"/>
  <c r="AO4" i="8"/>
  <c r="AN4" i="8"/>
  <c r="U32" i="37" l="1"/>
  <c r="U37" i="37"/>
  <c r="U47" i="37"/>
  <c r="U36" i="37"/>
  <c r="U9" i="37"/>
  <c r="U58" i="37"/>
  <c r="U25" i="37"/>
  <c r="U12" i="37"/>
  <c r="U41" i="37"/>
  <c r="U54" i="37"/>
  <c r="U50" i="37"/>
  <c r="U18" i="37"/>
  <c r="U23" i="37"/>
  <c r="U28" i="37"/>
  <c r="U31" i="37"/>
  <c r="U20" i="37"/>
  <c r="U39" i="37"/>
  <c r="U7" i="37"/>
  <c r="U17" i="37"/>
  <c r="U26" i="37"/>
  <c r="U44" i="37"/>
  <c r="U19" i="37"/>
  <c r="U38" i="37"/>
  <c r="U45" i="37"/>
  <c r="U46" i="37"/>
  <c r="U24" i="37"/>
  <c r="U42" i="37"/>
  <c r="U30" i="37"/>
  <c r="U56" i="37"/>
  <c r="U11" i="37"/>
  <c r="U8" i="37"/>
  <c r="U52" i="37"/>
  <c r="U51" i="37"/>
  <c r="U57" i="37"/>
  <c r="U43" i="37"/>
  <c r="U34" i="37"/>
  <c r="U6" i="37"/>
  <c r="U40" i="37"/>
  <c r="U29" i="37"/>
  <c r="U22" i="37"/>
  <c r="U33" i="37"/>
  <c r="U27" i="37"/>
  <c r="U55" i="37"/>
  <c r="U49" i="37"/>
  <c r="U21" i="37"/>
  <c r="U35" i="37"/>
  <c r="U14" i="37"/>
  <c r="U13" i="37"/>
  <c r="U53" i="37"/>
  <c r="U10" i="37"/>
  <c r="AP7" i="8"/>
  <c r="J102" i="5" s="1"/>
  <c r="O47" i="33" s="1"/>
  <c r="AP10" i="8"/>
  <c r="AP9" i="8"/>
  <c r="N102" i="5" s="1"/>
  <c r="O49" i="33" s="1"/>
  <c r="AP4" i="8"/>
  <c r="D102" i="5" s="1"/>
  <c r="O44" i="33" s="1"/>
  <c r="AP5" i="8"/>
  <c r="F102" i="5" s="1"/>
  <c r="AP6" i="8"/>
  <c r="H102" i="5" s="1"/>
  <c r="O46" i="33" s="1"/>
  <c r="AO12" i="8"/>
  <c r="AP8" i="8"/>
  <c r="L102" i="5" s="1"/>
  <c r="O48" i="33" s="1"/>
  <c r="AP11" i="8"/>
  <c r="R102" i="5" s="1"/>
  <c r="O51" i="33" s="1"/>
  <c r="AN12" i="8"/>
  <c r="P102" i="5"/>
  <c r="O50" i="33" s="1"/>
  <c r="Q27" i="34" l="1"/>
  <c r="Q26" i="34"/>
  <c r="Q17" i="34"/>
  <c r="Q12" i="34"/>
  <c r="N37" i="34"/>
  <c r="N26" i="34"/>
  <c r="N17" i="34"/>
  <c r="O45" i="33"/>
  <c r="R46" i="33"/>
  <c r="AP12" i="8"/>
  <c r="T102" i="5" s="1"/>
  <c r="R13" i="32"/>
  <c r="Q13" i="32" s="1"/>
  <c r="R9" i="32"/>
  <c r="Q9" i="32" s="1"/>
  <c r="R7" i="32"/>
  <c r="Q7" i="32" s="1"/>
  <c r="R6" i="32"/>
  <c r="Q6" i="32" s="1"/>
  <c r="R12" i="32"/>
  <c r="Q12" i="32" s="1"/>
  <c r="R8" i="32"/>
  <c r="Q8" i="32" s="1"/>
  <c r="R10" i="32"/>
  <c r="Q10" i="32" s="1"/>
  <c r="R11" i="32"/>
  <c r="Q11" i="32" s="1"/>
  <c r="Q43" i="34" l="1"/>
  <c r="Q44" i="34"/>
  <c r="Q18" i="34"/>
  <c r="Q32" i="34"/>
  <c r="Q45" i="34"/>
  <c r="Q21" i="34"/>
  <c r="Q33" i="34"/>
  <c r="Q46" i="34"/>
  <c r="Q50" i="34"/>
  <c r="Q22" i="34"/>
  <c r="Q36" i="34"/>
  <c r="Q23" i="34"/>
  <c r="Q53" i="34"/>
  <c r="Q24" i="34"/>
  <c r="Q41" i="34"/>
  <c r="Q56" i="34"/>
  <c r="Q39" i="34"/>
  <c r="Q25" i="34"/>
  <c r="Q42" i="34"/>
  <c r="Q16" i="34"/>
  <c r="N21" i="34"/>
  <c r="N22" i="34"/>
  <c r="N33" i="34"/>
  <c r="N45" i="34"/>
  <c r="N36" i="34"/>
  <c r="N46" i="34"/>
  <c r="N32" i="34"/>
  <c r="N50" i="34"/>
  <c r="N44" i="34"/>
  <c r="N53" i="34"/>
  <c r="N23" i="34"/>
  <c r="N41" i="34"/>
  <c r="N56" i="34"/>
  <c r="N42" i="34"/>
  <c r="N24" i="34"/>
  <c r="N25" i="34"/>
  <c r="N39" i="34"/>
  <c r="N16" i="34"/>
  <c r="N30" i="34"/>
  <c r="N31" i="34"/>
  <c r="N43" i="34"/>
  <c r="R47" i="33"/>
  <c r="R48" i="33"/>
  <c r="R50" i="33"/>
  <c r="R44" i="33"/>
  <c r="Q44" i="33" s="1" a="1"/>
  <c r="Q44" i="33" s="1"/>
  <c r="U44" i="33" s="1"/>
  <c r="R49" i="33"/>
  <c r="R45" i="33"/>
  <c r="R51" i="33"/>
  <c r="O13" i="33"/>
  <c r="O14" i="33"/>
  <c r="O15" i="33"/>
  <c r="O16" i="33"/>
  <c r="O17" i="33"/>
  <c r="R42" i="37" l="1"/>
  <c r="R44" i="37"/>
  <c r="Q47" i="33" a="1"/>
  <c r="Q47" i="33" s="1"/>
  <c r="Q46" i="33" a="1"/>
  <c r="Q46" i="33" s="1"/>
  <c r="Q50" i="33" a="1"/>
  <c r="Q50" i="33" s="1"/>
  <c r="Q48" i="33" a="1"/>
  <c r="Q48" i="33" s="1"/>
  <c r="Q45" i="33" a="1"/>
  <c r="Q45" i="33" s="1"/>
  <c r="U45" i="33" s="1"/>
  <c r="Q51" i="33" a="1"/>
  <c r="Q51" i="33" s="1"/>
  <c r="Q49" i="33" a="1"/>
  <c r="Q49" i="33" s="1"/>
  <c r="O30" i="33"/>
  <c r="O29" i="33"/>
  <c r="O28" i="33"/>
  <c r="O27" i="33"/>
  <c r="O26" i="33"/>
  <c r="O24" i="33"/>
  <c r="O23" i="33"/>
  <c r="O19" i="33"/>
  <c r="O18" i="33"/>
  <c r="R18" i="37" l="1"/>
  <c r="R23" i="37"/>
  <c r="R26" i="37"/>
  <c r="R21" i="37"/>
  <c r="R33" i="37"/>
  <c r="R25" i="37"/>
  <c r="R22" i="37"/>
  <c r="R24" i="37"/>
  <c r="R17" i="37"/>
  <c r="R46" i="37"/>
  <c r="R41" i="37"/>
  <c r="R32" i="37"/>
  <c r="R45" i="37"/>
  <c r="R16" i="37"/>
  <c r="R36" i="37"/>
  <c r="R50" i="37"/>
  <c r="R12" i="37"/>
  <c r="R43" i="37"/>
  <c r="R39" i="37"/>
  <c r="R27" i="37"/>
  <c r="U50" i="33"/>
  <c r="U51" i="33"/>
  <c r="U46" i="33"/>
  <c r="U48" i="33"/>
  <c r="U47" i="33"/>
  <c r="U49" i="33"/>
  <c r="R16" i="33"/>
  <c r="R30" i="33"/>
  <c r="R15" i="33"/>
  <c r="R19" i="33"/>
  <c r="R24" i="33"/>
  <c r="R29" i="33"/>
  <c r="R25" i="33"/>
  <c r="R26" i="33"/>
  <c r="R27" i="33"/>
  <c r="R23" i="33"/>
  <c r="R28" i="33"/>
  <c r="R12" i="33"/>
  <c r="Q12" i="33" s="1" a="1"/>
  <c r="Q12" i="33" s="1"/>
  <c r="U12" i="33" s="1"/>
  <c r="R13" i="33"/>
  <c r="R14" i="33"/>
  <c r="R17" i="33"/>
  <c r="R18" i="33"/>
  <c r="R19" i="37" l="1"/>
  <c r="R53" i="37"/>
  <c r="R56" i="37"/>
  <c r="Q14" i="33" a="1"/>
  <c r="Q14" i="33" s="1"/>
  <c r="Q17" i="33" a="1"/>
  <c r="Q17" i="33" s="1"/>
  <c r="Q13" i="33" a="1"/>
  <c r="Q13" i="33" s="1"/>
  <c r="U13" i="33" s="1"/>
  <c r="Q18" i="33" a="1"/>
  <c r="Q18" i="33" s="1"/>
  <c r="Q19" i="33" a="1"/>
  <c r="Q19" i="33" s="1"/>
  <c r="Q15" i="33" a="1"/>
  <c r="Q15" i="33" s="1"/>
  <c r="Q16" i="33" a="1"/>
  <c r="Q16" i="33" s="1"/>
  <c r="Q25" i="33" a="1"/>
  <c r="Q25" i="33" s="1"/>
  <c r="Q26" i="33" a="1"/>
  <c r="Q26" i="33" s="1"/>
  <c r="Q24" i="33" a="1"/>
  <c r="Q24" i="33" s="1"/>
  <c r="Q29" i="33" a="1"/>
  <c r="Q29" i="33" s="1"/>
  <c r="Q28" i="33" a="1"/>
  <c r="Q28" i="33" s="1"/>
  <c r="Q23" i="33" a="1"/>
  <c r="Q23" i="33" s="1"/>
  <c r="U23" i="33" s="1"/>
  <c r="Q30" i="33" a="1"/>
  <c r="Q30" i="33" s="1"/>
  <c r="Q27" i="33" a="1"/>
  <c r="Q27" i="33" s="1"/>
  <c r="Y65" i="33"/>
  <c r="Y64" i="33"/>
  <c r="Y49" i="33"/>
  <c r="Y45" i="33"/>
  <c r="U15" i="33" l="1"/>
  <c r="U27" i="33"/>
  <c r="U16" i="33"/>
  <c r="U19" i="33"/>
  <c r="U25" i="33"/>
  <c r="U29" i="33"/>
  <c r="U28" i="33"/>
  <c r="U24" i="33"/>
  <c r="U17" i="33"/>
  <c r="U30" i="33"/>
  <c r="U18" i="33"/>
  <c r="U26" i="33"/>
  <c r="U14" i="33"/>
  <c r="S23" i="33"/>
  <c r="T23" i="33" s="1"/>
  <c r="S25" i="33"/>
  <c r="T25" i="33" s="1"/>
  <c r="S30" i="33"/>
  <c r="T30" i="33" s="1"/>
  <c r="S29" i="33"/>
  <c r="T29" i="33" s="1"/>
  <c r="S27" i="33"/>
  <c r="T27" i="33" s="1"/>
  <c r="S28" i="33"/>
  <c r="T28" i="33" s="1"/>
  <c r="S24" i="33"/>
  <c r="T24" i="33" s="1"/>
  <c r="S26" i="33"/>
  <c r="T26" i="33" s="1"/>
  <c r="S15" i="33"/>
  <c r="T15" i="33" s="1"/>
  <c r="S16" i="33"/>
  <c r="T16" i="33" s="1"/>
  <c r="S19" i="33"/>
  <c r="T19" i="33" s="1"/>
  <c r="S18" i="33"/>
  <c r="T18" i="33" s="1"/>
  <c r="S13" i="33"/>
  <c r="T13" i="33" s="1"/>
  <c r="S17" i="33"/>
  <c r="T17" i="33" s="1"/>
  <c r="S14" i="33"/>
  <c r="T14" i="33" s="1"/>
  <c r="Y56" i="33"/>
  <c r="Y54" i="33"/>
  <c r="Y58" i="33"/>
  <c r="Y57" i="33"/>
  <c r="Y55" i="33"/>
  <c r="Y59" i="33"/>
  <c r="Y76" i="33"/>
  <c r="Y80" i="33"/>
  <c r="Y68" i="33"/>
  <c r="Y69" i="33"/>
  <c r="Y75" i="33"/>
  <c r="Y79" i="33"/>
  <c r="Y77" i="33"/>
  <c r="Y78" i="33"/>
  <c r="Y66" i="33"/>
  <c r="Y67" i="33"/>
  <c r="Y48" i="33"/>
  <c r="Y46" i="33"/>
  <c r="Y44" i="33"/>
  <c r="Y47" i="33"/>
  <c r="E92" i="33" l="1"/>
  <c r="F92" i="33" s="1"/>
  <c r="E91" i="33"/>
  <c r="F91" i="33" s="1"/>
  <c r="E90" i="33"/>
  <c r="F90" i="33" s="1"/>
  <c r="E89" i="33"/>
  <c r="F89" i="33" s="1"/>
  <c r="E88" i="33"/>
  <c r="E87" i="33"/>
  <c r="F87" i="33" s="1"/>
  <c r="E86" i="33"/>
  <c r="F86" i="33" s="1"/>
  <c r="O50" i="37" l="1"/>
  <c r="H90" i="33"/>
  <c r="H88" i="33"/>
  <c r="F88" i="33"/>
  <c r="H89" i="33"/>
  <c r="H87" i="33"/>
  <c r="G87" i="33" s="1" a="1"/>
  <c r="G87" i="33" s="1"/>
  <c r="I87" i="33" s="1"/>
  <c r="H86" i="33"/>
  <c r="G86" i="33" s="1" a="1"/>
  <c r="G86" i="33" s="1"/>
  <c r="I86" i="33" s="1"/>
  <c r="H85" i="33"/>
  <c r="G85" i="33" s="1" a="1"/>
  <c r="G85" i="33" s="1"/>
  <c r="I85" i="33" s="1"/>
  <c r="H92" i="33"/>
  <c r="H91" i="33"/>
  <c r="T101" i="7"/>
  <c r="O24" i="37" l="1"/>
  <c r="O33" i="37"/>
  <c r="O25" i="37"/>
  <c r="O32" i="37"/>
  <c r="O16" i="37"/>
  <c r="O22" i="37"/>
  <c r="O21" i="37"/>
  <c r="O46" i="37"/>
  <c r="O18" i="37"/>
  <c r="O36" i="37"/>
  <c r="O17" i="37"/>
  <c r="O44" i="37"/>
  <c r="O56" i="37"/>
  <c r="O37" i="37"/>
  <c r="O45" i="37"/>
  <c r="O26" i="37"/>
  <c r="O23" i="37"/>
  <c r="O43" i="37"/>
  <c r="O7" i="37"/>
  <c r="O31" i="37"/>
  <c r="O41" i="37"/>
  <c r="O39" i="37"/>
  <c r="O53" i="37"/>
  <c r="O19" i="37"/>
  <c r="O42" i="37"/>
  <c r="O30" i="37"/>
  <c r="G91" i="33" a="1"/>
  <c r="G91" i="33" s="1"/>
  <c r="I91" i="33" s="1"/>
  <c r="G89" i="33" a="1"/>
  <c r="G89" i="33" s="1"/>
  <c r="I89" i="33" s="1"/>
  <c r="G88" i="33" a="1"/>
  <c r="G88" i="33" s="1"/>
  <c r="I88" i="33" s="1"/>
  <c r="G90" i="33" a="1"/>
  <c r="G90" i="33" s="1"/>
  <c r="I90" i="33" s="1"/>
  <c r="G92" i="33" a="1"/>
  <c r="G92" i="33" s="1"/>
  <c r="I92" i="33" s="1"/>
  <c r="H67" i="33"/>
  <c r="H70" i="33"/>
  <c r="H66" i="33"/>
  <c r="H68" i="33"/>
  <c r="H71" i="33"/>
  <c r="H65" i="33"/>
  <c r="H69" i="33"/>
  <c r="H64" i="33"/>
  <c r="G64" i="33" s="1" a="1"/>
  <c r="G64" i="33" s="1"/>
  <c r="K64" i="33" s="1"/>
  <c r="R71" i="33"/>
  <c r="R66" i="33"/>
  <c r="R67" i="33"/>
  <c r="R64" i="33"/>
  <c r="Q64" i="33" s="1" a="1"/>
  <c r="Q64" i="33" s="1"/>
  <c r="U64" i="33" s="1"/>
  <c r="R65" i="33"/>
  <c r="R68" i="33"/>
  <c r="R69" i="33"/>
  <c r="R70" i="33"/>
  <c r="Q65" i="33" l="1" a="1"/>
  <c r="Q65" i="33" s="1"/>
  <c r="G71" i="33" a="1"/>
  <c r="G71" i="33" s="1"/>
  <c r="Q69" i="33" a="1"/>
  <c r="Q69" i="33" s="1"/>
  <c r="Q68" i="33" a="1"/>
  <c r="Q68" i="33" s="1"/>
  <c r="Q70" i="33" a="1"/>
  <c r="Q70" i="33" s="1"/>
  <c r="Q67" i="33" a="1"/>
  <c r="Q67" i="33" s="1"/>
  <c r="Q66" i="33" a="1"/>
  <c r="Q66" i="33" s="1"/>
  <c r="Q71" i="33" a="1"/>
  <c r="Q71" i="33" s="1"/>
  <c r="G68" i="33" a="1"/>
  <c r="G68" i="33" s="1"/>
  <c r="I64" i="33"/>
  <c r="J64" i="33" s="1"/>
  <c r="G69" i="33" a="1"/>
  <c r="G69" i="33" s="1"/>
  <c r="G66" i="33" a="1"/>
  <c r="G66" i="33" s="1"/>
  <c r="G70" i="33" a="1"/>
  <c r="G70" i="33" s="1"/>
  <c r="G65" i="33" a="1"/>
  <c r="G65" i="33" s="1"/>
  <c r="G67" i="33" a="1"/>
  <c r="G67" i="33" s="1"/>
  <c r="S64" i="33"/>
  <c r="T64" i="33" s="1"/>
  <c r="C32" i="35"/>
  <c r="C31" i="35"/>
  <c r="C30" i="35"/>
  <c r="C29" i="35"/>
  <c r="C28" i="35"/>
  <c r="C27" i="35"/>
  <c r="C26" i="35"/>
  <c r="K58" i="34" l="1"/>
  <c r="K57" i="34"/>
  <c r="K55" i="34"/>
  <c r="K54" i="34"/>
  <c r="K52" i="34"/>
  <c r="K51" i="34"/>
  <c r="K48" i="34"/>
  <c r="K47" i="34"/>
  <c r="K40" i="34"/>
  <c r="K38" i="34"/>
  <c r="K37" i="34"/>
  <c r="K35" i="34"/>
  <c r="K34" i="34"/>
  <c r="K29" i="34"/>
  <c r="K28" i="34"/>
  <c r="K27" i="34"/>
  <c r="K26" i="34"/>
  <c r="K20" i="34"/>
  <c r="K17" i="34"/>
  <c r="K15" i="34"/>
  <c r="K13" i="34"/>
  <c r="K12" i="34"/>
  <c r="K11" i="34"/>
  <c r="K10" i="34"/>
  <c r="K9" i="34"/>
  <c r="K8" i="34"/>
  <c r="K7" i="34"/>
  <c r="K6" i="34"/>
  <c r="S71" i="33"/>
  <c r="T71" i="33" s="1"/>
  <c r="U71" i="33"/>
  <c r="S67" i="33"/>
  <c r="T67" i="33" s="1"/>
  <c r="U67" i="33"/>
  <c r="S69" i="33"/>
  <c r="T69" i="33" s="1"/>
  <c r="U69" i="33"/>
  <c r="S66" i="33"/>
  <c r="T66" i="33" s="1"/>
  <c r="U66" i="33"/>
  <c r="S68" i="33"/>
  <c r="T68" i="33" s="1"/>
  <c r="U68" i="33"/>
  <c r="S70" i="33"/>
  <c r="T70" i="33" s="1"/>
  <c r="U70" i="33"/>
  <c r="S65" i="33"/>
  <c r="T65" i="33" s="1"/>
  <c r="U65" i="33"/>
  <c r="I65" i="33"/>
  <c r="J65" i="33" s="1"/>
  <c r="K65" i="33"/>
  <c r="I67" i="33"/>
  <c r="J67" i="33" s="1"/>
  <c r="K67" i="33"/>
  <c r="I70" i="33"/>
  <c r="J70" i="33" s="1"/>
  <c r="K70" i="33"/>
  <c r="I69" i="33"/>
  <c r="J69" i="33" s="1"/>
  <c r="K69" i="33"/>
  <c r="I71" i="33"/>
  <c r="J71" i="33" s="1"/>
  <c r="K71" i="33"/>
  <c r="I66" i="33"/>
  <c r="J66" i="33" s="1"/>
  <c r="K66" i="33"/>
  <c r="I68" i="33"/>
  <c r="J68" i="33" s="1"/>
  <c r="K68" i="33"/>
  <c r="R88" i="3"/>
  <c r="S88" i="3" s="1"/>
  <c r="P88" i="3"/>
  <c r="Q88" i="3" s="1"/>
  <c r="N88" i="3"/>
  <c r="O88" i="3" s="1"/>
  <c r="L88" i="3"/>
  <c r="M88" i="3" s="1"/>
  <c r="J88" i="3"/>
  <c r="K88" i="3" s="1"/>
  <c r="F88" i="3"/>
  <c r="G88" i="3" s="1"/>
  <c r="D88" i="3"/>
  <c r="E88" i="3" s="1"/>
  <c r="H88" i="3"/>
  <c r="I88" i="3" s="1"/>
  <c r="K19" i="34" l="1"/>
  <c r="K43" i="34"/>
  <c r="K56" i="34"/>
  <c r="K16" i="34"/>
  <c r="K24" i="34"/>
  <c r="K32" i="34"/>
  <c r="K53" i="34"/>
  <c r="K21" i="34"/>
  <c r="K45" i="34"/>
  <c r="K50" i="34"/>
  <c r="K18" i="34"/>
  <c r="K42" i="34"/>
  <c r="K23" i="34"/>
  <c r="K31" i="34"/>
  <c r="K39" i="34"/>
  <c r="K36" i="34"/>
  <c r="K44" i="34"/>
  <c r="K49" i="34"/>
  <c r="K25" i="34"/>
  <c r="K33" i="34"/>
  <c r="K41" i="34"/>
  <c r="K22" i="34"/>
  <c r="K30" i="34"/>
  <c r="K46" i="34"/>
  <c r="L60" i="34"/>
  <c r="L32" i="34"/>
  <c r="L13" i="34"/>
  <c r="X47" i="33" s="1"/>
  <c r="L14" i="34"/>
  <c r="L22" i="34"/>
  <c r="L46" i="34"/>
  <c r="L48" i="34"/>
  <c r="L45" i="34"/>
  <c r="L18" i="34"/>
  <c r="L26" i="34"/>
  <c r="L34" i="34"/>
  <c r="L42" i="34"/>
  <c r="L55" i="34"/>
  <c r="L17" i="34"/>
  <c r="L25" i="34"/>
  <c r="L33" i="34"/>
  <c r="L41" i="34"/>
  <c r="L52" i="34"/>
  <c r="L16" i="34"/>
  <c r="L24" i="34"/>
  <c r="L30" i="34"/>
  <c r="L38" i="34"/>
  <c r="L57" i="34"/>
  <c r="L21" i="34"/>
  <c r="L20" i="34"/>
  <c r="X57" i="33" s="1"/>
  <c r="L51" i="34"/>
  <c r="L44" i="34"/>
  <c r="L58" i="34"/>
  <c r="L15" i="34"/>
  <c r="L23" i="34"/>
  <c r="L31" i="34"/>
  <c r="L43" i="34"/>
  <c r="L47" i="34"/>
  <c r="AB11" i="33"/>
  <c r="AB10" i="33"/>
  <c r="AB7" i="33"/>
  <c r="K61" i="34" l="1"/>
  <c r="K14" i="34"/>
  <c r="L36" i="34"/>
  <c r="L11" i="34"/>
  <c r="L49" i="34"/>
  <c r="L8" i="34"/>
  <c r="L35" i="34"/>
  <c r="L56" i="34"/>
  <c r="L28" i="34"/>
  <c r="L37" i="34"/>
  <c r="L39" i="34"/>
  <c r="L27" i="34"/>
  <c r="L12" i="34"/>
  <c r="L9" i="34"/>
  <c r="L54" i="34"/>
  <c r="L53" i="34"/>
  <c r="L6" i="34"/>
  <c r="L50" i="34"/>
  <c r="L19" i="34"/>
  <c r="L7" i="34"/>
  <c r="L10" i="34"/>
  <c r="L29" i="34"/>
  <c r="L40" i="34"/>
  <c r="I9" i="37"/>
  <c r="I46" i="37"/>
  <c r="L43" i="37"/>
  <c r="L38" i="37"/>
  <c r="L51" i="37"/>
  <c r="L49" i="37"/>
  <c r="L10" i="37"/>
  <c r="L20" i="37"/>
  <c r="I44" i="37"/>
  <c r="I43" i="37"/>
  <c r="I24" i="37"/>
  <c r="I45" i="37"/>
  <c r="I57" i="37"/>
  <c r="I11" i="37"/>
  <c r="I22" i="37"/>
  <c r="I49" i="37"/>
  <c r="I50" i="37"/>
  <c r="I31" i="37"/>
  <c r="I15" i="37"/>
  <c r="T100" i="7"/>
  <c r="L28" i="37" l="1"/>
  <c r="L25" i="37"/>
  <c r="L44" i="37"/>
  <c r="L23" i="37"/>
  <c r="L36" i="37"/>
  <c r="L12" i="37"/>
  <c r="L41" i="37"/>
  <c r="L6" i="37"/>
  <c r="L22" i="37"/>
  <c r="L19" i="37"/>
  <c r="L56" i="37"/>
  <c r="L11" i="37"/>
  <c r="L34" i="37"/>
  <c r="L7" i="37"/>
  <c r="L32" i="37"/>
  <c r="L26" i="37"/>
  <c r="L45" i="37"/>
  <c r="L8" i="37"/>
  <c r="L31" i="37"/>
  <c r="L50" i="37"/>
  <c r="L46" i="37"/>
  <c r="L27" i="37"/>
  <c r="L42" i="37"/>
  <c r="L18" i="37"/>
  <c r="L15" i="37"/>
  <c r="L58" i="37"/>
  <c r="L57" i="37"/>
  <c r="L30" i="37"/>
  <c r="L39" i="37"/>
  <c r="L29" i="37"/>
  <c r="L14" i="37"/>
  <c r="L55" i="37"/>
  <c r="L17" i="37"/>
  <c r="L37" i="37"/>
  <c r="L47" i="37"/>
  <c r="L33" i="37"/>
  <c r="L35" i="37"/>
  <c r="L52" i="37"/>
  <c r="L53" i="37"/>
  <c r="L40" i="37"/>
  <c r="L48" i="37"/>
  <c r="L16" i="37"/>
  <c r="L9" i="37"/>
  <c r="L24" i="37"/>
  <c r="L21" i="37"/>
  <c r="L54" i="37"/>
  <c r="I48" i="37"/>
  <c r="I17" i="37"/>
  <c r="I38" i="37"/>
  <c r="I20" i="37"/>
  <c r="I32" i="37"/>
  <c r="I12" i="37"/>
  <c r="I28" i="37"/>
  <c r="I6" i="37"/>
  <c r="I13" i="37"/>
  <c r="I40" i="37"/>
  <c r="I14" i="37"/>
  <c r="I52" i="37"/>
  <c r="I41" i="37"/>
  <c r="I25" i="37"/>
  <c r="I30" i="37"/>
  <c r="I35" i="37"/>
  <c r="I51" i="37"/>
  <c r="I54" i="37"/>
  <c r="I16" i="37"/>
  <c r="I56" i="37"/>
  <c r="I42" i="37"/>
  <c r="I37" i="37"/>
  <c r="I36" i="37"/>
  <c r="I10" i="37"/>
  <c r="I7" i="37"/>
  <c r="I26" i="37"/>
  <c r="I53" i="37"/>
  <c r="I27" i="37"/>
  <c r="I47" i="37"/>
  <c r="I18" i="37"/>
  <c r="I23" i="37"/>
  <c r="I34" i="37"/>
  <c r="I8" i="37"/>
  <c r="I55" i="37"/>
  <c r="I33" i="37"/>
  <c r="I39" i="37"/>
  <c r="I21" i="37"/>
  <c r="I58" i="37"/>
  <c r="I29" i="37"/>
  <c r="I19" i="37"/>
  <c r="T99" i="7"/>
  <c r="L13" i="37" l="1"/>
  <c r="R86" i="3"/>
  <c r="S86" i="3" s="1"/>
  <c r="R71" i="3"/>
  <c r="P86" i="3"/>
  <c r="Q86" i="3" s="1"/>
  <c r="P71" i="3"/>
  <c r="N86" i="3"/>
  <c r="O86" i="3" s="1"/>
  <c r="N71" i="3"/>
  <c r="L86" i="3"/>
  <c r="M86" i="3" s="1"/>
  <c r="L71" i="3"/>
  <c r="J86" i="3"/>
  <c r="K86" i="3" s="1"/>
  <c r="J71" i="3"/>
  <c r="H86" i="3"/>
  <c r="I86" i="3" s="1"/>
  <c r="H71" i="3"/>
  <c r="F86" i="3"/>
  <c r="G86" i="3" s="1"/>
  <c r="F71" i="3"/>
  <c r="D86" i="3"/>
  <c r="D71" i="3"/>
  <c r="P101" i="3" l="1"/>
  <c r="L101" i="3"/>
  <c r="J101" i="3"/>
  <c r="H101" i="3"/>
  <c r="F101" i="3"/>
  <c r="D101" i="3"/>
  <c r="E101" i="3" s="1"/>
  <c r="R101" i="3"/>
  <c r="S101" i="3" s="1"/>
  <c r="T71" i="3"/>
  <c r="N101" i="3"/>
  <c r="I10" i="8" l="1"/>
  <c r="X81" i="5" l="1"/>
  <c r="X80" i="5"/>
  <c r="X79" i="5"/>
  <c r="X78" i="5"/>
  <c r="X77" i="5"/>
  <c r="X76" i="5"/>
  <c r="X75" i="5"/>
  <c r="X74" i="5"/>
  <c r="X96" i="5"/>
  <c r="X95" i="5"/>
  <c r="X94" i="5"/>
  <c r="X93" i="5"/>
  <c r="X92" i="5"/>
  <c r="X91" i="5"/>
  <c r="X90" i="5"/>
  <c r="X89" i="5"/>
  <c r="F17" i="37" l="1"/>
  <c r="F39" i="37"/>
  <c r="F46" i="37"/>
  <c r="F44" i="37"/>
  <c r="F41" i="37"/>
  <c r="F45" i="37"/>
  <c r="F43" i="37"/>
  <c r="F16" i="37"/>
  <c r="F50" i="37"/>
  <c r="F32" i="37"/>
  <c r="F24" i="37"/>
  <c r="F36" i="37"/>
  <c r="F42" i="37"/>
  <c r="R50" i="7"/>
  <c r="R66" i="7" s="1"/>
  <c r="R82" i="7" s="1"/>
  <c r="R97" i="7" s="1"/>
  <c r="R34" i="7"/>
  <c r="R19" i="7"/>
  <c r="F53" i="37" l="1"/>
  <c r="F19" i="37"/>
  <c r="F56" i="37"/>
  <c r="F7" i="37"/>
  <c r="F12" i="37"/>
  <c r="F30" i="37"/>
  <c r="F18" i="37"/>
  <c r="F31" i="37"/>
  <c r="F389" i="12"/>
  <c r="H48" i="34" l="1"/>
  <c r="H47" i="34"/>
  <c r="H37" i="34"/>
  <c r="H34" i="34"/>
  <c r="H29" i="34"/>
  <c r="H28" i="34"/>
  <c r="H27" i="34"/>
  <c r="H26" i="34"/>
  <c r="H20" i="34"/>
  <c r="H17" i="34"/>
  <c r="H15" i="34"/>
  <c r="H13" i="34"/>
  <c r="H12" i="34"/>
  <c r="H11" i="34"/>
  <c r="H10" i="34"/>
  <c r="H9" i="34"/>
  <c r="H8" i="34"/>
  <c r="H6" i="34"/>
  <c r="E17" i="34"/>
  <c r="E12" i="34"/>
  <c r="R389" i="12"/>
  <c r="S389" i="12"/>
  <c r="T389" i="12"/>
  <c r="N92" i="7"/>
  <c r="P92" i="7"/>
  <c r="N93" i="7"/>
  <c r="P93" i="7"/>
  <c r="N94" i="7"/>
  <c r="P94" i="7"/>
  <c r="N76" i="7"/>
  <c r="P76" i="7"/>
  <c r="N77" i="7"/>
  <c r="P77" i="7"/>
  <c r="N78" i="7"/>
  <c r="P78" i="7"/>
  <c r="E16" i="34" l="1"/>
  <c r="E39" i="34"/>
  <c r="E53" i="34"/>
  <c r="H42" i="34"/>
  <c r="E41" i="34"/>
  <c r="E56" i="34"/>
  <c r="H25" i="34"/>
  <c r="H33" i="34"/>
  <c r="E18" i="34"/>
  <c r="E42" i="34"/>
  <c r="H22" i="34"/>
  <c r="H30" i="34"/>
  <c r="H44" i="34"/>
  <c r="H49" i="34"/>
  <c r="H53" i="34"/>
  <c r="E24" i="34"/>
  <c r="E43" i="34"/>
  <c r="H19" i="34"/>
  <c r="H39" i="34"/>
  <c r="H41" i="34"/>
  <c r="E30" i="34"/>
  <c r="E44" i="34"/>
  <c r="H16" i="34"/>
  <c r="H24" i="34"/>
  <c r="H32" i="34"/>
  <c r="H46" i="34"/>
  <c r="E31" i="34"/>
  <c r="E45" i="34"/>
  <c r="H21" i="34"/>
  <c r="H43" i="34"/>
  <c r="H56" i="34"/>
  <c r="E32" i="34"/>
  <c r="E46" i="34"/>
  <c r="H18" i="34"/>
  <c r="H36" i="34"/>
  <c r="E36" i="34"/>
  <c r="E50" i="34"/>
  <c r="H23" i="34"/>
  <c r="H31" i="34"/>
  <c r="H45" i="34"/>
  <c r="H50" i="34"/>
  <c r="B12" i="34"/>
  <c r="B26" i="34"/>
  <c r="B41" i="34"/>
  <c r="B56" i="34"/>
  <c r="B16" i="34"/>
  <c r="B30" i="34"/>
  <c r="B42" i="34"/>
  <c r="B17" i="34"/>
  <c r="B31" i="34"/>
  <c r="B43" i="34"/>
  <c r="B21" i="34"/>
  <c r="B32" i="34"/>
  <c r="B44" i="34"/>
  <c r="B22" i="34"/>
  <c r="B33" i="34"/>
  <c r="B45" i="34"/>
  <c r="B23" i="34"/>
  <c r="B36" i="34"/>
  <c r="B46" i="34"/>
  <c r="B24" i="34"/>
  <c r="B50" i="34"/>
  <c r="B25" i="34"/>
  <c r="B39" i="34"/>
  <c r="B53" i="34"/>
  <c r="E7" i="34"/>
  <c r="AB5" i="33" s="1"/>
  <c r="I41" i="34"/>
  <c r="F17" i="34"/>
  <c r="I21" i="34"/>
  <c r="F43" i="34"/>
  <c r="F45" i="34"/>
  <c r="F31" i="34"/>
  <c r="F41" i="34"/>
  <c r="F18" i="34"/>
  <c r="F46" i="34"/>
  <c r="F16" i="34"/>
  <c r="F42" i="34"/>
  <c r="F24" i="34"/>
  <c r="F30" i="34"/>
  <c r="F32" i="34"/>
  <c r="I17" i="34"/>
  <c r="I25" i="34"/>
  <c r="I33" i="34"/>
  <c r="I26" i="34"/>
  <c r="I23" i="34"/>
  <c r="I20" i="34"/>
  <c r="X56" i="33" s="1"/>
  <c r="I31" i="34"/>
  <c r="I16" i="34"/>
  <c r="I22" i="34"/>
  <c r="I48" i="34"/>
  <c r="I13" i="34"/>
  <c r="X46" i="33" s="1"/>
  <c r="I45" i="34"/>
  <c r="I24" i="34"/>
  <c r="I30" i="34"/>
  <c r="I15" i="34"/>
  <c r="I18" i="34"/>
  <c r="I44" i="34"/>
  <c r="I47" i="34"/>
  <c r="I32" i="34"/>
  <c r="I14" i="34"/>
  <c r="I43" i="34"/>
  <c r="I34" i="34"/>
  <c r="I42" i="34"/>
  <c r="I46" i="34"/>
  <c r="F44" i="34"/>
  <c r="J56" i="5"/>
  <c r="J87" i="5"/>
  <c r="D12" i="8"/>
  <c r="T125" i="4"/>
  <c r="U125" i="4"/>
  <c r="T126" i="4"/>
  <c r="U126" i="4"/>
  <c r="T109" i="4"/>
  <c r="U109" i="4"/>
  <c r="T110" i="4"/>
  <c r="U110" i="4"/>
  <c r="H61" i="34" l="1"/>
  <c r="H14" i="34"/>
  <c r="I60" i="34"/>
  <c r="H7" i="34"/>
  <c r="AB6" i="33" s="1"/>
  <c r="Z16" i="34"/>
  <c r="Z17" i="34"/>
  <c r="Z43" i="34"/>
  <c r="Z36" i="34"/>
  <c r="Z24" i="34"/>
  <c r="Z50" i="34"/>
  <c r="Z53" i="34"/>
  <c r="Z46" i="34"/>
  <c r="Z56" i="34"/>
  <c r="Z39" i="34"/>
  <c r="Z45" i="34"/>
  <c r="Z44" i="34"/>
  <c r="Z42" i="34"/>
  <c r="Z32" i="34"/>
  <c r="Z41" i="34"/>
  <c r="F53" i="34"/>
  <c r="I37" i="34"/>
  <c r="I11" i="34"/>
  <c r="I28" i="34"/>
  <c r="I39" i="34"/>
  <c r="I36" i="34"/>
  <c r="F12" i="34"/>
  <c r="I8" i="34"/>
  <c r="I50" i="34"/>
  <c r="I9" i="34"/>
  <c r="F7" i="34"/>
  <c r="I10" i="34"/>
  <c r="I29" i="34"/>
  <c r="F56" i="34"/>
  <c r="I7" i="34"/>
  <c r="I6" i="34"/>
  <c r="I27" i="34"/>
  <c r="I53" i="34"/>
  <c r="F39" i="34"/>
  <c r="F50" i="34"/>
  <c r="I12" i="34"/>
  <c r="I56" i="34"/>
  <c r="I19" i="34"/>
  <c r="I49" i="34"/>
  <c r="F36" i="34"/>
  <c r="C50" i="37"/>
  <c r="C26" i="37"/>
  <c r="C12" i="37"/>
  <c r="C30" i="37"/>
  <c r="Y77" i="5"/>
  <c r="S118" i="25"/>
  <c r="S117" i="25"/>
  <c r="S116" i="25"/>
  <c r="S63" i="25"/>
  <c r="J20" i="25"/>
  <c r="D20" i="25"/>
  <c r="F20" i="25"/>
  <c r="J35" i="25"/>
  <c r="D35" i="25"/>
  <c r="F35" i="25"/>
  <c r="Q110" i="25"/>
  <c r="R32" i="25"/>
  <c r="R33" i="25"/>
  <c r="R34" i="25"/>
  <c r="R35" i="25"/>
  <c r="R31" i="25"/>
  <c r="R30" i="25"/>
  <c r="R29" i="25"/>
  <c r="R28" i="25"/>
  <c r="R17" i="25"/>
  <c r="R18" i="25"/>
  <c r="R19" i="25"/>
  <c r="R20" i="25"/>
  <c r="S35" i="25" s="1"/>
  <c r="R16" i="25"/>
  <c r="R15" i="25"/>
  <c r="R14" i="25"/>
  <c r="R13" i="25"/>
  <c r="R10" i="25"/>
  <c r="R11" i="25"/>
  <c r="R12" i="25"/>
  <c r="R93" i="3"/>
  <c r="R94" i="3"/>
  <c r="R95" i="3"/>
  <c r="R78" i="3"/>
  <c r="R79" i="3"/>
  <c r="AA50" i="37" l="1"/>
  <c r="C24" i="37"/>
  <c r="C18" i="37"/>
  <c r="C56" i="37"/>
  <c r="C21" i="37"/>
  <c r="C39" i="37"/>
  <c r="C25" i="37"/>
  <c r="C33" i="37"/>
  <c r="C43" i="37"/>
  <c r="C31" i="37"/>
  <c r="C17" i="37"/>
  <c r="C23" i="37"/>
  <c r="C42" i="37"/>
  <c r="C53" i="37"/>
  <c r="C32" i="37"/>
  <c r="C45" i="37"/>
  <c r="C41" i="37"/>
  <c r="C16" i="37"/>
  <c r="C22" i="37"/>
  <c r="C46" i="37"/>
  <c r="C36" i="37"/>
  <c r="C44" i="37"/>
  <c r="C19" i="37"/>
  <c r="R109" i="3"/>
  <c r="S109" i="3" s="1"/>
  <c r="R110" i="3"/>
  <c r="S110" i="3" s="1"/>
  <c r="R108" i="3"/>
  <c r="S108" i="3" s="1"/>
  <c r="K35" i="25"/>
  <c r="I100" i="25"/>
  <c r="S115" i="25"/>
  <c r="O117" i="25"/>
  <c r="O118" i="25"/>
  <c r="S102" i="25"/>
  <c r="S103" i="25"/>
  <c r="I99" i="25"/>
  <c r="G99" i="25"/>
  <c r="S125" i="25"/>
  <c r="O125" i="25"/>
  <c r="Q125" i="25"/>
  <c r="I103" i="25"/>
  <c r="Q102" i="25"/>
  <c r="I102" i="25"/>
  <c r="O103" i="25"/>
  <c r="Q86" i="25"/>
  <c r="Q100" i="25"/>
  <c r="S101" i="25"/>
  <c r="S94" i="25"/>
  <c r="M125" i="25"/>
  <c r="Q116" i="25"/>
  <c r="Q118" i="25"/>
  <c r="I115" i="25"/>
  <c r="I116" i="25"/>
  <c r="I117" i="25"/>
  <c r="E116" i="25"/>
  <c r="S104" i="25"/>
  <c r="G114" i="25"/>
  <c r="O84" i="25"/>
  <c r="Q87" i="25"/>
  <c r="M99" i="25"/>
  <c r="E102" i="25"/>
  <c r="Q101" i="25"/>
  <c r="O102" i="25"/>
  <c r="T115" i="25"/>
  <c r="I119" i="25"/>
  <c r="S99" i="25"/>
  <c r="T100" i="25"/>
  <c r="G101" i="25"/>
  <c r="G102" i="25"/>
  <c r="G103" i="25"/>
  <c r="T125" i="25"/>
  <c r="I110" i="25"/>
  <c r="M115" i="25"/>
  <c r="K110" i="25"/>
  <c r="I114" i="25"/>
  <c r="E86" i="25"/>
  <c r="Q85" i="25"/>
  <c r="O95" i="25"/>
  <c r="Q99" i="25"/>
  <c r="G117" i="25"/>
  <c r="K114" i="25"/>
  <c r="S124" i="25"/>
  <c r="S109" i="25"/>
  <c r="O114" i="25"/>
  <c r="O99" i="25"/>
  <c r="E85" i="25"/>
  <c r="M95" i="25"/>
  <c r="S100" i="25"/>
  <c r="S108" i="25"/>
  <c r="O100" i="25"/>
  <c r="O101" i="25"/>
  <c r="E117" i="25"/>
  <c r="E118" i="25"/>
  <c r="Q103" i="25"/>
  <c r="E99" i="25"/>
  <c r="K95" i="25"/>
  <c r="K100" i="25"/>
  <c r="K101" i="25"/>
  <c r="K102" i="25"/>
  <c r="K103" i="25"/>
  <c r="E84" i="25"/>
  <c r="T95" i="25"/>
  <c r="E125" i="25"/>
  <c r="M100" i="25"/>
  <c r="M101" i="25"/>
  <c r="E119" i="25"/>
  <c r="K119" i="25"/>
  <c r="M119" i="25"/>
  <c r="M118" i="25"/>
  <c r="M117" i="25"/>
  <c r="K104" i="25"/>
  <c r="M114" i="25"/>
  <c r="K115" i="25"/>
  <c r="T116" i="25"/>
  <c r="S114" i="25"/>
  <c r="T118" i="25"/>
  <c r="K80" i="25"/>
  <c r="S110" i="25"/>
  <c r="G110" i="25"/>
  <c r="I101" i="25"/>
  <c r="G125" i="25"/>
  <c r="G116" i="25"/>
  <c r="Q117" i="25"/>
  <c r="S123" i="25"/>
  <c r="I125" i="25"/>
  <c r="Q114" i="25"/>
  <c r="Q95" i="25"/>
  <c r="E115" i="25"/>
  <c r="O115" i="25"/>
  <c r="O119" i="25"/>
  <c r="K125" i="25"/>
  <c r="K116" i="25"/>
  <c r="K65" i="25"/>
  <c r="Q88" i="25"/>
  <c r="O110" i="25"/>
  <c r="T99" i="25"/>
  <c r="Q115" i="25"/>
  <c r="M116" i="25"/>
  <c r="K117" i="25"/>
  <c r="G118" i="25"/>
  <c r="Q119" i="25"/>
  <c r="S119" i="25"/>
  <c r="M103" i="25"/>
  <c r="S95" i="25"/>
  <c r="I95" i="25"/>
  <c r="G100" i="25"/>
  <c r="M110" i="25"/>
  <c r="T110" i="25"/>
  <c r="G115" i="25"/>
  <c r="O116" i="25"/>
  <c r="I118" i="25"/>
  <c r="E110" i="25"/>
  <c r="M102" i="25"/>
  <c r="K99" i="25"/>
  <c r="E100" i="25"/>
  <c r="T101" i="25"/>
  <c r="T102" i="25"/>
  <c r="T103" i="25"/>
  <c r="E114" i="25"/>
  <c r="K118" i="25"/>
  <c r="G119" i="25"/>
  <c r="T117" i="25"/>
  <c r="T114" i="25"/>
  <c r="E103" i="25"/>
  <c r="E101" i="25"/>
  <c r="G95" i="25"/>
  <c r="S78" i="25"/>
  <c r="S79" i="25"/>
  <c r="S93" i="25"/>
  <c r="K84" i="25"/>
  <c r="S31" i="25"/>
  <c r="E95" i="25"/>
  <c r="T65" i="25"/>
  <c r="S64" i="25"/>
  <c r="S32" i="25"/>
  <c r="Q80" i="25"/>
  <c r="O80" i="25"/>
  <c r="M84" i="25"/>
  <c r="E35" i="25"/>
  <c r="Q65" i="25"/>
  <c r="S65" i="25"/>
  <c r="E88" i="25"/>
  <c r="S33" i="25"/>
  <c r="I65" i="25"/>
  <c r="E87" i="25"/>
  <c r="G35" i="25"/>
  <c r="Q84" i="25"/>
  <c r="S29" i="25"/>
  <c r="T20" i="25"/>
  <c r="S30" i="25"/>
  <c r="G65" i="25"/>
  <c r="S34" i="25"/>
  <c r="O65" i="25"/>
  <c r="S80" i="25"/>
  <c r="E80" i="25"/>
  <c r="M80" i="25"/>
  <c r="T80" i="25"/>
  <c r="M65" i="25"/>
  <c r="G80" i="25"/>
  <c r="S28" i="25"/>
  <c r="E65" i="25"/>
  <c r="I80" i="25"/>
  <c r="O85" i="25"/>
  <c r="T50" i="25"/>
  <c r="AA24" i="37" l="1"/>
  <c r="AA18" i="37"/>
  <c r="AA56" i="37"/>
  <c r="AA39" i="37"/>
  <c r="AA43" i="37"/>
  <c r="AA17" i="37"/>
  <c r="AA42" i="37"/>
  <c r="AA53" i="37"/>
  <c r="AA32" i="37"/>
  <c r="AA45" i="37"/>
  <c r="AA41" i="37"/>
  <c r="AA16" i="37"/>
  <c r="AA46" i="37"/>
  <c r="AA36" i="37"/>
  <c r="AA44" i="37"/>
  <c r="AA19" i="37"/>
  <c r="U115" i="25"/>
  <c r="U110" i="25"/>
  <c r="U95" i="25"/>
  <c r="U116" i="25"/>
  <c r="U114" i="25"/>
  <c r="U117" i="25"/>
  <c r="U118" i="25"/>
  <c r="U125" i="25"/>
  <c r="U80" i="25"/>
  <c r="U65" i="25"/>
  <c r="AA16" i="29" l="1"/>
  <c r="Z16" i="29"/>
  <c r="Y16" i="29"/>
  <c r="X16" i="29"/>
  <c r="W16" i="29"/>
  <c r="V16" i="29"/>
  <c r="U16" i="29"/>
  <c r="X26" i="29"/>
  <c r="X36" i="29" s="1"/>
  <c r="X46" i="29" s="1"/>
  <c r="X56" i="29" s="1"/>
  <c r="X66" i="29" s="1"/>
  <c r="W26" i="29"/>
  <c r="W36" i="29" s="1"/>
  <c r="W46" i="29" s="1"/>
  <c r="W56" i="29" s="1"/>
  <c r="W66" i="29" s="1"/>
  <c r="V26" i="29"/>
  <c r="V36" i="29" s="1"/>
  <c r="V46" i="29" s="1"/>
  <c r="V56" i="29" s="1"/>
  <c r="V66" i="29" s="1"/>
  <c r="U26" i="29"/>
  <c r="U36" i="29" s="1"/>
  <c r="U46" i="29" s="1"/>
  <c r="U56" i="29" s="1"/>
  <c r="U66" i="29" s="1"/>
  <c r="T16" i="29"/>
  <c r="AA26" i="29"/>
  <c r="AA36" i="29" s="1"/>
  <c r="AA46" i="29" s="1"/>
  <c r="AA56" i="29" s="1"/>
  <c r="AA66" i="29" s="1"/>
  <c r="Z26" i="29"/>
  <c r="Z36" i="29" s="1"/>
  <c r="Z46" i="29" s="1"/>
  <c r="Z56" i="29" s="1"/>
  <c r="Z66" i="29" s="1"/>
  <c r="Y26" i="29"/>
  <c r="Y36" i="29" s="1"/>
  <c r="Y46" i="29" s="1"/>
  <c r="Y56" i="29" s="1"/>
  <c r="Y66" i="29" s="1"/>
  <c r="T26" i="29"/>
  <c r="T36" i="29" s="1"/>
  <c r="T46" i="29" s="1"/>
  <c r="T56" i="29" s="1"/>
  <c r="T66" i="29" s="1"/>
  <c r="M66" i="29"/>
  <c r="L66" i="29"/>
  <c r="K66" i="29"/>
  <c r="J66" i="29"/>
  <c r="I66" i="29"/>
  <c r="H66" i="29"/>
  <c r="G66" i="29"/>
  <c r="F66" i="29"/>
  <c r="M57" i="29"/>
  <c r="M67" i="29" s="1"/>
  <c r="AA17" i="29" s="1"/>
  <c r="AA27" i="29" s="1"/>
  <c r="AA37" i="29" s="1"/>
  <c r="AA47" i="29" s="1"/>
  <c r="AA57" i="29" s="1"/>
  <c r="AA67" i="29" s="1"/>
  <c r="L57" i="29"/>
  <c r="L67" i="29" s="1"/>
  <c r="Z17" i="29" s="1"/>
  <c r="Z27" i="29" s="1"/>
  <c r="Z37" i="29" s="1"/>
  <c r="Z47" i="29" s="1"/>
  <c r="Z57" i="29" s="1"/>
  <c r="Z67" i="29" s="1"/>
  <c r="K57" i="29"/>
  <c r="K67" i="29" s="1"/>
  <c r="Y17" i="29" s="1"/>
  <c r="Y27" i="29" s="1"/>
  <c r="Y37" i="29" s="1"/>
  <c r="Y47" i="29" s="1"/>
  <c r="Y57" i="29" s="1"/>
  <c r="Y67" i="29" s="1"/>
  <c r="J57" i="29"/>
  <c r="J67" i="29" s="1"/>
  <c r="X17" i="29" s="1"/>
  <c r="X27" i="29" s="1"/>
  <c r="X37" i="29" s="1"/>
  <c r="X47" i="29" s="1"/>
  <c r="X57" i="29" s="1"/>
  <c r="X67" i="29" s="1"/>
  <c r="I57" i="29"/>
  <c r="I67" i="29" s="1"/>
  <c r="W17" i="29" s="1"/>
  <c r="W27" i="29" s="1"/>
  <c r="W37" i="29" s="1"/>
  <c r="W47" i="29" s="1"/>
  <c r="W57" i="29" s="1"/>
  <c r="W67" i="29" s="1"/>
  <c r="H57" i="29"/>
  <c r="H67" i="29" s="1"/>
  <c r="V17" i="29" s="1"/>
  <c r="V27" i="29" s="1"/>
  <c r="V37" i="29" s="1"/>
  <c r="V47" i="29" s="1"/>
  <c r="V57" i="29" s="1"/>
  <c r="V67" i="29" s="1"/>
  <c r="G57" i="29"/>
  <c r="G67" i="29" s="1"/>
  <c r="U17" i="29" s="1"/>
  <c r="U27" i="29" s="1"/>
  <c r="U37" i="29" s="1"/>
  <c r="U47" i="29" s="1"/>
  <c r="U57" i="29" s="1"/>
  <c r="U67" i="29" s="1"/>
  <c r="F57" i="29"/>
  <c r="F67" i="29" s="1"/>
  <c r="T17" i="29" s="1"/>
  <c r="T27" i="29" s="1"/>
  <c r="T37" i="29" s="1"/>
  <c r="T47" i="29" s="1"/>
  <c r="T57" i="29" s="1"/>
  <c r="T67" i="29" s="1"/>
  <c r="M56" i="29"/>
  <c r="L56" i="29"/>
  <c r="K56" i="29"/>
  <c r="J56" i="29"/>
  <c r="I56" i="29"/>
  <c r="H56" i="29"/>
  <c r="G56" i="29"/>
  <c r="F56" i="29"/>
  <c r="M47" i="29"/>
  <c r="L47" i="29"/>
  <c r="K47" i="29"/>
  <c r="J47" i="29"/>
  <c r="I47" i="29"/>
  <c r="H47" i="29"/>
  <c r="G47" i="29"/>
  <c r="F47" i="29"/>
  <c r="M46" i="29"/>
  <c r="L46" i="29"/>
  <c r="K46" i="29"/>
  <c r="J46" i="29"/>
  <c r="I46" i="29"/>
  <c r="H46" i="29"/>
  <c r="G46" i="29"/>
  <c r="F46" i="29"/>
  <c r="M37" i="29"/>
  <c r="L37" i="29"/>
  <c r="K37" i="29"/>
  <c r="J37" i="29"/>
  <c r="I37" i="29"/>
  <c r="H37" i="29"/>
  <c r="G37" i="29"/>
  <c r="F37" i="29"/>
  <c r="M36" i="29"/>
  <c r="L36" i="29"/>
  <c r="K36" i="29"/>
  <c r="J36" i="29"/>
  <c r="I36" i="29"/>
  <c r="H36" i="29"/>
  <c r="G36" i="29"/>
  <c r="F36" i="29"/>
  <c r="M27" i="29"/>
  <c r="L27" i="29"/>
  <c r="K27" i="29"/>
  <c r="J27" i="29"/>
  <c r="I27" i="29"/>
  <c r="H27" i="29"/>
  <c r="G27" i="29"/>
  <c r="F27" i="29"/>
  <c r="M26" i="29"/>
  <c r="L26" i="29"/>
  <c r="K26" i="29"/>
  <c r="J26" i="29"/>
  <c r="I26" i="29"/>
  <c r="H26" i="29"/>
  <c r="G26" i="29"/>
  <c r="F26" i="29"/>
  <c r="R94" i="7"/>
  <c r="R78" i="7"/>
  <c r="R93" i="7"/>
  <c r="R77" i="7"/>
  <c r="R61" i="7"/>
  <c r="R92" i="7"/>
  <c r="R76" i="7"/>
  <c r="R60" i="7"/>
  <c r="B369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70" i="13"/>
  <c r="B371" i="13"/>
  <c r="B372" i="13"/>
  <c r="B373" i="13"/>
  <c r="P46" i="7" l="1"/>
  <c r="R44" i="7"/>
  <c r="R45" i="7"/>
  <c r="R46" i="7"/>
  <c r="R48" i="3"/>
  <c r="AA63" i="29" s="1"/>
  <c r="R49" i="3"/>
  <c r="AA73" i="29" s="1"/>
  <c r="R47" i="3"/>
  <c r="AA53" i="29" s="1"/>
  <c r="Q36" i="22" l="1"/>
  <c r="Q35" i="22"/>
  <c r="Q34" i="22"/>
  <c r="Q33" i="22"/>
  <c r="Q32" i="22"/>
  <c r="Q31" i="22"/>
  <c r="Q38" i="22"/>
  <c r="Q37" i="22"/>
  <c r="Q39" i="22"/>
  <c r="Q30" i="22"/>
  <c r="R14" i="4"/>
  <c r="R15" i="4"/>
  <c r="R16" i="4"/>
  <c r="K389" i="12"/>
  <c r="Z10" i="33" s="1"/>
  <c r="I389" i="12"/>
  <c r="O389" i="12"/>
  <c r="Q389" i="12"/>
  <c r="J389" i="12"/>
  <c r="L389" i="12"/>
  <c r="H389" i="12"/>
  <c r="P389" i="12"/>
  <c r="N389" i="12"/>
  <c r="M389" i="12"/>
  <c r="R60" i="4"/>
  <c r="R29" i="4"/>
  <c r="R62" i="4"/>
  <c r="R30" i="4"/>
  <c r="R61" i="4"/>
  <c r="R31" i="4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Y389" i="12" l="1"/>
  <c r="W389" i="12"/>
  <c r="AA10" i="33"/>
  <c r="X389" i="12"/>
  <c r="Y10" i="33"/>
  <c r="AC10" i="33" s="1"/>
  <c r="D389" i="12"/>
  <c r="G389" i="12"/>
  <c r="N5" i="3"/>
  <c r="N14" i="3"/>
  <c r="N46" i="7"/>
  <c r="N15" i="3"/>
  <c r="N12" i="3"/>
  <c r="N9" i="3"/>
  <c r="N11" i="3"/>
  <c r="N16" i="3"/>
  <c r="N8" i="3"/>
  <c r="N13" i="3"/>
  <c r="N10" i="3"/>
  <c r="N7" i="3"/>
  <c r="N6" i="3"/>
  <c r="R20" i="3"/>
  <c r="L94" i="7"/>
  <c r="L78" i="7"/>
  <c r="L93" i="7"/>
  <c r="L77" i="7"/>
  <c r="L92" i="7"/>
  <c r="L76" i="7"/>
  <c r="B369" i="10"/>
  <c r="P40" i="22" l="1"/>
  <c r="Q40" i="22" s="1"/>
  <c r="V389" i="12"/>
  <c r="O80" i="3"/>
  <c r="O16" i="3"/>
  <c r="O38" i="22"/>
  <c r="O37" i="22"/>
  <c r="O36" i="22"/>
  <c r="AD10" i="33"/>
  <c r="AI10" i="33" s="1"/>
  <c r="O35" i="22"/>
  <c r="O34" i="22"/>
  <c r="O33" i="22"/>
  <c r="O32" i="22"/>
  <c r="O31" i="22"/>
  <c r="O39" i="22"/>
  <c r="O30" i="22"/>
  <c r="L46" i="7"/>
  <c r="M35" i="22" l="1"/>
  <c r="M34" i="22"/>
  <c r="M33" i="22"/>
  <c r="M32" i="22"/>
  <c r="M31" i="22"/>
  <c r="M38" i="22"/>
  <c r="M37" i="22"/>
  <c r="M39" i="22"/>
  <c r="M30" i="22"/>
  <c r="M29" i="22"/>
  <c r="D389" i="1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70" i="10"/>
  <c r="B371" i="10"/>
  <c r="B372" i="10"/>
  <c r="B373" i="10"/>
  <c r="J94" i="7"/>
  <c r="J78" i="7"/>
  <c r="J93" i="7"/>
  <c r="J77" i="7"/>
  <c r="J92" i="7"/>
  <c r="J76" i="7"/>
  <c r="B369" i="9"/>
  <c r="N40" i="22" l="1"/>
  <c r="M36" i="22"/>
  <c r="D389" i="10"/>
  <c r="J46" i="7"/>
  <c r="J28" i="4"/>
  <c r="L40" i="22" l="1"/>
  <c r="K37" i="22"/>
  <c r="K36" i="22"/>
  <c r="K34" i="22"/>
  <c r="K33" i="22"/>
  <c r="K31" i="22"/>
  <c r="K38" i="22"/>
  <c r="K39" i="22"/>
  <c r="K30" i="22"/>
  <c r="K29" i="22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C5" i="1"/>
  <c r="H94" i="7"/>
  <c r="H78" i="7"/>
  <c r="H93" i="7"/>
  <c r="H77" i="7"/>
  <c r="H92" i="7"/>
  <c r="H76" i="7"/>
  <c r="B369" i="6"/>
  <c r="K35" i="22" l="1"/>
  <c r="K32" i="22"/>
  <c r="D389" i="9"/>
  <c r="H46" i="7"/>
  <c r="J40" i="22" l="1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D94" i="7"/>
  <c r="D93" i="7"/>
  <c r="D92" i="7"/>
  <c r="D78" i="7"/>
  <c r="D77" i="7"/>
  <c r="D76" i="7"/>
  <c r="D69" i="7"/>
  <c r="D389" i="6" l="1"/>
  <c r="D389" i="1"/>
  <c r="E39" i="22"/>
  <c r="D46" i="7"/>
  <c r="E38" i="22"/>
  <c r="E37" i="22"/>
  <c r="G382" i="1"/>
  <c r="E32" i="22"/>
  <c r="H40" i="22" l="1"/>
  <c r="D40" i="22"/>
  <c r="E35" i="22"/>
  <c r="E34" i="22"/>
  <c r="E33" i="22"/>
  <c r="E31" i="22"/>
  <c r="E30" i="22"/>
  <c r="I57" i="34" l="1"/>
  <c r="H57" i="34"/>
  <c r="H35" i="34"/>
  <c r="I55" i="34"/>
  <c r="H55" i="34"/>
  <c r="I58" i="34"/>
  <c r="H58" i="34"/>
  <c r="H54" i="34"/>
  <c r="H40" i="34"/>
  <c r="I38" i="34"/>
  <c r="H38" i="34"/>
  <c r="I51" i="34"/>
  <c r="H51" i="34"/>
  <c r="I52" i="34"/>
  <c r="H52" i="34"/>
  <c r="E29" i="22"/>
  <c r="S14" i="17"/>
  <c r="T7" i="17"/>
  <c r="T88" i="3" s="1"/>
  <c r="U88" i="3" s="1"/>
  <c r="I35" i="34" l="1"/>
  <c r="I40" i="34"/>
  <c r="I54" i="34"/>
  <c r="T14" i="16"/>
  <c r="T35" i="25" s="1"/>
  <c r="U35" i="25" s="1"/>
  <c r="S14" i="16"/>
  <c r="R15" i="16" l="1"/>
  <c r="Q15" i="16"/>
  <c r="P15" i="16"/>
  <c r="O15" i="16"/>
  <c r="N15" i="16"/>
  <c r="M15" i="16"/>
  <c r="L15" i="16"/>
  <c r="K15" i="16"/>
  <c r="J15" i="16"/>
  <c r="I15" i="16"/>
  <c r="H15" i="16"/>
  <c r="G15" i="16"/>
  <c r="D15" i="16"/>
  <c r="C15" i="16"/>
  <c r="S65" i="16"/>
  <c r="T65" i="16"/>
  <c r="T108" i="4" l="1"/>
  <c r="U108" i="4"/>
  <c r="T124" i="4"/>
  <c r="U124" i="4"/>
  <c r="S62" i="4" l="1"/>
  <c r="S61" i="4"/>
  <c r="S60" i="4"/>
  <c r="S64" i="16"/>
  <c r="T64" i="16"/>
  <c r="T77" i="4"/>
  <c r="U77" i="4"/>
  <c r="T63" i="16"/>
  <c r="S63" i="16"/>
  <c r="T62" i="16" l="1"/>
  <c r="S62" i="16"/>
  <c r="J34" i="25"/>
  <c r="J19" i="25"/>
  <c r="D34" i="25"/>
  <c r="D19" i="25"/>
  <c r="P94" i="3"/>
  <c r="P79" i="3"/>
  <c r="N94" i="3"/>
  <c r="N79" i="3"/>
  <c r="L94" i="3"/>
  <c r="L79" i="3"/>
  <c r="J94" i="3"/>
  <c r="J79" i="3"/>
  <c r="H94" i="3"/>
  <c r="H79" i="3"/>
  <c r="D94" i="3"/>
  <c r="D79" i="3"/>
  <c r="P109" i="3" l="1"/>
  <c r="N109" i="3"/>
  <c r="L109" i="3"/>
  <c r="J109" i="3"/>
  <c r="D109" i="3"/>
  <c r="E109" i="3" s="1"/>
  <c r="H109" i="3"/>
  <c r="T109" i="25"/>
  <c r="F34" i="25"/>
  <c r="F15" i="16"/>
  <c r="F19" i="25"/>
  <c r="T19" i="25" s="1"/>
  <c r="E15" i="16"/>
  <c r="K34" i="25"/>
  <c r="E34" i="25"/>
  <c r="I64" i="25"/>
  <c r="Q94" i="25"/>
  <c r="Q64" i="25"/>
  <c r="O124" i="25"/>
  <c r="K64" i="25"/>
  <c r="Q124" i="25"/>
  <c r="M64" i="25"/>
  <c r="E79" i="25"/>
  <c r="T94" i="25"/>
  <c r="E109" i="25"/>
  <c r="T124" i="25"/>
  <c r="G94" i="25"/>
  <c r="G64" i="25"/>
  <c r="I79" i="25"/>
  <c r="I109" i="25"/>
  <c r="K94" i="25"/>
  <c r="T49" i="25"/>
  <c r="M79" i="25"/>
  <c r="M109" i="25"/>
  <c r="M124" i="25"/>
  <c r="O94" i="25"/>
  <c r="M94" i="25"/>
  <c r="Q109" i="25"/>
  <c r="O64" i="25"/>
  <c r="K79" i="25"/>
  <c r="E94" i="25"/>
  <c r="G124" i="25"/>
  <c r="T64" i="25"/>
  <c r="O109" i="25"/>
  <c r="I124" i="25"/>
  <c r="E64" i="25"/>
  <c r="Q79" i="25"/>
  <c r="I94" i="25"/>
  <c r="K124" i="25"/>
  <c r="O79" i="25"/>
  <c r="T79" i="25"/>
  <c r="G109" i="25"/>
  <c r="G79" i="25"/>
  <c r="K109" i="25"/>
  <c r="E124" i="25"/>
  <c r="T13" i="16"/>
  <c r="S13" i="16"/>
  <c r="U109" i="25" l="1"/>
  <c r="G34" i="25"/>
  <c r="T34" i="25"/>
  <c r="U34" i="25" s="1"/>
  <c r="U79" i="25"/>
  <c r="U64" i="25"/>
  <c r="U124" i="25"/>
  <c r="U94" i="25"/>
  <c r="S61" i="16" l="1"/>
  <c r="T61" i="16"/>
  <c r="T48" i="4"/>
  <c r="U48" i="4" s="1"/>
  <c r="T47" i="4"/>
  <c r="U47" i="4" s="1"/>
  <c r="P47" i="4"/>
  <c r="Q47" i="4" s="1"/>
  <c r="N47" i="4"/>
  <c r="O47" i="4" s="1"/>
  <c r="L47" i="4"/>
  <c r="M47" i="4" s="1"/>
  <c r="J47" i="4"/>
  <c r="K47" i="4" s="1"/>
  <c r="H47" i="4"/>
  <c r="F47" i="4"/>
  <c r="T46" i="4"/>
  <c r="U46" i="4" s="1"/>
  <c r="P46" i="4"/>
  <c r="Q46" i="4" s="1"/>
  <c r="N46" i="4"/>
  <c r="O46" i="4" s="1"/>
  <c r="L46" i="4"/>
  <c r="M46" i="4" s="1"/>
  <c r="J46" i="4"/>
  <c r="K46" i="4" s="1"/>
  <c r="H46" i="4"/>
  <c r="F46" i="4"/>
  <c r="T45" i="4"/>
  <c r="U45" i="4" s="1"/>
  <c r="P45" i="4"/>
  <c r="Q45" i="4" s="1"/>
  <c r="N45" i="4"/>
  <c r="O45" i="4" s="1"/>
  <c r="L45" i="4"/>
  <c r="M45" i="4" s="1"/>
  <c r="J45" i="4"/>
  <c r="K45" i="4" s="1"/>
  <c r="H45" i="4"/>
  <c r="F45" i="4"/>
  <c r="T44" i="4"/>
  <c r="U44" i="4" s="1"/>
  <c r="R44" i="4"/>
  <c r="S44" i="4" s="1"/>
  <c r="P44" i="4"/>
  <c r="Q44" i="4" s="1"/>
  <c r="T43" i="4"/>
  <c r="U43" i="4" s="1"/>
  <c r="R43" i="4"/>
  <c r="S43" i="4" s="1"/>
  <c r="P43" i="4"/>
  <c r="Q43" i="4" s="1"/>
  <c r="T42" i="4"/>
  <c r="U42" i="4" s="1"/>
  <c r="R42" i="4"/>
  <c r="S42" i="4" s="1"/>
  <c r="P42" i="4"/>
  <c r="Q42" i="4" s="1"/>
  <c r="T41" i="4"/>
  <c r="U41" i="4" s="1"/>
  <c r="T40" i="4"/>
  <c r="U40" i="4" s="1"/>
  <c r="T39" i="4"/>
  <c r="U39" i="4" s="1"/>
  <c r="T38" i="4"/>
  <c r="U38" i="4" s="1"/>
  <c r="T37" i="4"/>
  <c r="U37" i="4" s="1"/>
  <c r="T36" i="4"/>
  <c r="U36" i="4" s="1"/>
  <c r="N7" i="34" l="1"/>
  <c r="O16" i="34"/>
  <c r="O24" i="34"/>
  <c r="O30" i="34"/>
  <c r="O42" i="34"/>
  <c r="O23" i="34"/>
  <c r="O44" i="34"/>
  <c r="O31" i="34"/>
  <c r="O17" i="34"/>
  <c r="O46" i="34"/>
  <c r="O32" i="34"/>
  <c r="O43" i="34"/>
  <c r="O41" i="34"/>
  <c r="O25" i="34"/>
  <c r="O21" i="34"/>
  <c r="O33" i="34"/>
  <c r="O26" i="34"/>
  <c r="O45" i="34"/>
  <c r="T60" i="16"/>
  <c r="S60" i="16"/>
  <c r="O7" i="34" l="1"/>
  <c r="O53" i="34"/>
  <c r="O22" i="34"/>
  <c r="O36" i="34"/>
  <c r="O39" i="34"/>
  <c r="O50" i="34"/>
  <c r="O37" i="34"/>
  <c r="O56" i="34"/>
  <c r="T59" i="16"/>
  <c r="S59" i="16"/>
  <c r="U76" i="4" l="1"/>
  <c r="T76" i="4"/>
  <c r="T58" i="16"/>
  <c r="S58" i="16"/>
  <c r="T123" i="4" l="1"/>
  <c r="U123" i="4"/>
  <c r="T107" i="4"/>
  <c r="U107" i="4"/>
  <c r="O54" i="37" l="1"/>
  <c r="O35" i="37"/>
  <c r="O40" i="37"/>
  <c r="O6" i="37"/>
  <c r="O9" i="37"/>
  <c r="O11" i="37"/>
  <c r="O29" i="37"/>
  <c r="O8" i="37"/>
  <c r="O10" i="37"/>
  <c r="O28" i="37"/>
  <c r="N8" i="34"/>
  <c r="N60" i="34"/>
  <c r="N78" i="3"/>
  <c r="L78" i="3"/>
  <c r="F78" i="3"/>
  <c r="J78" i="3"/>
  <c r="P78" i="3"/>
  <c r="H78" i="3"/>
  <c r="D78" i="3"/>
  <c r="O47" i="37" l="1"/>
  <c r="O38" i="37"/>
  <c r="O14" i="37"/>
  <c r="O60" i="34"/>
  <c r="T78" i="3"/>
  <c r="S12" i="17"/>
  <c r="O8" i="34" l="1"/>
  <c r="N11" i="34"/>
  <c r="N6" i="34"/>
  <c r="N40" i="34"/>
  <c r="J18" i="25"/>
  <c r="F18" i="25"/>
  <c r="D18" i="25"/>
  <c r="J33" i="25"/>
  <c r="F33" i="25"/>
  <c r="O15" i="37" l="1"/>
  <c r="O6" i="34"/>
  <c r="O40" i="34"/>
  <c r="O11" i="34"/>
  <c r="O48" i="37"/>
  <c r="O49" i="37"/>
  <c r="O20" i="37"/>
  <c r="N9" i="34"/>
  <c r="O18" i="34"/>
  <c r="N18" i="34"/>
  <c r="N19" i="34"/>
  <c r="N54" i="34"/>
  <c r="N29" i="34"/>
  <c r="O47" i="34"/>
  <c r="N47" i="34"/>
  <c r="N28" i="34"/>
  <c r="N10" i="34"/>
  <c r="N35" i="34"/>
  <c r="T108" i="25"/>
  <c r="O93" i="25"/>
  <c r="E93" i="25"/>
  <c r="Q93" i="25"/>
  <c r="K108" i="25"/>
  <c r="T123" i="25"/>
  <c r="T63" i="25"/>
  <c r="M78" i="25"/>
  <c r="O123" i="25"/>
  <c r="Q108" i="25"/>
  <c r="G33" i="25"/>
  <c r="K33" i="25"/>
  <c r="T18" i="25"/>
  <c r="O63" i="25"/>
  <c r="I63" i="25"/>
  <c r="I78" i="25"/>
  <c r="Q123" i="25"/>
  <c r="G123" i="25"/>
  <c r="I123" i="25"/>
  <c r="M108" i="25"/>
  <c r="M93" i="25"/>
  <c r="K93" i="25"/>
  <c r="G63" i="25"/>
  <c r="G78" i="25"/>
  <c r="T93" i="25"/>
  <c r="E108" i="25"/>
  <c r="K123" i="25"/>
  <c r="E123" i="25"/>
  <c r="O108" i="25"/>
  <c r="M123" i="25"/>
  <c r="Q78" i="25"/>
  <c r="G93" i="25"/>
  <c r="O78" i="25"/>
  <c r="I93" i="25"/>
  <c r="E63" i="25"/>
  <c r="K78" i="25"/>
  <c r="M63" i="25"/>
  <c r="E78" i="25"/>
  <c r="G108" i="25"/>
  <c r="T78" i="25"/>
  <c r="I108" i="25"/>
  <c r="K63" i="25"/>
  <c r="T48" i="25"/>
  <c r="Q63" i="25"/>
  <c r="S12" i="16"/>
  <c r="T57" i="16"/>
  <c r="S57" i="16"/>
  <c r="O27" i="37" l="1"/>
  <c r="O9" i="34"/>
  <c r="O10" i="34"/>
  <c r="O54" i="34"/>
  <c r="O28" i="34"/>
  <c r="O19" i="34"/>
  <c r="O35" i="34"/>
  <c r="O29" i="34"/>
  <c r="N14" i="34"/>
  <c r="O14" i="34"/>
  <c r="O38" i="34"/>
  <c r="N38" i="34"/>
  <c r="U108" i="25"/>
  <c r="U123" i="25"/>
  <c r="U63" i="25"/>
  <c r="T12" i="16"/>
  <c r="T33" i="25" s="1"/>
  <c r="U33" i="25" s="1"/>
  <c r="D33" i="25"/>
  <c r="E33" i="25" s="1"/>
  <c r="U78" i="25"/>
  <c r="U93" i="25"/>
  <c r="D93" i="3"/>
  <c r="F93" i="3"/>
  <c r="H93" i="3"/>
  <c r="J93" i="3"/>
  <c r="L93" i="3"/>
  <c r="N93" i="3"/>
  <c r="P93" i="3"/>
  <c r="L60" i="7"/>
  <c r="H60" i="7"/>
  <c r="D60" i="7"/>
  <c r="P60" i="7"/>
  <c r="N60" i="7"/>
  <c r="J60" i="7"/>
  <c r="T56" i="16"/>
  <c r="S56" i="16"/>
  <c r="T75" i="4"/>
  <c r="U75" i="4"/>
  <c r="T55" i="16"/>
  <c r="S55" i="16"/>
  <c r="O15" i="34" l="1"/>
  <c r="N15" i="34"/>
  <c r="O48" i="34"/>
  <c r="N48" i="34"/>
  <c r="N61" i="34"/>
  <c r="L108" i="3"/>
  <c r="H108" i="3"/>
  <c r="D108" i="3"/>
  <c r="E108" i="3" s="1"/>
  <c r="P108" i="3"/>
  <c r="N108" i="3"/>
  <c r="J108" i="3"/>
  <c r="F108" i="3"/>
  <c r="T54" i="16"/>
  <c r="S54" i="16"/>
  <c r="O12" i="37" l="1"/>
  <c r="AA12" i="37"/>
  <c r="N27" i="34"/>
  <c r="N49" i="34"/>
  <c r="R15" i="17"/>
  <c r="Q15" i="17"/>
  <c r="P15" i="17"/>
  <c r="O15" i="17"/>
  <c r="N15" i="17"/>
  <c r="M15" i="17"/>
  <c r="L15" i="17"/>
  <c r="K15" i="17"/>
  <c r="J15" i="17"/>
  <c r="I15" i="17"/>
  <c r="H15" i="17"/>
  <c r="G15" i="17"/>
  <c r="D15" i="17"/>
  <c r="Y13" i="29" a="1"/>
  <c r="Y13" i="29" s="1"/>
  <c r="Y12" i="29" a="1"/>
  <c r="Y12" i="29" s="1"/>
  <c r="Y11" i="29" a="1"/>
  <c r="Y11" i="29" s="1"/>
  <c r="Y10" i="29" a="1"/>
  <c r="Y10" i="29" s="1"/>
  <c r="Y9" i="29" a="1"/>
  <c r="Y9" i="29" s="1"/>
  <c r="Y8" i="29" a="1"/>
  <c r="Y8" i="29" s="1"/>
  <c r="Y7" i="29" a="1"/>
  <c r="Y7" i="29" s="1"/>
  <c r="Y6" i="29" a="1"/>
  <c r="Y6" i="29" s="1"/>
  <c r="O49" i="34" l="1"/>
  <c r="O27" i="34"/>
  <c r="T122" i="4"/>
  <c r="U122" i="4"/>
  <c r="T106" i="4"/>
  <c r="U106" i="4"/>
  <c r="O127" i="4"/>
  <c r="T53" i="16"/>
  <c r="S53" i="16"/>
  <c r="Y22" i="7"/>
  <c r="Y21" i="7"/>
  <c r="Y9" i="7"/>
  <c r="Y6" i="7"/>
  <c r="S122" i="25"/>
  <c r="K122" i="25"/>
  <c r="G122" i="25"/>
  <c r="S92" i="25"/>
  <c r="O92" i="25"/>
  <c r="K92" i="25"/>
  <c r="I92" i="25"/>
  <c r="G92" i="25"/>
  <c r="E92" i="25"/>
  <c r="J32" i="25"/>
  <c r="D32" i="25"/>
  <c r="F32" i="25"/>
  <c r="J17" i="25"/>
  <c r="F17" i="25"/>
  <c r="D17" i="25"/>
  <c r="F77" i="3"/>
  <c r="F107" i="3" s="1"/>
  <c r="H77" i="3"/>
  <c r="H107" i="3" s="1"/>
  <c r="J77" i="3"/>
  <c r="J107" i="3" s="1"/>
  <c r="L77" i="3"/>
  <c r="L107" i="3" s="1"/>
  <c r="N77" i="3"/>
  <c r="N107" i="3" s="1"/>
  <c r="P77" i="3"/>
  <c r="P107" i="3" s="1"/>
  <c r="R77" i="3"/>
  <c r="R107" i="3" s="1"/>
  <c r="S107" i="3" s="1"/>
  <c r="S11" i="16"/>
  <c r="T11" i="16"/>
  <c r="T32" i="25" s="1"/>
  <c r="T52" i="16"/>
  <c r="S52" i="16"/>
  <c r="X104" i="7"/>
  <c r="X103" i="7"/>
  <c r="X102" i="7"/>
  <c r="X101" i="7"/>
  <c r="X100" i="7"/>
  <c r="X99" i="7"/>
  <c r="X98" i="7"/>
  <c r="X97" i="7"/>
  <c r="X26" i="7"/>
  <c r="X25" i="7"/>
  <c r="X24" i="7"/>
  <c r="X23" i="7"/>
  <c r="X22" i="7"/>
  <c r="X21" i="7"/>
  <c r="X20" i="7"/>
  <c r="X19" i="7"/>
  <c r="X11" i="7"/>
  <c r="X10" i="7"/>
  <c r="X9" i="7"/>
  <c r="X8" i="7"/>
  <c r="X7" i="7"/>
  <c r="X6" i="7"/>
  <c r="X5" i="7"/>
  <c r="X4" i="7"/>
  <c r="X90" i="3"/>
  <c r="X89" i="3"/>
  <c r="X88" i="3"/>
  <c r="X87" i="3"/>
  <c r="X86" i="3"/>
  <c r="X85" i="3"/>
  <c r="X84" i="3"/>
  <c r="X83" i="3"/>
  <c r="X60" i="3"/>
  <c r="X59" i="3"/>
  <c r="X58" i="3"/>
  <c r="X57" i="3"/>
  <c r="X56" i="3"/>
  <c r="X55" i="3"/>
  <c r="X54" i="3"/>
  <c r="X53" i="3"/>
  <c r="X44" i="3"/>
  <c r="X43" i="3"/>
  <c r="X42" i="3"/>
  <c r="X41" i="3"/>
  <c r="X40" i="3"/>
  <c r="X39" i="3"/>
  <c r="X38" i="3"/>
  <c r="X37" i="3"/>
  <c r="X11" i="3"/>
  <c r="X10" i="3"/>
  <c r="X9" i="3"/>
  <c r="X8" i="3"/>
  <c r="X7" i="3"/>
  <c r="X6" i="3"/>
  <c r="X5" i="3"/>
  <c r="X4" i="3"/>
  <c r="T51" i="16"/>
  <c r="S51" i="16"/>
  <c r="R91" i="3"/>
  <c r="R76" i="3"/>
  <c r="P76" i="3"/>
  <c r="N91" i="3"/>
  <c r="N76" i="3"/>
  <c r="L91" i="3"/>
  <c r="L76" i="3"/>
  <c r="J91" i="3"/>
  <c r="J76" i="3"/>
  <c r="H91" i="3"/>
  <c r="H76" i="3"/>
  <c r="D91" i="3"/>
  <c r="D76" i="3"/>
  <c r="T50" i="16"/>
  <c r="S50" i="16"/>
  <c r="F31" i="25"/>
  <c r="F16" i="25"/>
  <c r="U105" i="4"/>
  <c r="T105" i="4"/>
  <c r="U74" i="4"/>
  <c r="T74" i="4"/>
  <c r="D84" i="4"/>
  <c r="D85" i="4" s="1"/>
  <c r="T49" i="16"/>
  <c r="S49" i="16"/>
  <c r="F76" i="3"/>
  <c r="S121" i="25"/>
  <c r="I121" i="25"/>
  <c r="G121" i="25"/>
  <c r="S91" i="25"/>
  <c r="K91" i="25"/>
  <c r="I91" i="25"/>
  <c r="E61" i="25"/>
  <c r="J31" i="25"/>
  <c r="D16" i="25"/>
  <c r="J16" i="25"/>
  <c r="T48" i="16"/>
  <c r="S48" i="16"/>
  <c r="P91" i="3"/>
  <c r="T56" i="5"/>
  <c r="F56" i="5"/>
  <c r="H56" i="5"/>
  <c r="L56" i="5"/>
  <c r="N56" i="5"/>
  <c r="P56" i="5"/>
  <c r="R56" i="5"/>
  <c r="D56" i="5"/>
  <c r="T47" i="16"/>
  <c r="S47" i="16"/>
  <c r="T73" i="4"/>
  <c r="U73" i="4"/>
  <c r="K120" i="25"/>
  <c r="S90" i="25"/>
  <c r="E60" i="25"/>
  <c r="D30" i="25"/>
  <c r="D15" i="25"/>
  <c r="J30" i="25"/>
  <c r="J15" i="25"/>
  <c r="F30" i="25"/>
  <c r="F15" i="25"/>
  <c r="T46" i="16"/>
  <c r="S46" i="16"/>
  <c r="T9" i="16"/>
  <c r="T30" i="25" s="1"/>
  <c r="S9" i="16"/>
  <c r="T45" i="16"/>
  <c r="S45" i="16"/>
  <c r="R75" i="3"/>
  <c r="P75" i="3"/>
  <c r="N75" i="3"/>
  <c r="N105" i="3" s="1"/>
  <c r="L75" i="3"/>
  <c r="J75" i="3"/>
  <c r="H75" i="3"/>
  <c r="F75" i="3"/>
  <c r="F105" i="3" s="1"/>
  <c r="D75" i="3"/>
  <c r="T44" i="16"/>
  <c r="S44" i="16"/>
  <c r="S9" i="17"/>
  <c r="T104" i="25"/>
  <c r="T119" i="25"/>
  <c r="O104" i="25"/>
  <c r="M104" i="25"/>
  <c r="Q104" i="25"/>
  <c r="I104" i="25"/>
  <c r="G104" i="25"/>
  <c r="E104" i="25"/>
  <c r="T43" i="16"/>
  <c r="S43" i="16"/>
  <c r="T42" i="16"/>
  <c r="S42" i="16"/>
  <c r="T41" i="16"/>
  <c r="S41" i="16"/>
  <c r="T40" i="16"/>
  <c r="S40" i="16"/>
  <c r="S127" i="4"/>
  <c r="R127" i="4"/>
  <c r="Q127" i="4"/>
  <c r="P127" i="4"/>
  <c r="N127" i="4"/>
  <c r="M127" i="4"/>
  <c r="L127" i="4"/>
  <c r="K127" i="4"/>
  <c r="J127" i="4"/>
  <c r="I127" i="4"/>
  <c r="H127" i="4"/>
  <c r="G127" i="4"/>
  <c r="F127" i="4"/>
  <c r="E127" i="4"/>
  <c r="D127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D111" i="4"/>
  <c r="F87" i="5"/>
  <c r="E55" i="33" s="1"/>
  <c r="H87" i="5"/>
  <c r="L87" i="5"/>
  <c r="E58" i="33" s="1"/>
  <c r="N87" i="5"/>
  <c r="E59" i="33" s="1"/>
  <c r="P87" i="5"/>
  <c r="E60" i="33" s="1"/>
  <c r="R87" i="5"/>
  <c r="E61" i="33" s="1"/>
  <c r="D87" i="5"/>
  <c r="S85" i="25"/>
  <c r="S84" i="25"/>
  <c r="I85" i="25"/>
  <c r="I84" i="25"/>
  <c r="G84" i="25"/>
  <c r="O88" i="25"/>
  <c r="O87" i="25"/>
  <c r="O86" i="25"/>
  <c r="M87" i="25"/>
  <c r="M86" i="25"/>
  <c r="G86" i="25"/>
  <c r="T72" i="4"/>
  <c r="U72" i="4"/>
  <c r="D29" i="25"/>
  <c r="F29" i="25"/>
  <c r="J29" i="25"/>
  <c r="D14" i="25"/>
  <c r="F14" i="25"/>
  <c r="J14" i="25"/>
  <c r="R89" i="3"/>
  <c r="R74" i="3"/>
  <c r="P89" i="3"/>
  <c r="P74" i="3"/>
  <c r="N89" i="3"/>
  <c r="N74" i="3"/>
  <c r="L89" i="3"/>
  <c r="L74" i="3"/>
  <c r="J89" i="3"/>
  <c r="J74" i="3"/>
  <c r="H89" i="3"/>
  <c r="H74" i="3"/>
  <c r="F89" i="3"/>
  <c r="D89" i="3"/>
  <c r="D74" i="3"/>
  <c r="S8" i="16"/>
  <c r="T8" i="16"/>
  <c r="T29" i="25" s="1"/>
  <c r="T39" i="16"/>
  <c r="S39" i="16"/>
  <c r="S8" i="17"/>
  <c r="T38" i="16"/>
  <c r="S38" i="16"/>
  <c r="AA74" i="29"/>
  <c r="V13" i="29" s="1"/>
  <c r="AB72" i="29"/>
  <c r="AB71" i="29"/>
  <c r="AB70" i="29"/>
  <c r="AB69" i="29"/>
  <c r="AB68" i="29"/>
  <c r="AA64" i="29"/>
  <c r="U13" i="29" s="1"/>
  <c r="AB62" i="29"/>
  <c r="AB61" i="29"/>
  <c r="AB60" i="29"/>
  <c r="AB59" i="29"/>
  <c r="AB58" i="29"/>
  <c r="AA54" i="29"/>
  <c r="T13" i="29" s="1"/>
  <c r="AB52" i="29"/>
  <c r="AB51" i="29"/>
  <c r="AB50" i="29"/>
  <c r="AB49" i="29"/>
  <c r="AB48" i="29"/>
  <c r="AB42" i="29"/>
  <c r="AB41" i="29"/>
  <c r="AB40" i="29"/>
  <c r="AB39" i="29"/>
  <c r="AB38" i="29"/>
  <c r="T71" i="4"/>
  <c r="U71" i="4"/>
  <c r="T37" i="16"/>
  <c r="S37" i="16"/>
  <c r="J28" i="25"/>
  <c r="J13" i="25"/>
  <c r="F28" i="25"/>
  <c r="F13" i="25"/>
  <c r="D28" i="25"/>
  <c r="T36" i="16"/>
  <c r="S36" i="16"/>
  <c r="D73" i="3"/>
  <c r="D103" i="3" s="1"/>
  <c r="E103" i="3" s="1"/>
  <c r="F73" i="3"/>
  <c r="F103" i="3" s="1"/>
  <c r="H73" i="3"/>
  <c r="H103" i="3" s="1"/>
  <c r="J73" i="3"/>
  <c r="J103" i="3" s="1"/>
  <c r="L73" i="3"/>
  <c r="L103" i="3" s="1"/>
  <c r="N73" i="3"/>
  <c r="N103" i="3" s="1"/>
  <c r="P73" i="3"/>
  <c r="P103" i="3" s="1"/>
  <c r="R73" i="3"/>
  <c r="R103" i="3" s="1"/>
  <c r="S103" i="3" s="1"/>
  <c r="T6" i="17"/>
  <c r="T87" i="3" s="1"/>
  <c r="U87" i="3" s="1"/>
  <c r="S6" i="17"/>
  <c r="S7" i="17"/>
  <c r="T118" i="4"/>
  <c r="U118" i="4"/>
  <c r="U102" i="4"/>
  <c r="T102" i="4"/>
  <c r="T6" i="16"/>
  <c r="T27" i="25" s="1"/>
  <c r="T7" i="16"/>
  <c r="T28" i="25" s="1"/>
  <c r="S6" i="16"/>
  <c r="S7" i="16"/>
  <c r="D13" i="25"/>
  <c r="G58" i="25"/>
  <c r="O58" i="25"/>
  <c r="M58" i="25"/>
  <c r="T35" i="16"/>
  <c r="S35" i="16"/>
  <c r="T32" i="16"/>
  <c r="T33" i="16"/>
  <c r="T34" i="16"/>
  <c r="S34" i="16"/>
  <c r="AB32" i="29"/>
  <c r="AB31" i="29"/>
  <c r="AB30" i="29"/>
  <c r="AB29" i="29"/>
  <c r="AB28" i="29"/>
  <c r="AB22" i="29"/>
  <c r="AB21" i="29"/>
  <c r="AB20" i="29"/>
  <c r="AB19" i="29"/>
  <c r="AB18" i="29"/>
  <c r="N72" i="29"/>
  <c r="N71" i="29"/>
  <c r="N70" i="29"/>
  <c r="N69" i="29"/>
  <c r="N68" i="29"/>
  <c r="N62" i="29"/>
  <c r="N61" i="29"/>
  <c r="N60" i="29"/>
  <c r="N59" i="29"/>
  <c r="N58" i="29"/>
  <c r="N52" i="29"/>
  <c r="N51" i="29"/>
  <c r="N50" i="29"/>
  <c r="N49" i="29"/>
  <c r="N48" i="29"/>
  <c r="N42" i="29"/>
  <c r="N41" i="29"/>
  <c r="N40" i="29"/>
  <c r="N39" i="29"/>
  <c r="N38" i="29"/>
  <c r="N32" i="29"/>
  <c r="N31" i="29"/>
  <c r="N30" i="29"/>
  <c r="N29" i="29"/>
  <c r="N28" i="29"/>
  <c r="N22" i="29"/>
  <c r="N21" i="29"/>
  <c r="N20" i="29"/>
  <c r="N19" i="29"/>
  <c r="N18" i="29"/>
  <c r="S33" i="16"/>
  <c r="O55" i="25"/>
  <c r="M54" i="25"/>
  <c r="K57" i="25"/>
  <c r="K54" i="25"/>
  <c r="I57" i="25"/>
  <c r="E54" i="25"/>
  <c r="S32" i="16"/>
  <c r="U117" i="4"/>
  <c r="T117" i="4"/>
  <c r="U101" i="4"/>
  <c r="T101" i="4"/>
  <c r="R87" i="3"/>
  <c r="S87" i="3" s="1"/>
  <c r="R72" i="3"/>
  <c r="P87" i="3"/>
  <c r="Q87" i="3" s="1"/>
  <c r="P72" i="3"/>
  <c r="N87" i="3"/>
  <c r="O87" i="3" s="1"/>
  <c r="N72" i="3"/>
  <c r="L87" i="3"/>
  <c r="M87" i="3" s="1"/>
  <c r="L72" i="3"/>
  <c r="J87" i="3"/>
  <c r="K87" i="3" s="1"/>
  <c r="J72" i="3"/>
  <c r="H87" i="3"/>
  <c r="I87" i="3" s="1"/>
  <c r="H72" i="3"/>
  <c r="F87" i="3"/>
  <c r="G87" i="3" s="1"/>
  <c r="F72" i="3"/>
  <c r="D87" i="3"/>
  <c r="E87" i="3" s="1"/>
  <c r="D72" i="3"/>
  <c r="R26" i="25"/>
  <c r="S26" i="25" s="1"/>
  <c r="R25" i="25"/>
  <c r="S25" i="25" s="1"/>
  <c r="P36" i="25"/>
  <c r="N36" i="25"/>
  <c r="L36" i="25"/>
  <c r="J26" i="25"/>
  <c r="J25" i="25"/>
  <c r="J24" i="25"/>
  <c r="F26" i="25"/>
  <c r="F25" i="25"/>
  <c r="D25" i="25"/>
  <c r="D26" i="25"/>
  <c r="D24" i="25"/>
  <c r="R27" i="25"/>
  <c r="S27" i="25" s="1"/>
  <c r="J27" i="25"/>
  <c r="J12" i="25"/>
  <c r="F27" i="25"/>
  <c r="F12" i="25"/>
  <c r="D27" i="25"/>
  <c r="D12" i="25"/>
  <c r="T5" i="16"/>
  <c r="T26" i="25" s="1"/>
  <c r="T4" i="16"/>
  <c r="T25" i="25" s="1"/>
  <c r="T3" i="16"/>
  <c r="T24" i="25" s="1"/>
  <c r="S4" i="16"/>
  <c r="T31" i="16"/>
  <c r="T30" i="16"/>
  <c r="S30" i="16"/>
  <c r="T29" i="16"/>
  <c r="S29" i="16"/>
  <c r="T28" i="16"/>
  <c r="S28" i="16"/>
  <c r="T27" i="16"/>
  <c r="S27" i="16"/>
  <c r="T26" i="16"/>
  <c r="S26" i="16"/>
  <c r="T25" i="16"/>
  <c r="S25" i="16"/>
  <c r="T24" i="16"/>
  <c r="S24" i="16"/>
  <c r="T23" i="16"/>
  <c r="S23" i="16"/>
  <c r="T22" i="16"/>
  <c r="S22" i="16"/>
  <c r="T21" i="16"/>
  <c r="S21" i="16"/>
  <c r="T20" i="16"/>
  <c r="S20" i="16"/>
  <c r="T19" i="16"/>
  <c r="S19" i="16"/>
  <c r="T18" i="16"/>
  <c r="S18" i="16"/>
  <c r="S31" i="16"/>
  <c r="Y24" i="7"/>
  <c r="Y23" i="7"/>
  <c r="Y8" i="7"/>
  <c r="Y7" i="7"/>
  <c r="Y4" i="7"/>
  <c r="Y19" i="7"/>
  <c r="T70" i="4"/>
  <c r="U70" i="4"/>
  <c r="S3" i="16"/>
  <c r="J10" i="25"/>
  <c r="F10" i="25"/>
  <c r="D10" i="25"/>
  <c r="N21" i="25"/>
  <c r="J9" i="25"/>
  <c r="F9" i="25"/>
  <c r="D9" i="25"/>
  <c r="H36" i="25"/>
  <c r="J11" i="25"/>
  <c r="F11" i="25"/>
  <c r="D11" i="25"/>
  <c r="S5" i="16"/>
  <c r="T69" i="17"/>
  <c r="S69" i="17"/>
  <c r="T68" i="17"/>
  <c r="S68" i="17"/>
  <c r="T67" i="17"/>
  <c r="S67" i="17"/>
  <c r="T66" i="17"/>
  <c r="S66" i="17"/>
  <c r="T65" i="17"/>
  <c r="S65" i="17"/>
  <c r="T64" i="17"/>
  <c r="S64" i="17"/>
  <c r="T63" i="17"/>
  <c r="S63" i="17"/>
  <c r="T62" i="17"/>
  <c r="S62" i="17"/>
  <c r="T61" i="17"/>
  <c r="S61" i="17"/>
  <c r="T60" i="17"/>
  <c r="S60" i="17"/>
  <c r="T59" i="17"/>
  <c r="S59" i="17"/>
  <c r="T58" i="17"/>
  <c r="S58" i="17"/>
  <c r="T57" i="17"/>
  <c r="S57" i="17"/>
  <c r="T56" i="17"/>
  <c r="S56" i="17"/>
  <c r="T55" i="17"/>
  <c r="S55" i="17"/>
  <c r="T54" i="17"/>
  <c r="S54" i="17"/>
  <c r="T53" i="17"/>
  <c r="S53" i="17"/>
  <c r="T52" i="17"/>
  <c r="S52" i="17"/>
  <c r="T51" i="17"/>
  <c r="S51" i="17"/>
  <c r="T50" i="17"/>
  <c r="S50" i="17"/>
  <c r="T49" i="17"/>
  <c r="S49" i="17"/>
  <c r="T48" i="17"/>
  <c r="S48" i="17"/>
  <c r="T47" i="17"/>
  <c r="S47" i="17"/>
  <c r="T46" i="17"/>
  <c r="S46" i="17"/>
  <c r="T45" i="17"/>
  <c r="S45" i="17"/>
  <c r="T44" i="17"/>
  <c r="S44" i="17"/>
  <c r="T43" i="17"/>
  <c r="S43" i="17"/>
  <c r="T42" i="17"/>
  <c r="S42" i="17"/>
  <c r="T41" i="17"/>
  <c r="S41" i="17"/>
  <c r="T40" i="17"/>
  <c r="S40" i="17"/>
  <c r="T39" i="17"/>
  <c r="S39" i="17"/>
  <c r="T38" i="17"/>
  <c r="S38" i="17"/>
  <c r="T37" i="17"/>
  <c r="S37" i="17"/>
  <c r="T36" i="17"/>
  <c r="S36" i="17"/>
  <c r="T35" i="17"/>
  <c r="S35" i="17"/>
  <c r="T34" i="17"/>
  <c r="S34" i="17"/>
  <c r="T33" i="17"/>
  <c r="S33" i="17"/>
  <c r="T32" i="17"/>
  <c r="S32" i="17"/>
  <c r="T31" i="17"/>
  <c r="S31" i="17"/>
  <c r="T30" i="17"/>
  <c r="S30" i="17"/>
  <c r="T29" i="17"/>
  <c r="S29" i="17"/>
  <c r="T28" i="17"/>
  <c r="S28" i="17"/>
  <c r="T27" i="17"/>
  <c r="S27" i="17"/>
  <c r="T26" i="17"/>
  <c r="S26" i="17"/>
  <c r="T25" i="17"/>
  <c r="S25" i="17"/>
  <c r="T24" i="17"/>
  <c r="S24" i="17"/>
  <c r="T23" i="17"/>
  <c r="S23" i="17"/>
  <c r="T22" i="17"/>
  <c r="S22" i="17"/>
  <c r="T21" i="17"/>
  <c r="S21" i="17"/>
  <c r="T20" i="17"/>
  <c r="S20" i="17"/>
  <c r="T19" i="17"/>
  <c r="S19" i="17"/>
  <c r="T18" i="17"/>
  <c r="S18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T4" i="17"/>
  <c r="T85" i="3" s="1"/>
  <c r="U85" i="3" s="1"/>
  <c r="T5" i="17"/>
  <c r="T86" i="3" s="1"/>
  <c r="T8" i="17"/>
  <c r="T89" i="3" s="1"/>
  <c r="T9" i="17"/>
  <c r="T90" i="3" s="1"/>
  <c r="T11" i="17"/>
  <c r="T92" i="3" s="1"/>
  <c r="T12" i="17"/>
  <c r="T93" i="3" s="1"/>
  <c r="T14" i="17"/>
  <c r="T95" i="3" s="1"/>
  <c r="T110" i="3" s="1"/>
  <c r="U110" i="3" s="1"/>
  <c r="T3" i="17"/>
  <c r="T84" i="3" s="1"/>
  <c r="U84" i="3" s="1"/>
  <c r="S4" i="17"/>
  <c r="S5" i="17"/>
  <c r="S3" i="17"/>
  <c r="R85" i="3"/>
  <c r="S85" i="3" s="1"/>
  <c r="R84" i="3"/>
  <c r="S84" i="3" s="1"/>
  <c r="P95" i="3"/>
  <c r="P85" i="3"/>
  <c r="Q85" i="3" s="1"/>
  <c r="P84" i="3"/>
  <c r="N95" i="3"/>
  <c r="N85" i="3"/>
  <c r="O85" i="3" s="1"/>
  <c r="N84" i="3"/>
  <c r="L95" i="3"/>
  <c r="L85" i="3"/>
  <c r="M85" i="3" s="1"/>
  <c r="L84" i="3"/>
  <c r="J95" i="3"/>
  <c r="J85" i="3"/>
  <c r="K85" i="3" s="1"/>
  <c r="J84" i="3"/>
  <c r="H95" i="3"/>
  <c r="H85" i="3"/>
  <c r="I85" i="3" s="1"/>
  <c r="H84" i="3"/>
  <c r="F95" i="3"/>
  <c r="F85" i="3"/>
  <c r="G85" i="3" s="1"/>
  <c r="F84" i="3"/>
  <c r="D95" i="3"/>
  <c r="D85" i="3"/>
  <c r="D84" i="3"/>
  <c r="E84" i="3" s="1"/>
  <c r="U116" i="4"/>
  <c r="T116" i="4"/>
  <c r="U100" i="4"/>
  <c r="T100" i="4"/>
  <c r="T69" i="4"/>
  <c r="U69" i="4"/>
  <c r="R70" i="3"/>
  <c r="P70" i="3"/>
  <c r="N70" i="3"/>
  <c r="L70" i="3"/>
  <c r="J70" i="3"/>
  <c r="H70" i="3"/>
  <c r="F70" i="3"/>
  <c r="D70" i="3"/>
  <c r="T68" i="4"/>
  <c r="U68" i="4"/>
  <c r="R84" i="4"/>
  <c r="R85" i="4" s="1"/>
  <c r="P84" i="4"/>
  <c r="P85" i="4" s="1"/>
  <c r="N84" i="4"/>
  <c r="O84" i="4" s="1"/>
  <c r="L84" i="4"/>
  <c r="L85" i="4" s="1"/>
  <c r="J84" i="4"/>
  <c r="J85" i="4" s="1"/>
  <c r="H84" i="4"/>
  <c r="H85" i="4" s="1"/>
  <c r="F84" i="4"/>
  <c r="G84" i="4" s="1"/>
  <c r="U121" i="4"/>
  <c r="T121" i="4"/>
  <c r="U120" i="4"/>
  <c r="T120" i="4"/>
  <c r="U119" i="4"/>
  <c r="T119" i="4"/>
  <c r="U115" i="4"/>
  <c r="T115" i="4"/>
  <c r="U104" i="4"/>
  <c r="T104" i="4"/>
  <c r="U103" i="4"/>
  <c r="T103" i="4"/>
  <c r="U99" i="4"/>
  <c r="T99" i="4"/>
  <c r="R69" i="3"/>
  <c r="P69" i="3"/>
  <c r="N69" i="3"/>
  <c r="L69" i="3"/>
  <c r="J69" i="3"/>
  <c r="H69" i="3"/>
  <c r="F69" i="3"/>
  <c r="D69" i="3"/>
  <c r="AL12" i="8"/>
  <c r="AK12" i="8"/>
  <c r="AM12" i="8" s="1"/>
  <c r="T101" i="5" s="1"/>
  <c r="AI12" i="8"/>
  <c r="AH12" i="8"/>
  <c r="AF12" i="8"/>
  <c r="AE12" i="8"/>
  <c r="AC12" i="8"/>
  <c r="AB12" i="8"/>
  <c r="Z12" i="8"/>
  <c r="Y12" i="8"/>
  <c r="AA12" i="8" s="1"/>
  <c r="T97" i="5" s="1"/>
  <c r="W12" i="8"/>
  <c r="V12" i="8"/>
  <c r="T12" i="8"/>
  <c r="S12" i="8"/>
  <c r="Q12" i="8"/>
  <c r="P12" i="8"/>
  <c r="N12" i="8"/>
  <c r="M12" i="8"/>
  <c r="K12" i="8"/>
  <c r="J12" i="8"/>
  <c r="H12" i="8"/>
  <c r="G12" i="8"/>
  <c r="E12" i="8"/>
  <c r="S83" i="4"/>
  <c r="Q83" i="4"/>
  <c r="O83" i="4"/>
  <c r="M83" i="4"/>
  <c r="T83" i="4"/>
  <c r="K83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D79" i="4"/>
  <c r="U67" i="4"/>
  <c r="T67" i="4"/>
  <c r="I83" i="4"/>
  <c r="G83" i="4"/>
  <c r="E83" i="4"/>
  <c r="R40" i="22"/>
  <c r="N51" i="7"/>
  <c r="N67" i="7"/>
  <c r="N52" i="7"/>
  <c r="N68" i="7"/>
  <c r="N84" i="7"/>
  <c r="N53" i="7"/>
  <c r="N69" i="7"/>
  <c r="N54" i="7"/>
  <c r="N70" i="7"/>
  <c r="N86" i="7"/>
  <c r="N55" i="7"/>
  <c r="N71" i="7"/>
  <c r="N87" i="7"/>
  <c r="N56" i="7"/>
  <c r="N72" i="7"/>
  <c r="N88" i="7"/>
  <c r="N57" i="7"/>
  <c r="N73" i="7"/>
  <c r="N89" i="7"/>
  <c r="N58" i="7"/>
  <c r="N74" i="7"/>
  <c r="N90" i="7"/>
  <c r="N59" i="7"/>
  <c r="N75" i="7"/>
  <c r="N91" i="7"/>
  <c r="N61" i="7"/>
  <c r="F389" i="11"/>
  <c r="H61" i="7"/>
  <c r="H91" i="7"/>
  <c r="H75" i="7"/>
  <c r="H59" i="7"/>
  <c r="H90" i="7"/>
  <c r="H74" i="7"/>
  <c r="H58" i="7"/>
  <c r="H89" i="7"/>
  <c r="H73" i="7"/>
  <c r="H57" i="7"/>
  <c r="H88" i="7"/>
  <c r="H72" i="7"/>
  <c r="H56" i="7"/>
  <c r="H87" i="7"/>
  <c r="H71" i="7"/>
  <c r="H55" i="7"/>
  <c r="H86" i="7"/>
  <c r="H70" i="7"/>
  <c r="H54" i="7"/>
  <c r="H85" i="7"/>
  <c r="H69" i="7"/>
  <c r="H53" i="7"/>
  <c r="H84" i="7"/>
  <c r="H68" i="7"/>
  <c r="H52" i="7"/>
  <c r="H83" i="7"/>
  <c r="H67" i="7"/>
  <c r="H51" i="7"/>
  <c r="N368" i="6"/>
  <c r="P368" i="6"/>
  <c r="O368" i="6"/>
  <c r="Q367" i="6"/>
  <c r="P366" i="6"/>
  <c r="N365" i="6"/>
  <c r="P365" i="6"/>
  <c r="O365" i="6"/>
  <c r="N364" i="6"/>
  <c r="P364" i="6"/>
  <c r="Q364" i="6"/>
  <c r="Q363" i="6"/>
  <c r="P362" i="6"/>
  <c r="P360" i="6"/>
  <c r="N359" i="6"/>
  <c r="P359" i="6"/>
  <c r="O359" i="6"/>
  <c r="N358" i="6"/>
  <c r="N357" i="6"/>
  <c r="N356" i="6"/>
  <c r="O356" i="6"/>
  <c r="P355" i="6"/>
  <c r="O355" i="6"/>
  <c r="P354" i="6"/>
  <c r="N352" i="6"/>
  <c r="N351" i="6"/>
  <c r="P351" i="6"/>
  <c r="O351" i="6"/>
  <c r="N350" i="6"/>
  <c r="P350" i="6"/>
  <c r="N349" i="6"/>
  <c r="N348" i="6"/>
  <c r="P348" i="6"/>
  <c r="P347" i="6"/>
  <c r="O347" i="6"/>
  <c r="Q346" i="6"/>
  <c r="N344" i="6"/>
  <c r="P344" i="6"/>
  <c r="N343" i="6"/>
  <c r="O343" i="6"/>
  <c r="N342" i="6"/>
  <c r="Q342" i="6"/>
  <c r="N341" i="6"/>
  <c r="N340" i="6"/>
  <c r="P340" i="6"/>
  <c r="P339" i="6"/>
  <c r="N338" i="6"/>
  <c r="N337" i="6"/>
  <c r="N336" i="6"/>
  <c r="P336" i="6"/>
  <c r="P335" i="6"/>
  <c r="N334" i="6"/>
  <c r="P334" i="6"/>
  <c r="O334" i="6"/>
  <c r="N333" i="6"/>
  <c r="P331" i="6"/>
  <c r="O331" i="6"/>
  <c r="P330" i="6"/>
  <c r="N329" i="6"/>
  <c r="P329" i="6"/>
  <c r="N328" i="6"/>
  <c r="P328" i="6"/>
  <c r="N327" i="6"/>
  <c r="P327" i="6"/>
  <c r="N326" i="6"/>
  <c r="P326" i="6"/>
  <c r="N325" i="6"/>
  <c r="Q325" i="6"/>
  <c r="N324" i="6"/>
  <c r="P324" i="6"/>
  <c r="P323" i="6"/>
  <c r="P322" i="6"/>
  <c r="P321" i="6"/>
  <c r="Q321" i="6"/>
  <c r="N320" i="6"/>
  <c r="P320" i="6"/>
  <c r="N319" i="6"/>
  <c r="P319" i="6"/>
  <c r="O319" i="6"/>
  <c r="N318" i="6"/>
  <c r="P318" i="6"/>
  <c r="O318" i="6"/>
  <c r="N317" i="6"/>
  <c r="N316" i="6"/>
  <c r="P314" i="6"/>
  <c r="N313" i="6"/>
  <c r="N312" i="6"/>
  <c r="P312" i="6"/>
  <c r="Q311" i="6"/>
  <c r="N310" i="6"/>
  <c r="P310" i="6"/>
  <c r="O310" i="6"/>
  <c r="N309" i="6"/>
  <c r="P309" i="6"/>
  <c r="P307" i="6"/>
  <c r="O307" i="6"/>
  <c r="N306" i="6"/>
  <c r="P306" i="6"/>
  <c r="N305" i="6"/>
  <c r="P304" i="6"/>
  <c r="O304" i="6"/>
  <c r="N303" i="6"/>
  <c r="P303" i="6"/>
  <c r="O303" i="6"/>
  <c r="N302" i="6"/>
  <c r="P302" i="6"/>
  <c r="N301" i="6"/>
  <c r="P301" i="6"/>
  <c r="P300" i="6"/>
  <c r="O300" i="6"/>
  <c r="P299" i="6"/>
  <c r="N298" i="6"/>
  <c r="P298" i="6"/>
  <c r="N297" i="6"/>
  <c r="P297" i="6"/>
  <c r="Q297" i="6"/>
  <c r="N296" i="6"/>
  <c r="N295" i="6"/>
  <c r="P295" i="6"/>
  <c r="O295" i="6"/>
  <c r="P294" i="6"/>
  <c r="O294" i="6"/>
  <c r="N293" i="6"/>
  <c r="P293" i="6"/>
  <c r="Q293" i="6"/>
  <c r="N292" i="6"/>
  <c r="P292" i="6"/>
  <c r="O292" i="6"/>
  <c r="N290" i="6"/>
  <c r="P290" i="6"/>
  <c r="O290" i="6"/>
  <c r="N289" i="6"/>
  <c r="N288" i="6"/>
  <c r="P288" i="6"/>
  <c r="Q288" i="6"/>
  <c r="N287" i="6"/>
  <c r="P287" i="6"/>
  <c r="O287" i="6"/>
  <c r="P286" i="6"/>
  <c r="Q286" i="6"/>
  <c r="N285" i="6"/>
  <c r="Q285" i="6"/>
  <c r="P284" i="6"/>
  <c r="N283" i="6"/>
  <c r="P282" i="6"/>
  <c r="N281" i="6"/>
  <c r="N280" i="6"/>
  <c r="P280" i="6"/>
  <c r="P279" i="6"/>
  <c r="O279" i="6"/>
  <c r="N278" i="6"/>
  <c r="P278" i="6"/>
  <c r="Q278" i="6"/>
  <c r="N276" i="6"/>
  <c r="O276" i="6"/>
  <c r="O275" i="6"/>
  <c r="Q273" i="6"/>
  <c r="P272" i="6"/>
  <c r="N269" i="6"/>
  <c r="N265" i="6"/>
  <c r="N83" i="7"/>
  <c r="F389" i="10"/>
  <c r="F389" i="9"/>
  <c r="F389" i="6"/>
  <c r="F389" i="2"/>
  <c r="F389" i="1"/>
  <c r="R91" i="7"/>
  <c r="R75" i="7"/>
  <c r="R59" i="7"/>
  <c r="R90" i="7"/>
  <c r="R74" i="7"/>
  <c r="R58" i="7"/>
  <c r="R89" i="7"/>
  <c r="R73" i="7"/>
  <c r="R57" i="7"/>
  <c r="R88" i="7"/>
  <c r="R72" i="7"/>
  <c r="R87" i="7"/>
  <c r="R71" i="7"/>
  <c r="R55" i="7"/>
  <c r="R86" i="7"/>
  <c r="R70" i="7"/>
  <c r="R54" i="7"/>
  <c r="R85" i="7"/>
  <c r="R69" i="7"/>
  <c r="R53" i="7"/>
  <c r="R84" i="7"/>
  <c r="R68" i="7"/>
  <c r="R52" i="7"/>
  <c r="R83" i="7"/>
  <c r="R67" i="7"/>
  <c r="R51" i="7"/>
  <c r="P61" i="7"/>
  <c r="P91" i="7"/>
  <c r="P75" i="7"/>
  <c r="P59" i="7"/>
  <c r="P90" i="7"/>
  <c r="P74" i="7"/>
  <c r="P58" i="7"/>
  <c r="P89" i="7"/>
  <c r="P73" i="7"/>
  <c r="P57" i="7"/>
  <c r="P88" i="7"/>
  <c r="P72" i="7"/>
  <c r="P56" i="7"/>
  <c r="P87" i="7"/>
  <c r="P71" i="7"/>
  <c r="P55" i="7"/>
  <c r="P86" i="7"/>
  <c r="P70" i="7"/>
  <c r="P54" i="7"/>
  <c r="P85" i="7"/>
  <c r="P69" i="7"/>
  <c r="P53" i="7"/>
  <c r="P84" i="7"/>
  <c r="P68" i="7"/>
  <c r="P52" i="7"/>
  <c r="P67" i="7"/>
  <c r="P51" i="7"/>
  <c r="L61" i="7"/>
  <c r="L91" i="7"/>
  <c r="L75" i="7"/>
  <c r="L59" i="7"/>
  <c r="L90" i="7"/>
  <c r="L74" i="7"/>
  <c r="L58" i="7"/>
  <c r="L89" i="7"/>
  <c r="L73" i="7"/>
  <c r="L57" i="7"/>
  <c r="L88" i="7"/>
  <c r="L72" i="7"/>
  <c r="L56" i="7"/>
  <c r="L87" i="7"/>
  <c r="L71" i="7"/>
  <c r="L55" i="7"/>
  <c r="L86" i="7"/>
  <c r="L70" i="7"/>
  <c r="L54" i="7"/>
  <c r="L85" i="7"/>
  <c r="L69" i="7"/>
  <c r="L53" i="7"/>
  <c r="L68" i="7"/>
  <c r="L52" i="7"/>
  <c r="L83" i="7"/>
  <c r="L67" i="7"/>
  <c r="J61" i="7"/>
  <c r="J91" i="7"/>
  <c r="J75" i="7"/>
  <c r="J59" i="7"/>
  <c r="J74" i="7"/>
  <c r="J58" i="7"/>
  <c r="J89" i="7"/>
  <c r="J73" i="7"/>
  <c r="J88" i="7"/>
  <c r="J72" i="7"/>
  <c r="J56" i="7"/>
  <c r="J87" i="7"/>
  <c r="J71" i="7"/>
  <c r="J55" i="7"/>
  <c r="J86" i="7"/>
  <c r="J70" i="7"/>
  <c r="J54" i="7"/>
  <c r="J85" i="7"/>
  <c r="J69" i="7"/>
  <c r="J53" i="7"/>
  <c r="J84" i="7"/>
  <c r="J68" i="7"/>
  <c r="J52" i="7"/>
  <c r="J83" i="7"/>
  <c r="J67" i="7"/>
  <c r="J51" i="7"/>
  <c r="L4" i="8"/>
  <c r="D92" i="5" s="1"/>
  <c r="N368" i="13"/>
  <c r="P368" i="13"/>
  <c r="O368" i="13"/>
  <c r="N367" i="13"/>
  <c r="P367" i="13"/>
  <c r="O367" i="13"/>
  <c r="N366" i="13"/>
  <c r="P366" i="13"/>
  <c r="N365" i="13"/>
  <c r="P365" i="13"/>
  <c r="Q365" i="13"/>
  <c r="N364" i="13"/>
  <c r="P364" i="13"/>
  <c r="Q364" i="13"/>
  <c r="N363" i="13"/>
  <c r="P363" i="13"/>
  <c r="N362" i="13"/>
  <c r="P362" i="13"/>
  <c r="O362" i="13"/>
  <c r="N361" i="13"/>
  <c r="P361" i="13"/>
  <c r="Q361" i="13"/>
  <c r="N360" i="13"/>
  <c r="P359" i="13"/>
  <c r="O359" i="13"/>
  <c r="N358" i="13"/>
  <c r="P358" i="13"/>
  <c r="N357" i="13"/>
  <c r="P357" i="13"/>
  <c r="Q357" i="13"/>
  <c r="N356" i="13"/>
  <c r="P356" i="13"/>
  <c r="N355" i="13"/>
  <c r="P355" i="13"/>
  <c r="O355" i="13"/>
  <c r="N354" i="13"/>
  <c r="P354" i="13"/>
  <c r="Q354" i="13"/>
  <c r="N353" i="13"/>
  <c r="P353" i="13"/>
  <c r="N352" i="13"/>
  <c r="P352" i="13"/>
  <c r="O352" i="13"/>
  <c r="N351" i="13"/>
  <c r="P351" i="13"/>
  <c r="O351" i="13"/>
  <c r="N350" i="13"/>
  <c r="P350" i="13"/>
  <c r="O350" i="13"/>
  <c r="N349" i="13"/>
  <c r="P349" i="13"/>
  <c r="N348" i="13"/>
  <c r="P348" i="13"/>
  <c r="N347" i="13"/>
  <c r="P347" i="13"/>
  <c r="Q347" i="13"/>
  <c r="N346" i="13"/>
  <c r="P346" i="13"/>
  <c r="O346" i="13"/>
  <c r="N345" i="13"/>
  <c r="P345" i="13"/>
  <c r="Q345" i="13"/>
  <c r="N344" i="13"/>
  <c r="P344" i="13"/>
  <c r="O344" i="13"/>
  <c r="N343" i="13"/>
  <c r="P343" i="13"/>
  <c r="O343" i="13"/>
  <c r="N342" i="13"/>
  <c r="O342" i="13"/>
  <c r="P341" i="13"/>
  <c r="O341" i="13"/>
  <c r="N340" i="13"/>
  <c r="P340" i="13"/>
  <c r="N339" i="13"/>
  <c r="P339" i="13"/>
  <c r="Q339" i="13"/>
  <c r="N338" i="13"/>
  <c r="P338" i="13"/>
  <c r="N337" i="13"/>
  <c r="P337" i="13"/>
  <c r="O337" i="13"/>
  <c r="N336" i="13"/>
  <c r="P336" i="13"/>
  <c r="N335" i="13"/>
  <c r="P335" i="13"/>
  <c r="Q335" i="13"/>
  <c r="N334" i="13"/>
  <c r="P334" i="13"/>
  <c r="N333" i="13"/>
  <c r="P333" i="13"/>
  <c r="N332" i="13"/>
  <c r="P332" i="13"/>
  <c r="O332" i="13"/>
  <c r="N331" i="13"/>
  <c r="P331" i="13"/>
  <c r="O331" i="13"/>
  <c r="N330" i="13"/>
  <c r="P330" i="13"/>
  <c r="O330" i="13"/>
  <c r="N329" i="13"/>
  <c r="P329" i="13"/>
  <c r="N328" i="13"/>
  <c r="P328" i="13"/>
  <c r="Q328" i="13"/>
  <c r="N327" i="13"/>
  <c r="P327" i="13"/>
  <c r="Q327" i="13"/>
  <c r="N326" i="13"/>
  <c r="P326" i="13"/>
  <c r="Q326" i="13"/>
  <c r="N325" i="13"/>
  <c r="N324" i="13"/>
  <c r="P324" i="13"/>
  <c r="Q324" i="13"/>
  <c r="N323" i="13"/>
  <c r="P323" i="13"/>
  <c r="O323" i="13"/>
  <c r="N322" i="13"/>
  <c r="P322" i="13"/>
  <c r="O322" i="13"/>
  <c r="P321" i="13"/>
  <c r="O321" i="13"/>
  <c r="N320" i="13"/>
  <c r="N319" i="13"/>
  <c r="P319" i="13"/>
  <c r="Q319" i="13"/>
  <c r="N318" i="13"/>
  <c r="P318" i="13"/>
  <c r="O318" i="13"/>
  <c r="N317" i="13"/>
  <c r="P317" i="13"/>
  <c r="Q317" i="13"/>
  <c r="N316" i="13"/>
  <c r="P316" i="13"/>
  <c r="Q316" i="13"/>
  <c r="N315" i="13"/>
  <c r="P315" i="13"/>
  <c r="O315" i="13"/>
  <c r="N314" i="13"/>
  <c r="P314" i="13"/>
  <c r="N313" i="13"/>
  <c r="P313" i="13"/>
  <c r="N312" i="13"/>
  <c r="P312" i="13"/>
  <c r="N311" i="13"/>
  <c r="P311" i="13"/>
  <c r="Q311" i="13"/>
  <c r="N310" i="13"/>
  <c r="P310" i="13"/>
  <c r="O310" i="13"/>
  <c r="N309" i="13"/>
  <c r="P309" i="13"/>
  <c r="N308" i="13"/>
  <c r="P308" i="13"/>
  <c r="P307" i="13"/>
  <c r="Q307" i="13"/>
  <c r="N306" i="13"/>
  <c r="P306" i="13"/>
  <c r="N305" i="13"/>
  <c r="P305" i="13"/>
  <c r="Q305" i="13"/>
  <c r="N304" i="13"/>
  <c r="P304" i="13"/>
  <c r="N303" i="13"/>
  <c r="P303" i="13"/>
  <c r="N302" i="13"/>
  <c r="P302" i="13"/>
  <c r="O302" i="13"/>
  <c r="N301" i="13"/>
  <c r="P301" i="13"/>
  <c r="N300" i="13"/>
  <c r="P300" i="13"/>
  <c r="Q300" i="13"/>
  <c r="N299" i="13"/>
  <c r="P299" i="13"/>
  <c r="N298" i="13"/>
  <c r="P298" i="13"/>
  <c r="O298" i="13"/>
  <c r="N297" i="13"/>
  <c r="P297" i="13"/>
  <c r="N296" i="13"/>
  <c r="P296" i="13"/>
  <c r="Q296" i="13"/>
  <c r="N295" i="13"/>
  <c r="P295" i="13"/>
  <c r="O295" i="13"/>
  <c r="N294" i="13"/>
  <c r="P294" i="13"/>
  <c r="N293" i="13"/>
  <c r="P293" i="13"/>
  <c r="N292" i="13"/>
  <c r="P292" i="13"/>
  <c r="N291" i="13"/>
  <c r="P291" i="13"/>
  <c r="O291" i="13"/>
  <c r="P290" i="13"/>
  <c r="O290" i="13"/>
  <c r="N289" i="13"/>
  <c r="P289" i="13"/>
  <c r="Q289" i="13"/>
  <c r="P288" i="13"/>
  <c r="Q288" i="13"/>
  <c r="N287" i="13"/>
  <c r="P287" i="13"/>
  <c r="O287" i="13"/>
  <c r="N286" i="13"/>
  <c r="P286" i="13"/>
  <c r="N285" i="13"/>
  <c r="P285" i="13"/>
  <c r="O285" i="13"/>
  <c r="N284" i="13"/>
  <c r="P284" i="13"/>
  <c r="O284" i="13"/>
  <c r="N283" i="13"/>
  <c r="P283" i="13"/>
  <c r="O283" i="13"/>
  <c r="N282" i="13"/>
  <c r="O282" i="13"/>
  <c r="P281" i="13"/>
  <c r="Q281" i="13"/>
  <c r="N280" i="13"/>
  <c r="P280" i="13"/>
  <c r="N279" i="13"/>
  <c r="P279" i="13"/>
  <c r="N278" i="13"/>
  <c r="P278" i="13"/>
  <c r="O278" i="13"/>
  <c r="N277" i="13"/>
  <c r="P277" i="13"/>
  <c r="O277" i="13"/>
  <c r="N276" i="13"/>
  <c r="P276" i="13"/>
  <c r="O276" i="13"/>
  <c r="N275" i="13"/>
  <c r="N274" i="13"/>
  <c r="P273" i="13"/>
  <c r="Q272" i="13"/>
  <c r="Q92" i="13"/>
  <c r="N90" i="13"/>
  <c r="N368" i="12"/>
  <c r="P368" i="12"/>
  <c r="O368" i="12"/>
  <c r="N367" i="12"/>
  <c r="S372" i="12"/>
  <c r="S373" i="12" s="1"/>
  <c r="N366" i="12"/>
  <c r="P366" i="12"/>
  <c r="N365" i="12"/>
  <c r="P365" i="12"/>
  <c r="N364" i="12"/>
  <c r="P364" i="12"/>
  <c r="N363" i="12"/>
  <c r="P363" i="12"/>
  <c r="Q363" i="12"/>
  <c r="N362" i="12"/>
  <c r="P362" i="12"/>
  <c r="N361" i="12"/>
  <c r="P361" i="12"/>
  <c r="N360" i="12"/>
  <c r="P360" i="12"/>
  <c r="O360" i="12"/>
  <c r="N359" i="12"/>
  <c r="P359" i="12"/>
  <c r="O359" i="12"/>
  <c r="N358" i="12"/>
  <c r="P358" i="12"/>
  <c r="N357" i="12"/>
  <c r="P357" i="12"/>
  <c r="N356" i="12"/>
  <c r="P356" i="12"/>
  <c r="N355" i="12"/>
  <c r="P355" i="12"/>
  <c r="Q355" i="12"/>
  <c r="P354" i="12"/>
  <c r="N353" i="12"/>
  <c r="P353" i="12"/>
  <c r="Q353" i="12"/>
  <c r="N352" i="12"/>
  <c r="P352" i="12"/>
  <c r="N351" i="12"/>
  <c r="P351" i="12"/>
  <c r="O351" i="12"/>
  <c r="N350" i="12"/>
  <c r="P350" i="12"/>
  <c r="O350" i="12"/>
  <c r="N349" i="12"/>
  <c r="P349" i="12"/>
  <c r="O349" i="12"/>
  <c r="N348" i="12"/>
  <c r="P348" i="12"/>
  <c r="N347" i="12"/>
  <c r="P347" i="12"/>
  <c r="O347" i="12"/>
  <c r="O346" i="12"/>
  <c r="N345" i="12"/>
  <c r="P345" i="12"/>
  <c r="Q345" i="12"/>
  <c r="N344" i="12"/>
  <c r="P344" i="12"/>
  <c r="N343" i="12"/>
  <c r="P343" i="12"/>
  <c r="O343" i="12"/>
  <c r="N342" i="12"/>
  <c r="P342" i="12"/>
  <c r="Q342" i="12"/>
  <c r="N341" i="12"/>
  <c r="P341" i="12"/>
  <c r="O341" i="12"/>
  <c r="N340" i="12"/>
  <c r="P340" i="12"/>
  <c r="O340" i="12"/>
  <c r="N339" i="12"/>
  <c r="Q339" i="12"/>
  <c r="P338" i="12"/>
  <c r="N337" i="12"/>
  <c r="P337" i="12"/>
  <c r="O337" i="12"/>
  <c r="N336" i="12"/>
  <c r="P336" i="12"/>
  <c r="N335" i="12"/>
  <c r="P335" i="12"/>
  <c r="O335" i="12"/>
  <c r="N334" i="12"/>
  <c r="P334" i="12"/>
  <c r="N333" i="12"/>
  <c r="P333" i="12"/>
  <c r="O333" i="12"/>
  <c r="P332" i="12"/>
  <c r="N331" i="12"/>
  <c r="P331" i="12"/>
  <c r="O331" i="12"/>
  <c r="N330" i="12"/>
  <c r="P330" i="12"/>
  <c r="N329" i="12"/>
  <c r="P329" i="12"/>
  <c r="N328" i="12"/>
  <c r="P328" i="12"/>
  <c r="N327" i="12"/>
  <c r="P327" i="12"/>
  <c r="O327" i="12"/>
  <c r="N326" i="12"/>
  <c r="Q326" i="12"/>
  <c r="N325" i="12"/>
  <c r="P325" i="12"/>
  <c r="Q325" i="12"/>
  <c r="N324" i="12"/>
  <c r="P324" i="12"/>
  <c r="N323" i="12"/>
  <c r="P323" i="12"/>
  <c r="O323" i="12"/>
  <c r="N322" i="12"/>
  <c r="P322" i="12"/>
  <c r="Q322" i="12"/>
  <c r="N321" i="12"/>
  <c r="P321" i="12"/>
  <c r="N320" i="12"/>
  <c r="P320" i="12"/>
  <c r="N319" i="12"/>
  <c r="P319" i="12"/>
  <c r="O319" i="12"/>
  <c r="Q318" i="12"/>
  <c r="N317" i="12"/>
  <c r="P317" i="12"/>
  <c r="Q317" i="12"/>
  <c r="N316" i="12"/>
  <c r="P316" i="12"/>
  <c r="O316" i="12"/>
  <c r="N315" i="12"/>
  <c r="P315" i="12"/>
  <c r="O315" i="12"/>
  <c r="N314" i="12"/>
  <c r="P314" i="12"/>
  <c r="N313" i="12"/>
  <c r="P313" i="12"/>
  <c r="Q313" i="12"/>
  <c r="N312" i="12"/>
  <c r="P312" i="12"/>
  <c r="P311" i="12"/>
  <c r="Q311" i="12"/>
  <c r="N310" i="12"/>
  <c r="P310" i="12"/>
  <c r="Q310" i="12"/>
  <c r="N309" i="12"/>
  <c r="P309" i="12"/>
  <c r="O309" i="12"/>
  <c r="N308" i="12"/>
  <c r="O308" i="12"/>
  <c r="N307" i="12"/>
  <c r="N306" i="12"/>
  <c r="P306" i="12"/>
  <c r="O306" i="12"/>
  <c r="N305" i="12"/>
  <c r="P305" i="12"/>
  <c r="Q305" i="12"/>
  <c r="P304" i="12"/>
  <c r="Q304" i="12"/>
  <c r="N303" i="12"/>
  <c r="P303" i="12"/>
  <c r="Q303" i="12"/>
  <c r="N302" i="12"/>
  <c r="P302" i="12"/>
  <c r="N301" i="12"/>
  <c r="P301" i="12"/>
  <c r="O301" i="12"/>
  <c r="N300" i="12"/>
  <c r="P300" i="12"/>
  <c r="N299" i="12"/>
  <c r="P299" i="12"/>
  <c r="Q299" i="12"/>
  <c r="P298" i="12"/>
  <c r="N297" i="12"/>
  <c r="O297" i="12"/>
  <c r="N296" i="12"/>
  <c r="P296" i="12"/>
  <c r="Q296" i="12"/>
  <c r="N295" i="12"/>
  <c r="P295" i="12"/>
  <c r="Q295" i="12"/>
  <c r="N294" i="12"/>
  <c r="P294" i="12"/>
  <c r="N293" i="12"/>
  <c r="P293" i="12"/>
  <c r="Q293" i="12"/>
  <c r="N292" i="12"/>
  <c r="P292" i="12"/>
  <c r="N291" i="12"/>
  <c r="P291" i="12"/>
  <c r="O291" i="12"/>
  <c r="N290" i="12"/>
  <c r="P290" i="12"/>
  <c r="O290" i="12"/>
  <c r="N289" i="12"/>
  <c r="P289" i="12"/>
  <c r="O289" i="12"/>
  <c r="N288" i="12"/>
  <c r="P288" i="12"/>
  <c r="N287" i="12"/>
  <c r="P287" i="12"/>
  <c r="O287" i="12"/>
  <c r="N286" i="12"/>
  <c r="P286" i="12"/>
  <c r="N285" i="12"/>
  <c r="P285" i="12"/>
  <c r="N284" i="12"/>
  <c r="P284" i="12"/>
  <c r="N283" i="12"/>
  <c r="N282" i="12"/>
  <c r="P282" i="12"/>
  <c r="N281" i="12"/>
  <c r="P281" i="12"/>
  <c r="O281" i="12"/>
  <c r="N280" i="12"/>
  <c r="P280" i="12"/>
  <c r="O280" i="12"/>
  <c r="N279" i="12"/>
  <c r="P279" i="12"/>
  <c r="O279" i="12"/>
  <c r="N278" i="12"/>
  <c r="P278" i="12"/>
  <c r="Q277" i="12"/>
  <c r="N276" i="12"/>
  <c r="P276" i="12"/>
  <c r="R101" i="12"/>
  <c r="O62" i="12"/>
  <c r="T61" i="12"/>
  <c r="O32" i="12"/>
  <c r="N368" i="11"/>
  <c r="P368" i="11"/>
  <c r="Q368" i="11"/>
  <c r="S372" i="11"/>
  <c r="S373" i="11" s="1"/>
  <c r="S368" i="11"/>
  <c r="S369" i="11" s="1"/>
  <c r="N366" i="11"/>
  <c r="P366" i="11"/>
  <c r="O366" i="11"/>
  <c r="N365" i="11"/>
  <c r="P365" i="11"/>
  <c r="Q365" i="11"/>
  <c r="N364" i="11"/>
  <c r="P364" i="11"/>
  <c r="N363" i="11"/>
  <c r="P363" i="11"/>
  <c r="N362" i="11"/>
  <c r="P362" i="11"/>
  <c r="N361" i="11"/>
  <c r="O361" i="11"/>
  <c r="N359" i="11"/>
  <c r="P359" i="11"/>
  <c r="N358" i="11"/>
  <c r="P358" i="11"/>
  <c r="N357" i="11"/>
  <c r="P357" i="11"/>
  <c r="Q357" i="11"/>
  <c r="P356" i="11"/>
  <c r="N355" i="11"/>
  <c r="P355" i="11"/>
  <c r="N354" i="11"/>
  <c r="R354" i="11"/>
  <c r="P354" i="11"/>
  <c r="N353" i="11"/>
  <c r="Q353" i="11"/>
  <c r="N352" i="11"/>
  <c r="P352" i="11"/>
  <c r="O352" i="11"/>
  <c r="N351" i="11"/>
  <c r="P351" i="11"/>
  <c r="N350" i="11"/>
  <c r="P350" i="11"/>
  <c r="Q350" i="11"/>
  <c r="P349" i="11"/>
  <c r="Q349" i="11"/>
  <c r="N348" i="11"/>
  <c r="N347" i="11"/>
  <c r="P347" i="11"/>
  <c r="N346" i="11"/>
  <c r="R346" i="11"/>
  <c r="P346" i="11"/>
  <c r="Q346" i="11"/>
  <c r="N345" i="11"/>
  <c r="P345" i="11"/>
  <c r="Q345" i="11"/>
  <c r="N344" i="11"/>
  <c r="P344" i="11"/>
  <c r="N343" i="11"/>
  <c r="P343" i="11"/>
  <c r="N342" i="11"/>
  <c r="P342" i="11"/>
  <c r="P341" i="11"/>
  <c r="N340" i="11"/>
  <c r="P340" i="11"/>
  <c r="N339" i="11"/>
  <c r="P339" i="11"/>
  <c r="N338" i="11"/>
  <c r="P338" i="11"/>
  <c r="O338" i="11"/>
  <c r="N337" i="11"/>
  <c r="O337" i="11"/>
  <c r="N336" i="11"/>
  <c r="P336" i="11"/>
  <c r="O336" i="11"/>
  <c r="N335" i="11"/>
  <c r="P335" i="11"/>
  <c r="N334" i="11"/>
  <c r="P334" i="11"/>
  <c r="P333" i="11"/>
  <c r="N332" i="11"/>
  <c r="N331" i="11"/>
  <c r="P331" i="11"/>
  <c r="N330" i="11"/>
  <c r="P330" i="11"/>
  <c r="Q330" i="11"/>
  <c r="N329" i="11"/>
  <c r="P329" i="11"/>
  <c r="O329" i="11"/>
  <c r="N328" i="11"/>
  <c r="P328" i="11"/>
  <c r="Q328" i="11"/>
  <c r="N327" i="11"/>
  <c r="N326" i="11"/>
  <c r="P326" i="11"/>
  <c r="Q326" i="11"/>
  <c r="P325" i="11"/>
  <c r="N324" i="11"/>
  <c r="P324" i="11"/>
  <c r="Q324" i="11"/>
  <c r="N323" i="11"/>
  <c r="P323" i="11"/>
  <c r="N322" i="11"/>
  <c r="P322" i="11"/>
  <c r="Q322" i="11"/>
  <c r="P321" i="11"/>
  <c r="O321" i="11"/>
  <c r="N320" i="11"/>
  <c r="P320" i="11"/>
  <c r="N319" i="11"/>
  <c r="P319" i="11"/>
  <c r="N318" i="11"/>
  <c r="P318" i="11"/>
  <c r="Q318" i="11"/>
  <c r="N317" i="11"/>
  <c r="P317" i="11"/>
  <c r="N316" i="11"/>
  <c r="P316" i="11"/>
  <c r="N315" i="11"/>
  <c r="P315" i="11"/>
  <c r="N314" i="11"/>
  <c r="P314" i="11"/>
  <c r="N313" i="11"/>
  <c r="P313" i="11"/>
  <c r="N312" i="11"/>
  <c r="P312" i="11"/>
  <c r="Q312" i="11"/>
  <c r="N311" i="11"/>
  <c r="N310" i="11"/>
  <c r="P310" i="11"/>
  <c r="Q310" i="11"/>
  <c r="N309" i="11"/>
  <c r="P309" i="11"/>
  <c r="N308" i="11"/>
  <c r="P308" i="11"/>
  <c r="N307" i="11"/>
  <c r="N306" i="11"/>
  <c r="P306" i="11"/>
  <c r="Q306" i="11"/>
  <c r="P305" i="11"/>
  <c r="O305" i="11"/>
  <c r="N304" i="11"/>
  <c r="P304" i="11"/>
  <c r="O304" i="11"/>
  <c r="N303" i="11"/>
  <c r="P303" i="11"/>
  <c r="N302" i="11"/>
  <c r="P302" i="11"/>
  <c r="N301" i="11"/>
  <c r="P301" i="11"/>
  <c r="N300" i="11"/>
  <c r="P300" i="11"/>
  <c r="N299" i="11"/>
  <c r="N298" i="11"/>
  <c r="P298" i="11"/>
  <c r="O298" i="11"/>
  <c r="P297" i="11"/>
  <c r="O297" i="11"/>
  <c r="N296" i="11"/>
  <c r="P296" i="11"/>
  <c r="N295" i="11"/>
  <c r="P295" i="11"/>
  <c r="N294" i="11"/>
  <c r="P294" i="11"/>
  <c r="Q294" i="11"/>
  <c r="N293" i="11"/>
  <c r="P293" i="11"/>
  <c r="O293" i="11"/>
  <c r="N292" i="11"/>
  <c r="Q292" i="11"/>
  <c r="N291" i="11"/>
  <c r="P291" i="11"/>
  <c r="N290" i="11"/>
  <c r="P290" i="11"/>
  <c r="O290" i="11"/>
  <c r="P289" i="11"/>
  <c r="O289" i="11"/>
  <c r="N288" i="11"/>
  <c r="P288" i="11"/>
  <c r="O288" i="11"/>
  <c r="N287" i="11"/>
  <c r="P287" i="11"/>
  <c r="Q287" i="11"/>
  <c r="N286" i="11"/>
  <c r="P286" i="11"/>
  <c r="N285" i="11"/>
  <c r="P285" i="11"/>
  <c r="Q285" i="11"/>
  <c r="N284" i="11"/>
  <c r="P284" i="11"/>
  <c r="O284" i="11"/>
  <c r="N283" i="11"/>
  <c r="N282" i="11"/>
  <c r="P282" i="11"/>
  <c r="N281" i="11"/>
  <c r="P281" i="11"/>
  <c r="N280" i="11"/>
  <c r="P280" i="11"/>
  <c r="N279" i="11"/>
  <c r="P279" i="11"/>
  <c r="Q279" i="11"/>
  <c r="N278" i="11"/>
  <c r="P278" i="11"/>
  <c r="P277" i="11"/>
  <c r="O277" i="11"/>
  <c r="P276" i="11"/>
  <c r="P275" i="11"/>
  <c r="N272" i="11"/>
  <c r="N271" i="11"/>
  <c r="P271" i="11"/>
  <c r="N268" i="11"/>
  <c r="N264" i="11"/>
  <c r="P263" i="11"/>
  <c r="O262" i="11"/>
  <c r="N102" i="11"/>
  <c r="N368" i="10"/>
  <c r="P368" i="10"/>
  <c r="O368" i="10"/>
  <c r="N367" i="10"/>
  <c r="S372" i="10"/>
  <c r="S373" i="10" s="1"/>
  <c r="S368" i="10"/>
  <c r="S369" i="10" s="1"/>
  <c r="N366" i="10"/>
  <c r="P366" i="10"/>
  <c r="Q366" i="10"/>
  <c r="N365" i="10"/>
  <c r="P365" i="10"/>
  <c r="N364" i="10"/>
  <c r="P364" i="10"/>
  <c r="N363" i="10"/>
  <c r="P363" i="10"/>
  <c r="N362" i="10"/>
  <c r="P362" i="10"/>
  <c r="O362" i="10"/>
  <c r="N361" i="10"/>
  <c r="P361" i="10"/>
  <c r="Q361" i="10"/>
  <c r="N360" i="10"/>
  <c r="P360" i="10"/>
  <c r="N359" i="10"/>
  <c r="P359" i="10"/>
  <c r="O359" i="10"/>
  <c r="N358" i="10"/>
  <c r="P358" i="10"/>
  <c r="N357" i="10"/>
  <c r="P357" i="10"/>
  <c r="N356" i="10"/>
  <c r="P356" i="10"/>
  <c r="Q356" i="10"/>
  <c r="N355" i="10"/>
  <c r="P355" i="10"/>
  <c r="Q355" i="10"/>
  <c r="N354" i="10"/>
  <c r="P354" i="10"/>
  <c r="O354" i="10"/>
  <c r="N353" i="10"/>
  <c r="P353" i="10"/>
  <c r="N352" i="10"/>
  <c r="P352" i="10"/>
  <c r="N351" i="10"/>
  <c r="P351" i="10"/>
  <c r="N350" i="10"/>
  <c r="P350" i="10"/>
  <c r="Q350" i="10"/>
  <c r="N349" i="10"/>
  <c r="P349" i="10"/>
  <c r="O349" i="10"/>
  <c r="N348" i="10"/>
  <c r="Q348" i="10"/>
  <c r="N347" i="10"/>
  <c r="P347" i="10"/>
  <c r="Q347" i="10"/>
  <c r="N346" i="10"/>
  <c r="P346" i="10"/>
  <c r="N345" i="10"/>
  <c r="P345" i="10"/>
  <c r="N344" i="10"/>
  <c r="P344" i="10"/>
  <c r="N343" i="10"/>
  <c r="P343" i="10"/>
  <c r="Q343" i="10"/>
  <c r="N342" i="10"/>
  <c r="N341" i="10"/>
  <c r="P341" i="10"/>
  <c r="N340" i="10"/>
  <c r="P340" i="10"/>
  <c r="N339" i="10"/>
  <c r="P339" i="10"/>
  <c r="N338" i="10"/>
  <c r="P338" i="10"/>
  <c r="N337" i="10"/>
  <c r="P337" i="10"/>
  <c r="Q337" i="10"/>
  <c r="N336" i="10"/>
  <c r="P336" i="10"/>
  <c r="O336" i="10"/>
  <c r="N335" i="10"/>
  <c r="P335" i="10"/>
  <c r="Q335" i="10"/>
  <c r="N334" i="10"/>
  <c r="P334" i="10"/>
  <c r="Q334" i="10"/>
  <c r="N333" i="10"/>
  <c r="P333" i="10"/>
  <c r="N332" i="10"/>
  <c r="N331" i="10"/>
  <c r="P331" i="10"/>
  <c r="O331" i="10"/>
  <c r="N330" i="10"/>
  <c r="P330" i="10"/>
  <c r="N329" i="10"/>
  <c r="P329" i="10"/>
  <c r="Q329" i="10"/>
  <c r="N328" i="10"/>
  <c r="P328" i="10"/>
  <c r="Q328" i="10"/>
  <c r="N327" i="10"/>
  <c r="P327" i="10"/>
  <c r="O327" i="10"/>
  <c r="N326" i="10"/>
  <c r="N325" i="10"/>
  <c r="P325" i="10"/>
  <c r="O325" i="10"/>
  <c r="N324" i="10"/>
  <c r="P324" i="10"/>
  <c r="O324" i="10"/>
  <c r="N323" i="10"/>
  <c r="P323" i="10"/>
  <c r="O323" i="10"/>
  <c r="N322" i="10"/>
  <c r="P322" i="10"/>
  <c r="N321" i="10"/>
  <c r="P321" i="10"/>
  <c r="O321" i="10"/>
  <c r="N320" i="10"/>
  <c r="N319" i="10"/>
  <c r="P319" i="10"/>
  <c r="N318" i="10"/>
  <c r="P318" i="10"/>
  <c r="N317" i="10"/>
  <c r="P317" i="10"/>
  <c r="N316" i="10"/>
  <c r="P316" i="10"/>
  <c r="N315" i="10"/>
  <c r="P315" i="10"/>
  <c r="N314" i="10"/>
  <c r="P314" i="10"/>
  <c r="O314" i="10"/>
  <c r="N313" i="10"/>
  <c r="P313" i="10"/>
  <c r="N312" i="10"/>
  <c r="N311" i="10"/>
  <c r="P311" i="10"/>
  <c r="N310" i="10"/>
  <c r="P310" i="10"/>
  <c r="P309" i="10"/>
  <c r="N308" i="10"/>
  <c r="P308" i="10"/>
  <c r="N307" i="10"/>
  <c r="P307" i="10"/>
  <c r="Q307" i="10"/>
  <c r="N306" i="10"/>
  <c r="P306" i="10"/>
  <c r="N305" i="10"/>
  <c r="P305" i="10"/>
  <c r="O305" i="10"/>
  <c r="Q304" i="10"/>
  <c r="N303" i="10"/>
  <c r="P303" i="10"/>
  <c r="N302" i="10"/>
  <c r="P302" i="10"/>
  <c r="N301" i="10"/>
  <c r="P301" i="10"/>
  <c r="Q301" i="10"/>
  <c r="P300" i="10"/>
  <c r="O300" i="10"/>
  <c r="N299" i="10"/>
  <c r="P299" i="10"/>
  <c r="O299" i="10"/>
  <c r="N298" i="10"/>
  <c r="P298" i="10"/>
  <c r="N297" i="10"/>
  <c r="P297" i="10"/>
  <c r="N296" i="10"/>
  <c r="P296" i="10"/>
  <c r="Q296" i="10"/>
  <c r="N295" i="10"/>
  <c r="P295" i="10"/>
  <c r="O295" i="10"/>
  <c r="N294" i="10"/>
  <c r="P294" i="10"/>
  <c r="O294" i="10"/>
  <c r="N293" i="10"/>
  <c r="P293" i="10"/>
  <c r="N291" i="10"/>
  <c r="P291" i="10"/>
  <c r="O291" i="10"/>
  <c r="N290" i="10"/>
  <c r="P290" i="10"/>
  <c r="Q290" i="10"/>
  <c r="N289" i="10"/>
  <c r="P289" i="10"/>
  <c r="N288" i="10"/>
  <c r="P288" i="10"/>
  <c r="O288" i="10"/>
  <c r="N287" i="10"/>
  <c r="P287" i="10"/>
  <c r="O287" i="10"/>
  <c r="N286" i="10"/>
  <c r="P286" i="10"/>
  <c r="N285" i="10"/>
  <c r="O285" i="10"/>
  <c r="N284" i="10"/>
  <c r="P284" i="10"/>
  <c r="P283" i="10"/>
  <c r="O283" i="10"/>
  <c r="N282" i="10"/>
  <c r="P282" i="10"/>
  <c r="N281" i="10"/>
  <c r="P281" i="10"/>
  <c r="O281" i="10"/>
  <c r="N280" i="10"/>
  <c r="N279" i="10"/>
  <c r="P279" i="10"/>
  <c r="O279" i="10"/>
  <c r="N278" i="10"/>
  <c r="P278" i="10"/>
  <c r="N277" i="10"/>
  <c r="P277" i="10"/>
  <c r="O277" i="10"/>
  <c r="N276" i="10"/>
  <c r="Q276" i="10"/>
  <c r="O274" i="10"/>
  <c r="Q253" i="10"/>
  <c r="T243" i="10"/>
  <c r="Q226" i="10"/>
  <c r="O223" i="10"/>
  <c r="Q216" i="10"/>
  <c r="O215" i="10"/>
  <c r="Q212" i="10"/>
  <c r="T212" i="10"/>
  <c r="R205" i="10"/>
  <c r="O199" i="10"/>
  <c r="N185" i="10"/>
  <c r="Q180" i="10"/>
  <c r="Q176" i="10"/>
  <c r="Q172" i="10"/>
  <c r="Q168" i="10"/>
  <c r="R165" i="10"/>
  <c r="O163" i="10"/>
  <c r="O147" i="10"/>
  <c r="R145" i="10"/>
  <c r="N143" i="10"/>
  <c r="S148" i="10"/>
  <c r="S149" i="10" s="1"/>
  <c r="N141" i="10"/>
  <c r="Q137" i="10"/>
  <c r="O135" i="10"/>
  <c r="R133" i="10"/>
  <c r="O132" i="10"/>
  <c r="Q122" i="10"/>
  <c r="O120" i="10"/>
  <c r="S116" i="10"/>
  <c r="S117" i="10" s="1"/>
  <c r="R116" i="10"/>
  <c r="S120" i="10"/>
  <c r="S121" i="10" s="1"/>
  <c r="O111" i="10"/>
  <c r="R110" i="10"/>
  <c r="R109" i="10"/>
  <c r="O107" i="10"/>
  <c r="R105" i="10"/>
  <c r="O103" i="10"/>
  <c r="R102" i="10"/>
  <c r="S106" i="10"/>
  <c r="S107" i="10" s="1"/>
  <c r="T105" i="10"/>
  <c r="R98" i="10"/>
  <c r="T100" i="10"/>
  <c r="P95" i="10"/>
  <c r="Q94" i="10"/>
  <c r="O93" i="10"/>
  <c r="O91" i="10"/>
  <c r="R89" i="10"/>
  <c r="S92" i="10"/>
  <c r="S93" i="10" s="1"/>
  <c r="R86" i="10"/>
  <c r="S85" i="10"/>
  <c r="S86" i="10" s="1"/>
  <c r="O81" i="10"/>
  <c r="R78" i="10"/>
  <c r="O77" i="10"/>
  <c r="O75" i="10"/>
  <c r="Q74" i="10"/>
  <c r="Q73" i="10"/>
  <c r="P71" i="10"/>
  <c r="R70" i="10"/>
  <c r="R68" i="10"/>
  <c r="R65" i="10"/>
  <c r="P59" i="10"/>
  <c r="O59" i="10"/>
  <c r="R56" i="10"/>
  <c r="Q56" i="10"/>
  <c r="O55" i="10"/>
  <c r="Q54" i="10"/>
  <c r="S53" i="10"/>
  <c r="S54" i="10" s="1"/>
  <c r="R50" i="10"/>
  <c r="R49" i="10"/>
  <c r="R48" i="10"/>
  <c r="T47" i="10"/>
  <c r="Q42" i="10"/>
  <c r="R41" i="10"/>
  <c r="R38" i="10"/>
  <c r="O37" i="10"/>
  <c r="O35" i="10"/>
  <c r="Q33" i="10"/>
  <c r="T37" i="10"/>
  <c r="R31" i="10"/>
  <c r="R30" i="10"/>
  <c r="R29" i="10"/>
  <c r="O27" i="10"/>
  <c r="R26" i="10"/>
  <c r="R25" i="10"/>
  <c r="P21" i="10"/>
  <c r="N21" i="10"/>
  <c r="N19" i="10"/>
  <c r="S22" i="10"/>
  <c r="S23" i="10" s="1"/>
  <c r="Q17" i="10"/>
  <c r="P15" i="10"/>
  <c r="O15" i="10"/>
  <c r="R13" i="10"/>
  <c r="Q12" i="10"/>
  <c r="S15" i="10"/>
  <c r="S16" i="10" s="1"/>
  <c r="O11" i="10"/>
  <c r="O10" i="10"/>
  <c r="Q8" i="10"/>
  <c r="R6" i="10"/>
  <c r="T5" i="10"/>
  <c r="Q4" i="10"/>
  <c r="S8" i="10"/>
  <c r="S9" i="10" s="1"/>
  <c r="N368" i="9"/>
  <c r="P368" i="9"/>
  <c r="N367" i="9"/>
  <c r="S372" i="9"/>
  <c r="S373" i="9" s="1"/>
  <c r="O367" i="9"/>
  <c r="N366" i="9"/>
  <c r="P366" i="9"/>
  <c r="N365" i="9"/>
  <c r="P365" i="9"/>
  <c r="Q365" i="9"/>
  <c r="N364" i="9"/>
  <c r="P364" i="9"/>
  <c r="N363" i="9"/>
  <c r="P363" i="9"/>
  <c r="N362" i="9"/>
  <c r="P362" i="9"/>
  <c r="N361" i="9"/>
  <c r="N360" i="9"/>
  <c r="P360" i="9"/>
  <c r="N359" i="9"/>
  <c r="P359" i="9"/>
  <c r="N358" i="9"/>
  <c r="P358" i="9"/>
  <c r="O358" i="9"/>
  <c r="N357" i="9"/>
  <c r="P357" i="9"/>
  <c r="N356" i="9"/>
  <c r="P356" i="9"/>
  <c r="O356" i="9"/>
  <c r="N355" i="9"/>
  <c r="P355" i="9"/>
  <c r="N354" i="9"/>
  <c r="P354" i="9"/>
  <c r="P353" i="9"/>
  <c r="Q353" i="9"/>
  <c r="N352" i="9"/>
  <c r="P352" i="9"/>
  <c r="N351" i="9"/>
  <c r="P351" i="9"/>
  <c r="N350" i="9"/>
  <c r="P350" i="9"/>
  <c r="Q350" i="9"/>
  <c r="N349" i="9"/>
  <c r="P349" i="9"/>
  <c r="O349" i="9"/>
  <c r="N348" i="9"/>
  <c r="P348" i="9"/>
  <c r="O348" i="9"/>
  <c r="N347" i="9"/>
  <c r="P347" i="9"/>
  <c r="O347" i="9"/>
  <c r="N346" i="9"/>
  <c r="P346" i="9"/>
  <c r="O346" i="9"/>
  <c r="N345" i="9"/>
  <c r="O345" i="9"/>
  <c r="N344" i="9"/>
  <c r="P344" i="9"/>
  <c r="O344" i="9"/>
  <c r="N343" i="9"/>
  <c r="P343" i="9"/>
  <c r="Q343" i="9"/>
  <c r="N342" i="9"/>
  <c r="P342" i="9"/>
  <c r="N341" i="9"/>
  <c r="P341" i="9"/>
  <c r="O341" i="9"/>
  <c r="N340" i="9"/>
  <c r="P340" i="9"/>
  <c r="Q340" i="9"/>
  <c r="N339" i="9"/>
  <c r="P339" i="9"/>
  <c r="O339" i="9"/>
  <c r="P338" i="9"/>
  <c r="N337" i="9"/>
  <c r="P337" i="9"/>
  <c r="N336" i="9"/>
  <c r="P336" i="9"/>
  <c r="N335" i="9"/>
  <c r="P335" i="9"/>
  <c r="Q335" i="9"/>
  <c r="N334" i="9"/>
  <c r="P334" i="9"/>
  <c r="Q334" i="9"/>
  <c r="N333" i="9"/>
  <c r="P333" i="9"/>
  <c r="Q333" i="9"/>
  <c r="N332" i="9"/>
  <c r="P332" i="9"/>
  <c r="N331" i="9"/>
  <c r="P331" i="9"/>
  <c r="Q331" i="9"/>
  <c r="N330" i="9"/>
  <c r="P330" i="9"/>
  <c r="Q330" i="9"/>
  <c r="N329" i="9"/>
  <c r="P329" i="9"/>
  <c r="Q329" i="9"/>
  <c r="N328" i="9"/>
  <c r="P328" i="9"/>
  <c r="N327" i="9"/>
  <c r="P327" i="9"/>
  <c r="O327" i="9"/>
  <c r="N326" i="9"/>
  <c r="P326" i="9"/>
  <c r="Q325" i="9"/>
  <c r="N324" i="9"/>
  <c r="P324" i="9"/>
  <c r="N323" i="9"/>
  <c r="P323" i="9"/>
  <c r="O323" i="9"/>
  <c r="N322" i="9"/>
  <c r="P322" i="9"/>
  <c r="N321" i="9"/>
  <c r="P321" i="9"/>
  <c r="N320" i="9"/>
  <c r="P320" i="9"/>
  <c r="Q320" i="9"/>
  <c r="N319" i="9"/>
  <c r="P319" i="9"/>
  <c r="N318" i="9"/>
  <c r="P318" i="9"/>
  <c r="N317" i="9"/>
  <c r="P317" i="9"/>
  <c r="N316" i="9"/>
  <c r="P316" i="9"/>
  <c r="O316" i="9"/>
  <c r="N315" i="9"/>
  <c r="P315" i="9"/>
  <c r="Q315" i="9"/>
  <c r="N314" i="9"/>
  <c r="P314" i="9"/>
  <c r="N313" i="9"/>
  <c r="P313" i="9"/>
  <c r="N312" i="9"/>
  <c r="P312" i="9"/>
  <c r="O312" i="9"/>
  <c r="N311" i="9"/>
  <c r="P311" i="9"/>
  <c r="Q311" i="9"/>
  <c r="N310" i="9"/>
  <c r="P310" i="9"/>
  <c r="O310" i="9"/>
  <c r="N309" i="9"/>
  <c r="P309" i="9"/>
  <c r="P308" i="9"/>
  <c r="N307" i="9"/>
  <c r="P307" i="9"/>
  <c r="O307" i="9"/>
  <c r="N306" i="9"/>
  <c r="P306" i="9"/>
  <c r="Q306" i="9"/>
  <c r="N305" i="9"/>
  <c r="P305" i="9"/>
  <c r="O305" i="9"/>
  <c r="N304" i="9"/>
  <c r="P304" i="9"/>
  <c r="N303" i="9"/>
  <c r="P303" i="9"/>
  <c r="O303" i="9"/>
  <c r="N302" i="9"/>
  <c r="P302" i="9"/>
  <c r="N301" i="9"/>
  <c r="P301" i="9"/>
  <c r="N300" i="9"/>
  <c r="P300" i="9"/>
  <c r="Q300" i="9"/>
  <c r="N299" i="9"/>
  <c r="P299" i="9"/>
  <c r="Q299" i="9"/>
  <c r="N298" i="9"/>
  <c r="P298" i="9"/>
  <c r="N297" i="9"/>
  <c r="P297" i="9"/>
  <c r="N296" i="9"/>
  <c r="P296" i="9"/>
  <c r="N295" i="9"/>
  <c r="P295" i="9"/>
  <c r="Q295" i="9"/>
  <c r="N294" i="9"/>
  <c r="P294" i="9"/>
  <c r="N293" i="9"/>
  <c r="P293" i="9"/>
  <c r="Q293" i="9"/>
  <c r="N292" i="9"/>
  <c r="P292" i="9"/>
  <c r="N291" i="9"/>
  <c r="P291" i="9"/>
  <c r="O291" i="9"/>
  <c r="N289" i="9"/>
  <c r="P289" i="9"/>
  <c r="N288" i="9"/>
  <c r="P288" i="9"/>
  <c r="O288" i="9"/>
  <c r="N287" i="9"/>
  <c r="P287" i="9"/>
  <c r="N286" i="9"/>
  <c r="P286" i="9"/>
  <c r="N285" i="9"/>
  <c r="P285" i="9"/>
  <c r="N284" i="9"/>
  <c r="P284" i="9"/>
  <c r="Q284" i="9"/>
  <c r="N283" i="9"/>
  <c r="N282" i="9"/>
  <c r="P282" i="9"/>
  <c r="Q282" i="9"/>
  <c r="N281" i="9"/>
  <c r="P281" i="9"/>
  <c r="O281" i="9"/>
  <c r="N280" i="9"/>
  <c r="P280" i="9"/>
  <c r="O280" i="9"/>
  <c r="N279" i="9"/>
  <c r="P279" i="9"/>
  <c r="O279" i="9"/>
  <c r="N278" i="9"/>
  <c r="P278" i="9"/>
  <c r="Q278" i="9"/>
  <c r="N277" i="9"/>
  <c r="P277" i="9"/>
  <c r="N276" i="9"/>
  <c r="P276" i="9"/>
  <c r="Q276" i="9"/>
  <c r="Q275" i="9"/>
  <c r="N273" i="9"/>
  <c r="P273" i="9"/>
  <c r="N272" i="9"/>
  <c r="Q271" i="9"/>
  <c r="N269" i="9"/>
  <c r="P269" i="9"/>
  <c r="N268" i="9"/>
  <c r="N264" i="9"/>
  <c r="N227" i="9"/>
  <c r="R214" i="9"/>
  <c r="R198" i="9"/>
  <c r="R162" i="9"/>
  <c r="R142" i="9"/>
  <c r="R110" i="9"/>
  <c r="R82" i="9"/>
  <c r="O55" i="9"/>
  <c r="R50" i="9"/>
  <c r="R38" i="9"/>
  <c r="N366" i="6"/>
  <c r="N362" i="6"/>
  <c r="P361" i="6"/>
  <c r="O360" i="6"/>
  <c r="P358" i="6"/>
  <c r="P357" i="6"/>
  <c r="N355" i="6"/>
  <c r="N354" i="6"/>
  <c r="P353" i="6"/>
  <c r="P352" i="6"/>
  <c r="Q352" i="6"/>
  <c r="P349" i="6"/>
  <c r="N347" i="6"/>
  <c r="N345" i="6"/>
  <c r="P345" i="6"/>
  <c r="O344" i="6"/>
  <c r="P343" i="6"/>
  <c r="P342" i="6"/>
  <c r="P341" i="6"/>
  <c r="Q340" i="6"/>
  <c r="P337" i="6"/>
  <c r="O336" i="6"/>
  <c r="N335" i="6"/>
  <c r="P333" i="6"/>
  <c r="P332" i="6"/>
  <c r="O332" i="6"/>
  <c r="N331" i="6"/>
  <c r="N330" i="6"/>
  <c r="O328" i="6"/>
  <c r="P325" i="6"/>
  <c r="O324" i="6"/>
  <c r="N323" i="6"/>
  <c r="N322" i="6"/>
  <c r="O322" i="6"/>
  <c r="P317" i="6"/>
  <c r="P316" i="6"/>
  <c r="P315" i="6"/>
  <c r="N314" i="6"/>
  <c r="P313" i="6"/>
  <c r="N311" i="6"/>
  <c r="P311" i="6"/>
  <c r="Q309" i="6"/>
  <c r="N307" i="6"/>
  <c r="P305" i="6"/>
  <c r="O305" i="6"/>
  <c r="N304" i="6"/>
  <c r="N300" i="6"/>
  <c r="N299" i="6"/>
  <c r="P296" i="6"/>
  <c r="O296" i="6"/>
  <c r="N294" i="6"/>
  <c r="P289" i="6"/>
  <c r="N286" i="6"/>
  <c r="P285" i="6"/>
  <c r="Q284" i="6"/>
  <c r="N282" i="6"/>
  <c r="P281" i="6"/>
  <c r="P276" i="6"/>
  <c r="P273" i="6"/>
  <c r="O272" i="6"/>
  <c r="P271" i="6"/>
  <c r="P269" i="6"/>
  <c r="O268" i="6"/>
  <c r="P265" i="6"/>
  <c r="N264" i="6"/>
  <c r="Q264" i="6"/>
  <c r="N263" i="6"/>
  <c r="O263" i="6"/>
  <c r="O261" i="6"/>
  <c r="N258" i="6"/>
  <c r="Q257" i="6"/>
  <c r="N255" i="6"/>
  <c r="N252" i="6"/>
  <c r="O252" i="6"/>
  <c r="N250" i="6"/>
  <c r="N249" i="6"/>
  <c r="N246" i="6"/>
  <c r="N236" i="6"/>
  <c r="N232" i="6"/>
  <c r="N227" i="6"/>
  <c r="N217" i="6"/>
  <c r="P217" i="6"/>
  <c r="N211" i="6"/>
  <c r="P209" i="6"/>
  <c r="P199" i="6"/>
  <c r="O194" i="6"/>
  <c r="N193" i="6"/>
  <c r="P191" i="6"/>
  <c r="O190" i="6"/>
  <c r="P187" i="6"/>
  <c r="O176" i="6"/>
  <c r="P175" i="6"/>
  <c r="N169" i="6"/>
  <c r="P167" i="6"/>
  <c r="P162" i="6"/>
  <c r="P152" i="6"/>
  <c r="N149" i="6"/>
  <c r="P146" i="6"/>
  <c r="N140" i="6"/>
  <c r="P136" i="6"/>
  <c r="P122" i="6"/>
  <c r="P120" i="6"/>
  <c r="P112" i="6"/>
  <c r="P110" i="6"/>
  <c r="P97" i="6"/>
  <c r="N96" i="6"/>
  <c r="P86" i="6"/>
  <c r="O86" i="6"/>
  <c r="N83" i="6"/>
  <c r="P77" i="6"/>
  <c r="N76" i="6"/>
  <c r="N72" i="6"/>
  <c r="N71" i="6"/>
  <c r="N62" i="6"/>
  <c r="P62" i="6"/>
  <c r="O57" i="6"/>
  <c r="P48" i="6"/>
  <c r="P44" i="6"/>
  <c r="Q42" i="6"/>
  <c r="P40" i="6"/>
  <c r="N36" i="6"/>
  <c r="P36" i="6"/>
  <c r="P30" i="6"/>
  <c r="P14" i="6"/>
  <c r="N11" i="6"/>
  <c r="P11" i="6"/>
  <c r="N8" i="6"/>
  <c r="N363" i="6"/>
  <c r="O361" i="6"/>
  <c r="P356" i="6"/>
  <c r="O337" i="6"/>
  <c r="O317" i="6"/>
  <c r="N315" i="6"/>
  <c r="O309" i="6"/>
  <c r="Q289" i="6"/>
  <c r="O289" i="6"/>
  <c r="O285" i="6"/>
  <c r="N279" i="6"/>
  <c r="O257" i="6"/>
  <c r="O253" i="6"/>
  <c r="Q157" i="6"/>
  <c r="D91" i="7"/>
  <c r="D89" i="7"/>
  <c r="D86" i="7"/>
  <c r="D85" i="7"/>
  <c r="D84" i="7"/>
  <c r="D83" i="7"/>
  <c r="D75" i="7"/>
  <c r="D72" i="7"/>
  <c r="D61" i="7"/>
  <c r="D59" i="7"/>
  <c r="D57" i="7"/>
  <c r="D54" i="7"/>
  <c r="D53" i="7"/>
  <c r="D51" i="7"/>
  <c r="P199" i="12"/>
  <c r="P123" i="12"/>
  <c r="P9" i="6"/>
  <c r="N7" i="6"/>
  <c r="P10" i="6"/>
  <c r="Q305" i="6"/>
  <c r="P8" i="6"/>
  <c r="R9" i="6"/>
  <c r="Q57" i="6"/>
  <c r="Q261" i="6"/>
  <c r="O293" i="6"/>
  <c r="O321" i="6"/>
  <c r="N9" i="6"/>
  <c r="O69" i="6"/>
  <c r="O181" i="6"/>
  <c r="Q8" i="6"/>
  <c r="O352" i="6"/>
  <c r="S372" i="6"/>
  <c r="S373" i="6" s="1"/>
  <c r="H12" i="3"/>
  <c r="I16" i="25" s="1"/>
  <c r="H15" i="3"/>
  <c r="I19" i="25" s="1"/>
  <c r="P277" i="12"/>
  <c r="O273" i="12"/>
  <c r="H5" i="3"/>
  <c r="I39" i="25" s="1"/>
  <c r="H7" i="3"/>
  <c r="H21" i="3"/>
  <c r="I98" i="7" s="1"/>
  <c r="O155" i="6"/>
  <c r="N185" i="6"/>
  <c r="O247" i="6"/>
  <c r="P155" i="6"/>
  <c r="H43" i="3"/>
  <c r="P247" i="6"/>
  <c r="O41" i="6"/>
  <c r="O216" i="6"/>
  <c r="O308" i="6"/>
  <c r="P124" i="6"/>
  <c r="H42" i="3"/>
  <c r="H45" i="3"/>
  <c r="V33" i="29" s="1"/>
  <c r="H48" i="3"/>
  <c r="O185" i="6"/>
  <c r="N155" i="6"/>
  <c r="O65" i="6"/>
  <c r="O277" i="6"/>
  <c r="H44" i="3"/>
  <c r="H12" i="4"/>
  <c r="P277" i="6"/>
  <c r="H47" i="3"/>
  <c r="H16" i="3"/>
  <c r="Q277" i="6"/>
  <c r="N124" i="6"/>
  <c r="N216" i="6"/>
  <c r="N308" i="6"/>
  <c r="H45" i="7"/>
  <c r="O338" i="6"/>
  <c r="P338" i="6"/>
  <c r="H49" i="3"/>
  <c r="O13" i="6"/>
  <c r="Q49" i="6"/>
  <c r="N6" i="6"/>
  <c r="O345" i="12"/>
  <c r="R313" i="12"/>
  <c r="R350" i="6"/>
  <c r="O206" i="6"/>
  <c r="O322" i="11"/>
  <c r="Q336" i="6"/>
  <c r="Q360" i="6"/>
  <c r="R327" i="6"/>
  <c r="Q266" i="6"/>
  <c r="R86" i="6"/>
  <c r="R168" i="12"/>
  <c r="O286" i="6"/>
  <c r="Q309" i="12"/>
  <c r="Q341" i="12"/>
  <c r="Q336" i="11"/>
  <c r="Q46" i="6"/>
  <c r="O288" i="6"/>
  <c r="Q61" i="6"/>
  <c r="Q332" i="6"/>
  <c r="R188" i="6"/>
  <c r="R268" i="6"/>
  <c r="Q260" i="6"/>
  <c r="R98" i="6"/>
  <c r="R106" i="6"/>
  <c r="R214" i="6"/>
  <c r="R246" i="6"/>
  <c r="R314" i="6"/>
  <c r="R346" i="6"/>
  <c r="R354" i="6"/>
  <c r="R366" i="6"/>
  <c r="O306" i="11"/>
  <c r="O294" i="11"/>
  <c r="Q338" i="11"/>
  <c r="R321" i="12"/>
  <c r="R329" i="12"/>
  <c r="R345" i="12"/>
  <c r="O58" i="6"/>
  <c r="O246" i="6"/>
  <c r="Q259" i="6"/>
  <c r="R266" i="6"/>
  <c r="P367" i="11"/>
  <c r="Q221" i="12"/>
  <c r="O22" i="6"/>
  <c r="O98" i="6"/>
  <c r="O106" i="6"/>
  <c r="O214" i="6"/>
  <c r="Q321" i="11"/>
  <c r="O357" i="11"/>
  <c r="Q361" i="11"/>
  <c r="O274" i="6"/>
  <c r="T16" i="6"/>
  <c r="R12" i="6"/>
  <c r="R16" i="6"/>
  <c r="R60" i="6"/>
  <c r="R96" i="6"/>
  <c r="R136" i="6"/>
  <c r="R152" i="6"/>
  <c r="R180" i="6"/>
  <c r="T212" i="6"/>
  <c r="R224" i="6"/>
  <c r="R232" i="6"/>
  <c r="R236" i="6"/>
  <c r="T373" i="6"/>
  <c r="O250" i="12"/>
  <c r="Q250" i="12"/>
  <c r="Q307" i="6"/>
  <c r="Q338" i="6"/>
  <c r="O310" i="11"/>
  <c r="O367" i="12"/>
  <c r="S368" i="12"/>
  <c r="S369" i="12" s="1"/>
  <c r="O313" i="12"/>
  <c r="O305" i="12"/>
  <c r="Q333" i="12"/>
  <c r="N247" i="12"/>
  <c r="T51" i="6"/>
  <c r="O256" i="6"/>
  <c r="O264" i="6"/>
  <c r="Q300" i="6"/>
  <c r="O164" i="6"/>
  <c r="R87" i="6"/>
  <c r="T285" i="6"/>
  <c r="Q28" i="6"/>
  <c r="S179" i="6"/>
  <c r="S180" i="6" s="1"/>
  <c r="O224" i="6"/>
  <c r="R14" i="6"/>
  <c r="R74" i="6"/>
  <c r="R222" i="6"/>
  <c r="R286" i="6"/>
  <c r="R330" i="6"/>
  <c r="O180" i="6"/>
  <c r="O188" i="6"/>
  <c r="O70" i="6"/>
  <c r="O146" i="6"/>
  <c r="Q20" i="6"/>
  <c r="R54" i="6"/>
  <c r="R256" i="6"/>
  <c r="O364" i="6"/>
  <c r="N367" i="11"/>
  <c r="Q257" i="12"/>
  <c r="R281" i="12"/>
  <c r="R176" i="12"/>
  <c r="R208" i="12"/>
  <c r="R352" i="12"/>
  <c r="R181" i="12"/>
  <c r="R237" i="12"/>
  <c r="R241" i="12"/>
  <c r="R351" i="12"/>
  <c r="R90" i="12"/>
  <c r="R210" i="12"/>
  <c r="R266" i="12"/>
  <c r="R270" i="12"/>
  <c r="S274" i="12"/>
  <c r="S275" i="12" s="1"/>
  <c r="R274" i="12"/>
  <c r="R298" i="12"/>
  <c r="R306" i="12"/>
  <c r="T371" i="12"/>
  <c r="R124" i="12"/>
  <c r="O259" i="12"/>
  <c r="Q307" i="12"/>
  <c r="P283" i="12"/>
  <c r="Q268" i="12"/>
  <c r="Q320" i="12"/>
  <c r="O336" i="12"/>
  <c r="Q336" i="12"/>
  <c r="O156" i="12"/>
  <c r="R367" i="12"/>
  <c r="O344" i="12"/>
  <c r="Q112" i="12"/>
  <c r="T201" i="12"/>
  <c r="O295" i="12"/>
  <c r="Q153" i="12"/>
  <c r="Q338" i="12"/>
  <c r="O338" i="12"/>
  <c r="R338" i="12"/>
  <c r="R94" i="12"/>
  <c r="O285" i="12"/>
  <c r="Q285" i="12"/>
  <c r="Q69" i="12"/>
  <c r="Q190" i="12"/>
  <c r="R244" i="12"/>
  <c r="O253" i="12"/>
  <c r="Q253" i="12"/>
  <c r="O312" i="12"/>
  <c r="Q312" i="12"/>
  <c r="P308" i="12"/>
  <c r="Q188" i="12"/>
  <c r="O262" i="12"/>
  <c r="S211" i="12"/>
  <c r="S212" i="12" s="1"/>
  <c r="Q264" i="12"/>
  <c r="O318" i="12"/>
  <c r="P326" i="12"/>
  <c r="O342" i="12"/>
  <c r="R342" i="12"/>
  <c r="Q281" i="12"/>
  <c r="Q289" i="12"/>
  <c r="P247" i="12"/>
  <c r="O261" i="12"/>
  <c r="Q287" i="12"/>
  <c r="Q334" i="12"/>
  <c r="O334" i="12"/>
  <c r="R334" i="12"/>
  <c r="R365" i="12"/>
  <c r="O243" i="12"/>
  <c r="O317" i="12"/>
  <c r="R317" i="12"/>
  <c r="R296" i="12"/>
  <c r="O296" i="12"/>
  <c r="Q330" i="12"/>
  <c r="O330" i="12"/>
  <c r="R330" i="12"/>
  <c r="Q242" i="12"/>
  <c r="R254" i="12"/>
  <c r="O267" i="12"/>
  <c r="O275" i="12"/>
  <c r="R277" i="12"/>
  <c r="Q291" i="12"/>
  <c r="R293" i="12"/>
  <c r="O293" i="12"/>
  <c r="O326" i="12"/>
  <c r="Q346" i="12"/>
  <c r="R346" i="12"/>
  <c r="S358" i="12"/>
  <c r="S359" i="12" s="1"/>
  <c r="S260" i="12"/>
  <c r="S261" i="12" s="1"/>
  <c r="R290" i="12"/>
  <c r="P307" i="12"/>
  <c r="O322" i="12"/>
  <c r="R322" i="12"/>
  <c r="Q241" i="12"/>
  <c r="O265" i="12"/>
  <c r="Q266" i="12"/>
  <c r="Q301" i="12"/>
  <c r="O302" i="12"/>
  <c r="Q302" i="12"/>
  <c r="O325" i="12"/>
  <c r="R325" i="12"/>
  <c r="P346" i="12"/>
  <c r="Q276" i="12"/>
  <c r="R301" i="12"/>
  <c r="Q350" i="12"/>
  <c r="R350" i="12"/>
  <c r="Q265" i="12"/>
  <c r="S281" i="12"/>
  <c r="S282" i="12" s="1"/>
  <c r="R297" i="12"/>
  <c r="Q297" i="12"/>
  <c r="O314" i="12"/>
  <c r="Q314" i="12"/>
  <c r="S344" i="12"/>
  <c r="S345" i="12" s="1"/>
  <c r="Q349" i="12"/>
  <c r="Q354" i="12"/>
  <c r="O354" i="12"/>
  <c r="Q357" i="12"/>
  <c r="Q358" i="12"/>
  <c r="O358" i="12"/>
  <c r="R358" i="12"/>
  <c r="Q361" i="12"/>
  <c r="Q362" i="12"/>
  <c r="O362" i="12"/>
  <c r="R349" i="12"/>
  <c r="Q366" i="12"/>
  <c r="O366" i="12"/>
  <c r="S323" i="12"/>
  <c r="S324" i="12" s="1"/>
  <c r="P318" i="12"/>
  <c r="O353" i="12"/>
  <c r="R353" i="12"/>
  <c r="N277" i="12"/>
  <c r="O310" i="12"/>
  <c r="Q327" i="12"/>
  <c r="Q331" i="12"/>
  <c r="O332" i="12"/>
  <c r="P339" i="12"/>
  <c r="Q347" i="12"/>
  <c r="R356" i="12"/>
  <c r="O303" i="12"/>
  <c r="O311" i="12"/>
  <c r="T306" i="12"/>
  <c r="O304" i="12"/>
  <c r="O339" i="12"/>
  <c r="Q367" i="12"/>
  <c r="Q368" i="12"/>
  <c r="Q127" i="11"/>
  <c r="R148" i="11"/>
  <c r="Q263" i="11"/>
  <c r="O188" i="11"/>
  <c r="O218" i="11"/>
  <c r="O220" i="11"/>
  <c r="Q178" i="11"/>
  <c r="Q142" i="11"/>
  <c r="O192" i="11"/>
  <c r="P337" i="11"/>
  <c r="P353" i="11"/>
  <c r="O244" i="11"/>
  <c r="O250" i="11"/>
  <c r="Q250" i="11"/>
  <c r="Q130" i="11"/>
  <c r="O134" i="11"/>
  <c r="Q167" i="11"/>
  <c r="O300" i="11"/>
  <c r="Q229" i="11"/>
  <c r="O325" i="11"/>
  <c r="R262" i="11"/>
  <c r="Q262" i="11"/>
  <c r="Q286" i="11"/>
  <c r="O346" i="11"/>
  <c r="Q298" i="11"/>
  <c r="Q342" i="11"/>
  <c r="Q266" i="11"/>
  <c r="O258" i="11"/>
  <c r="Q272" i="11"/>
  <c r="Q278" i="11"/>
  <c r="Q284" i="11"/>
  <c r="Q277" i="11"/>
  <c r="Q290" i="11"/>
  <c r="O367" i="11"/>
  <c r="O318" i="11"/>
  <c r="Q12" i="6"/>
  <c r="Q48" i="6"/>
  <c r="R79" i="6"/>
  <c r="R5" i="6"/>
  <c r="O15" i="6"/>
  <c r="Q15" i="6"/>
  <c r="O23" i="6"/>
  <c r="Q23" i="6"/>
  <c r="T30" i="6"/>
  <c r="Q51" i="6"/>
  <c r="R51" i="6"/>
  <c r="Q67" i="6"/>
  <c r="O67" i="6"/>
  <c r="O95" i="6"/>
  <c r="R95" i="6"/>
  <c r="R36" i="6"/>
  <c r="O36" i="6"/>
  <c r="O56" i="6"/>
  <c r="R56" i="6"/>
  <c r="Q60" i="6"/>
  <c r="O60" i="6"/>
  <c r="Q64" i="6"/>
  <c r="R64" i="6"/>
  <c r="O64" i="6"/>
  <c r="Q68" i="6"/>
  <c r="O68" i="6"/>
  <c r="O72" i="6"/>
  <c r="Q72" i="6"/>
  <c r="Q76" i="6"/>
  <c r="O76" i="6"/>
  <c r="O104" i="6"/>
  <c r="Q104" i="6"/>
  <c r="T9" i="6"/>
  <c r="Q36" i="6"/>
  <c r="Q56" i="6"/>
  <c r="O100" i="6"/>
  <c r="O52" i="6"/>
  <c r="S281" i="6"/>
  <c r="S282" i="6" s="1"/>
  <c r="Q31" i="6"/>
  <c r="Q44" i="6"/>
  <c r="O96" i="6"/>
  <c r="Q239" i="6"/>
  <c r="R239" i="6"/>
  <c r="Q323" i="6"/>
  <c r="O323" i="6"/>
  <c r="O327" i="6"/>
  <c r="Q327" i="6"/>
  <c r="O339" i="6"/>
  <c r="Q339" i="6"/>
  <c r="Q160" i="6"/>
  <c r="S165" i="6"/>
  <c r="S166" i="6" s="1"/>
  <c r="R219" i="6"/>
  <c r="Q348" i="6"/>
  <c r="O348" i="6"/>
  <c r="R223" i="6"/>
  <c r="R279" i="6"/>
  <c r="R335" i="6"/>
  <c r="R139" i="6"/>
  <c r="R240" i="6"/>
  <c r="R259" i="6"/>
  <c r="Q132" i="6"/>
  <c r="O136" i="6"/>
  <c r="Q344" i="6"/>
  <c r="R140" i="6"/>
  <c r="O148" i="6"/>
  <c r="O152" i="6"/>
  <c r="O192" i="6"/>
  <c r="Q268" i="6"/>
  <c r="Q272" i="6"/>
  <c r="R28" i="6"/>
  <c r="R40" i="6"/>
  <c r="R44" i="6"/>
  <c r="R48" i="6"/>
  <c r="R68" i="6"/>
  <c r="R72" i="6"/>
  <c r="R84" i="6"/>
  <c r="R88" i="6"/>
  <c r="R116" i="6"/>
  <c r="R132" i="6"/>
  <c r="R144" i="6"/>
  <c r="R156" i="6"/>
  <c r="R160" i="6"/>
  <c r="R164" i="6"/>
  <c r="R168" i="6"/>
  <c r="R208" i="6"/>
  <c r="R220" i="6"/>
  <c r="R252" i="6"/>
  <c r="R260" i="6"/>
  <c r="R264" i="6"/>
  <c r="R272" i="6"/>
  <c r="R288" i="6"/>
  <c r="R300" i="6"/>
  <c r="R328" i="6"/>
  <c r="R340" i="6"/>
  <c r="R356" i="6"/>
  <c r="R30" i="6"/>
  <c r="R46" i="6"/>
  <c r="R82" i="6"/>
  <c r="R110" i="6"/>
  <c r="R122" i="6"/>
  <c r="R130" i="6"/>
  <c r="R194" i="6"/>
  <c r="R238" i="6"/>
  <c r="R242" i="6"/>
  <c r="R258" i="6"/>
  <c r="R282" i="6"/>
  <c r="R358" i="6"/>
  <c r="R362" i="6"/>
  <c r="O6" i="6"/>
  <c r="R6" i="6"/>
  <c r="S11" i="6"/>
  <c r="S12" i="6" s="1"/>
  <c r="O10" i="6"/>
  <c r="O50" i="6"/>
  <c r="R50" i="6"/>
  <c r="T68" i="6"/>
  <c r="O66" i="6"/>
  <c r="R78" i="6"/>
  <c r="O78" i="6"/>
  <c r="Q90" i="6"/>
  <c r="O90" i="6"/>
  <c r="Q118" i="6"/>
  <c r="R118" i="6"/>
  <c r="O150" i="6"/>
  <c r="S151" i="6"/>
  <c r="S152" i="6" s="1"/>
  <c r="Q178" i="6"/>
  <c r="O178" i="6"/>
  <c r="Q202" i="6"/>
  <c r="R202" i="6"/>
  <c r="O314" i="6"/>
  <c r="Q314" i="6"/>
  <c r="R45" i="6"/>
  <c r="R49" i="6"/>
  <c r="R53" i="6"/>
  <c r="R61" i="6"/>
  <c r="R65" i="6"/>
  <c r="R69" i="6"/>
  <c r="R81" i="6"/>
  <c r="R85" i="6"/>
  <c r="R89" i="6"/>
  <c r="O14" i="6"/>
  <c r="O102" i="6"/>
  <c r="R114" i="6"/>
  <c r="O122" i="6"/>
  <c r="Q174" i="6"/>
  <c r="O129" i="6"/>
  <c r="Q129" i="6"/>
  <c r="S137" i="6"/>
  <c r="S138" i="6" s="1"/>
  <c r="O229" i="6"/>
  <c r="Q229" i="6"/>
  <c r="O249" i="6"/>
  <c r="R249" i="6"/>
  <c r="R93" i="6"/>
  <c r="R101" i="6"/>
  <c r="R7" i="6"/>
  <c r="R11" i="6"/>
  <c r="T37" i="6"/>
  <c r="R43" i="6"/>
  <c r="S53" i="6"/>
  <c r="S54" i="6" s="1"/>
  <c r="R63" i="6"/>
  <c r="R71" i="6"/>
  <c r="R75" i="6"/>
  <c r="R83" i="6"/>
  <c r="S88" i="6"/>
  <c r="S89" i="6" s="1"/>
  <c r="R91" i="6"/>
  <c r="O91" i="6"/>
  <c r="R99" i="6"/>
  <c r="R111" i="6"/>
  <c r="R115" i="6"/>
  <c r="T126" i="6"/>
  <c r="T128" i="6"/>
  <c r="R105" i="6"/>
  <c r="S120" i="6"/>
  <c r="S121" i="6" s="1"/>
  <c r="R125" i="6"/>
  <c r="R129" i="6"/>
  <c r="S134" i="6"/>
  <c r="S135" i="6" s="1"/>
  <c r="R133" i="6"/>
  <c r="R137" i="6"/>
  <c r="R141" i="6"/>
  <c r="R149" i="6"/>
  <c r="R153" i="6"/>
  <c r="R157" i="6"/>
  <c r="R165" i="6"/>
  <c r="S169" i="6"/>
  <c r="S170" i="6" s="1"/>
  <c r="R177" i="6"/>
  <c r="R189" i="6"/>
  <c r="R197" i="6"/>
  <c r="R205" i="6"/>
  <c r="R209" i="6"/>
  <c r="R229" i="6"/>
  <c r="R233" i="6"/>
  <c r="R261" i="6"/>
  <c r="R285" i="6"/>
  <c r="R289" i="6"/>
  <c r="R293" i="6"/>
  <c r="R305" i="6"/>
  <c r="R313" i="6"/>
  <c r="R321" i="6"/>
  <c r="R333" i="6"/>
  <c r="R353" i="6"/>
  <c r="S144" i="6"/>
  <c r="S145" i="6" s="1"/>
  <c r="T149" i="6"/>
  <c r="S158" i="6"/>
  <c r="S159" i="6" s="1"/>
  <c r="R167" i="6"/>
  <c r="T173" i="6"/>
  <c r="R175" i="6"/>
  <c r="R183" i="6"/>
  <c r="R195" i="6"/>
  <c r="T201" i="6"/>
  <c r="T205" i="6"/>
  <c r="S207" i="6"/>
  <c r="S208" i="6" s="1"/>
  <c r="R235" i="6"/>
  <c r="T257" i="6"/>
  <c r="R275" i="6"/>
  <c r="R283" i="6"/>
  <c r="R299" i="6"/>
  <c r="R315" i="6"/>
  <c r="R319" i="6"/>
  <c r="T324" i="6"/>
  <c r="T366" i="6"/>
  <c r="T369" i="6"/>
  <c r="P367" i="10"/>
  <c r="Q289" i="10"/>
  <c r="Q271" i="10"/>
  <c r="Q285" i="10"/>
  <c r="Q349" i="10"/>
  <c r="O367" i="10"/>
  <c r="Q349" i="9"/>
  <c r="R19" i="6"/>
  <c r="S29" i="6"/>
  <c r="S30" i="6" s="1"/>
  <c r="T33" i="6"/>
  <c r="T44" i="6"/>
  <c r="S46" i="6"/>
  <c r="S47" i="6" s="1"/>
  <c r="R67" i="6"/>
  <c r="R103" i="6"/>
  <c r="R107" i="6"/>
  <c r="Q115" i="6"/>
  <c r="P118" i="6"/>
  <c r="O123" i="6"/>
  <c r="T140" i="6"/>
  <c r="O139" i="6"/>
  <c r="O143" i="6"/>
  <c r="S148" i="6"/>
  <c r="S149" i="6" s="1"/>
  <c r="T152" i="6"/>
  <c r="T161" i="6"/>
  <c r="P186" i="6"/>
  <c r="Q263" i="6"/>
  <c r="Q295" i="6"/>
  <c r="R307" i="6"/>
  <c r="N321" i="6"/>
  <c r="N361" i="6"/>
  <c r="R35" i="6"/>
  <c r="P38" i="6"/>
  <c r="Q47" i="6"/>
  <c r="O51" i="6"/>
  <c r="T54" i="6"/>
  <c r="O63" i="6"/>
  <c r="S67" i="6"/>
  <c r="S68" i="6" s="1"/>
  <c r="Q71" i="6"/>
  <c r="T110" i="6"/>
  <c r="P130" i="6"/>
  <c r="S141" i="6"/>
  <c r="S142" i="6" s="1"/>
  <c r="S186" i="6"/>
  <c r="S187" i="6" s="1"/>
  <c r="T194" i="6"/>
  <c r="Q199" i="6"/>
  <c r="T208" i="6"/>
  <c r="O223" i="6"/>
  <c r="Q231" i="6"/>
  <c r="O239" i="6"/>
  <c r="S267" i="6"/>
  <c r="S268" i="6" s="1"/>
  <c r="Q275" i="6"/>
  <c r="O299" i="6"/>
  <c r="P367" i="6"/>
  <c r="R15" i="6"/>
  <c r="R23" i="6"/>
  <c r="R39" i="6"/>
  <c r="T42" i="6"/>
  <c r="Q75" i="6"/>
  <c r="O83" i="6"/>
  <c r="T114" i="6"/>
  <c r="O115" i="6"/>
  <c r="R131" i="6"/>
  <c r="R135" i="6"/>
  <c r="T145" i="6"/>
  <c r="P166" i="6"/>
  <c r="T180" i="6"/>
  <c r="T191" i="6"/>
  <c r="R191" i="6"/>
  <c r="Q195" i="6"/>
  <c r="S200" i="6"/>
  <c r="S201" i="6" s="1"/>
  <c r="O207" i="6"/>
  <c r="R211" i="6"/>
  <c r="S214" i="6"/>
  <c r="S215" i="6" s="1"/>
  <c r="S225" i="6"/>
  <c r="S226" i="6" s="1"/>
  <c r="S253" i="6"/>
  <c r="S254" i="6" s="1"/>
  <c r="T259" i="6"/>
  <c r="R263" i="6"/>
  <c r="Q319" i="6"/>
  <c r="S326" i="6"/>
  <c r="S327" i="6" s="1"/>
  <c r="O19" i="6"/>
  <c r="T23" i="6"/>
  <c r="Q43" i="6"/>
  <c r="R47" i="6"/>
  <c r="O87" i="6"/>
  <c r="T98" i="6"/>
  <c r="O99" i="6"/>
  <c r="Q167" i="6"/>
  <c r="Q171" i="6"/>
  <c r="S172" i="6"/>
  <c r="S173" i="6" s="1"/>
  <c r="N201" i="6"/>
  <c r="T215" i="6"/>
  <c r="R231" i="6"/>
  <c r="S260" i="6"/>
  <c r="S261" i="6" s="1"/>
  <c r="T264" i="6"/>
  <c r="Q283" i="6"/>
  <c r="O35" i="6"/>
  <c r="T56" i="6"/>
  <c r="O55" i="6"/>
  <c r="O71" i="6"/>
  <c r="S102" i="6"/>
  <c r="S103" i="6" s="1"/>
  <c r="S193" i="6"/>
  <c r="S194" i="6" s="1"/>
  <c r="T222" i="6"/>
  <c r="Q299" i="6"/>
  <c r="T103" i="6"/>
  <c r="Q143" i="6"/>
  <c r="Q5" i="6"/>
  <c r="Q7" i="6"/>
  <c r="T14" i="6"/>
  <c r="R29" i="6"/>
  <c r="R37" i="6"/>
  <c r="R52" i="6"/>
  <c r="T63" i="6"/>
  <c r="T5" i="6"/>
  <c r="T12" i="6"/>
  <c r="O16" i="6"/>
  <c r="Q25" i="6"/>
  <c r="R26" i="6"/>
  <c r="R27" i="6"/>
  <c r="O32" i="6"/>
  <c r="Q33" i="6"/>
  <c r="T35" i="6"/>
  <c r="O40" i="6"/>
  <c r="T47" i="6"/>
  <c r="R73" i="6"/>
  <c r="T82" i="6"/>
  <c r="R97" i="6"/>
  <c r="S99" i="6"/>
  <c r="S100" i="6" s="1"/>
  <c r="Q101" i="6"/>
  <c r="T133" i="6"/>
  <c r="P150" i="6"/>
  <c r="S155" i="6"/>
  <c r="S156" i="6" s="1"/>
  <c r="R161" i="6"/>
  <c r="R169" i="6"/>
  <c r="T198" i="6"/>
  <c r="R200" i="6"/>
  <c r="T210" i="6"/>
  <c r="R206" i="6"/>
  <c r="T219" i="6"/>
  <c r="R230" i="6"/>
  <c r="O230" i="6"/>
  <c r="R243" i="6"/>
  <c r="O243" i="6"/>
  <c r="O280" i="6"/>
  <c r="Q280" i="6"/>
  <c r="R280" i="6"/>
  <c r="O329" i="6"/>
  <c r="Q329" i="6"/>
  <c r="R329" i="6"/>
  <c r="Q16" i="6"/>
  <c r="Q17" i="6"/>
  <c r="S18" i="6"/>
  <c r="S19" i="6" s="1"/>
  <c r="T19" i="6"/>
  <c r="R33" i="6"/>
  <c r="O34" i="6"/>
  <c r="R34" i="6"/>
  <c r="S50" i="6"/>
  <c r="S51" i="6" s="1"/>
  <c r="T65" i="6"/>
  <c r="T86" i="6"/>
  <c r="O108" i="6"/>
  <c r="T112" i="6"/>
  <c r="R124" i="6"/>
  <c r="Q124" i="6"/>
  <c r="S127" i="6"/>
  <c r="S128" i="6" s="1"/>
  <c r="T135" i="6"/>
  <c r="S25" i="6"/>
  <c r="S26" i="6" s="1"/>
  <c r="T26" i="6"/>
  <c r="R32" i="6"/>
  <c r="N38" i="6"/>
  <c r="R41" i="6"/>
  <c r="T58" i="6"/>
  <c r="N63" i="6"/>
  <c r="T75" i="6"/>
  <c r="S92" i="6"/>
  <c r="S93" i="6" s="1"/>
  <c r="Q94" i="6"/>
  <c r="T105" i="6"/>
  <c r="S113" i="6"/>
  <c r="S114" i="6" s="1"/>
  <c r="P108" i="6"/>
  <c r="N129" i="6"/>
  <c r="T154" i="6"/>
  <c r="R150" i="6"/>
  <c r="T168" i="6"/>
  <c r="O228" i="6"/>
  <c r="Q228" i="6"/>
  <c r="T236" i="6"/>
  <c r="O270" i="6"/>
  <c r="Q270" i="6"/>
  <c r="R270" i="6"/>
  <c r="P308" i="6"/>
  <c r="O7" i="6"/>
  <c r="O9" i="6"/>
  <c r="N10" i="6"/>
  <c r="O11" i="6"/>
  <c r="O12" i="6"/>
  <c r="O21" i="6"/>
  <c r="R24" i="6"/>
  <c r="O29" i="6"/>
  <c r="S32" i="6"/>
  <c r="S33" i="6" s="1"/>
  <c r="O37" i="6"/>
  <c r="T49" i="6"/>
  <c r="S57" i="6"/>
  <c r="S58" i="6" s="1"/>
  <c r="T61" i="6"/>
  <c r="S64" i="6"/>
  <c r="S65" i="6" s="1"/>
  <c r="T79" i="6"/>
  <c r="S81" i="6"/>
  <c r="S82" i="6" s="1"/>
  <c r="R94" i="6"/>
  <c r="T107" i="6"/>
  <c r="S109" i="6"/>
  <c r="S110" i="6" s="1"/>
  <c r="N122" i="6"/>
  <c r="R123" i="6"/>
  <c r="T124" i="6"/>
  <c r="S123" i="6"/>
  <c r="S124" i="6" s="1"/>
  <c r="Q123" i="6"/>
  <c r="T170" i="6"/>
  <c r="O235" i="6"/>
  <c r="T247" i="6"/>
  <c r="N241" i="6"/>
  <c r="O357" i="6"/>
  <c r="Q357" i="6"/>
  <c r="R357" i="6"/>
  <c r="T357" i="6"/>
  <c r="R17" i="6"/>
  <c r="O5" i="6"/>
  <c r="O8" i="6"/>
  <c r="S15" i="6"/>
  <c r="S16" i="6" s="1"/>
  <c r="R31" i="6"/>
  <c r="Q38" i="6"/>
  <c r="S39" i="6"/>
  <c r="S40" i="6" s="1"/>
  <c r="T40" i="6"/>
  <c r="S60" i="6"/>
  <c r="S61" i="6" s="1"/>
  <c r="T72" i="6"/>
  <c r="S74" i="6"/>
  <c r="S75" i="6" s="1"/>
  <c r="S85" i="6"/>
  <c r="S86" i="6" s="1"/>
  <c r="T96" i="6"/>
  <c r="T121" i="6"/>
  <c r="T142" i="6"/>
  <c r="T231" i="6"/>
  <c r="S228" i="6"/>
  <c r="S229" i="6" s="1"/>
  <c r="R227" i="6"/>
  <c r="T229" i="6"/>
  <c r="Q227" i="6"/>
  <c r="T240" i="6"/>
  <c r="O236" i="6"/>
  <c r="Q236" i="6"/>
  <c r="T273" i="6"/>
  <c r="T271" i="6"/>
  <c r="R269" i="6"/>
  <c r="S270" i="6"/>
  <c r="S271" i="6" s="1"/>
  <c r="Q269" i="6"/>
  <c r="O298" i="6"/>
  <c r="Q298" i="6"/>
  <c r="R298" i="6"/>
  <c r="T301" i="6"/>
  <c r="S298" i="6"/>
  <c r="S299" i="6" s="1"/>
  <c r="S22" i="6"/>
  <c r="S23" i="6" s="1"/>
  <c r="O94" i="6"/>
  <c r="T100" i="6"/>
  <c r="R117" i="6"/>
  <c r="O117" i="6"/>
  <c r="T117" i="6"/>
  <c r="P157" i="6"/>
  <c r="S162" i="6"/>
  <c r="S163" i="6" s="1"/>
  <c r="Q235" i="6"/>
  <c r="O291" i="6"/>
  <c r="Q291" i="6"/>
  <c r="R291" i="6"/>
  <c r="O345" i="6"/>
  <c r="Q345" i="6"/>
  <c r="R345" i="6"/>
  <c r="Q9" i="6"/>
  <c r="Q11" i="6"/>
  <c r="Q6" i="6"/>
  <c r="R8" i="6"/>
  <c r="Q10" i="6"/>
  <c r="R13" i="6"/>
  <c r="O18" i="6"/>
  <c r="N25" i="6"/>
  <c r="O26" i="6"/>
  <c r="N34" i="6"/>
  <c r="O42" i="6"/>
  <c r="Q55" i="6"/>
  <c r="R59" i="6"/>
  <c r="Q62" i="6"/>
  <c r="P63" i="6"/>
  <c r="S71" i="6"/>
  <c r="S72" i="6" s="1"/>
  <c r="R76" i="6"/>
  <c r="S78" i="6"/>
  <c r="S79" i="6" s="1"/>
  <c r="Q80" i="6"/>
  <c r="T89" i="6"/>
  <c r="T91" i="6"/>
  <c r="P94" i="6"/>
  <c r="R104" i="6"/>
  <c r="S106" i="6"/>
  <c r="S107" i="6" s="1"/>
  <c r="Q108" i="6"/>
  <c r="Q111" i="6"/>
  <c r="O111" i="6"/>
  <c r="Q116" i="6"/>
  <c r="T119" i="6"/>
  <c r="R126" i="6"/>
  <c r="O126" i="6"/>
  <c r="Q131" i="6"/>
  <c r="T147" i="6"/>
  <c r="R143" i="6"/>
  <c r="T156" i="6"/>
  <c r="T159" i="6"/>
  <c r="T166" i="6"/>
  <c r="R172" i="6"/>
  <c r="T182" i="6"/>
  <c r="R178" i="6"/>
  <c r="R203" i="6"/>
  <c r="Q230" i="6"/>
  <c r="Q243" i="6"/>
  <c r="T280" i="6"/>
  <c r="S295" i="6"/>
  <c r="S296" i="6" s="1"/>
  <c r="P291" i="6"/>
  <c r="T329" i="6"/>
  <c r="O333" i="6"/>
  <c r="T336" i="6"/>
  <c r="Q333" i="6"/>
  <c r="R38" i="6"/>
  <c r="S4" i="6"/>
  <c r="S5" i="6" s="1"/>
  <c r="T7" i="6"/>
  <c r="R10" i="6"/>
  <c r="R20" i="6"/>
  <c r="Q27" i="6"/>
  <c r="T28" i="6"/>
  <c r="P34" i="6"/>
  <c r="R55" i="6"/>
  <c r="R62" i="6"/>
  <c r="Q73" i="6"/>
  <c r="R80" i="6"/>
  <c r="T93" i="6"/>
  <c r="S95" i="6"/>
  <c r="S96" i="6" s="1"/>
  <c r="Q97" i="6"/>
  <c r="R108" i="6"/>
  <c r="S116" i="6"/>
  <c r="S117" i="6" s="1"/>
  <c r="O124" i="6"/>
  <c r="T138" i="6"/>
  <c r="T184" i="6"/>
  <c r="R186" i="6"/>
  <c r="T196" i="6"/>
  <c r="R192" i="6"/>
  <c r="R217" i="6"/>
  <c r="R228" i="6"/>
  <c r="T243" i="6"/>
  <c r="N247" i="6"/>
  <c r="T292" i="6"/>
  <c r="R290" i="6"/>
  <c r="T294" i="6"/>
  <c r="S291" i="6"/>
  <c r="S292" i="6" s="1"/>
  <c r="Q290" i="6"/>
  <c r="O341" i="6"/>
  <c r="Q341" i="6"/>
  <c r="R341" i="6"/>
  <c r="Q63" i="6"/>
  <c r="Q74" i="6"/>
  <c r="Q77" i="6"/>
  <c r="Q78" i="6"/>
  <c r="Q79" i="6"/>
  <c r="Q81" i="6"/>
  <c r="Q82" i="6"/>
  <c r="Q84" i="6"/>
  <c r="Q85" i="6"/>
  <c r="Q86" i="6"/>
  <c r="Q88" i="6"/>
  <c r="Q89" i="6"/>
  <c r="Q91" i="6"/>
  <c r="Q92" i="6"/>
  <c r="Q93" i="6"/>
  <c r="Q95" i="6"/>
  <c r="Q96" i="6"/>
  <c r="Q98" i="6"/>
  <c r="Q99" i="6"/>
  <c r="Q100" i="6"/>
  <c r="Q102" i="6"/>
  <c r="Q103" i="6"/>
  <c r="Q105" i="6"/>
  <c r="Q106" i="6"/>
  <c r="Q107" i="6"/>
  <c r="Q109" i="6"/>
  <c r="Q110" i="6"/>
  <c r="R119" i="6"/>
  <c r="Q119" i="6"/>
  <c r="R127" i="6"/>
  <c r="Q127" i="6"/>
  <c r="T175" i="6"/>
  <c r="R171" i="6"/>
  <c r="T189" i="6"/>
  <c r="R185" i="6"/>
  <c r="T203" i="6"/>
  <c r="R199" i="6"/>
  <c r="T217" i="6"/>
  <c r="R213" i="6"/>
  <c r="R216" i="6"/>
  <c r="T233" i="6"/>
  <c r="R237" i="6"/>
  <c r="O237" i="6"/>
  <c r="R244" i="6"/>
  <c r="O301" i="6"/>
  <c r="Q301" i="6"/>
  <c r="O312" i="6"/>
  <c r="Q312" i="6"/>
  <c r="R312" i="6"/>
  <c r="T338" i="6"/>
  <c r="O349" i="6"/>
  <c r="T350" i="6"/>
  <c r="Q349" i="6"/>
  <c r="Q114" i="6"/>
  <c r="Q130" i="6"/>
  <c r="R147" i="6"/>
  <c r="R151" i="6"/>
  <c r="R159" i="6"/>
  <c r="R163" i="6"/>
  <c r="R179" i="6"/>
  <c r="R182" i="6"/>
  <c r="R193" i="6"/>
  <c r="R196" i="6"/>
  <c r="R207" i="6"/>
  <c r="R210" i="6"/>
  <c r="T226" i="6"/>
  <c r="R221" i="6"/>
  <c r="Q242" i="6"/>
  <c r="T287" i="6"/>
  <c r="O283" i="6"/>
  <c r="S284" i="6"/>
  <c r="S285" i="6" s="1"/>
  <c r="S312" i="6"/>
  <c r="S313" i="6" s="1"/>
  <c r="T315" i="6"/>
  <c r="S323" i="6"/>
  <c r="S324" i="6" s="1"/>
  <c r="T355" i="6"/>
  <c r="O353" i="6"/>
  <c r="S354" i="6"/>
  <c r="S355" i="6" s="1"/>
  <c r="Q353" i="6"/>
  <c r="N94" i="6"/>
  <c r="N108" i="6"/>
  <c r="R113" i="6"/>
  <c r="Q113" i="6"/>
  <c r="O119" i="6"/>
  <c r="R121" i="6"/>
  <c r="Q121" i="6"/>
  <c r="O127" i="6"/>
  <c r="P129" i="6"/>
  <c r="S130" i="6"/>
  <c r="S131" i="6" s="1"/>
  <c r="T131" i="6"/>
  <c r="T163" i="6"/>
  <c r="R176" i="6"/>
  <c r="N178" i="6"/>
  <c r="R190" i="6"/>
  <c r="N192" i="6"/>
  <c r="R204" i="6"/>
  <c r="N206" i="6"/>
  <c r="R218" i="6"/>
  <c r="N220" i="6"/>
  <c r="R226" i="6"/>
  <c r="S221" i="6"/>
  <c r="S222" i="6" s="1"/>
  <c r="Q226" i="6"/>
  <c r="Q237" i="6"/>
  <c r="T254" i="6"/>
  <c r="R301" i="6"/>
  <c r="O315" i="6"/>
  <c r="Q315" i="6"/>
  <c r="O326" i="6"/>
  <c r="Q326" i="6"/>
  <c r="R326" i="6"/>
  <c r="O340" i="6"/>
  <c r="S340" i="6"/>
  <c r="S341" i="6" s="1"/>
  <c r="R349" i="6"/>
  <c r="P363" i="6"/>
  <c r="S365" i="6"/>
  <c r="S366" i="6" s="1"/>
  <c r="R112" i="6"/>
  <c r="Q112" i="6"/>
  <c r="R120" i="6"/>
  <c r="Q120" i="6"/>
  <c r="R128" i="6"/>
  <c r="Q128" i="6"/>
  <c r="R134" i="6"/>
  <c r="R138" i="6"/>
  <c r="R142" i="6"/>
  <c r="R154" i="6"/>
  <c r="R158" i="6"/>
  <c r="R162" i="6"/>
  <c r="R166" i="6"/>
  <c r="R170" i="6"/>
  <c r="R173" i="6"/>
  <c r="R184" i="6"/>
  <c r="R187" i="6"/>
  <c r="T187" i="6"/>
  <c r="R198" i="6"/>
  <c r="R201" i="6"/>
  <c r="R212" i="6"/>
  <c r="R215" i="6"/>
  <c r="N248" i="6"/>
  <c r="T268" i="6"/>
  <c r="O281" i="6"/>
  <c r="Q281" i="6"/>
  <c r="R281" i="6"/>
  <c r="S309" i="6"/>
  <c r="S310" i="6" s="1"/>
  <c r="S176" i="6"/>
  <c r="S177" i="6" s="1"/>
  <c r="S183" i="6"/>
  <c r="S184" i="6" s="1"/>
  <c r="S190" i="6"/>
  <c r="S191" i="6" s="1"/>
  <c r="S197" i="6"/>
  <c r="S198" i="6" s="1"/>
  <c r="S204" i="6"/>
  <c r="S205" i="6" s="1"/>
  <c r="S211" i="6"/>
  <c r="S212" i="6" s="1"/>
  <c r="S218" i="6"/>
  <c r="S219" i="6" s="1"/>
  <c r="Q238" i="6"/>
  <c r="R250" i="6"/>
  <c r="T250" i="6"/>
  <c r="R253" i="6"/>
  <c r="R267" i="6"/>
  <c r="O271" i="6"/>
  <c r="Q271" i="6"/>
  <c r="R278" i="6"/>
  <c r="O302" i="6"/>
  <c r="Q302" i="6"/>
  <c r="O306" i="6"/>
  <c r="T308" i="6"/>
  <c r="O316" i="6"/>
  <c r="Q316" i="6"/>
  <c r="O320" i="6"/>
  <c r="T322" i="6"/>
  <c r="S351" i="6"/>
  <c r="S352" i="6" s="1"/>
  <c r="P346" i="6"/>
  <c r="R361" i="6"/>
  <c r="R365" i="6"/>
  <c r="S361" i="6"/>
  <c r="S362" i="6" s="1"/>
  <c r="T371" i="6"/>
  <c r="Q225" i="6"/>
  <c r="S232" i="6"/>
  <c r="S233" i="6" s="1"/>
  <c r="Q233" i="6"/>
  <c r="T238" i="6"/>
  <c r="S235" i="6"/>
  <c r="S236" i="6" s="1"/>
  <c r="R234" i="6"/>
  <c r="Q234" i="6"/>
  <c r="R254" i="6"/>
  <c r="O267" i="6"/>
  <c r="S274" i="6"/>
  <c r="S275" i="6" s="1"/>
  <c r="R271" i="6"/>
  <c r="R274" i="6"/>
  <c r="O278" i="6"/>
  <c r="S288" i="6"/>
  <c r="S289" i="6" s="1"/>
  <c r="P283" i="6"/>
  <c r="N284" i="6"/>
  <c r="T289" i="6"/>
  <c r="R287" i="6"/>
  <c r="Q292" i="6"/>
  <c r="R302" i="6"/>
  <c r="Q306" i="6"/>
  <c r="R316" i="6"/>
  <c r="Q320" i="6"/>
  <c r="S330" i="6"/>
  <c r="S331" i="6" s="1"/>
  <c r="S333" i="6"/>
  <c r="S334" i="6" s="1"/>
  <c r="Q334" i="6"/>
  <c r="O335" i="6"/>
  <c r="Q335" i="6"/>
  <c r="T341" i="6"/>
  <c r="T343" i="6"/>
  <c r="R339" i="6"/>
  <c r="S358" i="6"/>
  <c r="S359" i="6" s="1"/>
  <c r="Q133" i="6"/>
  <c r="Q134" i="6"/>
  <c r="Q135" i="6"/>
  <c r="Q137" i="6"/>
  <c r="Q138" i="6"/>
  <c r="Q140" i="6"/>
  <c r="Q141" i="6"/>
  <c r="Q142" i="6"/>
  <c r="Q144" i="6"/>
  <c r="Q145" i="6"/>
  <c r="Q147" i="6"/>
  <c r="Q148" i="6"/>
  <c r="Q149" i="6"/>
  <c r="Q151" i="6"/>
  <c r="Q152" i="6"/>
  <c r="Q154" i="6"/>
  <c r="Q155" i="6"/>
  <c r="Q156" i="6"/>
  <c r="Q158" i="6"/>
  <c r="Q159" i="6"/>
  <c r="Q161" i="6"/>
  <c r="Q162" i="6"/>
  <c r="Q163" i="6"/>
  <c r="Q165" i="6"/>
  <c r="Q166" i="6"/>
  <c r="Q168" i="6"/>
  <c r="Q169" i="6"/>
  <c r="Q170" i="6"/>
  <c r="Q172" i="6"/>
  <c r="Q173" i="6"/>
  <c r="Q175" i="6"/>
  <c r="Q176" i="6"/>
  <c r="Q177" i="6"/>
  <c r="Q179" i="6"/>
  <c r="Q180" i="6"/>
  <c r="Q182" i="6"/>
  <c r="Q183" i="6"/>
  <c r="Q184" i="6"/>
  <c r="P185" i="6"/>
  <c r="Q186" i="6"/>
  <c r="Q187" i="6"/>
  <c r="Q189" i="6"/>
  <c r="Q190" i="6"/>
  <c r="Q191" i="6"/>
  <c r="Q193" i="6"/>
  <c r="Q194" i="6"/>
  <c r="Q196" i="6"/>
  <c r="Q197" i="6"/>
  <c r="Q198" i="6"/>
  <c r="Q200" i="6"/>
  <c r="Q201" i="6"/>
  <c r="Q203" i="6"/>
  <c r="Q204" i="6"/>
  <c r="Q205" i="6"/>
  <c r="Q207" i="6"/>
  <c r="Q208" i="6"/>
  <c r="Q210" i="6"/>
  <c r="Q211" i="6"/>
  <c r="Q212" i="6"/>
  <c r="Q214" i="6"/>
  <c r="Q215" i="6"/>
  <c r="P216" i="6"/>
  <c r="Q217" i="6"/>
  <c r="Q218" i="6"/>
  <c r="Q219" i="6"/>
  <c r="P220" i="6"/>
  <c r="Q221" i="6"/>
  <c r="Q222" i="6"/>
  <c r="Q224" i="6"/>
  <c r="Q232" i="6"/>
  <c r="S239" i="6"/>
  <c r="S240" i="6" s="1"/>
  <c r="Q240" i="6"/>
  <c r="T245" i="6"/>
  <c r="S242" i="6"/>
  <c r="S243" i="6" s="1"/>
  <c r="R241" i="6"/>
  <c r="Q241" i="6"/>
  <c r="R245" i="6"/>
  <c r="T252" i="6"/>
  <c r="R251" i="6"/>
  <c r="R265" i="6"/>
  <c r="N273" i="6"/>
  <c r="T275" i="6"/>
  <c r="R276" i="6"/>
  <c r="Q279" i="6"/>
  <c r="T282" i="6"/>
  <c r="R292" i="6"/>
  <c r="Q296" i="6"/>
  <c r="T299" i="6"/>
  <c r="O297" i="6"/>
  <c r="R297" i="6"/>
  <c r="S302" i="6"/>
  <c r="S303" i="6" s="1"/>
  <c r="S305" i="6"/>
  <c r="S306" i="6" s="1"/>
  <c r="R306" i="6"/>
  <c r="Q310" i="6"/>
  <c r="T313" i="6"/>
  <c r="O311" i="6"/>
  <c r="R311" i="6"/>
  <c r="S316" i="6"/>
  <c r="S317" i="6" s="1"/>
  <c r="S319" i="6"/>
  <c r="S320" i="6" s="1"/>
  <c r="R320" i="6"/>
  <c r="Q324" i="6"/>
  <c r="T327" i="6"/>
  <c r="O325" i="6"/>
  <c r="R325" i="6"/>
  <c r="S337" i="6"/>
  <c r="S338" i="6" s="1"/>
  <c r="R334" i="6"/>
  <c r="S344" i="6"/>
  <c r="S345" i="6" s="1"/>
  <c r="R155" i="6"/>
  <c r="Q185" i="6"/>
  <c r="Q216" i="6"/>
  <c r="T224" i="6"/>
  <c r="Q220" i="6"/>
  <c r="S246" i="6"/>
  <c r="S247" i="6" s="1"/>
  <c r="T261" i="6"/>
  <c r="S263" i="6"/>
  <c r="S264" i="6" s="1"/>
  <c r="Q267" i="6"/>
  <c r="N277" i="6"/>
  <c r="O282" i="6"/>
  <c r="Q282" i="6"/>
  <c r="R296" i="6"/>
  <c r="R310" i="6"/>
  <c r="R324" i="6"/>
  <c r="O330" i="6"/>
  <c r="Q330" i="6"/>
  <c r="T348" i="6"/>
  <c r="O346" i="6"/>
  <c r="S347" i="6"/>
  <c r="S348" i="6" s="1"/>
  <c r="O350" i="6"/>
  <c r="Q350" i="6"/>
  <c r="O354" i="6"/>
  <c r="Q354" i="6"/>
  <c r="O358" i="6"/>
  <c r="Q358" i="6"/>
  <c r="Q361" i="6"/>
  <c r="O362" i="6"/>
  <c r="Q362" i="6"/>
  <c r="Q365" i="6"/>
  <c r="O366" i="6"/>
  <c r="Q366" i="6"/>
  <c r="R367" i="6"/>
  <c r="R273" i="6"/>
  <c r="R284" i="6"/>
  <c r="T345" i="6"/>
  <c r="R342" i="6"/>
  <c r="T359" i="6"/>
  <c r="R363" i="6"/>
  <c r="R368" i="6"/>
  <c r="Q245" i="6"/>
  <c r="Q246" i="6"/>
  <c r="Q247" i="6"/>
  <c r="Q249" i="6"/>
  <c r="Q250" i="6"/>
  <c r="Q252" i="6"/>
  <c r="Q253" i="6"/>
  <c r="Q254" i="6"/>
  <c r="O273" i="6"/>
  <c r="R277" i="6"/>
  <c r="O284" i="6"/>
  <c r="Q287" i="6"/>
  <c r="R295" i="6"/>
  <c r="R309" i="6"/>
  <c r="R323" i="6"/>
  <c r="Q328" i="6"/>
  <c r="Q337" i="6"/>
  <c r="R338" i="6"/>
  <c r="O342" i="6"/>
  <c r="Q343" i="6"/>
  <c r="R344" i="6"/>
  <c r="R348" i="6"/>
  <c r="R352" i="6"/>
  <c r="Q356" i="6"/>
  <c r="O363" i="6"/>
  <c r="R364" i="6"/>
  <c r="Q244" i="6"/>
  <c r="R247" i="6"/>
  <c r="Q248" i="6"/>
  <c r="Q251" i="6"/>
  <c r="Q255" i="6"/>
  <c r="Q258" i="6"/>
  <c r="Q262" i="6"/>
  <c r="Q265" i="6"/>
  <c r="T266" i="6"/>
  <c r="Q276" i="6"/>
  <c r="S277" i="6"/>
  <c r="S278" i="6" s="1"/>
  <c r="T278" i="6"/>
  <c r="Q294" i="6"/>
  <c r="Q303" i="6"/>
  <c r="T306" i="6"/>
  <c r="Q304" i="6"/>
  <c r="Q308" i="6"/>
  <c r="Q317" i="6"/>
  <c r="T320" i="6"/>
  <c r="Q318" i="6"/>
  <c r="Q322" i="6"/>
  <c r="T331" i="6"/>
  <c r="Q331" i="6"/>
  <c r="T334" i="6"/>
  <c r="R332" i="6"/>
  <c r="R337" i="6"/>
  <c r="R343" i="6"/>
  <c r="T352" i="6"/>
  <c r="Q347" i="6"/>
  <c r="Q351" i="6"/>
  <c r="Q355" i="6"/>
  <c r="Q359" i="6"/>
  <c r="T362" i="6"/>
  <c r="R360" i="6"/>
  <c r="T364" i="6"/>
  <c r="O367" i="6"/>
  <c r="S368" i="6"/>
  <c r="S369" i="6" s="1"/>
  <c r="R248" i="6"/>
  <c r="S249" i="6"/>
  <c r="S250" i="6" s="1"/>
  <c r="R255" i="6"/>
  <c r="S256" i="6"/>
  <c r="S257" i="6" s="1"/>
  <c r="R262" i="6"/>
  <c r="N291" i="6"/>
  <c r="T296" i="6"/>
  <c r="R294" i="6"/>
  <c r="R303" i="6"/>
  <c r="R304" i="6"/>
  <c r="R308" i="6"/>
  <c r="R317" i="6"/>
  <c r="R318" i="6"/>
  <c r="R322" i="6"/>
  <c r="R331" i="6"/>
  <c r="R336" i="6"/>
  <c r="R347" i="6"/>
  <c r="R351" i="6"/>
  <c r="R355" i="6"/>
  <c r="R359" i="6"/>
  <c r="N332" i="6"/>
  <c r="N339" i="6"/>
  <c r="N346" i="6"/>
  <c r="N353" i="6"/>
  <c r="N360" i="6"/>
  <c r="T303" i="6"/>
  <c r="T310" i="6"/>
  <c r="T317" i="6"/>
  <c r="N367" i="6"/>
  <c r="Q368" i="6"/>
  <c r="N252" i="1"/>
  <c r="N271" i="1"/>
  <c r="N275" i="1"/>
  <c r="N276" i="1"/>
  <c r="N277" i="1"/>
  <c r="N278" i="1"/>
  <c r="N279" i="1"/>
  <c r="N281" i="1"/>
  <c r="N284" i="1"/>
  <c r="N285" i="1"/>
  <c r="N286" i="1"/>
  <c r="N287" i="1"/>
  <c r="N288" i="1"/>
  <c r="N289" i="1"/>
  <c r="N291" i="1"/>
  <c r="N292" i="1"/>
  <c r="N293" i="1"/>
  <c r="N294" i="1"/>
  <c r="N295" i="1"/>
  <c r="N296" i="1"/>
  <c r="N297" i="1"/>
  <c r="N298" i="1"/>
  <c r="N300" i="1"/>
  <c r="N302" i="1"/>
  <c r="N303" i="1"/>
  <c r="N304" i="1"/>
  <c r="N305" i="1"/>
  <c r="N306" i="1"/>
  <c r="N307" i="1"/>
  <c r="N308" i="1"/>
  <c r="N309" i="1"/>
  <c r="N311" i="1"/>
  <c r="N312" i="1"/>
  <c r="N313" i="1"/>
  <c r="N314" i="1"/>
  <c r="N315" i="1"/>
  <c r="N316" i="1"/>
  <c r="N317" i="1"/>
  <c r="N318" i="1"/>
  <c r="N319" i="1"/>
  <c r="N320" i="1"/>
  <c r="N321" i="1"/>
  <c r="N323" i="1"/>
  <c r="N324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50" i="1"/>
  <c r="N351" i="1"/>
  <c r="N353" i="1"/>
  <c r="N355" i="1"/>
  <c r="N356" i="1"/>
  <c r="N358" i="1"/>
  <c r="N359" i="1"/>
  <c r="N360" i="1"/>
  <c r="N361" i="1"/>
  <c r="N365" i="1"/>
  <c r="N366" i="1"/>
  <c r="N367" i="1"/>
  <c r="N368" i="1"/>
  <c r="Q181" i="1"/>
  <c r="P264" i="1"/>
  <c r="P279" i="1"/>
  <c r="P283" i="1"/>
  <c r="P286" i="1"/>
  <c r="P287" i="1"/>
  <c r="P289" i="1"/>
  <c r="P291" i="1"/>
  <c r="P295" i="1"/>
  <c r="P296" i="1"/>
  <c r="P300" i="1"/>
  <c r="P303" i="1"/>
  <c r="P305" i="1"/>
  <c r="P307" i="1"/>
  <c r="P308" i="1"/>
  <c r="P309" i="1"/>
  <c r="P311" i="1"/>
  <c r="P319" i="1"/>
  <c r="P324" i="1"/>
  <c r="P326" i="1"/>
  <c r="P334" i="1"/>
  <c r="P337" i="1"/>
  <c r="P345" i="1"/>
  <c r="P353" i="1"/>
  <c r="P358" i="1"/>
  <c r="P361" i="1"/>
  <c r="O53" i="1"/>
  <c r="N56" i="1"/>
  <c r="N67" i="1"/>
  <c r="R70" i="1"/>
  <c r="Q78" i="1"/>
  <c r="R87" i="1"/>
  <c r="N94" i="1"/>
  <c r="R102" i="1"/>
  <c r="R104" i="1"/>
  <c r="Q115" i="1"/>
  <c r="R118" i="1"/>
  <c r="R134" i="1"/>
  <c r="O149" i="1"/>
  <c r="N157" i="1"/>
  <c r="R160" i="1"/>
  <c r="N165" i="1"/>
  <c r="N174" i="1"/>
  <c r="Q179" i="1"/>
  <c r="O182" i="1"/>
  <c r="N189" i="1"/>
  <c r="N197" i="1"/>
  <c r="N205" i="1"/>
  <c r="R215" i="1"/>
  <c r="R239" i="1"/>
  <c r="N261" i="1"/>
  <c r="R263" i="1"/>
  <c r="Q277" i="1"/>
  <c r="Q281" i="1"/>
  <c r="Q283" i="1"/>
  <c r="O296" i="1"/>
  <c r="Q299" i="1"/>
  <c r="O319" i="1"/>
  <c r="Q320" i="1"/>
  <c r="Q322" i="1"/>
  <c r="Q323" i="1"/>
  <c r="O333" i="1"/>
  <c r="O337" i="1"/>
  <c r="Q342" i="1"/>
  <c r="O351" i="1"/>
  <c r="Q352" i="1"/>
  <c r="O353" i="1"/>
  <c r="O359" i="1"/>
  <c r="O363" i="1"/>
  <c r="Q365" i="1"/>
  <c r="Q367" i="1"/>
  <c r="P20" i="1"/>
  <c r="P28" i="1"/>
  <c r="P29" i="1"/>
  <c r="P36" i="1"/>
  <c r="P61" i="1"/>
  <c r="P76" i="1"/>
  <c r="P92" i="1"/>
  <c r="P108" i="1"/>
  <c r="P109" i="1"/>
  <c r="P133" i="1"/>
  <c r="O18" i="1"/>
  <c r="O89" i="1"/>
  <c r="AH17" i="8"/>
  <c r="AH18" i="8"/>
  <c r="AH19" i="8"/>
  <c r="AH20" i="8"/>
  <c r="AH21" i="8"/>
  <c r="AH22" i="8"/>
  <c r="AH23" i="8"/>
  <c r="AE17" i="8"/>
  <c r="AE18" i="8"/>
  <c r="AK18" i="8" s="1"/>
  <c r="AE19" i="8"/>
  <c r="AE20" i="8"/>
  <c r="AK20" i="8" s="1"/>
  <c r="AE21" i="8"/>
  <c r="AE22" i="8"/>
  <c r="AK22" i="8" s="1"/>
  <c r="AE23" i="8"/>
  <c r="Y17" i="8"/>
  <c r="Y18" i="8"/>
  <c r="Y19" i="8"/>
  <c r="Y20" i="8"/>
  <c r="Y21" i="8"/>
  <c r="Y22" i="8"/>
  <c r="Y23" i="8"/>
  <c r="V17" i="8"/>
  <c r="V18" i="8"/>
  <c r="V19" i="8"/>
  <c r="AB19" i="8" s="1"/>
  <c r="V20" i="8"/>
  <c r="AB20" i="8" s="1"/>
  <c r="V21" i="8"/>
  <c r="AB21" i="8" s="1"/>
  <c r="V22" i="8"/>
  <c r="V23" i="8"/>
  <c r="P17" i="8"/>
  <c r="P18" i="8"/>
  <c r="P19" i="8"/>
  <c r="P20" i="8"/>
  <c r="P21" i="8"/>
  <c r="P22" i="8"/>
  <c r="P23" i="8"/>
  <c r="M17" i="8"/>
  <c r="M18" i="8"/>
  <c r="M19" i="8"/>
  <c r="S19" i="8" s="1"/>
  <c r="M20" i="8"/>
  <c r="M21" i="8"/>
  <c r="M22" i="8"/>
  <c r="M23" i="8"/>
  <c r="G17" i="8"/>
  <c r="G18" i="8"/>
  <c r="G19" i="8"/>
  <c r="G20" i="8"/>
  <c r="G21" i="8"/>
  <c r="G22" i="8"/>
  <c r="G23" i="8"/>
  <c r="D17" i="8"/>
  <c r="D18" i="8"/>
  <c r="D19" i="8"/>
  <c r="D20" i="8"/>
  <c r="D21" i="8"/>
  <c r="D22" i="8"/>
  <c r="D23" i="8"/>
  <c r="AH16" i="8"/>
  <c r="AE16" i="8"/>
  <c r="AK16" i="8" s="1"/>
  <c r="Y16" i="8"/>
  <c r="V16" i="8"/>
  <c r="P16" i="8"/>
  <c r="M16" i="8"/>
  <c r="G16" i="8"/>
  <c r="AM11" i="8"/>
  <c r="R101" i="5" s="1"/>
  <c r="P101" i="5"/>
  <c r="AM9" i="8"/>
  <c r="N101" i="5" s="1"/>
  <c r="AM8" i="8"/>
  <c r="L101" i="5" s="1"/>
  <c r="AM7" i="8"/>
  <c r="J101" i="5" s="1"/>
  <c r="AM6" i="8"/>
  <c r="H101" i="5" s="1"/>
  <c r="AM5" i="8"/>
  <c r="F101" i="5" s="1"/>
  <c r="AM4" i="8"/>
  <c r="D101" i="5" s="1"/>
  <c r="AJ11" i="8"/>
  <c r="R100" i="5" s="1"/>
  <c r="AJ10" i="8"/>
  <c r="P100" i="5" s="1"/>
  <c r="AJ9" i="8"/>
  <c r="N100" i="5" s="1"/>
  <c r="AJ8" i="8"/>
  <c r="L100" i="5" s="1"/>
  <c r="J100" i="5"/>
  <c r="AJ6" i="8"/>
  <c r="H100" i="5" s="1"/>
  <c r="F100" i="5"/>
  <c r="AJ4" i="8"/>
  <c r="D100" i="5" s="1"/>
  <c r="AG11" i="8"/>
  <c r="R99" i="5" s="1"/>
  <c r="AG10" i="8"/>
  <c r="P99" i="5" s="1"/>
  <c r="AG9" i="8"/>
  <c r="N99" i="5" s="1"/>
  <c r="AG8" i="8"/>
  <c r="L99" i="5" s="1"/>
  <c r="AG7" i="8"/>
  <c r="J99" i="5" s="1"/>
  <c r="AG6" i="8"/>
  <c r="H99" i="5" s="1"/>
  <c r="AG5" i="8"/>
  <c r="F99" i="5" s="1"/>
  <c r="AG4" i="8"/>
  <c r="D99" i="5" s="1"/>
  <c r="AD11" i="8"/>
  <c r="R98" i="5" s="1"/>
  <c r="AD10" i="8"/>
  <c r="P98" i="5" s="1"/>
  <c r="AD9" i="8"/>
  <c r="N98" i="5" s="1"/>
  <c r="AD8" i="8"/>
  <c r="L98" i="5" s="1"/>
  <c r="AD7" i="8"/>
  <c r="J98" i="5" s="1"/>
  <c r="AD6" i="8"/>
  <c r="H98" i="5" s="1"/>
  <c r="AD5" i="8"/>
  <c r="F98" i="5" s="1"/>
  <c r="AD4" i="8"/>
  <c r="D98" i="5" s="1"/>
  <c r="R97" i="5"/>
  <c r="AA10" i="8"/>
  <c r="P97" i="5" s="1"/>
  <c r="AA9" i="8"/>
  <c r="AA8" i="8"/>
  <c r="L97" i="5" s="1"/>
  <c r="AA7" i="8"/>
  <c r="J97" i="5" s="1"/>
  <c r="AA6" i="8"/>
  <c r="H97" i="5" s="1"/>
  <c r="AA5" i="8"/>
  <c r="F97" i="5" s="1"/>
  <c r="AA4" i="8"/>
  <c r="D97" i="5" s="1"/>
  <c r="X11" i="8"/>
  <c r="R96" i="5" s="1"/>
  <c r="X10" i="8"/>
  <c r="P96" i="5" s="1"/>
  <c r="X9" i="8"/>
  <c r="N96" i="5" s="1"/>
  <c r="X8" i="8"/>
  <c r="L96" i="5" s="1"/>
  <c r="X7" i="8"/>
  <c r="J96" i="5" s="1"/>
  <c r="X6" i="8"/>
  <c r="H96" i="5" s="1"/>
  <c r="X5" i="8"/>
  <c r="F96" i="5" s="1"/>
  <c r="X4" i="8"/>
  <c r="U11" i="8"/>
  <c r="R95" i="5" s="1"/>
  <c r="U10" i="8"/>
  <c r="P95" i="5" s="1"/>
  <c r="U9" i="8"/>
  <c r="N95" i="5" s="1"/>
  <c r="U8" i="8"/>
  <c r="L95" i="5" s="1"/>
  <c r="U7" i="8"/>
  <c r="U6" i="8"/>
  <c r="H95" i="5" s="1"/>
  <c r="U5" i="8"/>
  <c r="F95" i="5" s="1"/>
  <c r="U4" i="8"/>
  <c r="D95" i="5" s="1"/>
  <c r="R11" i="8"/>
  <c r="R94" i="5" s="1"/>
  <c r="R10" i="8"/>
  <c r="P94" i="5" s="1"/>
  <c r="R9" i="8"/>
  <c r="N94" i="5" s="1"/>
  <c r="R8" i="8"/>
  <c r="L94" i="5" s="1"/>
  <c r="R7" i="8"/>
  <c r="J94" i="5" s="1"/>
  <c r="R6" i="8"/>
  <c r="H94" i="5" s="1"/>
  <c r="R5" i="8"/>
  <c r="F94" i="5" s="1"/>
  <c r="R4" i="8"/>
  <c r="D94" i="5" s="1"/>
  <c r="O11" i="8"/>
  <c r="R93" i="5" s="1"/>
  <c r="O10" i="8"/>
  <c r="P93" i="5" s="1"/>
  <c r="O9" i="8"/>
  <c r="N93" i="5" s="1"/>
  <c r="O8" i="8"/>
  <c r="L93" i="5" s="1"/>
  <c r="O7" i="8"/>
  <c r="J93" i="5" s="1"/>
  <c r="O6" i="8"/>
  <c r="H93" i="5" s="1"/>
  <c r="O5" i="8"/>
  <c r="F93" i="5" s="1"/>
  <c r="O4" i="8"/>
  <c r="D93" i="5" s="1"/>
  <c r="L11" i="8"/>
  <c r="R92" i="5" s="1"/>
  <c r="L10" i="8"/>
  <c r="P92" i="5" s="1"/>
  <c r="L9" i="8"/>
  <c r="N92" i="5" s="1"/>
  <c r="L8" i="8"/>
  <c r="L92" i="5" s="1"/>
  <c r="L7" i="8"/>
  <c r="J92" i="5" s="1"/>
  <c r="L6" i="8"/>
  <c r="H92" i="5" s="1"/>
  <c r="L5" i="8"/>
  <c r="F92" i="5" s="1"/>
  <c r="I11" i="8"/>
  <c r="R91" i="5" s="1"/>
  <c r="P91" i="5"/>
  <c r="I9" i="8"/>
  <c r="N91" i="5" s="1"/>
  <c r="L91" i="5"/>
  <c r="I7" i="8"/>
  <c r="J91" i="5" s="1"/>
  <c r="H91" i="5"/>
  <c r="I5" i="8"/>
  <c r="F91" i="5" s="1"/>
  <c r="I4" i="8"/>
  <c r="D91" i="5" s="1"/>
  <c r="F5" i="8"/>
  <c r="F6" i="8"/>
  <c r="F7" i="8"/>
  <c r="J90" i="5" s="1"/>
  <c r="L90" i="5"/>
  <c r="F9" i="8"/>
  <c r="N90" i="5" s="1"/>
  <c r="F10" i="8"/>
  <c r="P90" i="5" s="1"/>
  <c r="R90" i="5"/>
  <c r="F4" i="8"/>
  <c r="D90" i="5" s="1"/>
  <c r="D16" i="8"/>
  <c r="N349" i="1"/>
  <c r="N310" i="1"/>
  <c r="N301" i="1"/>
  <c r="N325" i="1"/>
  <c r="P83" i="7"/>
  <c r="Y5" i="7"/>
  <c r="Y10" i="7"/>
  <c r="Y25" i="7"/>
  <c r="Y20" i="7"/>
  <c r="R73" i="12"/>
  <c r="R129" i="12"/>
  <c r="R141" i="12"/>
  <c r="P250" i="12"/>
  <c r="P254" i="12"/>
  <c r="O9" i="12"/>
  <c r="O33" i="12"/>
  <c r="O49" i="12"/>
  <c r="O81" i="12"/>
  <c r="O87" i="12"/>
  <c r="O107" i="12"/>
  <c r="O141" i="12"/>
  <c r="O155" i="12"/>
  <c r="O159" i="12"/>
  <c r="O163" i="12"/>
  <c r="O175" i="12"/>
  <c r="O227" i="12"/>
  <c r="O239" i="12"/>
  <c r="N241" i="12"/>
  <c r="O245" i="12"/>
  <c r="Q251" i="12"/>
  <c r="N253" i="12"/>
  <c r="P251" i="12"/>
  <c r="R172" i="12"/>
  <c r="O174" i="12"/>
  <c r="R180" i="12"/>
  <c r="O184" i="12"/>
  <c r="O186" i="12"/>
  <c r="R188" i="12"/>
  <c r="O200" i="12"/>
  <c r="O204" i="12"/>
  <c r="O206" i="12"/>
  <c r="O214" i="12"/>
  <c r="O216" i="12"/>
  <c r="T222" i="12"/>
  <c r="O222" i="12"/>
  <c r="R224" i="12"/>
  <c r="Q232" i="12"/>
  <c r="O234" i="12"/>
  <c r="T240" i="12"/>
  <c r="R236" i="12"/>
  <c r="R240" i="12"/>
  <c r="Q244" i="12"/>
  <c r="Q248" i="12"/>
  <c r="N250" i="12"/>
  <c r="Q252" i="12"/>
  <c r="N254" i="12"/>
  <c r="S141" i="12"/>
  <c r="S142" i="12" s="1"/>
  <c r="Q249" i="12"/>
  <c r="Q288" i="11"/>
  <c r="Q216" i="12"/>
  <c r="O248" i="12"/>
  <c r="O44" i="12"/>
  <c r="O24" i="12"/>
  <c r="R248" i="12"/>
  <c r="O312" i="11"/>
  <c r="O328" i="11"/>
  <c r="Q23" i="12"/>
  <c r="S242" i="12"/>
  <c r="S243" i="12" s="1"/>
  <c r="O256" i="11"/>
  <c r="Q256" i="11"/>
  <c r="Q276" i="11"/>
  <c r="O276" i="11"/>
  <c r="Q280" i="11"/>
  <c r="R280" i="11"/>
  <c r="Q296" i="11"/>
  <c r="O296" i="11"/>
  <c r="Q300" i="11"/>
  <c r="R300" i="11"/>
  <c r="Q308" i="11"/>
  <c r="O308" i="11"/>
  <c r="R316" i="11"/>
  <c r="O316" i="11"/>
  <c r="Q320" i="11"/>
  <c r="O320" i="11"/>
  <c r="O332" i="11"/>
  <c r="Q332" i="11"/>
  <c r="O340" i="11"/>
  <c r="Q340" i="11"/>
  <c r="O344" i="11"/>
  <c r="Q344" i="11"/>
  <c r="O348" i="11"/>
  <c r="Q348" i="11"/>
  <c r="O356" i="11"/>
  <c r="Q356" i="11"/>
  <c r="Q360" i="11"/>
  <c r="O360" i="11"/>
  <c r="O364" i="11"/>
  <c r="Q364" i="11"/>
  <c r="R64" i="12"/>
  <c r="N64" i="12"/>
  <c r="R108" i="12"/>
  <c r="Q108" i="12"/>
  <c r="N120" i="12"/>
  <c r="O120" i="12"/>
  <c r="N124" i="12"/>
  <c r="O124" i="12"/>
  <c r="Q128" i="12"/>
  <c r="R128" i="12"/>
  <c r="O132" i="12"/>
  <c r="Q132" i="12"/>
  <c r="Q148" i="12"/>
  <c r="R148" i="12"/>
  <c r="Q196" i="12"/>
  <c r="R196" i="12"/>
  <c r="Q208" i="12"/>
  <c r="O208" i="12"/>
  <c r="R212" i="12"/>
  <c r="Q212" i="12"/>
  <c r="R220" i="12"/>
  <c r="O220" i="12"/>
  <c r="T226" i="12"/>
  <c r="O256" i="12"/>
  <c r="Q256" i="12"/>
  <c r="N258" i="12"/>
  <c r="T261" i="12"/>
  <c r="R260" i="12"/>
  <c r="O260" i="12"/>
  <c r="N262" i="12"/>
  <c r="T268" i="12"/>
  <c r="N270" i="12"/>
  <c r="T275" i="12"/>
  <c r="O272" i="12"/>
  <c r="Q272" i="12"/>
  <c r="O276" i="12"/>
  <c r="T278" i="12"/>
  <c r="Q284" i="12"/>
  <c r="O284" i="12"/>
  <c r="S284" i="12"/>
  <c r="S285" i="12" s="1"/>
  <c r="O288" i="12"/>
  <c r="Q288" i="12"/>
  <c r="Q292" i="12"/>
  <c r="S291" i="12"/>
  <c r="S292" i="12" s="1"/>
  <c r="O292" i="12"/>
  <c r="N298" i="12"/>
  <c r="T303" i="12"/>
  <c r="Q300" i="12"/>
  <c r="R300" i="12"/>
  <c r="Q316" i="12"/>
  <c r="R316" i="12"/>
  <c r="N318" i="12"/>
  <c r="T324" i="12"/>
  <c r="O320" i="12"/>
  <c r="T322" i="12"/>
  <c r="R320" i="12"/>
  <c r="Q324" i="12"/>
  <c r="O324" i="12"/>
  <c r="Q328" i="12"/>
  <c r="T327" i="12"/>
  <c r="O328" i="12"/>
  <c r="Q332" i="12"/>
  <c r="S333" i="12"/>
  <c r="S334" i="12" s="1"/>
  <c r="R340" i="12"/>
  <c r="Q340" i="12"/>
  <c r="S340" i="12"/>
  <c r="S341" i="12" s="1"/>
  <c r="R344" i="12"/>
  <c r="Q344" i="12"/>
  <c r="N346" i="12"/>
  <c r="T352" i="12"/>
  <c r="O348" i="12"/>
  <c r="R348" i="12"/>
  <c r="O352" i="12"/>
  <c r="Q352" i="12"/>
  <c r="N354" i="12"/>
  <c r="T359" i="12"/>
  <c r="O356" i="12"/>
  <c r="Q356" i="12"/>
  <c r="S354" i="12"/>
  <c r="S355" i="12" s="1"/>
  <c r="Q360" i="12"/>
  <c r="T364" i="12"/>
  <c r="O364" i="12"/>
  <c r="Q364" i="12"/>
  <c r="O316" i="10"/>
  <c r="Q316" i="10"/>
  <c r="Q320" i="10"/>
  <c r="O320" i="10"/>
  <c r="O328" i="10"/>
  <c r="R328" i="10"/>
  <c r="R332" i="11"/>
  <c r="R256" i="11"/>
  <c r="O280" i="11"/>
  <c r="T366" i="12"/>
  <c r="R276" i="12"/>
  <c r="T271" i="12"/>
  <c r="O136" i="12"/>
  <c r="Q280" i="12"/>
  <c r="S326" i="12"/>
  <c r="S327" i="12" s="1"/>
  <c r="R96" i="12"/>
  <c r="T373" i="12"/>
  <c r="Q352" i="11"/>
  <c r="O300" i="12"/>
  <c r="N156" i="12"/>
  <c r="O276" i="9"/>
  <c r="Q268" i="11"/>
  <c r="Q316" i="11"/>
  <c r="Q252" i="11"/>
  <c r="R332" i="12"/>
  <c r="S298" i="12"/>
  <c r="S299" i="12" s="1"/>
  <c r="S277" i="12"/>
  <c r="S278" i="12" s="1"/>
  <c r="Q308" i="12"/>
  <c r="Q96" i="12"/>
  <c r="Q348" i="12"/>
  <c r="R364" i="12"/>
  <c r="O324" i="11"/>
  <c r="Q236" i="12"/>
  <c r="Q264" i="11"/>
  <c r="Q248" i="11"/>
  <c r="O260" i="11"/>
  <c r="T264" i="12"/>
  <c r="Q164" i="12"/>
  <c r="O160" i="12"/>
  <c r="T54" i="12"/>
  <c r="Q204" i="12"/>
  <c r="R212" i="11"/>
  <c r="Q103" i="11"/>
  <c r="Q111" i="11"/>
  <c r="Q119" i="11"/>
  <c r="Q123" i="11"/>
  <c r="Q151" i="11"/>
  <c r="Q187" i="11"/>
  <c r="Q223" i="11"/>
  <c r="Q239" i="11"/>
  <c r="Q247" i="11"/>
  <c r="Q7" i="12"/>
  <c r="R27" i="12"/>
  <c r="R35" i="12"/>
  <c r="Q51" i="12"/>
  <c r="Q79" i="12"/>
  <c r="Q123" i="12"/>
  <c r="Q131" i="12"/>
  <c r="Q191" i="12"/>
  <c r="Q195" i="12"/>
  <c r="Q199" i="12"/>
  <c r="Q203" i="12"/>
  <c r="Q215" i="12"/>
  <c r="Q219" i="12"/>
  <c r="Q223" i="12"/>
  <c r="Q235" i="12"/>
  <c r="R247" i="12"/>
  <c r="P207" i="6"/>
  <c r="P251" i="6"/>
  <c r="Q87" i="6"/>
  <c r="S358" i="11"/>
  <c r="S359" i="11" s="1"/>
  <c r="Q104" i="11"/>
  <c r="Q140" i="11"/>
  <c r="Q216" i="11"/>
  <c r="Q220" i="11"/>
  <c r="Q236" i="11"/>
  <c r="Q244" i="11"/>
  <c r="N251" i="11"/>
  <c r="Q8" i="12"/>
  <c r="Q16" i="12"/>
  <c r="Q92" i="12"/>
  <c r="P248" i="13"/>
  <c r="P252" i="13"/>
  <c r="S309" i="12"/>
  <c r="S310" i="12" s="1"/>
  <c r="S123" i="12"/>
  <c r="S124" i="12" s="1"/>
  <c r="Q227" i="12"/>
  <c r="R189" i="9"/>
  <c r="O141" i="10"/>
  <c r="O95" i="11"/>
  <c r="R196" i="11"/>
  <c r="R200" i="11"/>
  <c r="P249" i="11"/>
  <c r="P253" i="11"/>
  <c r="R44" i="12"/>
  <c r="R52" i="12"/>
  <c r="R76" i="12"/>
  <c r="R80" i="12"/>
  <c r="R84" i="12"/>
  <c r="R88" i="12"/>
  <c r="R144" i="12"/>
  <c r="P171" i="12"/>
  <c r="S190" i="12"/>
  <c r="S191" i="12" s="1"/>
  <c r="S218" i="12"/>
  <c r="S219" i="12" s="1"/>
  <c r="S232" i="12"/>
  <c r="S233" i="12" s="1"/>
  <c r="R272" i="12"/>
  <c r="R280" i="12"/>
  <c r="R288" i="12"/>
  <c r="R304" i="12"/>
  <c r="R312" i="12"/>
  <c r="R360" i="12"/>
  <c r="O249" i="13"/>
  <c r="N251" i="13"/>
  <c r="R353" i="13"/>
  <c r="P254" i="6"/>
  <c r="R10" i="9"/>
  <c r="R14" i="9"/>
  <c r="R26" i="9"/>
  <c r="R34" i="9"/>
  <c r="R42" i="9"/>
  <c r="R46" i="9"/>
  <c r="R66" i="9"/>
  <c r="R70" i="9"/>
  <c r="R74" i="9"/>
  <c r="R78" i="9"/>
  <c r="R86" i="9"/>
  <c r="R106" i="9"/>
  <c r="R114" i="9"/>
  <c r="R118" i="9"/>
  <c r="R126" i="9"/>
  <c r="R134" i="9"/>
  <c r="R154" i="9"/>
  <c r="R158" i="9"/>
  <c r="R170" i="9"/>
  <c r="R174" i="9"/>
  <c r="R178" i="9"/>
  <c r="R182" i="9"/>
  <c r="R210" i="9"/>
  <c r="R226" i="9"/>
  <c r="R230" i="9"/>
  <c r="R238" i="9"/>
  <c r="R242" i="9"/>
  <c r="R286" i="9"/>
  <c r="R290" i="9"/>
  <c r="R314" i="9"/>
  <c r="R326" i="9"/>
  <c r="R54" i="10"/>
  <c r="P250" i="11"/>
  <c r="P254" i="11"/>
  <c r="O250" i="13"/>
  <c r="N252" i="13"/>
  <c r="O251" i="6"/>
  <c r="N253" i="6"/>
  <c r="P247" i="9"/>
  <c r="P79" i="10"/>
  <c r="N114" i="11"/>
  <c r="O174" i="11"/>
  <c r="O190" i="11"/>
  <c r="O196" i="11"/>
  <c r="O216" i="11"/>
  <c r="N216" i="11"/>
  <c r="O224" i="11"/>
  <c r="O230" i="11"/>
  <c r="O238" i="11"/>
  <c r="N248" i="11"/>
  <c r="N252" i="11"/>
  <c r="O4" i="12"/>
  <c r="N8" i="12"/>
  <c r="O10" i="12"/>
  <c r="N12" i="12"/>
  <c r="O14" i="12"/>
  <c r="O16" i="12"/>
  <c r="O28" i="12"/>
  <c r="N34" i="12"/>
  <c r="N40" i="12"/>
  <c r="O48" i="12"/>
  <c r="R50" i="12"/>
  <c r="N56" i="12"/>
  <c r="O58" i="12"/>
  <c r="R66" i="12"/>
  <c r="O72" i="12"/>
  <c r="O94" i="12"/>
  <c r="O100" i="12"/>
  <c r="N108" i="12"/>
  <c r="O110" i="12"/>
  <c r="O116" i="12"/>
  <c r="R122" i="12"/>
  <c r="O128" i="12"/>
  <c r="O134" i="12"/>
  <c r="O138" i="12"/>
  <c r="O144" i="12"/>
  <c r="O158" i="12"/>
  <c r="O164" i="12"/>
  <c r="O172" i="12"/>
  <c r="R186" i="12"/>
  <c r="O192" i="12"/>
  <c r="O212" i="12"/>
  <c r="N216" i="12"/>
  <c r="O232" i="12"/>
  <c r="R238" i="12"/>
  <c r="O240" i="12"/>
  <c r="O242" i="12"/>
  <c r="O246" i="12"/>
  <c r="R258" i="12"/>
  <c r="R310" i="12"/>
  <c r="P249" i="13"/>
  <c r="P253" i="13"/>
  <c r="O250" i="6"/>
  <c r="O254" i="6"/>
  <c r="S316" i="12"/>
  <c r="S317" i="12" s="1"/>
  <c r="S253" i="12"/>
  <c r="S254" i="12" s="1"/>
  <c r="Q92" i="9"/>
  <c r="Q302" i="11"/>
  <c r="O302" i="11"/>
  <c r="N82" i="12"/>
  <c r="S81" i="12"/>
  <c r="S82" i="12" s="1"/>
  <c r="R206" i="12"/>
  <c r="N206" i="12"/>
  <c r="T212" i="12"/>
  <c r="T250" i="12"/>
  <c r="O286" i="12"/>
  <c r="Q286" i="12"/>
  <c r="N332" i="12"/>
  <c r="T338" i="12"/>
  <c r="Q277" i="10"/>
  <c r="R185" i="9"/>
  <c r="P234" i="9"/>
  <c r="R261" i="9"/>
  <c r="S232" i="10"/>
  <c r="S233" i="10" s="1"/>
  <c r="R337" i="10"/>
  <c r="Q126" i="11"/>
  <c r="S144" i="11"/>
  <c r="S145" i="11" s="1"/>
  <c r="Q166" i="11"/>
  <c r="Q182" i="11"/>
  <c r="Q198" i="11"/>
  <c r="S200" i="11"/>
  <c r="S201" i="11" s="1"/>
  <c r="S207" i="11"/>
  <c r="S208" i="11" s="1"/>
  <c r="S228" i="11"/>
  <c r="S229" i="11" s="1"/>
  <c r="Q230" i="11"/>
  <c r="T247" i="11"/>
  <c r="T243" i="11"/>
  <c r="Q246" i="11"/>
  <c r="S263" i="11"/>
  <c r="S264" i="11" s="1"/>
  <c r="S284" i="11"/>
  <c r="S285" i="11" s="1"/>
  <c r="T369" i="11"/>
  <c r="S4" i="12"/>
  <c r="S5" i="12" s="1"/>
  <c r="Q10" i="12"/>
  <c r="S11" i="12"/>
  <c r="S12" i="12" s="1"/>
  <c r="Q30" i="12"/>
  <c r="T65" i="12"/>
  <c r="T79" i="12"/>
  <c r="Q94" i="12"/>
  <c r="Q110" i="12"/>
  <c r="Q114" i="12"/>
  <c r="Q134" i="12"/>
  <c r="S144" i="12"/>
  <c r="S145" i="12" s="1"/>
  <c r="Q166" i="12"/>
  <c r="T173" i="12"/>
  <c r="S172" i="12"/>
  <c r="S173" i="12" s="1"/>
  <c r="Q186" i="12"/>
  <c r="S186" i="12"/>
  <c r="S187" i="12" s="1"/>
  <c r="T198" i="12"/>
  <c r="Q198" i="12"/>
  <c r="T219" i="12"/>
  <c r="Q218" i="12"/>
  <c r="Q222" i="12"/>
  <c r="Q238" i="12"/>
  <c r="S270" i="12"/>
  <c r="S271" i="12" s="1"/>
  <c r="O271" i="12"/>
  <c r="T282" i="12"/>
  <c r="Q283" i="12"/>
  <c r="T285" i="12"/>
  <c r="R307" i="12"/>
  <c r="O307" i="12"/>
  <c r="Q153" i="11"/>
  <c r="Q157" i="11"/>
  <c r="R5" i="12"/>
  <c r="Q137" i="12"/>
  <c r="R145" i="12"/>
  <c r="Q197" i="12"/>
  <c r="R201" i="12"/>
  <c r="P219" i="6"/>
  <c r="Q19" i="6"/>
  <c r="Q35" i="6"/>
  <c r="R283" i="9"/>
  <c r="R11" i="10"/>
  <c r="R19" i="10"/>
  <c r="R43" i="10"/>
  <c r="R75" i="10"/>
  <c r="R83" i="10"/>
  <c r="R95" i="10"/>
  <c r="R107" i="10"/>
  <c r="R111" i="10"/>
  <c r="R123" i="10"/>
  <c r="N125" i="10"/>
  <c r="Q162" i="10"/>
  <c r="R163" i="10"/>
  <c r="R191" i="10"/>
  <c r="R203" i="10"/>
  <c r="R207" i="10"/>
  <c r="R227" i="10"/>
  <c r="R231" i="10"/>
  <c r="O235" i="10"/>
  <c r="R239" i="10"/>
  <c r="Q243" i="10"/>
  <c r="R247" i="10"/>
  <c r="R287" i="10"/>
  <c r="R315" i="10"/>
  <c r="R323" i="10"/>
  <c r="R331" i="10"/>
  <c r="R351" i="10"/>
  <c r="R71" i="11"/>
  <c r="R306" i="11"/>
  <c r="R362" i="11"/>
  <c r="T371" i="11"/>
  <c r="R26" i="12"/>
  <c r="R34" i="12"/>
  <c r="P79" i="12"/>
  <c r="R182" i="12"/>
  <c r="P235" i="12"/>
  <c r="Q236" i="9"/>
  <c r="Q52" i="10"/>
  <c r="Q240" i="10"/>
  <c r="Q244" i="10"/>
  <c r="Q8" i="11"/>
  <c r="Q36" i="11"/>
  <c r="Q96" i="11"/>
  <c r="N15" i="6"/>
  <c r="Q21" i="6"/>
  <c r="O27" i="6"/>
  <c r="O33" i="6"/>
  <c r="N41" i="6"/>
  <c r="N47" i="6"/>
  <c r="N55" i="6"/>
  <c r="N59" i="6"/>
  <c r="N69" i="6"/>
  <c r="N75" i="6"/>
  <c r="N77" i="6"/>
  <c r="O79" i="6"/>
  <c r="N79" i="6"/>
  <c r="O85" i="6"/>
  <c r="N87" i="6"/>
  <c r="O89" i="6"/>
  <c r="O97" i="6"/>
  <c r="O101" i="6"/>
  <c r="O105" i="6"/>
  <c r="O107" i="6"/>
  <c r="N107" i="6"/>
  <c r="N111" i="6"/>
  <c r="N117" i="6"/>
  <c r="N119" i="6"/>
  <c r="O121" i="6"/>
  <c r="N125" i="6"/>
  <c r="N127" i="6"/>
  <c r="O131" i="6"/>
  <c r="N131" i="6"/>
  <c r="N133" i="6"/>
  <c r="N137" i="6"/>
  <c r="N139" i="6"/>
  <c r="N143" i="6"/>
  <c r="N145" i="6"/>
  <c r="N151" i="6"/>
  <c r="O157" i="6"/>
  <c r="O159" i="6"/>
  <c r="N159" i="6"/>
  <c r="P165" i="6"/>
  <c r="P173" i="6"/>
  <c r="N180" i="6"/>
  <c r="N182" i="6"/>
  <c r="O184" i="6"/>
  <c r="N190" i="6"/>
  <c r="O196" i="6"/>
  <c r="N196" i="6"/>
  <c r="O200" i="6"/>
  <c r="N202" i="6"/>
  <c r="N208" i="6"/>
  <c r="O210" i="6"/>
  <c r="O212" i="6"/>
  <c r="N212" i="6"/>
  <c r="N214" i="6"/>
  <c r="N218" i="6"/>
  <c r="O220" i="6"/>
  <c r="N222" i="6"/>
  <c r="N226" i="6"/>
  <c r="N230" i="6"/>
  <c r="O234" i="6"/>
  <c r="O240" i="6"/>
  <c r="N242" i="6"/>
  <c r="O244" i="6"/>
  <c r="N244" i="6"/>
  <c r="AD12" i="8"/>
  <c r="T98" i="5" s="1"/>
  <c r="P290" i="9"/>
  <c r="S295" i="9"/>
  <c r="S296" i="9" s="1"/>
  <c r="N357" i="1"/>
  <c r="Q279" i="9"/>
  <c r="O287" i="9"/>
  <c r="Q287" i="9"/>
  <c r="Q307" i="9"/>
  <c r="R307" i="9"/>
  <c r="Q319" i="9"/>
  <c r="O319" i="9"/>
  <c r="O355" i="9"/>
  <c r="Q355" i="9"/>
  <c r="O359" i="9"/>
  <c r="Q359" i="9"/>
  <c r="Q363" i="9"/>
  <c r="R363" i="9"/>
  <c r="O363" i="9"/>
  <c r="R67" i="10"/>
  <c r="O67" i="10"/>
  <c r="R8" i="1"/>
  <c r="O343" i="9"/>
  <c r="N247" i="1"/>
  <c r="O311" i="9"/>
  <c r="Q295" i="10"/>
  <c r="Q323" i="10"/>
  <c r="O335" i="10"/>
  <c r="R283" i="10"/>
  <c r="Q199" i="11"/>
  <c r="T131" i="12"/>
  <c r="O51" i="12"/>
  <c r="P262" i="10"/>
  <c r="S267" i="10"/>
  <c r="S268" i="10" s="1"/>
  <c r="Q31" i="12"/>
  <c r="T33" i="12"/>
  <c r="R115" i="12"/>
  <c r="Q115" i="12"/>
  <c r="T166" i="12"/>
  <c r="T243" i="12"/>
  <c r="Q275" i="10"/>
  <c r="O275" i="10"/>
  <c r="Q303" i="10"/>
  <c r="O303" i="10"/>
  <c r="O307" i="10"/>
  <c r="R307" i="10"/>
  <c r="O319" i="10"/>
  <c r="Q319" i="10"/>
  <c r="R339" i="10"/>
  <c r="O339" i="10"/>
  <c r="O351" i="10"/>
  <c r="Q351" i="10"/>
  <c r="Q363" i="10"/>
  <c r="O363" i="10"/>
  <c r="T121" i="11"/>
  <c r="S186" i="11"/>
  <c r="S187" i="11" s="1"/>
  <c r="N255" i="11"/>
  <c r="T261" i="11"/>
  <c r="O265" i="11"/>
  <c r="Q265" i="11"/>
  <c r="O21" i="12"/>
  <c r="N155" i="12"/>
  <c r="T159" i="12"/>
  <c r="Q359" i="10"/>
  <c r="Q315" i="10"/>
  <c r="O259" i="10"/>
  <c r="Q299" i="10"/>
  <c r="T152" i="11"/>
  <c r="R311" i="10"/>
  <c r="O315" i="10"/>
  <c r="Q287" i="10"/>
  <c r="R259" i="10"/>
  <c r="R283" i="11"/>
  <c r="T26" i="12"/>
  <c r="Q289" i="11"/>
  <c r="T331" i="12"/>
  <c r="R303" i="12"/>
  <c r="T345" i="12"/>
  <c r="T287" i="12"/>
  <c r="T289" i="12"/>
  <c r="R295" i="12"/>
  <c r="Q271" i="12"/>
  <c r="Q305" i="11"/>
  <c r="O73" i="6"/>
  <c r="N73" i="6"/>
  <c r="Q293" i="11"/>
  <c r="O353" i="11"/>
  <c r="Q335" i="12"/>
  <c r="Q343" i="12"/>
  <c r="Q323" i="12"/>
  <c r="S305" i="12"/>
  <c r="S306" i="12" s="1"/>
  <c r="O5" i="12"/>
  <c r="O349" i="11"/>
  <c r="Q135" i="9"/>
  <c r="Q139" i="9"/>
  <c r="R304" i="9"/>
  <c r="Q19" i="10"/>
  <c r="Q35" i="10"/>
  <c r="R44" i="10"/>
  <c r="Q79" i="10"/>
  <c r="Q83" i="10"/>
  <c r="Q127" i="10"/>
  <c r="Q131" i="10"/>
  <c r="Q135" i="10"/>
  <c r="R144" i="10"/>
  <c r="Q147" i="10"/>
  <c r="Q151" i="10"/>
  <c r="Q159" i="10"/>
  <c r="Q167" i="10"/>
  <c r="Q179" i="10"/>
  <c r="Q187" i="10"/>
  <c r="Q191" i="10"/>
  <c r="Q195" i="10"/>
  <c r="Q211" i="10"/>
  <c r="R212" i="10"/>
  <c r="Q215" i="10"/>
  <c r="R232" i="10"/>
  <c r="Q239" i="10"/>
  <c r="R292" i="10"/>
  <c r="R360" i="10"/>
  <c r="R364" i="10"/>
  <c r="Q3" i="11"/>
  <c r="R4" i="11"/>
  <c r="Q63" i="11"/>
  <c r="Q297" i="11"/>
  <c r="T343" i="12"/>
  <c r="T313" i="12"/>
  <c r="Q359" i="12"/>
  <c r="Q315" i="12"/>
  <c r="T299" i="12"/>
  <c r="T296" i="12"/>
  <c r="T348" i="12"/>
  <c r="O283" i="12"/>
  <c r="O263" i="12"/>
  <c r="S361" i="12"/>
  <c r="S362" i="12" s="1"/>
  <c r="T317" i="12"/>
  <c r="Q279" i="12"/>
  <c r="T315" i="12"/>
  <c r="O299" i="12"/>
  <c r="Q173" i="11"/>
  <c r="Q193" i="11"/>
  <c r="Q209" i="11"/>
  <c r="R358" i="11"/>
  <c r="Q18" i="12"/>
  <c r="Q22" i="12"/>
  <c r="Q61" i="12"/>
  <c r="R62" i="12"/>
  <c r="R78" i="12"/>
  <c r="Q93" i="12"/>
  <c r="R98" i="12"/>
  <c r="R102" i="12"/>
  <c r="R118" i="12"/>
  <c r="Q126" i="12"/>
  <c r="Q129" i="12"/>
  <c r="R150" i="12"/>
  <c r="R154" i="12"/>
  <c r="T170" i="12"/>
  <c r="Q165" i="12"/>
  <c r="T177" i="12"/>
  <c r="Q185" i="12"/>
  <c r="R214" i="12"/>
  <c r="R218" i="12"/>
  <c r="Q233" i="12"/>
  <c r="Q245" i="12"/>
  <c r="R294" i="12"/>
  <c r="R318" i="12"/>
  <c r="S347" i="12"/>
  <c r="S348" i="12" s="1"/>
  <c r="R362" i="12"/>
  <c r="Q61" i="9"/>
  <c r="Q137" i="9"/>
  <c r="O181" i="9"/>
  <c r="N185" i="9"/>
  <c r="O201" i="9"/>
  <c r="O239" i="9"/>
  <c r="O3" i="10"/>
  <c r="P7" i="6"/>
  <c r="P23" i="6"/>
  <c r="T70" i="6"/>
  <c r="P103" i="6"/>
  <c r="H9" i="3"/>
  <c r="P137" i="6"/>
  <c r="P147" i="6"/>
  <c r="P159" i="6"/>
  <c r="N170" i="6"/>
  <c r="N172" i="6"/>
  <c r="P184" i="6"/>
  <c r="P194" i="6"/>
  <c r="H13" i="3"/>
  <c r="I17" i="25" s="1"/>
  <c r="H14" i="3"/>
  <c r="R269" i="11"/>
  <c r="R297" i="11"/>
  <c r="R357" i="11"/>
  <c r="R33" i="12"/>
  <c r="R125" i="12"/>
  <c r="R169" i="12"/>
  <c r="R185" i="12"/>
  <c r="R245" i="12"/>
  <c r="R249" i="12"/>
  <c r="R269" i="12"/>
  <c r="R309" i="12"/>
  <c r="R119" i="11"/>
  <c r="R171" i="11"/>
  <c r="R183" i="11"/>
  <c r="R259" i="11"/>
  <c r="R363" i="11"/>
  <c r="R7" i="12"/>
  <c r="R19" i="12"/>
  <c r="R31" i="12"/>
  <c r="T63" i="12"/>
  <c r="R67" i="12"/>
  <c r="R71" i="12"/>
  <c r="R79" i="12"/>
  <c r="R87" i="12"/>
  <c r="S99" i="12"/>
  <c r="S100" i="12" s="1"/>
  <c r="R103" i="12"/>
  <c r="S106" i="12"/>
  <c r="S107" i="12" s="1"/>
  <c r="T119" i="12"/>
  <c r="S120" i="12"/>
  <c r="S121" i="12" s="1"/>
  <c r="T126" i="12"/>
  <c r="P124" i="12"/>
  <c r="R139" i="12"/>
  <c r="R155" i="12"/>
  <c r="S162" i="12"/>
  <c r="S163" i="12" s="1"/>
  <c r="R171" i="12"/>
  <c r="R175" i="12"/>
  <c r="R179" i="12"/>
  <c r="S183" i="12"/>
  <c r="S184" i="12" s="1"/>
  <c r="R183" i="12"/>
  <c r="S197" i="12"/>
  <c r="S198" i="12" s="1"/>
  <c r="R195" i="12"/>
  <c r="R199" i="12"/>
  <c r="P200" i="12"/>
  <c r="R207" i="12"/>
  <c r="R211" i="12"/>
  <c r="P222" i="12"/>
  <c r="R231" i="12"/>
  <c r="R235" i="12"/>
  <c r="R243" i="12"/>
  <c r="S246" i="12"/>
  <c r="S247" i="12" s="1"/>
  <c r="T266" i="12"/>
  <c r="R279" i="12"/>
  <c r="R299" i="12"/>
  <c r="R311" i="12"/>
  <c r="R315" i="12"/>
  <c r="R323" i="12"/>
  <c r="R327" i="12"/>
  <c r="R335" i="12"/>
  <c r="R339" i="12"/>
  <c r="R343" i="12"/>
  <c r="R347" i="12"/>
  <c r="T357" i="12"/>
  <c r="R359" i="12"/>
  <c r="R363" i="12"/>
  <c r="P18" i="6"/>
  <c r="R21" i="6"/>
  <c r="R25" i="6"/>
  <c r="P32" i="6"/>
  <c r="S43" i="6"/>
  <c r="S44" i="6" s="1"/>
  <c r="P42" i="6"/>
  <c r="P56" i="6"/>
  <c r="R57" i="6"/>
  <c r="R77" i="6"/>
  <c r="P82" i="6"/>
  <c r="P90" i="6"/>
  <c r="P92" i="6"/>
  <c r="H41" i="3"/>
  <c r="H53" i="29" s="1"/>
  <c r="H8" i="3"/>
  <c r="I12" i="25" s="1"/>
  <c r="P102" i="6"/>
  <c r="P114" i="6"/>
  <c r="P138" i="6"/>
  <c r="R145" i="6"/>
  <c r="O165" i="6"/>
  <c r="N165" i="6"/>
  <c r="N171" i="6"/>
  <c r="T177" i="6"/>
  <c r="P179" i="6"/>
  <c r="P189" i="6"/>
  <c r="P197" i="6"/>
  <c r="P203" i="6"/>
  <c r="P213" i="6"/>
  <c r="P215" i="6"/>
  <c r="P223" i="6"/>
  <c r="P237" i="6"/>
  <c r="O7" i="10"/>
  <c r="O19" i="10"/>
  <c r="O39" i="10"/>
  <c r="O43" i="10"/>
  <c r="O73" i="10"/>
  <c r="O95" i="10"/>
  <c r="O119" i="10"/>
  <c r="O133" i="10"/>
  <c r="O143" i="10"/>
  <c r="O167" i="10"/>
  <c r="O207" i="10"/>
  <c r="O211" i="10"/>
  <c r="N213" i="10"/>
  <c r="R65" i="11"/>
  <c r="R73" i="11"/>
  <c r="R108" i="11"/>
  <c r="R172" i="11"/>
  <c r="R208" i="11"/>
  <c r="R236" i="11"/>
  <c r="R248" i="11"/>
  <c r="R268" i="11"/>
  <c r="R356" i="11"/>
  <c r="R360" i="11"/>
  <c r="P11" i="12"/>
  <c r="R12" i="12"/>
  <c r="R16" i="12"/>
  <c r="R40" i="12"/>
  <c r="P59" i="12"/>
  <c r="R60" i="12"/>
  <c r="P61" i="12"/>
  <c r="P81" i="12"/>
  <c r="P83" i="12"/>
  <c r="P85" i="12"/>
  <c r="P87" i="12"/>
  <c r="P89" i="12"/>
  <c r="R92" i="12"/>
  <c r="P93" i="12"/>
  <c r="P95" i="12"/>
  <c r="P97" i="12"/>
  <c r="P107" i="12"/>
  <c r="R112" i="12"/>
  <c r="P117" i="12"/>
  <c r="R120" i="12"/>
  <c r="P125" i="12"/>
  <c r="P127" i="12"/>
  <c r="P129" i="12"/>
  <c r="R136" i="12"/>
  <c r="P147" i="12"/>
  <c r="R156" i="12"/>
  <c r="P157" i="12"/>
  <c r="R160" i="12"/>
  <c r="P163" i="12"/>
  <c r="P165" i="12"/>
  <c r="P169" i="12"/>
  <c r="P175" i="12"/>
  <c r="R184" i="12"/>
  <c r="P187" i="12"/>
  <c r="R192" i="12"/>
  <c r="P195" i="12"/>
  <c r="R204" i="12"/>
  <c r="R216" i="12"/>
  <c r="R232" i="12"/>
  <c r="R256" i="12"/>
  <c r="R264" i="12"/>
  <c r="R268" i="12"/>
  <c r="R292" i="12"/>
  <c r="R308" i="12"/>
  <c r="R324" i="12"/>
  <c r="P294" i="1"/>
  <c r="P350" i="1"/>
  <c r="R46" i="1"/>
  <c r="P292" i="1"/>
  <c r="O279" i="1"/>
  <c r="P340" i="1"/>
  <c r="N187" i="1"/>
  <c r="N138" i="1"/>
  <c r="O340" i="9"/>
  <c r="Q280" i="9"/>
  <c r="T345" i="10"/>
  <c r="R324" i="10"/>
  <c r="T317" i="10"/>
  <c r="R263" i="12"/>
  <c r="O126" i="10"/>
  <c r="T320" i="10"/>
  <c r="O366" i="10"/>
  <c r="R366" i="10"/>
  <c r="P50" i="12"/>
  <c r="P54" i="12"/>
  <c r="P234" i="12"/>
  <c r="S351" i="12"/>
  <c r="S352" i="12" s="1"/>
  <c r="S305" i="9"/>
  <c r="S306" i="9" s="1"/>
  <c r="Q264" i="10"/>
  <c r="R348" i="9"/>
  <c r="R239" i="11"/>
  <c r="H38" i="3"/>
  <c r="H23" i="29" s="1"/>
  <c r="S8" i="6"/>
  <c r="S9" i="6" s="1"/>
  <c r="Q288" i="10"/>
  <c r="O268" i="10"/>
  <c r="Q44" i="10"/>
  <c r="Q336" i="10"/>
  <c r="O292" i="9"/>
  <c r="Q292" i="9"/>
  <c r="T257" i="10"/>
  <c r="O284" i="10"/>
  <c r="R284" i="10"/>
  <c r="Q308" i="10"/>
  <c r="O308" i="10"/>
  <c r="P35" i="1"/>
  <c r="Q254" i="9"/>
  <c r="S358" i="10"/>
  <c r="S359" i="10" s="1"/>
  <c r="R252" i="10"/>
  <c r="T175" i="12"/>
  <c r="T203" i="12"/>
  <c r="Q344" i="9"/>
  <c r="Q256" i="10"/>
  <c r="O252" i="10"/>
  <c r="R59" i="12"/>
  <c r="Q64" i="9"/>
  <c r="Q72" i="9"/>
  <c r="Q76" i="9"/>
  <c r="Q84" i="9"/>
  <c r="R85" i="9"/>
  <c r="Q100" i="9"/>
  <c r="Q108" i="9"/>
  <c r="R109" i="9"/>
  <c r="R117" i="9"/>
  <c r="Q124" i="9"/>
  <c r="Q132" i="9"/>
  <c r="Q148" i="9"/>
  <c r="Q152" i="9"/>
  <c r="Q156" i="9"/>
  <c r="Q164" i="9"/>
  <c r="R205" i="9"/>
  <c r="Q224" i="9"/>
  <c r="R245" i="9"/>
  <c r="O289" i="9"/>
  <c r="Q289" i="9"/>
  <c r="O297" i="9"/>
  <c r="R297" i="9"/>
  <c r="R9" i="10"/>
  <c r="R121" i="10"/>
  <c r="O121" i="10"/>
  <c r="Q184" i="10"/>
  <c r="R225" i="10"/>
  <c r="Q228" i="10"/>
  <c r="R237" i="10"/>
  <c r="O257" i="10"/>
  <c r="Q257" i="10"/>
  <c r="O289" i="10"/>
  <c r="R289" i="10"/>
  <c r="R329" i="10"/>
  <c r="R333" i="10"/>
  <c r="Q333" i="10"/>
  <c r="T343" i="10"/>
  <c r="Q88" i="11"/>
  <c r="S50" i="12"/>
  <c r="S51" i="12" s="1"/>
  <c r="S113" i="12"/>
  <c r="S114" i="12" s="1"/>
  <c r="P47" i="3"/>
  <c r="P297" i="12"/>
  <c r="S302" i="12"/>
  <c r="S303" i="12" s="1"/>
  <c r="O256" i="9"/>
  <c r="R304" i="10"/>
  <c r="S288" i="12"/>
  <c r="S289" i="12" s="1"/>
  <c r="S267" i="12"/>
  <c r="S268" i="12" s="1"/>
  <c r="Q348" i="9"/>
  <c r="T138" i="11"/>
  <c r="O274" i="11"/>
  <c r="Q274" i="11"/>
  <c r="Q354" i="11"/>
  <c r="O354" i="11"/>
  <c r="N356" i="11"/>
  <c r="T359" i="11"/>
  <c r="T40" i="12"/>
  <c r="Q38" i="12"/>
  <c r="Q50" i="12"/>
  <c r="N50" i="12"/>
  <c r="O70" i="12"/>
  <c r="N70" i="12"/>
  <c r="S179" i="12"/>
  <c r="S180" i="12" s="1"/>
  <c r="R178" i="12"/>
  <c r="O178" i="12"/>
  <c r="R250" i="12"/>
  <c r="S249" i="12"/>
  <c r="S250" i="12" s="1"/>
  <c r="T257" i="12"/>
  <c r="Q262" i="12"/>
  <c r="S263" i="12"/>
  <c r="S264" i="12" s="1"/>
  <c r="O274" i="12"/>
  <c r="Q274" i="12"/>
  <c r="O278" i="12"/>
  <c r="Q278" i="12"/>
  <c r="T280" i="12"/>
  <c r="O282" i="12"/>
  <c r="Q282" i="12"/>
  <c r="R282" i="12"/>
  <c r="N304" i="12"/>
  <c r="T310" i="12"/>
  <c r="Q306" i="12"/>
  <c r="T308" i="12"/>
  <c r="T334" i="12"/>
  <c r="R354" i="12"/>
  <c r="T355" i="12"/>
  <c r="T21" i="6"/>
  <c r="H22" i="3"/>
  <c r="I99" i="7" s="1"/>
  <c r="Q59" i="6"/>
  <c r="Q83" i="6"/>
  <c r="N89" i="6"/>
  <c r="Q192" i="6"/>
  <c r="Q313" i="6"/>
  <c r="O313" i="6"/>
  <c r="P72" i="6"/>
  <c r="P132" i="6"/>
  <c r="P148" i="6"/>
  <c r="N175" i="6"/>
  <c r="P205" i="6"/>
  <c r="P233" i="6"/>
  <c r="R109" i="6"/>
  <c r="Q181" i="6"/>
  <c r="Q209" i="6"/>
  <c r="Q213" i="6"/>
  <c r="P101" i="6"/>
  <c r="P198" i="6"/>
  <c r="P214" i="6"/>
  <c r="O287" i="11"/>
  <c r="O152" i="12"/>
  <c r="H16" i="4"/>
  <c r="Q7" i="1"/>
  <c r="O245" i="9"/>
  <c r="Q128" i="9"/>
  <c r="Q200" i="9"/>
  <c r="Q216" i="9"/>
  <c r="Q72" i="10"/>
  <c r="Q80" i="10"/>
  <c r="Q136" i="10"/>
  <c r="O241" i="9"/>
  <c r="Q241" i="9"/>
  <c r="O265" i="9"/>
  <c r="Q265" i="9"/>
  <c r="O273" i="9"/>
  <c r="Q273" i="9"/>
  <c r="O277" i="9"/>
  <c r="Q277" i="9"/>
  <c r="O309" i="9"/>
  <c r="Q309" i="9"/>
  <c r="Q361" i="9"/>
  <c r="O361" i="9"/>
  <c r="N17" i="10"/>
  <c r="O17" i="10"/>
  <c r="O257" i="9"/>
  <c r="T170" i="10"/>
  <c r="S207" i="10"/>
  <c r="S208" i="10" s="1"/>
  <c r="Q153" i="1"/>
  <c r="N97" i="1"/>
  <c r="Q89" i="1"/>
  <c r="Q73" i="1"/>
  <c r="Q65" i="1"/>
  <c r="Q341" i="9"/>
  <c r="R345" i="9"/>
  <c r="R361" i="9"/>
  <c r="R177" i="1"/>
  <c r="N96" i="1"/>
  <c r="N32" i="1"/>
  <c r="Q224" i="10"/>
  <c r="Q236" i="10"/>
  <c r="Q28" i="11"/>
  <c r="Q60" i="11"/>
  <c r="Q68" i="11"/>
  <c r="Q72" i="11"/>
  <c r="Q84" i="11"/>
  <c r="Q316" i="9"/>
  <c r="R358" i="9"/>
  <c r="O66" i="9"/>
  <c r="Q284" i="10"/>
  <c r="O329" i="10"/>
  <c r="Q232" i="10"/>
  <c r="O333" i="10"/>
  <c r="T334" i="10"/>
  <c r="O296" i="10"/>
  <c r="R236" i="10"/>
  <c r="O304" i="10"/>
  <c r="Q312" i="9"/>
  <c r="R240" i="9"/>
  <c r="R244" i="9"/>
  <c r="R256" i="9"/>
  <c r="R264" i="9"/>
  <c r="R280" i="9"/>
  <c r="R288" i="9"/>
  <c r="R292" i="9"/>
  <c r="R296" i="9"/>
  <c r="R308" i="9"/>
  <c r="R312" i="9"/>
  <c r="R336" i="9"/>
  <c r="O32" i="9"/>
  <c r="O52" i="9"/>
  <c r="N60" i="9"/>
  <c r="Q81" i="9"/>
  <c r="Q97" i="9"/>
  <c r="Q101" i="9"/>
  <c r="Q105" i="9"/>
  <c r="Q113" i="9"/>
  <c r="Q117" i="9"/>
  <c r="O124" i="9"/>
  <c r="N124" i="9"/>
  <c r="Q125" i="9"/>
  <c r="Q129" i="9"/>
  <c r="Q133" i="9"/>
  <c r="Q145" i="9"/>
  <c r="N150" i="9"/>
  <c r="Q157" i="9"/>
  <c r="Q161" i="9"/>
  <c r="Q165" i="9"/>
  <c r="N192" i="9"/>
  <c r="O204" i="9"/>
  <c r="N206" i="9"/>
  <c r="Q209" i="9"/>
  <c r="Q213" i="9"/>
  <c r="O216" i="9"/>
  <c r="Q221" i="9"/>
  <c r="O224" i="9"/>
  <c r="N228" i="9"/>
  <c r="Q229" i="9"/>
  <c r="O232" i="9"/>
  <c r="O246" i="9"/>
  <c r="T373" i="9"/>
  <c r="N93" i="6"/>
  <c r="O93" i="6"/>
  <c r="N153" i="6"/>
  <c r="Q153" i="6"/>
  <c r="O186" i="6"/>
  <c r="N186" i="6"/>
  <c r="Q9" i="1"/>
  <c r="O320" i="9"/>
  <c r="R318" i="10"/>
  <c r="R314" i="10"/>
  <c r="T282" i="10"/>
  <c r="R309" i="10"/>
  <c r="O292" i="10"/>
  <c r="S85" i="12"/>
  <c r="S86" i="12" s="1"/>
  <c r="Q260" i="9"/>
  <c r="R246" i="9"/>
  <c r="R350" i="10"/>
  <c r="R368" i="10"/>
  <c r="T366" i="10"/>
  <c r="Q292" i="10"/>
  <c r="T254" i="10"/>
  <c r="Q105" i="11"/>
  <c r="Q109" i="11"/>
  <c r="Q145" i="11"/>
  <c r="Q161" i="11"/>
  <c r="Q165" i="11"/>
  <c r="Q177" i="11"/>
  <c r="Q181" i="11"/>
  <c r="Q233" i="11"/>
  <c r="Q14" i="6"/>
  <c r="O24" i="6"/>
  <c r="N24" i="6"/>
  <c r="N26" i="6"/>
  <c r="N28" i="6"/>
  <c r="Q29" i="6"/>
  <c r="Q30" i="6"/>
  <c r="N32" i="6"/>
  <c r="Q37" i="6"/>
  <c r="O44" i="6"/>
  <c r="N44" i="6"/>
  <c r="Q45" i="6"/>
  <c r="Q69" i="6"/>
  <c r="Q125" i="6"/>
  <c r="P82" i="9"/>
  <c r="P90" i="9"/>
  <c r="P166" i="9"/>
  <c r="R169" i="9"/>
  <c r="R173" i="9"/>
  <c r="R209" i="9"/>
  <c r="R217" i="9"/>
  <c r="R221" i="9"/>
  <c r="R229" i="9"/>
  <c r="S246" i="9"/>
  <c r="S247" i="9" s="1"/>
  <c r="R253" i="9"/>
  <c r="R277" i="9"/>
  <c r="R313" i="9"/>
  <c r="R317" i="9"/>
  <c r="R325" i="9"/>
  <c r="R329" i="9"/>
  <c r="R337" i="9"/>
  <c r="S36" i="10"/>
  <c r="S37" i="10" s="1"/>
  <c r="S57" i="10"/>
  <c r="S58" i="10" s="1"/>
  <c r="R61" i="10"/>
  <c r="R93" i="10"/>
  <c r="R125" i="10"/>
  <c r="S155" i="10"/>
  <c r="S156" i="10" s="1"/>
  <c r="T161" i="10"/>
  <c r="R161" i="10"/>
  <c r="R213" i="10"/>
  <c r="S225" i="10"/>
  <c r="S226" i="10" s="1"/>
  <c r="R233" i="10"/>
  <c r="R253" i="10"/>
  <c r="T259" i="10"/>
  <c r="R277" i="10"/>
  <c r="R345" i="10"/>
  <c r="R101" i="11"/>
  <c r="Q118" i="11"/>
  <c r="Q94" i="1"/>
  <c r="R5" i="9"/>
  <c r="R9" i="9"/>
  <c r="R25" i="9"/>
  <c r="R37" i="9"/>
  <c r="R41" i="9"/>
  <c r="R65" i="9"/>
  <c r="R69" i="9"/>
  <c r="R73" i="9"/>
  <c r="R77" i="9"/>
  <c r="R93" i="9"/>
  <c r="R97" i="9"/>
  <c r="R101" i="9"/>
  <c r="R113" i="9"/>
  <c r="R121" i="9"/>
  <c r="R125" i="9"/>
  <c r="R129" i="9"/>
  <c r="R145" i="9"/>
  <c r="R149" i="9"/>
  <c r="Q21" i="9"/>
  <c r="Q41" i="9"/>
  <c r="Q45" i="9"/>
  <c r="Q77" i="9"/>
  <c r="T245" i="10"/>
  <c r="R241" i="10"/>
  <c r="P342" i="10"/>
  <c r="S344" i="10"/>
  <c r="S345" i="10" s="1"/>
  <c r="P151" i="1"/>
  <c r="R218" i="1"/>
  <c r="P34" i="10"/>
  <c r="R161" i="9"/>
  <c r="R165" i="9"/>
  <c r="R177" i="9"/>
  <c r="R181" i="9"/>
  <c r="R213" i="9"/>
  <c r="R233" i="9"/>
  <c r="R237" i="9"/>
  <c r="R257" i="9"/>
  <c r="R293" i="9"/>
  <c r="R309" i="9"/>
  <c r="R21" i="10"/>
  <c r="S218" i="9"/>
  <c r="S219" i="9" s="1"/>
  <c r="S239" i="9"/>
  <c r="S240" i="9" s="1"/>
  <c r="R250" i="9"/>
  <c r="Q12" i="9"/>
  <c r="Q31" i="9"/>
  <c r="Q36" i="9"/>
  <c r="Q48" i="9"/>
  <c r="Q68" i="9"/>
  <c r="Q88" i="9"/>
  <c r="Q116" i="9"/>
  <c r="Q119" i="9"/>
  <c r="Q120" i="9"/>
  <c r="Q131" i="9"/>
  <c r="Q140" i="9"/>
  <c r="Q168" i="9"/>
  <c r="Q171" i="9"/>
  <c r="Q180" i="9"/>
  <c r="Q188" i="9"/>
  <c r="Q196" i="9"/>
  <c r="Q11" i="10"/>
  <c r="Q15" i="10"/>
  <c r="Q23" i="10"/>
  <c r="Q27" i="10"/>
  <c r="Q40" i="10"/>
  <c r="Q47" i="10"/>
  <c r="O63" i="10"/>
  <c r="O79" i="10"/>
  <c r="O83" i="10"/>
  <c r="O85" i="10"/>
  <c r="O99" i="10"/>
  <c r="O113" i="10"/>
  <c r="O123" i="10"/>
  <c r="O127" i="10"/>
  <c r="O139" i="10"/>
  <c r="N157" i="10"/>
  <c r="O159" i="10"/>
  <c r="O171" i="10"/>
  <c r="N171" i="10"/>
  <c r="O175" i="10"/>
  <c r="O183" i="10"/>
  <c r="R185" i="10"/>
  <c r="R189" i="10"/>
  <c r="R201" i="10"/>
  <c r="O203" i="10"/>
  <c r="R209" i="10"/>
  <c r="R217" i="10"/>
  <c r="R221" i="10"/>
  <c r="O227" i="10"/>
  <c r="N229" i="10"/>
  <c r="R305" i="10"/>
  <c r="R349" i="10"/>
  <c r="R353" i="10"/>
  <c r="R93" i="11"/>
  <c r="R112" i="11"/>
  <c r="R132" i="11"/>
  <c r="R140" i="11"/>
  <c r="R180" i="11"/>
  <c r="R216" i="11"/>
  <c r="R264" i="11"/>
  <c r="R272" i="11"/>
  <c r="R276" i="11"/>
  <c r="R284" i="11"/>
  <c r="R288" i="11"/>
  <c r="R308" i="11"/>
  <c r="R340" i="11"/>
  <c r="R344" i="11"/>
  <c r="R348" i="11"/>
  <c r="R352" i="11"/>
  <c r="R364" i="11"/>
  <c r="P3" i="12"/>
  <c r="R4" i="12"/>
  <c r="P5" i="12"/>
  <c r="R8" i="12"/>
  <c r="P9" i="12"/>
  <c r="P15" i="12"/>
  <c r="R20" i="12"/>
  <c r="R24" i="12"/>
  <c r="P25" i="12"/>
  <c r="R28" i="12"/>
  <c r="P29" i="12"/>
  <c r="R32" i="12"/>
  <c r="P33" i="12"/>
  <c r="P35" i="12"/>
  <c r="R36" i="12"/>
  <c r="P37" i="12"/>
  <c r="P45" i="12"/>
  <c r="P47" i="12"/>
  <c r="P55" i="12"/>
  <c r="R56" i="12"/>
  <c r="P57" i="12"/>
  <c r="P63" i="12"/>
  <c r="P67" i="12"/>
  <c r="R68" i="12"/>
  <c r="P71" i="12"/>
  <c r="R72" i="12"/>
  <c r="R100" i="12"/>
  <c r="R104" i="12"/>
  <c r="R116" i="12"/>
  <c r="R132" i="12"/>
  <c r="Q91" i="10"/>
  <c r="Q95" i="10"/>
  <c r="Q103" i="10"/>
  <c r="Q155" i="10"/>
  <c r="Q163" i="10"/>
  <c r="Q175" i="10"/>
  <c r="Q183" i="10"/>
  <c r="Q219" i="10"/>
  <c r="Q223" i="10"/>
  <c r="Q227" i="10"/>
  <c r="Q231" i="10"/>
  <c r="R127" i="11"/>
  <c r="R135" i="11"/>
  <c r="R139" i="11"/>
  <c r="R143" i="11"/>
  <c r="R147" i="11"/>
  <c r="R151" i="11"/>
  <c r="R167" i="11"/>
  <c r="R179" i="11"/>
  <c r="R203" i="11"/>
  <c r="R227" i="11"/>
  <c r="R231" i="11"/>
  <c r="R247" i="11"/>
  <c r="R251" i="11"/>
  <c r="R255" i="11"/>
  <c r="R287" i="11"/>
  <c r="P6" i="9"/>
  <c r="P34" i="9"/>
  <c r="R63" i="9"/>
  <c r="P66" i="9"/>
  <c r="R67" i="9"/>
  <c r="P74" i="9"/>
  <c r="P102" i="9"/>
  <c r="P146" i="9"/>
  <c r="R223" i="9"/>
  <c r="R303" i="9"/>
  <c r="R327" i="9"/>
  <c r="R331" i="9"/>
  <c r="R355" i="9"/>
  <c r="R7" i="10"/>
  <c r="R15" i="10"/>
  <c r="R23" i="10"/>
  <c r="R55" i="10"/>
  <c r="R59" i="10"/>
  <c r="R71" i="10"/>
  <c r="P74" i="10"/>
  <c r="R79" i="10"/>
  <c r="R99" i="10"/>
  <c r="P122" i="10"/>
  <c r="R131" i="10"/>
  <c r="R135" i="10"/>
  <c r="R143" i="10"/>
  <c r="R147" i="10"/>
  <c r="R155" i="10"/>
  <c r="R167" i="10"/>
  <c r="R171" i="10"/>
  <c r="R175" i="10"/>
  <c r="R179" i="10"/>
  <c r="R183" i="10"/>
  <c r="R187" i="10"/>
  <c r="R199" i="10"/>
  <c r="P202" i="10"/>
  <c r="R211" i="10"/>
  <c r="R219" i="10"/>
  <c r="P230" i="10"/>
  <c r="P242" i="10"/>
  <c r="R243" i="10"/>
  <c r="R255" i="10"/>
  <c r="R263" i="10"/>
  <c r="R267" i="10"/>
  <c r="R319" i="10"/>
  <c r="R327" i="10"/>
  <c r="R347" i="10"/>
  <c r="R363" i="10"/>
  <c r="P38" i="11"/>
  <c r="S64" i="11"/>
  <c r="S65" i="11" s="1"/>
  <c r="S85" i="11"/>
  <c r="S86" i="11" s="1"/>
  <c r="O111" i="11"/>
  <c r="Q112" i="11"/>
  <c r="N115" i="11"/>
  <c r="Q116" i="11"/>
  <c r="Q120" i="11"/>
  <c r="Q124" i="11"/>
  <c r="Q128" i="11"/>
  <c r="Q136" i="11"/>
  <c r="O139" i="11"/>
  <c r="T149" i="11"/>
  <c r="Q148" i="11"/>
  <c r="T163" i="11"/>
  <c r="Q160" i="11"/>
  <c r="Q164" i="11"/>
  <c r="T177" i="11"/>
  <c r="Q180" i="11"/>
  <c r="Q184" i="11"/>
  <c r="O187" i="11"/>
  <c r="O195" i="11"/>
  <c r="Q200" i="11"/>
  <c r="Q204" i="11"/>
  <c r="Q208" i="11"/>
  <c r="T233" i="11"/>
  <c r="O235" i="11"/>
  <c r="Q240" i="11"/>
  <c r="S242" i="11"/>
  <c r="S243" i="11" s="1"/>
  <c r="Q4" i="12"/>
  <c r="Q17" i="12"/>
  <c r="Q24" i="12"/>
  <c r="O25" i="12"/>
  <c r="Q33" i="12"/>
  <c r="T44" i="12"/>
  <c r="Q45" i="12"/>
  <c r="Q48" i="12"/>
  <c r="Q52" i="12"/>
  <c r="Q60" i="12"/>
  <c r="Q64" i="12"/>
  <c r="T72" i="12"/>
  <c r="Q72" i="12"/>
  <c r="S74" i="12"/>
  <c r="S75" i="12" s="1"/>
  <c r="Q77" i="12"/>
  <c r="Q80" i="12"/>
  <c r="Q88" i="12"/>
  <c r="Q104" i="12"/>
  <c r="Q105" i="12"/>
  <c r="O111" i="12"/>
  <c r="O113" i="12"/>
  <c r="Q117" i="12"/>
  <c r="Q120" i="12"/>
  <c r="Q124" i="12"/>
  <c r="O131" i="12"/>
  <c r="Q133" i="12"/>
  <c r="N141" i="12"/>
  <c r="Q152" i="12"/>
  <c r="O165" i="12"/>
  <c r="Q169" i="12"/>
  <c r="Q173" i="12"/>
  <c r="Q176" i="12"/>
  <c r="Q180" i="12"/>
  <c r="O181" i="12"/>
  <c r="Q184" i="12"/>
  <c r="Q189" i="12"/>
  <c r="O199" i="12"/>
  <c r="S214" i="12"/>
  <c r="S215" i="12" s="1"/>
  <c r="Q224" i="12"/>
  <c r="Q228" i="12"/>
  <c r="Q229" i="12"/>
  <c r="Q352" i="13"/>
  <c r="R4" i="10"/>
  <c r="P25" i="10"/>
  <c r="S50" i="10"/>
  <c r="S51" i="10" s="1"/>
  <c r="P53" i="10"/>
  <c r="R64" i="10"/>
  <c r="P73" i="10"/>
  <c r="R76" i="10"/>
  <c r="R88" i="10"/>
  <c r="P103" i="10"/>
  <c r="R168" i="10"/>
  <c r="R172" i="10"/>
  <c r="R176" i="10"/>
  <c r="P177" i="10"/>
  <c r="P185" i="10"/>
  <c r="S197" i="10"/>
  <c r="S198" i="10" s="1"/>
  <c r="P197" i="10"/>
  <c r="R204" i="10"/>
  <c r="R224" i="10"/>
  <c r="R228" i="10"/>
  <c r="S239" i="10"/>
  <c r="S240" i="10" s="1"/>
  <c r="R248" i="10"/>
  <c r="R288" i="10"/>
  <c r="R308" i="10"/>
  <c r="R316" i="10"/>
  <c r="R336" i="10"/>
  <c r="P15" i="11"/>
  <c r="R100" i="11"/>
  <c r="Q114" i="11"/>
  <c r="O142" i="11"/>
  <c r="O172" i="11"/>
  <c r="O232" i="11"/>
  <c r="Q332" i="13"/>
  <c r="R18" i="10"/>
  <c r="Q22" i="10"/>
  <c r="Q25" i="10"/>
  <c r="R34" i="10"/>
  <c r="R58" i="10"/>
  <c r="R62" i="10"/>
  <c r="Q69" i="10"/>
  <c r="O88" i="10"/>
  <c r="O104" i="10"/>
  <c r="R114" i="10"/>
  <c r="O116" i="10"/>
  <c r="R126" i="10"/>
  <c r="T138" i="10"/>
  <c r="O140" i="10"/>
  <c r="Q145" i="10"/>
  <c r="Q149" i="10"/>
  <c r="T156" i="10"/>
  <c r="R154" i="10"/>
  <c r="Q157" i="10"/>
  <c r="R162" i="10"/>
  <c r="Q165" i="10"/>
  <c r="S165" i="10"/>
  <c r="S166" i="10" s="1"/>
  <c r="O168" i="10"/>
  <c r="Q169" i="10"/>
  <c r="T177" i="10"/>
  <c r="O184" i="10"/>
  <c r="Q185" i="10"/>
  <c r="T198" i="10"/>
  <c r="O196" i="10"/>
  <c r="R198" i="10"/>
  <c r="Q201" i="10"/>
  <c r="O204" i="10"/>
  <c r="Q205" i="10"/>
  <c r="O208" i="10"/>
  <c r="Q209" i="10"/>
  <c r="R210" i="10"/>
  <c r="Q213" i="10"/>
  <c r="Q217" i="10"/>
  <c r="T226" i="10"/>
  <c r="Q221" i="10"/>
  <c r="R226" i="10"/>
  <c r="Q229" i="10"/>
  <c r="Q230" i="10"/>
  <c r="Q233" i="10"/>
  <c r="Q237" i="10"/>
  <c r="Q238" i="10"/>
  <c r="Q242" i="10"/>
  <c r="Q246" i="10"/>
  <c r="S256" i="10"/>
  <c r="S257" i="10" s="1"/>
  <c r="S284" i="10"/>
  <c r="S285" i="10" s="1"/>
  <c r="R302" i="10"/>
  <c r="S319" i="10"/>
  <c r="S320" i="10" s="1"/>
  <c r="R326" i="10"/>
  <c r="R346" i="10"/>
  <c r="R358" i="10"/>
  <c r="O30" i="11"/>
  <c r="Q49" i="11"/>
  <c r="R70" i="11"/>
  <c r="R353" i="11"/>
  <c r="P4" i="12"/>
  <c r="R17" i="12"/>
  <c r="S22" i="12"/>
  <c r="S23" i="12" s="1"/>
  <c r="T147" i="12"/>
  <c r="R177" i="12"/>
  <c r="R205" i="12"/>
  <c r="R233" i="12"/>
  <c r="O364" i="13"/>
  <c r="Q139" i="12"/>
  <c r="Q171" i="12"/>
  <c r="Q211" i="12"/>
  <c r="Q231" i="12"/>
  <c r="R194" i="1"/>
  <c r="R31" i="1"/>
  <c r="R186" i="1"/>
  <c r="R234" i="1"/>
  <c r="R264" i="1"/>
  <c r="P276" i="1"/>
  <c r="N73" i="1"/>
  <c r="N7" i="1"/>
  <c r="N364" i="1"/>
  <c r="N228" i="1"/>
  <c r="N220" i="1"/>
  <c r="N204" i="1"/>
  <c r="N180" i="1"/>
  <c r="N172" i="1"/>
  <c r="N156" i="1"/>
  <c r="N43" i="1"/>
  <c r="N19" i="1"/>
  <c r="O326" i="9"/>
  <c r="O254" i="10"/>
  <c r="Q192" i="1"/>
  <c r="P325" i="9"/>
  <c r="S330" i="9"/>
  <c r="S331" i="9" s="1"/>
  <c r="R94" i="9"/>
  <c r="N94" i="9"/>
  <c r="R102" i="9"/>
  <c r="Q102" i="9"/>
  <c r="R122" i="9"/>
  <c r="O122" i="9"/>
  <c r="N122" i="9"/>
  <c r="R138" i="9"/>
  <c r="O138" i="9"/>
  <c r="R166" i="9"/>
  <c r="O166" i="9"/>
  <c r="R194" i="9"/>
  <c r="S193" i="9"/>
  <c r="S194" i="9" s="1"/>
  <c r="R234" i="9"/>
  <c r="S235" i="9"/>
  <c r="S236" i="9" s="1"/>
  <c r="O262" i="9"/>
  <c r="R262" i="9"/>
  <c r="Q262" i="9"/>
  <c r="O290" i="9"/>
  <c r="T294" i="9"/>
  <c r="O294" i="9"/>
  <c r="Q294" i="9"/>
  <c r="Q298" i="9"/>
  <c r="O298" i="9"/>
  <c r="O306" i="9"/>
  <c r="T308" i="9"/>
  <c r="R306" i="9"/>
  <c r="O314" i="9"/>
  <c r="T315" i="9"/>
  <c r="O318" i="9"/>
  <c r="Q318" i="9"/>
  <c r="R318" i="9"/>
  <c r="S319" i="9"/>
  <c r="S320" i="9" s="1"/>
  <c r="O322" i="9"/>
  <c r="Q322" i="9"/>
  <c r="R322" i="9"/>
  <c r="R334" i="9"/>
  <c r="O334" i="9"/>
  <c r="Q338" i="9"/>
  <c r="O338" i="9"/>
  <c r="R338" i="9"/>
  <c r="R350" i="9"/>
  <c r="O350" i="9"/>
  <c r="R354" i="9"/>
  <c r="O354" i="9"/>
  <c r="Q354" i="9"/>
  <c r="O362" i="9"/>
  <c r="R362" i="9"/>
  <c r="O366" i="9"/>
  <c r="Q366" i="9"/>
  <c r="R366" i="9"/>
  <c r="O368" i="9"/>
  <c r="Q368" i="9"/>
  <c r="R10" i="10"/>
  <c r="Q14" i="10"/>
  <c r="R14" i="10"/>
  <c r="R42" i="10"/>
  <c r="R46" i="10"/>
  <c r="R66" i="10"/>
  <c r="Q66" i="10"/>
  <c r="O66" i="10"/>
  <c r="R74" i="10"/>
  <c r="R82" i="10"/>
  <c r="R94" i="10"/>
  <c r="S95" i="10"/>
  <c r="S96" i="10" s="1"/>
  <c r="T103" i="10"/>
  <c r="T110" i="10"/>
  <c r="R122" i="10"/>
  <c r="T126" i="10"/>
  <c r="T124" i="10"/>
  <c r="R130" i="10"/>
  <c r="T133" i="10"/>
  <c r="Q134" i="10"/>
  <c r="R134" i="10"/>
  <c r="R138" i="10"/>
  <c r="Q138" i="10"/>
  <c r="R146" i="10"/>
  <c r="T145" i="10"/>
  <c r="S151" i="10"/>
  <c r="S152" i="10" s="1"/>
  <c r="Q150" i="10"/>
  <c r="S158" i="10"/>
  <c r="S159" i="10" s="1"/>
  <c r="R158" i="10"/>
  <c r="R166" i="10"/>
  <c r="Q166" i="10"/>
  <c r="R170" i="10"/>
  <c r="Q170" i="10"/>
  <c r="T173" i="10"/>
  <c r="T175" i="10"/>
  <c r="S172" i="10"/>
  <c r="S173" i="10" s="1"/>
  <c r="R178" i="10"/>
  <c r="T182" i="10"/>
  <c r="Q178" i="10"/>
  <c r="R182" i="10"/>
  <c r="Q182" i="10"/>
  <c r="Q186" i="10"/>
  <c r="R186" i="10"/>
  <c r="T187" i="10"/>
  <c r="T191" i="10"/>
  <c r="R190" i="10"/>
  <c r="Q190" i="10"/>
  <c r="R194" i="10"/>
  <c r="Q194" i="10"/>
  <c r="T201" i="10"/>
  <c r="Q206" i="10"/>
  <c r="N206" i="10"/>
  <c r="T208" i="10"/>
  <c r="T215" i="10"/>
  <c r="Q214" i="10"/>
  <c r="R218" i="10"/>
  <c r="Q218" i="10"/>
  <c r="S221" i="10"/>
  <c r="S222" i="10" s="1"/>
  <c r="T224" i="10"/>
  <c r="R222" i="10"/>
  <c r="Q234" i="10"/>
  <c r="T238" i="10"/>
  <c r="T236" i="10"/>
  <c r="R234" i="10"/>
  <c r="S235" i="10"/>
  <c r="S236" i="10" s="1"/>
  <c r="T240" i="10"/>
  <c r="N256" i="10"/>
  <c r="T261" i="10"/>
  <c r="Q266" i="10"/>
  <c r="O266" i="10"/>
  <c r="O270" i="10"/>
  <c r="S270" i="10"/>
  <c r="S271" i="10" s="1"/>
  <c r="R270" i="10"/>
  <c r="N272" i="10"/>
  <c r="T275" i="10"/>
  <c r="O278" i="10"/>
  <c r="T278" i="10"/>
  <c r="Q278" i="10"/>
  <c r="O282" i="10"/>
  <c r="R282" i="10"/>
  <c r="N292" i="10"/>
  <c r="T296" i="10"/>
  <c r="O298" i="10"/>
  <c r="Q298" i="10"/>
  <c r="R298" i="10"/>
  <c r="N300" i="10"/>
  <c r="T303" i="10"/>
  <c r="T310" i="10"/>
  <c r="N304" i="10"/>
  <c r="O306" i="10"/>
  <c r="S305" i="10"/>
  <c r="S306" i="10" s="1"/>
  <c r="R310" i="10"/>
  <c r="O310" i="10"/>
  <c r="Q310" i="10"/>
  <c r="R111" i="1"/>
  <c r="R95" i="1"/>
  <c r="Q194" i="1"/>
  <c r="R143" i="1"/>
  <c r="N55" i="1"/>
  <c r="P148" i="1"/>
  <c r="P140" i="1"/>
  <c r="P132" i="1"/>
  <c r="P116" i="1"/>
  <c r="R330" i="9"/>
  <c r="Q358" i="9"/>
  <c r="Q274" i="10"/>
  <c r="Q222" i="10"/>
  <c r="Q154" i="10"/>
  <c r="T159" i="10"/>
  <c r="Q113" i="1"/>
  <c r="R55" i="1"/>
  <c r="R33" i="1"/>
  <c r="P316" i="1"/>
  <c r="N84" i="1"/>
  <c r="S298" i="9"/>
  <c r="S299" i="9" s="1"/>
  <c r="Q286" i="9"/>
  <c r="R306" i="10"/>
  <c r="Q270" i="10"/>
  <c r="S179" i="10"/>
  <c r="S180" i="10" s="1"/>
  <c r="R230" i="10"/>
  <c r="R22" i="10"/>
  <c r="T285" i="10"/>
  <c r="P100" i="1"/>
  <c r="P68" i="1"/>
  <c r="P52" i="1"/>
  <c r="P44" i="1"/>
  <c r="P236" i="1"/>
  <c r="P164" i="1"/>
  <c r="P284" i="1"/>
  <c r="R184" i="1"/>
  <c r="R47" i="1"/>
  <c r="R232" i="1"/>
  <c r="N95" i="1"/>
  <c r="N58" i="1"/>
  <c r="N268" i="1"/>
  <c r="N299" i="1"/>
  <c r="N363" i="1"/>
  <c r="R221" i="1"/>
  <c r="N132" i="1"/>
  <c r="N124" i="1"/>
  <c r="N116" i="1"/>
  <c r="N108" i="1"/>
  <c r="R20" i="1"/>
  <c r="Q326" i="9"/>
  <c r="T294" i="10"/>
  <c r="Q202" i="10"/>
  <c r="T231" i="10"/>
  <c r="T322" i="10"/>
  <c r="T329" i="10"/>
  <c r="S113" i="10"/>
  <c r="S114" i="10" s="1"/>
  <c r="P249" i="10"/>
  <c r="S253" i="10"/>
  <c r="S254" i="10" s="1"/>
  <c r="P269" i="10"/>
  <c r="S274" i="10"/>
  <c r="S275" i="10" s="1"/>
  <c r="P285" i="10"/>
  <c r="S288" i="10"/>
  <c r="S289" i="10" s="1"/>
  <c r="O338" i="10"/>
  <c r="R338" i="10"/>
  <c r="O342" i="10"/>
  <c r="T341" i="10"/>
  <c r="Q342" i="10"/>
  <c r="S340" i="10"/>
  <c r="S341" i="10" s="1"/>
  <c r="T355" i="10"/>
  <c r="Q362" i="10"/>
  <c r="R362" i="10"/>
  <c r="Q338" i="10"/>
  <c r="T331" i="10"/>
  <c r="Q358" i="10"/>
  <c r="R342" i="10"/>
  <c r="T327" i="10"/>
  <c r="T371" i="10"/>
  <c r="O358" i="10"/>
  <c r="S29" i="10"/>
  <c r="S30" i="10" s="1"/>
  <c r="S43" i="10"/>
  <c r="S44" i="10" s="1"/>
  <c r="S64" i="10"/>
  <c r="S65" i="10" s="1"/>
  <c r="S99" i="10"/>
  <c r="S100" i="10" s="1"/>
  <c r="S162" i="10"/>
  <c r="S163" i="10" s="1"/>
  <c r="S169" i="10"/>
  <c r="S170" i="10" s="1"/>
  <c r="S176" i="10"/>
  <c r="S177" i="10" s="1"/>
  <c r="S183" i="10"/>
  <c r="S184" i="10" s="1"/>
  <c r="S204" i="10"/>
  <c r="S205" i="10" s="1"/>
  <c r="S211" i="10"/>
  <c r="S212" i="10" s="1"/>
  <c r="P256" i="10"/>
  <c r="S260" i="10"/>
  <c r="S261" i="10" s="1"/>
  <c r="P292" i="10"/>
  <c r="S295" i="10"/>
  <c r="S296" i="10" s="1"/>
  <c r="P332" i="10"/>
  <c r="S337" i="10"/>
  <c r="S338" i="10" s="1"/>
  <c r="S316" i="9"/>
  <c r="S317" i="9" s="1"/>
  <c r="S365" i="10"/>
  <c r="S366" i="10" s="1"/>
  <c r="S260" i="9"/>
  <c r="S261" i="9" s="1"/>
  <c r="O4" i="9"/>
  <c r="O14" i="9"/>
  <c r="O18" i="9"/>
  <c r="O20" i="9"/>
  <c r="O28" i="9"/>
  <c r="O44" i="9"/>
  <c r="O80" i="9"/>
  <c r="O94" i="9"/>
  <c r="S95" i="9"/>
  <c r="S96" i="9" s="1"/>
  <c r="O150" i="9"/>
  <c r="O174" i="9"/>
  <c r="O176" i="9"/>
  <c r="N178" i="9"/>
  <c r="O192" i="9"/>
  <c r="O212" i="9"/>
  <c r="O228" i="9"/>
  <c r="O240" i="9"/>
  <c r="R248" i="9"/>
  <c r="R252" i="9"/>
  <c r="R272" i="9"/>
  <c r="S340" i="9"/>
  <c r="S341" i="9" s="1"/>
  <c r="R32" i="10"/>
  <c r="N34" i="10"/>
  <c r="T72" i="10"/>
  <c r="R96" i="10"/>
  <c r="S123" i="10"/>
  <c r="S124" i="10" s="1"/>
  <c r="O128" i="10"/>
  <c r="O134" i="10"/>
  <c r="R156" i="10"/>
  <c r="T163" i="10"/>
  <c r="R160" i="10"/>
  <c r="N178" i="10"/>
  <c r="R180" i="10"/>
  <c r="R184" i="10"/>
  <c r="R188" i="10"/>
  <c r="T196" i="10"/>
  <c r="R196" i="10"/>
  <c r="R200" i="10"/>
  <c r="R208" i="10"/>
  <c r="O210" i="10"/>
  <c r="O212" i="10"/>
  <c r="R216" i="10"/>
  <c r="T229" i="10"/>
  <c r="O232" i="10"/>
  <c r="O240" i="10"/>
  <c r="T247" i="10"/>
  <c r="R244" i="10"/>
  <c r="R264" i="10"/>
  <c r="R268" i="10"/>
  <c r="R280" i="10"/>
  <c r="R296" i="10"/>
  <c r="R300" i="10"/>
  <c r="R320" i="10"/>
  <c r="T336" i="10"/>
  <c r="T350" i="10"/>
  <c r="O36" i="11"/>
  <c r="O46" i="11"/>
  <c r="O80" i="11"/>
  <c r="P124" i="11"/>
  <c r="P6" i="12"/>
  <c r="P26" i="12"/>
  <c r="P30" i="12"/>
  <c r="S64" i="12"/>
  <c r="S65" i="12" s="1"/>
  <c r="P70" i="12"/>
  <c r="P76" i="12"/>
  <c r="S92" i="12"/>
  <c r="S93" i="12" s="1"/>
  <c r="P41" i="3"/>
  <c r="L53" i="29" s="1"/>
  <c r="P102" i="12"/>
  <c r="T112" i="12"/>
  <c r="P118" i="12"/>
  <c r="P122" i="12"/>
  <c r="P42" i="3"/>
  <c r="S148" i="12"/>
  <c r="S149" i="12" s="1"/>
  <c r="S155" i="12"/>
  <c r="S156" i="12" s="1"/>
  <c r="P154" i="12"/>
  <c r="T168" i="12"/>
  <c r="P172" i="12"/>
  <c r="P44" i="3"/>
  <c r="Z23" i="29" s="1"/>
  <c r="S204" i="12"/>
  <c r="S205" i="12" s="1"/>
  <c r="P216" i="12"/>
  <c r="T238" i="12"/>
  <c r="T259" i="12"/>
  <c r="T273" i="12"/>
  <c r="Q341" i="13"/>
  <c r="P5" i="6"/>
  <c r="P13" i="6"/>
  <c r="P15" i="6"/>
  <c r="P17" i="6"/>
  <c r="P19" i="6"/>
  <c r="P21" i="6"/>
  <c r="P25" i="6"/>
  <c r="P27" i="6"/>
  <c r="P29" i="6"/>
  <c r="P31" i="6"/>
  <c r="P33" i="6"/>
  <c r="P35" i="6"/>
  <c r="P39" i="6"/>
  <c r="P41" i="6"/>
  <c r="P43" i="6"/>
  <c r="P45" i="6"/>
  <c r="P47" i="6"/>
  <c r="P49" i="6"/>
  <c r="R129" i="11"/>
  <c r="R153" i="11"/>
  <c r="T198" i="11"/>
  <c r="R217" i="11"/>
  <c r="T229" i="11"/>
  <c r="R301" i="11"/>
  <c r="R325" i="11"/>
  <c r="R29" i="12"/>
  <c r="R81" i="12"/>
  <c r="R85" i="12"/>
  <c r="R97" i="12"/>
  <c r="R109" i="12"/>
  <c r="R193" i="12"/>
  <c r="R197" i="12"/>
  <c r="T208" i="12"/>
  <c r="R217" i="12"/>
  <c r="R221" i="12"/>
  <c r="R225" i="12"/>
  <c r="Q17" i="9"/>
  <c r="Q25" i="9"/>
  <c r="Q40" i="9"/>
  <c r="Q56" i="9"/>
  <c r="Q57" i="9"/>
  <c r="Q65" i="9"/>
  <c r="Q96" i="9"/>
  <c r="Q112" i="9"/>
  <c r="Q141" i="9"/>
  <c r="Q153" i="9"/>
  <c r="Q169" i="9"/>
  <c r="Q173" i="9"/>
  <c r="Q184" i="9"/>
  <c r="Q189" i="9"/>
  <c r="Q204" i="9"/>
  <c r="Q205" i="9"/>
  <c r="Q208" i="9"/>
  <c r="Q225" i="9"/>
  <c r="T355" i="9"/>
  <c r="Q13" i="10"/>
  <c r="T49" i="10"/>
  <c r="Q53" i="10"/>
  <c r="Q61" i="10"/>
  <c r="T149" i="10"/>
  <c r="T152" i="10"/>
  <c r="Q161" i="10"/>
  <c r="Q177" i="10"/>
  <c r="Q193" i="10"/>
  <c r="T205" i="10"/>
  <c r="S214" i="10"/>
  <c r="S215" i="10" s="1"/>
  <c r="Q225" i="10"/>
  <c r="S242" i="10"/>
  <c r="S243" i="10" s="1"/>
  <c r="T289" i="10"/>
  <c r="Q4" i="11"/>
  <c r="Q73" i="11"/>
  <c r="Q106" i="11"/>
  <c r="Q154" i="11"/>
  <c r="Q158" i="11"/>
  <c r="Q162" i="11"/>
  <c r="Q186" i="11"/>
  <c r="Q194" i="11"/>
  <c r="Q206" i="11"/>
  <c r="Q210" i="11"/>
  <c r="Q226" i="11"/>
  <c r="Q234" i="11"/>
  <c r="Q242" i="11"/>
  <c r="Q6" i="12"/>
  <c r="Q14" i="12"/>
  <c r="Q26" i="12"/>
  <c r="Q54" i="12"/>
  <c r="Q58" i="12"/>
  <c r="Q62" i="12"/>
  <c r="Q66" i="12"/>
  <c r="Q70" i="12"/>
  <c r="Q74" i="12"/>
  <c r="Q78" i="12"/>
  <c r="Q82" i="12"/>
  <c r="Q90" i="12"/>
  <c r="Q98" i="12"/>
  <c r="Q102" i="12"/>
  <c r="Q106" i="12"/>
  <c r="Q130" i="12"/>
  <c r="Q138" i="12"/>
  <c r="Q142" i="12"/>
  <c r="Q146" i="12"/>
  <c r="Q150" i="12"/>
  <c r="Q154" i="12"/>
  <c r="Q170" i="12"/>
  <c r="Q174" i="12"/>
  <c r="Q178" i="12"/>
  <c r="Q194" i="12"/>
  <c r="Q202" i="12"/>
  <c r="Q206" i="12"/>
  <c r="Q214" i="12"/>
  <c r="Q230" i="12"/>
  <c r="Q246" i="12"/>
  <c r="T369" i="12"/>
  <c r="O317" i="13"/>
  <c r="N52" i="6"/>
  <c r="O54" i="6"/>
  <c r="N56" i="6"/>
  <c r="Q58" i="6"/>
  <c r="Q66" i="6"/>
  <c r="N68" i="6"/>
  <c r="Q70" i="6"/>
  <c r="N80" i="6"/>
  <c r="O84" i="6"/>
  <c r="N90" i="6"/>
  <c r="N98" i="6"/>
  <c r="N100" i="6"/>
  <c r="N104" i="6"/>
  <c r="N110" i="6"/>
  <c r="O112" i="6"/>
  <c r="N116" i="6"/>
  <c r="O120" i="6"/>
  <c r="N120" i="6"/>
  <c r="Q122" i="6"/>
  <c r="O132" i="6"/>
  <c r="N134" i="6"/>
  <c r="O138" i="6"/>
  <c r="O142" i="6"/>
  <c r="O144" i="6"/>
  <c r="Q146" i="6"/>
  <c r="Q150" i="6"/>
  <c r="N152" i="6"/>
  <c r="N156" i="6"/>
  <c r="O162" i="6"/>
  <c r="P168" i="6"/>
  <c r="P170" i="6"/>
  <c r="P174" i="6"/>
  <c r="P176" i="6"/>
  <c r="O177" i="6"/>
  <c r="O191" i="6"/>
  <c r="O193" i="6"/>
  <c r="N195" i="6"/>
  <c r="O197" i="6"/>
  <c r="N199" i="6"/>
  <c r="O201" i="6"/>
  <c r="N203" i="6"/>
  <c r="O205" i="6"/>
  <c r="N205" i="6"/>
  <c r="O209" i="6"/>
  <c r="N209" i="6"/>
  <c r="O219" i="6"/>
  <c r="O221" i="6"/>
  <c r="N225" i="6"/>
  <c r="N229" i="6"/>
  <c r="O231" i="6"/>
  <c r="O233" i="6"/>
  <c r="N237" i="6"/>
  <c r="O241" i="6"/>
  <c r="O245" i="6"/>
  <c r="H44" i="7"/>
  <c r="P51" i="6"/>
  <c r="P53" i="6"/>
  <c r="P55" i="6"/>
  <c r="P57" i="6"/>
  <c r="P59" i="6"/>
  <c r="P61" i="6"/>
  <c r="P65" i="6"/>
  <c r="P67" i="6"/>
  <c r="P69" i="6"/>
  <c r="P71" i="6"/>
  <c r="P73" i="6"/>
  <c r="P75" i="6"/>
  <c r="P79" i="6"/>
  <c r="P81" i="6"/>
  <c r="P83" i="6"/>
  <c r="P85" i="6"/>
  <c r="P87" i="6"/>
  <c r="P89" i="6"/>
  <c r="P91" i="6"/>
  <c r="R92" i="6"/>
  <c r="P93" i="6"/>
  <c r="P95" i="6"/>
  <c r="P99" i="6"/>
  <c r="R100" i="6"/>
  <c r="P105" i="6"/>
  <c r="P107" i="6"/>
  <c r="P109" i="6"/>
  <c r="P111" i="6"/>
  <c r="P113" i="6"/>
  <c r="P115" i="6"/>
  <c r="P117" i="6"/>
  <c r="P119" i="6"/>
  <c r="P123" i="6"/>
  <c r="P125" i="6"/>
  <c r="P131" i="6"/>
  <c r="P133" i="6"/>
  <c r="P135" i="6"/>
  <c r="P139" i="6"/>
  <c r="P141" i="6"/>
  <c r="P143" i="6"/>
  <c r="P145" i="6"/>
  <c r="R148" i="6"/>
  <c r="P149" i="6"/>
  <c r="P151" i="6"/>
  <c r="P161" i="6"/>
  <c r="N164" i="6"/>
  <c r="O166" i="6"/>
  <c r="N168" i="6"/>
  <c r="O170" i="6"/>
  <c r="O172" i="6"/>
  <c r="O174" i="6"/>
  <c r="P178" i="6"/>
  <c r="P180" i="6"/>
  <c r="R181" i="6"/>
  <c r="P182" i="6"/>
  <c r="H11" i="3"/>
  <c r="I15" i="25" s="1"/>
  <c r="P196" i="6"/>
  <c r="P200" i="6"/>
  <c r="P204" i="6"/>
  <c r="P206" i="6"/>
  <c r="P208" i="6"/>
  <c r="P212" i="6"/>
  <c r="P218" i="6"/>
  <c r="P224" i="6"/>
  <c r="R225" i="6"/>
  <c r="P226" i="6"/>
  <c r="P228" i="6"/>
  <c r="P230" i="6"/>
  <c r="P232" i="6"/>
  <c r="P234" i="6"/>
  <c r="P236" i="6"/>
  <c r="P238" i="6"/>
  <c r="P240" i="6"/>
  <c r="P242" i="6"/>
  <c r="P244" i="6"/>
  <c r="P246" i="6"/>
  <c r="P254" i="1"/>
  <c r="Q341" i="1"/>
  <c r="Q124" i="1"/>
  <c r="R116" i="1"/>
  <c r="N76" i="1"/>
  <c r="O170" i="1"/>
  <c r="O153" i="1"/>
  <c r="O145" i="1"/>
  <c r="O129" i="1"/>
  <c r="O309" i="1"/>
  <c r="O341" i="1"/>
  <c r="R195" i="1"/>
  <c r="N243" i="1"/>
  <c r="P297" i="1"/>
  <c r="Q226" i="1"/>
  <c r="Q108" i="1"/>
  <c r="Q301" i="1"/>
  <c r="Q52" i="1"/>
  <c r="R267" i="1"/>
  <c r="N211" i="1"/>
  <c r="O349" i="1"/>
  <c r="R73" i="1"/>
  <c r="R140" i="1"/>
  <c r="Q157" i="1"/>
  <c r="O307" i="1"/>
  <c r="R17" i="1"/>
  <c r="Q129" i="1"/>
  <c r="N9" i="1"/>
  <c r="P285" i="1"/>
  <c r="O130" i="1"/>
  <c r="O122" i="1"/>
  <c r="O90" i="1"/>
  <c r="O66" i="1"/>
  <c r="O42" i="1"/>
  <c r="P190" i="1"/>
  <c r="P182" i="1"/>
  <c r="P174" i="1"/>
  <c r="P149" i="1"/>
  <c r="P141" i="1"/>
  <c r="P125" i="1"/>
  <c r="P117" i="1"/>
  <c r="P93" i="1"/>
  <c r="P85" i="1"/>
  <c r="P77" i="1"/>
  <c r="P69" i="1"/>
  <c r="P53" i="1"/>
  <c r="P45" i="1"/>
  <c r="P37" i="1"/>
  <c r="P21" i="1"/>
  <c r="P13" i="1"/>
  <c r="R316" i="9"/>
  <c r="Q297" i="9"/>
  <c r="Q252" i="9"/>
  <c r="S302" i="9"/>
  <c r="S303" i="9" s="1"/>
  <c r="S337" i="9"/>
  <c r="S338" i="9" s="1"/>
  <c r="T341" i="9"/>
  <c r="S281" i="9"/>
  <c r="S282" i="9" s="1"/>
  <c r="R320" i="9"/>
  <c r="S270" i="9"/>
  <c r="S271" i="9" s="1"/>
  <c r="Q228" i="9"/>
  <c r="S323" i="9"/>
  <c r="S324" i="9" s="1"/>
  <c r="O261" i="9"/>
  <c r="Q73" i="9"/>
  <c r="R300" i="9"/>
  <c r="Q325" i="10"/>
  <c r="T359" i="10"/>
  <c r="N283" i="10"/>
  <c r="T264" i="10"/>
  <c r="O280" i="10"/>
  <c r="T266" i="10"/>
  <c r="Q280" i="10"/>
  <c r="O332" i="10"/>
  <c r="S302" i="10"/>
  <c r="S303" i="10" s="1"/>
  <c r="Q300" i="10"/>
  <c r="Q156" i="10"/>
  <c r="T180" i="10"/>
  <c r="Q141" i="10"/>
  <c r="R128" i="10"/>
  <c r="R45" i="10"/>
  <c r="O109" i="10"/>
  <c r="R85" i="10"/>
  <c r="O244" i="10"/>
  <c r="R344" i="9"/>
  <c r="O272" i="9"/>
  <c r="Q248" i="9"/>
  <c r="O180" i="9"/>
  <c r="R361" i="10"/>
  <c r="Q345" i="9"/>
  <c r="Q8" i="9"/>
  <c r="Q32" i="9"/>
  <c r="Q52" i="9"/>
  <c r="Q60" i="9"/>
  <c r="Q104" i="9"/>
  <c r="Q136" i="9"/>
  <c r="Q144" i="9"/>
  <c r="Q176" i="9"/>
  <c r="Q220" i="9"/>
  <c r="R236" i="9"/>
  <c r="O236" i="9"/>
  <c r="Q244" i="9"/>
  <c r="O284" i="9"/>
  <c r="R284" i="9"/>
  <c r="N290" i="9"/>
  <c r="T296" i="9"/>
  <c r="Q296" i="9"/>
  <c r="O296" i="9"/>
  <c r="Q304" i="9"/>
  <c r="O304" i="9"/>
  <c r="Q308" i="9"/>
  <c r="O308" i="9"/>
  <c r="R328" i="9"/>
  <c r="Q328" i="9"/>
  <c r="Q332" i="9"/>
  <c r="O332" i="9"/>
  <c r="Q336" i="9"/>
  <c r="O336" i="9"/>
  <c r="Q352" i="9"/>
  <c r="R352" i="9"/>
  <c r="Q356" i="9"/>
  <c r="R356" i="9"/>
  <c r="Q360" i="9"/>
  <c r="O360" i="9"/>
  <c r="O364" i="9"/>
  <c r="Q364" i="9"/>
  <c r="Q16" i="10"/>
  <c r="S60" i="10"/>
  <c r="Q60" i="10"/>
  <c r="T114" i="10"/>
  <c r="Q132" i="10"/>
  <c r="T140" i="10"/>
  <c r="Q164" i="10"/>
  <c r="T194" i="10"/>
  <c r="R192" i="10"/>
  <c r="Q204" i="10"/>
  <c r="T210" i="10"/>
  <c r="T222" i="10"/>
  <c r="T250" i="10"/>
  <c r="O256" i="10"/>
  <c r="R256" i="10"/>
  <c r="Q260" i="10"/>
  <c r="R260" i="10"/>
  <c r="O272" i="10"/>
  <c r="R272" i="10"/>
  <c r="R276" i="10"/>
  <c r="S277" i="10"/>
  <c r="S278" i="10" s="1"/>
  <c r="O276" i="10"/>
  <c r="S291" i="10"/>
  <c r="S292" i="10" s="1"/>
  <c r="T308" i="10"/>
  <c r="Q312" i="10"/>
  <c r="O312" i="10"/>
  <c r="R312" i="10"/>
  <c r="S312" i="10"/>
  <c r="S313" i="10" s="1"/>
  <c r="T324" i="10"/>
  <c r="Q332" i="10"/>
  <c r="R332" i="10"/>
  <c r="Q340" i="10"/>
  <c r="R340" i="10"/>
  <c r="O344" i="10"/>
  <c r="Q344" i="10"/>
  <c r="R344" i="10"/>
  <c r="O348" i="10"/>
  <c r="R348" i="10"/>
  <c r="O352" i="10"/>
  <c r="Q352" i="10"/>
  <c r="O356" i="10"/>
  <c r="R356" i="10"/>
  <c r="O360" i="10"/>
  <c r="Q360" i="10"/>
  <c r="S361" i="10"/>
  <c r="S362" i="10" s="1"/>
  <c r="T362" i="10"/>
  <c r="O364" i="10"/>
  <c r="Q364" i="10"/>
  <c r="Q32" i="11"/>
  <c r="R32" i="11"/>
  <c r="P348" i="11"/>
  <c r="S351" i="11"/>
  <c r="S352" i="11" s="1"/>
  <c r="P360" i="11"/>
  <c r="S365" i="11"/>
  <c r="S366" i="11" s="1"/>
  <c r="S29" i="12"/>
  <c r="S30" i="12" s="1"/>
  <c r="P24" i="12"/>
  <c r="S36" i="12"/>
  <c r="S37" i="12" s="1"/>
  <c r="P32" i="12"/>
  <c r="P248" i="9"/>
  <c r="S253" i="9"/>
  <c r="S254" i="9" s="1"/>
  <c r="P276" i="10"/>
  <c r="S281" i="10"/>
  <c r="S282" i="10" s="1"/>
  <c r="P304" i="10"/>
  <c r="S309" i="10"/>
  <c r="S310" i="10" s="1"/>
  <c r="P312" i="10"/>
  <c r="S316" i="10"/>
  <c r="S317" i="10" s="1"/>
  <c r="P320" i="10"/>
  <c r="S323" i="10"/>
  <c r="S324" i="10" s="1"/>
  <c r="P348" i="10"/>
  <c r="S351" i="10"/>
  <c r="S352" i="10" s="1"/>
  <c r="O253" i="9"/>
  <c r="Q253" i="9"/>
  <c r="O285" i="9"/>
  <c r="Q285" i="9"/>
  <c r="O301" i="9"/>
  <c r="R301" i="9"/>
  <c r="O313" i="9"/>
  <c r="Q313" i="9"/>
  <c r="O317" i="9"/>
  <c r="Q317" i="9"/>
  <c r="O357" i="9"/>
  <c r="Q357" i="9"/>
  <c r="R33" i="10"/>
  <c r="R101" i="10"/>
  <c r="Q101" i="10"/>
  <c r="O249" i="10"/>
  <c r="Q249" i="10"/>
  <c r="O297" i="10"/>
  <c r="Q297" i="10"/>
  <c r="O301" i="10"/>
  <c r="R301" i="10"/>
  <c r="O313" i="10"/>
  <c r="Q313" i="10"/>
  <c r="O317" i="10"/>
  <c r="R317" i="10"/>
  <c r="Q317" i="10"/>
  <c r="Q341" i="10"/>
  <c r="O341" i="10"/>
  <c r="O345" i="10"/>
  <c r="Q345" i="10"/>
  <c r="O353" i="10"/>
  <c r="S354" i="10"/>
  <c r="S355" i="10" s="1"/>
  <c r="Q357" i="10"/>
  <c r="O357" i="10"/>
  <c r="R357" i="10"/>
  <c r="Q365" i="10"/>
  <c r="O365" i="10"/>
  <c r="R5" i="10"/>
  <c r="R265" i="9"/>
  <c r="O252" i="9"/>
  <c r="Q196" i="10"/>
  <c r="O264" i="9"/>
  <c r="Q321" i="10"/>
  <c r="O89" i="10"/>
  <c r="R241" i="9"/>
  <c r="R153" i="9"/>
  <c r="O329" i="9"/>
  <c r="O352" i="9"/>
  <c r="Q192" i="9"/>
  <c r="R240" i="10"/>
  <c r="O105" i="1"/>
  <c r="O81" i="1"/>
  <c r="O57" i="1"/>
  <c r="O41" i="1"/>
  <c r="O33" i="1"/>
  <c r="O25" i="1"/>
  <c r="O9" i="1"/>
  <c r="P157" i="1"/>
  <c r="N142" i="1"/>
  <c r="N126" i="1"/>
  <c r="Q301" i="9"/>
  <c r="R341" i="9"/>
  <c r="R332" i="9"/>
  <c r="O328" i="9"/>
  <c r="Q272" i="9"/>
  <c r="Q305" i="9"/>
  <c r="T289" i="9"/>
  <c r="R276" i="9"/>
  <c r="O269" i="9"/>
  <c r="Q212" i="9"/>
  <c r="T338" i="10"/>
  <c r="S326" i="10"/>
  <c r="S327" i="10" s="1"/>
  <c r="T299" i="10"/>
  <c r="T352" i="10"/>
  <c r="T287" i="10"/>
  <c r="R220" i="10"/>
  <c r="Q324" i="10"/>
  <c r="Q281" i="10"/>
  <c r="T357" i="10"/>
  <c r="S333" i="10"/>
  <c r="S334" i="10" s="1"/>
  <c r="N241" i="10"/>
  <c r="O248" i="10"/>
  <c r="Q192" i="10"/>
  <c r="T268" i="10"/>
  <c r="Q208" i="10"/>
  <c r="S193" i="10"/>
  <c r="S194" i="10" s="1"/>
  <c r="R341" i="10"/>
  <c r="S200" i="10"/>
  <c r="S201" i="10" s="1"/>
  <c r="T306" i="10"/>
  <c r="T21" i="10"/>
  <c r="R17" i="10"/>
  <c r="R225" i="9"/>
  <c r="O325" i="9"/>
  <c r="O200" i="10"/>
  <c r="Q288" i="9"/>
  <c r="S344" i="11"/>
  <c r="S345" i="11" s="1"/>
  <c r="O340" i="10"/>
  <c r="Q353" i="10"/>
  <c r="Q273" i="11"/>
  <c r="Q93" i="11"/>
  <c r="S256" i="11"/>
  <c r="S257" i="11" s="1"/>
  <c r="O73" i="12"/>
  <c r="T84" i="12"/>
  <c r="O29" i="12"/>
  <c r="O365" i="11"/>
  <c r="Q337" i="11"/>
  <c r="P24" i="3"/>
  <c r="Q101" i="7" s="1"/>
  <c r="R187" i="12"/>
  <c r="P248" i="12"/>
  <c r="P46" i="3"/>
  <c r="T170" i="11"/>
  <c r="T191" i="11"/>
  <c r="Q189" i="11"/>
  <c r="O189" i="11"/>
  <c r="Q249" i="11"/>
  <c r="R249" i="11"/>
  <c r="O249" i="11"/>
  <c r="O281" i="11"/>
  <c r="Q281" i="11"/>
  <c r="O285" i="11"/>
  <c r="R285" i="11"/>
  <c r="Q301" i="11"/>
  <c r="O301" i="11"/>
  <c r="Q313" i="11"/>
  <c r="O313" i="11"/>
  <c r="O317" i="11"/>
  <c r="Q317" i="11"/>
  <c r="Q333" i="11"/>
  <c r="O333" i="11"/>
  <c r="O341" i="11"/>
  <c r="Q341" i="11"/>
  <c r="T12" i="12"/>
  <c r="R13" i="12"/>
  <c r="T42" i="12"/>
  <c r="R41" i="12"/>
  <c r="T49" i="12"/>
  <c r="Q57" i="12"/>
  <c r="R57" i="12"/>
  <c r="R89" i="12"/>
  <c r="Q89" i="12"/>
  <c r="S137" i="12"/>
  <c r="S138" i="12" s="1"/>
  <c r="T140" i="12"/>
  <c r="S151" i="12"/>
  <c r="S152" i="12" s="1"/>
  <c r="R153" i="12"/>
  <c r="T154" i="12"/>
  <c r="Q157" i="12"/>
  <c r="R157" i="12"/>
  <c r="R241" i="11"/>
  <c r="S179" i="11"/>
  <c r="S180" i="11" s="1"/>
  <c r="S176" i="12"/>
  <c r="S177" i="12" s="1"/>
  <c r="Q329" i="11"/>
  <c r="Q257" i="11"/>
  <c r="Q325" i="11"/>
  <c r="Q193" i="12"/>
  <c r="R173" i="12"/>
  <c r="S193" i="12"/>
  <c r="S194" i="12" s="1"/>
  <c r="R289" i="12"/>
  <c r="O277" i="12"/>
  <c r="O169" i="12"/>
  <c r="R209" i="12"/>
  <c r="S11" i="9"/>
  <c r="S12" i="9" s="1"/>
  <c r="Q13" i="9"/>
  <c r="O16" i="9"/>
  <c r="N16" i="9"/>
  <c r="O30" i="9"/>
  <c r="Q33" i="9"/>
  <c r="O36" i="9"/>
  <c r="Q49" i="9"/>
  <c r="Q53" i="9"/>
  <c r="O70" i="9"/>
  <c r="Q85" i="9"/>
  <c r="O90" i="9"/>
  <c r="Q93" i="9"/>
  <c r="O100" i="9"/>
  <c r="Q109" i="9"/>
  <c r="N110" i="9"/>
  <c r="O112" i="9"/>
  <c r="O130" i="9"/>
  <c r="O132" i="9"/>
  <c r="O148" i="9"/>
  <c r="Q149" i="9"/>
  <c r="O156" i="9"/>
  <c r="O160" i="9"/>
  <c r="S134" i="12"/>
  <c r="S135" i="12" s="1"/>
  <c r="O168" i="9"/>
  <c r="O172" i="9"/>
  <c r="O184" i="9"/>
  <c r="Q185" i="9"/>
  <c r="O186" i="9"/>
  <c r="O190" i="9"/>
  <c r="O196" i="9"/>
  <c r="O200" i="9"/>
  <c r="Q201" i="9"/>
  <c r="O202" i="9"/>
  <c r="O206" i="9"/>
  <c r="O220" i="9"/>
  <c r="O226" i="9"/>
  <c r="Q233" i="9"/>
  <c r="Q237" i="9"/>
  <c r="O244" i="9"/>
  <c r="N20" i="10"/>
  <c r="O32" i="10"/>
  <c r="T42" i="10"/>
  <c r="T65" i="10"/>
  <c r="T75" i="10"/>
  <c r="O82" i="10"/>
  <c r="O96" i="10"/>
  <c r="Q97" i="10"/>
  <c r="S102" i="10"/>
  <c r="S103" i="10" s="1"/>
  <c r="T128" i="10"/>
  <c r="Q129" i="10"/>
  <c r="O130" i="10"/>
  <c r="N150" i="10"/>
  <c r="O164" i="10"/>
  <c r="N164" i="10"/>
  <c r="T184" i="10"/>
  <c r="S186" i="10"/>
  <c r="S187" i="10" s="1"/>
  <c r="Q189" i="10"/>
  <c r="O192" i="10"/>
  <c r="Q197" i="10"/>
  <c r="T203" i="10"/>
  <c r="T233" i="10"/>
  <c r="S228" i="10"/>
  <c r="S229" i="10" s="1"/>
  <c r="R238" i="10"/>
  <c r="R242" i="10"/>
  <c r="Q245" i="10"/>
  <c r="R246" i="10"/>
  <c r="R266" i="10"/>
  <c r="R294" i="10"/>
  <c r="R354" i="10"/>
  <c r="Q5" i="11"/>
  <c r="R6" i="11"/>
  <c r="O10" i="11"/>
  <c r="Q13" i="11"/>
  <c r="O14" i="11"/>
  <c r="R18" i="11"/>
  <c r="R26" i="11"/>
  <c r="O32" i="11"/>
  <c r="N32" i="11"/>
  <c r="N48" i="11"/>
  <c r="Q53" i="11"/>
  <c r="O56" i="11"/>
  <c r="Q65" i="11"/>
  <c r="R66" i="11"/>
  <c r="S81" i="11"/>
  <c r="S82" i="11" s="1"/>
  <c r="N84" i="11"/>
  <c r="Q85" i="11"/>
  <c r="R117" i="11"/>
  <c r="R125" i="11"/>
  <c r="R141" i="11"/>
  <c r="R145" i="11"/>
  <c r="R157" i="11"/>
  <c r="P158" i="11"/>
  <c r="R161" i="11"/>
  <c r="R169" i="11"/>
  <c r="R173" i="11"/>
  <c r="R181" i="11"/>
  <c r="R185" i="11"/>
  <c r="R189" i="11"/>
  <c r="R193" i="11"/>
  <c r="R197" i="11"/>
  <c r="R201" i="11"/>
  <c r="R205" i="11"/>
  <c r="R209" i="11"/>
  <c r="P4" i="9"/>
  <c r="R13" i="9"/>
  <c r="R29" i="9"/>
  <c r="R33" i="9"/>
  <c r="R45" i="9"/>
  <c r="R49" i="9"/>
  <c r="P52" i="9"/>
  <c r="R57" i="9"/>
  <c r="P94" i="9"/>
  <c r="R105" i="9"/>
  <c r="P124" i="9"/>
  <c r="P130" i="9"/>
  <c r="R133" i="9"/>
  <c r="R137" i="9"/>
  <c r="R141" i="9"/>
  <c r="R193" i="9"/>
  <c r="R201" i="9"/>
  <c r="R289" i="9"/>
  <c r="S351" i="9"/>
  <c r="S352" i="9" s="1"/>
  <c r="R357" i="9"/>
  <c r="P4" i="10"/>
  <c r="R37" i="10"/>
  <c r="R57" i="10"/>
  <c r="S71" i="10"/>
  <c r="S72" i="10" s="1"/>
  <c r="R69" i="10"/>
  <c r="S78" i="10"/>
  <c r="S79" i="10" s="1"/>
  <c r="R77" i="10"/>
  <c r="R97" i="10"/>
  <c r="R113" i="10"/>
  <c r="R129" i="10"/>
  <c r="R137" i="10"/>
  <c r="S141" i="10"/>
  <c r="S142" i="10" s="1"/>
  <c r="R141" i="10"/>
  <c r="R149" i="10"/>
  <c r="R153" i="10"/>
  <c r="R157" i="10"/>
  <c r="L43" i="3"/>
  <c r="J73" i="29" s="1"/>
  <c r="R169" i="10"/>
  <c r="R173" i="10"/>
  <c r="P174" i="10"/>
  <c r="R177" i="10"/>
  <c r="R181" i="10"/>
  <c r="R197" i="10"/>
  <c r="S218" i="10"/>
  <c r="S219" i="10" s="1"/>
  <c r="P216" i="10"/>
  <c r="R229" i="10"/>
  <c r="R245" i="10"/>
  <c r="R249" i="10"/>
  <c r="R257" i="10"/>
  <c r="R261" i="10"/>
  <c r="R265" i="10"/>
  <c r="R273" i="10"/>
  <c r="R281" i="10"/>
  <c r="R285" i="10"/>
  <c r="R293" i="10"/>
  <c r="R297" i="10"/>
  <c r="R313" i="10"/>
  <c r="R321" i="10"/>
  <c r="R325" i="10"/>
  <c r="R365" i="10"/>
  <c r="S15" i="11"/>
  <c r="S16" i="11" s="1"/>
  <c r="R21" i="11"/>
  <c r="P24" i="11"/>
  <c r="P34" i="11"/>
  <c r="R45" i="11"/>
  <c r="P80" i="11"/>
  <c r="P94" i="11"/>
  <c r="R103" i="11"/>
  <c r="R111" i="11"/>
  <c r="O121" i="11"/>
  <c r="R123" i="11"/>
  <c r="O125" i="11"/>
  <c r="T135" i="11"/>
  <c r="O135" i="11"/>
  <c r="O145" i="11"/>
  <c r="N145" i="11"/>
  <c r="O149" i="11"/>
  <c r="R155" i="11"/>
  <c r="R163" i="11"/>
  <c r="O169" i="11"/>
  <c r="O177" i="11"/>
  <c r="Q183" i="11"/>
  <c r="O185" i="11"/>
  <c r="N185" i="11"/>
  <c r="R191" i="11"/>
  <c r="N7" i="10"/>
  <c r="O9" i="10"/>
  <c r="O31" i="10"/>
  <c r="N39" i="10"/>
  <c r="R221" i="11"/>
  <c r="R229" i="11"/>
  <c r="R233" i="11"/>
  <c r="R237" i="11"/>
  <c r="R245" i="11"/>
  <c r="R257" i="11"/>
  <c r="R261" i="11"/>
  <c r="R265" i="11"/>
  <c r="R273" i="11"/>
  <c r="R277" i="11"/>
  <c r="R281" i="11"/>
  <c r="R289" i="11"/>
  <c r="R293" i="11"/>
  <c r="R305" i="11"/>
  <c r="R309" i="11"/>
  <c r="R317" i="11"/>
  <c r="R329" i="11"/>
  <c r="R333" i="11"/>
  <c r="R341" i="11"/>
  <c r="R345" i="11"/>
  <c r="P5" i="3"/>
  <c r="S8" i="12"/>
  <c r="S9" i="12" s="1"/>
  <c r="R9" i="12"/>
  <c r="P10" i="12"/>
  <c r="P16" i="12"/>
  <c r="P18" i="12"/>
  <c r="P20" i="12"/>
  <c r="R21" i="12"/>
  <c r="P22" i="12"/>
  <c r="R25" i="12"/>
  <c r="P39" i="3"/>
  <c r="P6" i="3"/>
  <c r="P36" i="12"/>
  <c r="P38" i="12"/>
  <c r="P42" i="12"/>
  <c r="P44" i="12"/>
  <c r="P48" i="12"/>
  <c r="R53" i="12"/>
  <c r="P56" i="12"/>
  <c r="P58" i="12"/>
  <c r="R61" i="12"/>
  <c r="P62" i="12"/>
  <c r="P7" i="3"/>
  <c r="Q71" i="3" s="1"/>
  <c r="P64" i="12"/>
  <c r="R65" i="12"/>
  <c r="P40" i="3"/>
  <c r="L43" i="29" s="1"/>
  <c r="L44" i="29" s="1"/>
  <c r="M12" i="29" s="1"/>
  <c r="P68" i="12"/>
  <c r="R69" i="12"/>
  <c r="R77" i="12"/>
  <c r="P98" i="12"/>
  <c r="P104" i="12"/>
  <c r="P110" i="12"/>
  <c r="R113" i="12"/>
  <c r="P116" i="12"/>
  <c r="R117" i="12"/>
  <c r="P120" i="12"/>
  <c r="P132" i="12"/>
  <c r="R133" i="12"/>
  <c r="R137" i="12"/>
  <c r="P144" i="12"/>
  <c r="R149" i="12"/>
  <c r="P158" i="12"/>
  <c r="P162" i="12"/>
  <c r="R165" i="12"/>
  <c r="R189" i="12"/>
  <c r="P204" i="12"/>
  <c r="R213" i="12"/>
  <c r="R265" i="12"/>
  <c r="R285" i="12"/>
  <c r="R305" i="12"/>
  <c r="P49" i="3"/>
  <c r="R341" i="12"/>
  <c r="O193" i="11"/>
  <c r="O197" i="11"/>
  <c r="O201" i="11"/>
  <c r="O213" i="11"/>
  <c r="T219" i="11"/>
  <c r="O221" i="11"/>
  <c r="R223" i="11"/>
  <c r="O227" i="11"/>
  <c r="Q231" i="11"/>
  <c r="O7" i="12"/>
  <c r="N13" i="12"/>
  <c r="Q15" i="12"/>
  <c r="T21" i="12"/>
  <c r="Q27" i="12"/>
  <c r="S32" i="12"/>
  <c r="S33" i="12" s="1"/>
  <c r="N41" i="12"/>
  <c r="R43" i="12"/>
  <c r="O45" i="12"/>
  <c r="O47" i="12"/>
  <c r="R51" i="12"/>
  <c r="O53" i="12"/>
  <c r="T58" i="12"/>
  <c r="S53" i="12"/>
  <c r="S54" i="12" s="1"/>
  <c r="S60" i="12"/>
  <c r="S61" i="12" s="1"/>
  <c r="N65" i="12"/>
  <c r="N69" i="12"/>
  <c r="O77" i="12"/>
  <c r="N77" i="12"/>
  <c r="Q83" i="12"/>
  <c r="Q91" i="12"/>
  <c r="O93" i="12"/>
  <c r="N93" i="12"/>
  <c r="R95" i="12"/>
  <c r="O97" i="12"/>
  <c r="O101" i="12"/>
  <c r="O103" i="12"/>
  <c r="Q107" i="12"/>
  <c r="O109" i="12"/>
  <c r="N109" i="12"/>
  <c r="N117" i="12"/>
  <c r="R123" i="12"/>
  <c r="T128" i="12"/>
  <c r="T135" i="12"/>
  <c r="O133" i="12"/>
  <c r="T142" i="12"/>
  <c r="O149" i="12"/>
  <c r="O153" i="12"/>
  <c r="O161" i="12"/>
  <c r="N161" i="12"/>
  <c r="O173" i="12"/>
  <c r="O183" i="12"/>
  <c r="N185" i="12"/>
  <c r="O189" i="12"/>
  <c r="N189" i="12"/>
  <c r="O191" i="12"/>
  <c r="O193" i="12"/>
  <c r="N193" i="12"/>
  <c r="N195" i="12"/>
  <c r="O197" i="12"/>
  <c r="O201" i="12"/>
  <c r="O205" i="12"/>
  <c r="S207" i="12"/>
  <c r="S208" i="12" s="1"/>
  <c r="O209" i="12"/>
  <c r="N209" i="12"/>
  <c r="O213" i="12"/>
  <c r="R219" i="12"/>
  <c r="O223" i="12"/>
  <c r="O225" i="12"/>
  <c r="T229" i="12"/>
  <c r="O233" i="12"/>
  <c r="O235" i="12"/>
  <c r="R239" i="12"/>
  <c r="T247" i="12"/>
  <c r="T245" i="12"/>
  <c r="R271" i="12"/>
  <c r="R275" i="12"/>
  <c r="T292" i="12"/>
  <c r="R331" i="12"/>
  <c r="O45" i="10"/>
  <c r="O47" i="10"/>
  <c r="O49" i="10"/>
  <c r="N49" i="10"/>
  <c r="O51" i="10"/>
  <c r="O53" i="10"/>
  <c r="N63" i="10"/>
  <c r="O69" i="10"/>
  <c r="N71" i="10"/>
  <c r="O87" i="10"/>
  <c r="N91" i="10"/>
  <c r="N121" i="10"/>
  <c r="O125" i="10"/>
  <c r="O137" i="10"/>
  <c r="O153" i="10"/>
  <c r="O155" i="10"/>
  <c r="O181" i="10"/>
  <c r="O185" i="10"/>
  <c r="O243" i="10"/>
  <c r="N245" i="10"/>
  <c r="O5" i="11"/>
  <c r="O13" i="11"/>
  <c r="O17" i="11"/>
  <c r="O29" i="11"/>
  <c r="O33" i="11"/>
  <c r="N49" i="11"/>
  <c r="P147" i="11"/>
  <c r="P7" i="12"/>
  <c r="P13" i="12"/>
  <c r="P17" i="12"/>
  <c r="P19" i="12"/>
  <c r="P21" i="12"/>
  <c r="P23" i="12"/>
  <c r="P27" i="12"/>
  <c r="P31" i="12"/>
  <c r="P39" i="12"/>
  <c r="P41" i="12"/>
  <c r="P43" i="12"/>
  <c r="P49" i="12"/>
  <c r="P51" i="12"/>
  <c r="P53" i="12"/>
  <c r="P65" i="12"/>
  <c r="P69" i="12"/>
  <c r="P73" i="12"/>
  <c r="P75" i="12"/>
  <c r="P77" i="12"/>
  <c r="P91" i="12"/>
  <c r="P99" i="12"/>
  <c r="P101" i="12"/>
  <c r="P103" i="12"/>
  <c r="P105" i="12"/>
  <c r="P109" i="12"/>
  <c r="P113" i="12"/>
  <c r="P115" i="12"/>
  <c r="P131" i="12"/>
  <c r="P133" i="12"/>
  <c r="P135" i="12"/>
  <c r="P139" i="12"/>
  <c r="P141" i="12"/>
  <c r="P143" i="12"/>
  <c r="P149" i="12"/>
  <c r="P151" i="12"/>
  <c r="P161" i="12"/>
  <c r="P167" i="12"/>
  <c r="P173" i="12"/>
  <c r="P177" i="12"/>
  <c r="P179" i="12"/>
  <c r="P183" i="12"/>
  <c r="P189" i="12"/>
  <c r="P193" i="12"/>
  <c r="P197" i="12"/>
  <c r="P207" i="12"/>
  <c r="P209" i="12"/>
  <c r="P211" i="12"/>
  <c r="P213" i="12"/>
  <c r="P217" i="12"/>
  <c r="P219" i="12"/>
  <c r="P221" i="12"/>
  <c r="P225" i="12"/>
  <c r="P243" i="12"/>
  <c r="O316" i="13"/>
  <c r="O234" i="9"/>
  <c r="R190" i="9"/>
  <c r="Q265" i="1"/>
  <c r="Q337" i="1"/>
  <c r="N241" i="1"/>
  <c r="N6" i="9"/>
  <c r="O6" i="9"/>
  <c r="O62" i="9"/>
  <c r="R62" i="9"/>
  <c r="O266" i="9"/>
  <c r="R266" i="9"/>
  <c r="O270" i="9"/>
  <c r="R270" i="9"/>
  <c r="O274" i="9"/>
  <c r="R274" i="9"/>
  <c r="O278" i="9"/>
  <c r="R278" i="9"/>
  <c r="O282" i="9"/>
  <c r="R282" i="9"/>
  <c r="Q302" i="9"/>
  <c r="O302" i="9"/>
  <c r="Q342" i="9"/>
  <c r="R342" i="9"/>
  <c r="Q346" i="9"/>
  <c r="R346" i="9"/>
  <c r="T371" i="9"/>
  <c r="R367" i="9"/>
  <c r="T369" i="9"/>
  <c r="Q6" i="10"/>
  <c r="T16" i="10"/>
  <c r="O118" i="10"/>
  <c r="R118" i="10"/>
  <c r="N142" i="10"/>
  <c r="R142" i="10"/>
  <c r="O174" i="10"/>
  <c r="R174" i="10"/>
  <c r="T219" i="10"/>
  <c r="O250" i="10"/>
  <c r="R250" i="10"/>
  <c r="O258" i="10"/>
  <c r="R258" i="10"/>
  <c r="Q258" i="10"/>
  <c r="O262" i="10"/>
  <c r="R262" i="10"/>
  <c r="O286" i="10"/>
  <c r="Q286" i="10"/>
  <c r="R286" i="10"/>
  <c r="O290" i="10"/>
  <c r="R290" i="10"/>
  <c r="O302" i="10"/>
  <c r="Q302" i="10"/>
  <c r="Q318" i="10"/>
  <c r="O318" i="10"/>
  <c r="O322" i="10"/>
  <c r="R322" i="10"/>
  <c r="O326" i="10"/>
  <c r="Q326" i="10"/>
  <c r="Q330" i="10"/>
  <c r="O330" i="10"/>
  <c r="O334" i="10"/>
  <c r="R334" i="10"/>
  <c r="Q346" i="10"/>
  <c r="S347" i="10"/>
  <c r="S348" i="10" s="1"/>
  <c r="O346" i="10"/>
  <c r="Q367" i="10"/>
  <c r="T373" i="10"/>
  <c r="R367" i="10"/>
  <c r="T369" i="10"/>
  <c r="P326" i="10"/>
  <c r="S330" i="10"/>
  <c r="S331" i="10" s="1"/>
  <c r="R107" i="11"/>
  <c r="O107" i="11"/>
  <c r="R115" i="11"/>
  <c r="Q115" i="11"/>
  <c r="R131" i="11"/>
  <c r="Q131" i="11"/>
  <c r="O131" i="11"/>
  <c r="S130" i="11"/>
  <c r="S131" i="11" s="1"/>
  <c r="Q143" i="11"/>
  <c r="T145" i="11"/>
  <c r="T159" i="11"/>
  <c r="R159" i="11"/>
  <c r="S158" i="11"/>
  <c r="S159" i="11" s="1"/>
  <c r="R175" i="11"/>
  <c r="Q175" i="11"/>
  <c r="O175" i="11"/>
  <c r="T180" i="11"/>
  <c r="R187" i="11"/>
  <c r="T187" i="11"/>
  <c r="Q195" i="11"/>
  <c r="T194" i="11"/>
  <c r="S193" i="11"/>
  <c r="S194" i="11" s="1"/>
  <c r="R195" i="11"/>
  <c r="R199" i="11"/>
  <c r="O199" i="11"/>
  <c r="T203" i="11"/>
  <c r="T205" i="11"/>
  <c r="O203" i="11"/>
  <c r="Q203" i="11"/>
  <c r="O207" i="11"/>
  <c r="R207" i="11"/>
  <c r="O211" i="11"/>
  <c r="R211" i="11"/>
  <c r="Q211" i="11"/>
  <c r="R215" i="11"/>
  <c r="Q215" i="11"/>
  <c r="S214" i="11"/>
  <c r="S215" i="11" s="1"/>
  <c r="R219" i="11"/>
  <c r="Q219" i="11"/>
  <c r="R235" i="11"/>
  <c r="T236" i="11"/>
  <c r="Q235" i="11"/>
  <c r="R243" i="11"/>
  <c r="O243" i="11"/>
  <c r="Q243" i="11"/>
  <c r="T245" i="11"/>
  <c r="N247" i="11"/>
  <c r="O247" i="11"/>
  <c r="Q255" i="11"/>
  <c r="T259" i="11"/>
  <c r="T257" i="11"/>
  <c r="O259" i="11"/>
  <c r="Q259" i="11"/>
  <c r="O263" i="11"/>
  <c r="T264" i="11"/>
  <c r="R263" i="11"/>
  <c r="N265" i="11"/>
  <c r="T268" i="11"/>
  <c r="O267" i="11"/>
  <c r="R267" i="11"/>
  <c r="Q267" i="11"/>
  <c r="Q271" i="11"/>
  <c r="R271" i="11"/>
  <c r="Q275" i="11"/>
  <c r="R275" i="11"/>
  <c r="N277" i="11"/>
  <c r="T282" i="11"/>
  <c r="R279" i="11"/>
  <c r="O279" i="11"/>
  <c r="S277" i="11"/>
  <c r="S278" i="11" s="1"/>
  <c r="Q283" i="11"/>
  <c r="O283" i="11"/>
  <c r="Q355" i="11"/>
  <c r="O355" i="11"/>
  <c r="O363" i="11"/>
  <c r="Q363" i="11"/>
  <c r="T362" i="11"/>
  <c r="S361" i="11"/>
  <c r="S362" i="11" s="1"/>
  <c r="P245" i="1"/>
  <c r="P165" i="1"/>
  <c r="S368" i="9"/>
  <c r="S369" i="9" s="1"/>
  <c r="R368" i="9"/>
  <c r="Q290" i="9"/>
  <c r="Q314" i="9"/>
  <c r="Q270" i="9"/>
  <c r="R258" i="9"/>
  <c r="T278" i="9"/>
  <c r="R298" i="9"/>
  <c r="O250" i="9"/>
  <c r="P367" i="9"/>
  <c r="Q306" i="10"/>
  <c r="T348" i="10"/>
  <c r="T313" i="10"/>
  <c r="S298" i="10"/>
  <c r="S299" i="10" s="1"/>
  <c r="T273" i="10"/>
  <c r="R206" i="10"/>
  <c r="Q314" i="10"/>
  <c r="S263" i="10"/>
  <c r="S264" i="10" s="1"/>
  <c r="T301" i="10"/>
  <c r="Q294" i="10"/>
  <c r="T271" i="10"/>
  <c r="R202" i="10"/>
  <c r="S249" i="10"/>
  <c r="S250" i="10" s="1"/>
  <c r="Q142" i="10"/>
  <c r="Q282" i="10"/>
  <c r="T252" i="10"/>
  <c r="Q38" i="10"/>
  <c r="P158" i="10"/>
  <c r="T292" i="10"/>
  <c r="R30" i="9"/>
  <c r="R278" i="10"/>
  <c r="R202" i="9"/>
  <c r="O42" i="9"/>
  <c r="R6" i="9"/>
  <c r="R274" i="10"/>
  <c r="Q367" i="9"/>
  <c r="Q322" i="10"/>
  <c r="O125" i="12"/>
  <c r="T124" i="12"/>
  <c r="O15" i="12"/>
  <c r="O37" i="12"/>
  <c r="R107" i="12"/>
  <c r="T7" i="12"/>
  <c r="T5" i="12"/>
  <c r="Q3" i="12"/>
  <c r="O3" i="12"/>
  <c r="R11" i="12"/>
  <c r="N11" i="12"/>
  <c r="O11" i="12"/>
  <c r="Q11" i="12"/>
  <c r="N19" i="12"/>
  <c r="S18" i="12"/>
  <c r="S19" i="12" s="1"/>
  <c r="N23" i="12"/>
  <c r="R23" i="12"/>
  <c r="O23" i="12"/>
  <c r="O27" i="12"/>
  <c r="S25" i="12"/>
  <c r="S26" i="12" s="1"/>
  <c r="T28" i="12"/>
  <c r="Q35" i="12"/>
  <c r="O35" i="12"/>
  <c r="N39" i="12"/>
  <c r="R39" i="12"/>
  <c r="T51" i="12"/>
  <c r="N45" i="12"/>
  <c r="R55" i="12"/>
  <c r="N55" i="12"/>
  <c r="O55" i="12"/>
  <c r="Q55" i="12"/>
  <c r="Q59" i="12"/>
  <c r="O59" i="12"/>
  <c r="O63" i="12"/>
  <c r="R63" i="12"/>
  <c r="O67" i="12"/>
  <c r="T68" i="12"/>
  <c r="S67" i="12"/>
  <c r="S68" i="12" s="1"/>
  <c r="Q71" i="12"/>
  <c r="N71" i="12"/>
  <c r="O75" i="12"/>
  <c r="Q75" i="12"/>
  <c r="T75" i="12"/>
  <c r="T77" i="12"/>
  <c r="R75" i="12"/>
  <c r="N83" i="12"/>
  <c r="T82" i="12"/>
  <c r="R83" i="12"/>
  <c r="T89" i="12"/>
  <c r="S88" i="12"/>
  <c r="S89" i="12" s="1"/>
  <c r="T93" i="12"/>
  <c r="O95" i="12"/>
  <c r="T98" i="12"/>
  <c r="S95" i="12"/>
  <c r="S96" i="12" s="1"/>
  <c r="Q95" i="12"/>
  <c r="T96" i="12"/>
  <c r="T100" i="12"/>
  <c r="Q99" i="12"/>
  <c r="O99" i="12"/>
  <c r="T103" i="12"/>
  <c r="T105" i="12"/>
  <c r="S102" i="12"/>
  <c r="S103" i="12" s="1"/>
  <c r="R111" i="12"/>
  <c r="S109" i="12"/>
  <c r="S110" i="12" s="1"/>
  <c r="N115" i="12"/>
  <c r="T117" i="12"/>
  <c r="R119" i="12"/>
  <c r="Q119" i="12"/>
  <c r="O119" i="12"/>
  <c r="R131" i="12"/>
  <c r="T133" i="12"/>
  <c r="S130" i="12"/>
  <c r="S131" i="12" s="1"/>
  <c r="N135" i="12"/>
  <c r="Q135" i="12"/>
  <c r="R135" i="12"/>
  <c r="T145" i="12"/>
  <c r="R143" i="12"/>
  <c r="O143" i="12"/>
  <c r="N145" i="12"/>
  <c r="T149" i="12"/>
  <c r="Q147" i="12"/>
  <c r="O147" i="12"/>
  <c r="R147" i="12"/>
  <c r="O151" i="12"/>
  <c r="T152" i="12"/>
  <c r="Q155" i="12"/>
  <c r="P40" i="7"/>
  <c r="T163" i="12"/>
  <c r="Q158" i="12"/>
  <c r="T161" i="12"/>
  <c r="Q159" i="12"/>
  <c r="N159" i="12"/>
  <c r="S158" i="12"/>
  <c r="S159" i="12" s="1"/>
  <c r="Q63" i="12"/>
  <c r="Q151" i="12"/>
  <c r="S116" i="12"/>
  <c r="S117" i="12" s="1"/>
  <c r="R3" i="12"/>
  <c r="R99" i="12"/>
  <c r="Q111" i="12"/>
  <c r="T35" i="12"/>
  <c r="Q19" i="12"/>
  <c r="O31" i="12"/>
  <c r="O19" i="12"/>
  <c r="T138" i="12"/>
  <c r="O71" i="12"/>
  <c r="R47" i="12"/>
  <c r="R151" i="12"/>
  <c r="R91" i="12"/>
  <c r="R159" i="12"/>
  <c r="R15" i="12"/>
  <c r="Q87" i="12"/>
  <c r="Q5" i="9"/>
  <c r="Q9" i="9"/>
  <c r="R37" i="12"/>
  <c r="Q163" i="12"/>
  <c r="R163" i="12"/>
  <c r="R167" i="12"/>
  <c r="O167" i="12"/>
  <c r="T180" i="12"/>
  <c r="T182" i="12"/>
  <c r="T184" i="12"/>
  <c r="T187" i="12"/>
  <c r="T205" i="12"/>
  <c r="R203" i="12"/>
  <c r="O203" i="12"/>
  <c r="T215" i="12"/>
  <c r="O215" i="12"/>
  <c r="O247" i="12"/>
  <c r="N249" i="12"/>
  <c r="T254" i="12"/>
  <c r="O251" i="12"/>
  <c r="T252" i="12"/>
  <c r="Q255" i="12"/>
  <c r="R255" i="12"/>
  <c r="Q259" i="12"/>
  <c r="R259" i="12"/>
  <c r="Q267" i="12"/>
  <c r="R267" i="12"/>
  <c r="S235" i="12"/>
  <c r="S236" i="12" s="1"/>
  <c r="T191" i="12"/>
  <c r="T189" i="12"/>
  <c r="T196" i="12"/>
  <c r="P34" i="12"/>
  <c r="R215" i="12"/>
  <c r="S221" i="12"/>
  <c r="S222" i="12" s="1"/>
  <c r="R251" i="12"/>
  <c r="O179" i="12"/>
  <c r="O171" i="12"/>
  <c r="N201" i="12"/>
  <c r="S165" i="12"/>
  <c r="S166" i="12" s="1"/>
  <c r="Q183" i="12"/>
  <c r="T194" i="12"/>
  <c r="T217" i="12"/>
  <c r="R227" i="12"/>
  <c r="O211" i="12"/>
  <c r="O207" i="12"/>
  <c r="O187" i="12"/>
  <c r="R191" i="12"/>
  <c r="Q179" i="12"/>
  <c r="S78" i="12"/>
  <c r="S79" i="12" s="1"/>
  <c r="P74" i="12"/>
  <c r="O355" i="12"/>
  <c r="R355" i="12"/>
  <c r="R283" i="12"/>
  <c r="N10" i="9"/>
  <c r="O12" i="9"/>
  <c r="O48" i="9"/>
  <c r="O54" i="9"/>
  <c r="O198" i="9"/>
  <c r="N216" i="9"/>
  <c r="N242" i="9"/>
  <c r="N246" i="9"/>
  <c r="P14" i="9"/>
  <c r="P32" i="10"/>
  <c r="S4" i="9"/>
  <c r="S5" i="9" s="1"/>
  <c r="Q7" i="9"/>
  <c r="Q11" i="9"/>
  <c r="N13" i="9"/>
  <c r="R15" i="9"/>
  <c r="T23" i="9"/>
  <c r="Q18" i="9"/>
  <c r="Q23" i="9"/>
  <c r="N25" i="9"/>
  <c r="S25" i="9"/>
  <c r="S26" i="9" s="1"/>
  <c r="O29" i="9"/>
  <c r="R31" i="9"/>
  <c r="O33" i="9"/>
  <c r="Q43" i="9"/>
  <c r="T51" i="9"/>
  <c r="R47" i="9"/>
  <c r="T58" i="9"/>
  <c r="Q58" i="9"/>
  <c r="S67" i="9"/>
  <c r="S68" i="9" s="1"/>
  <c r="O69" i="9"/>
  <c r="Q98" i="9"/>
  <c r="Q114" i="9"/>
  <c r="Q115" i="9"/>
  <c r="Q118" i="9"/>
  <c r="O119" i="9"/>
  <c r="N121" i="9"/>
  <c r="R123" i="9"/>
  <c r="O125" i="9"/>
  <c r="O127" i="9"/>
  <c r="O131" i="9"/>
  <c r="N133" i="9"/>
  <c r="R135" i="9"/>
  <c r="S137" i="9"/>
  <c r="S138" i="9" s="1"/>
  <c r="Q143" i="9"/>
  <c r="P367" i="12"/>
  <c r="R90" i="9"/>
  <c r="O26" i="10"/>
  <c r="P16" i="10"/>
  <c r="P24" i="10"/>
  <c r="P42" i="10"/>
  <c r="P12" i="11"/>
  <c r="N31" i="12"/>
  <c r="N43" i="12"/>
  <c r="N57" i="12"/>
  <c r="N59" i="12"/>
  <c r="O61" i="12"/>
  <c r="O79" i="12"/>
  <c r="N85" i="12"/>
  <c r="O89" i="12"/>
  <c r="N95" i="12"/>
  <c r="N99" i="12"/>
  <c r="N107" i="12"/>
  <c r="N171" i="12"/>
  <c r="N207" i="12"/>
  <c r="Q154" i="9"/>
  <c r="Q167" i="9"/>
  <c r="Q170" i="9"/>
  <c r="S172" i="9"/>
  <c r="S173" i="9" s="1"/>
  <c r="R175" i="9"/>
  <c r="R179" i="9"/>
  <c r="R191" i="9"/>
  <c r="R195" i="9"/>
  <c r="O199" i="9"/>
  <c r="Q215" i="9"/>
  <c r="O219" i="9"/>
  <c r="T226" i="9"/>
  <c r="Q222" i="9"/>
  <c r="Q226" i="9"/>
  <c r="Q227" i="9"/>
  <c r="O231" i="9"/>
  <c r="O233" i="9"/>
  <c r="N241" i="9"/>
  <c r="N245" i="9"/>
  <c r="S284" i="9"/>
  <c r="S285" i="9" s="1"/>
  <c r="R295" i="9"/>
  <c r="R315" i="9"/>
  <c r="T359" i="9"/>
  <c r="Q26" i="10"/>
  <c r="Q46" i="10"/>
  <c r="Q62" i="10"/>
  <c r="Q90" i="10"/>
  <c r="Q102" i="10"/>
  <c r="R139" i="10"/>
  <c r="Q174" i="10"/>
  <c r="Q247" i="10"/>
  <c r="L43" i="7"/>
  <c r="R251" i="10"/>
  <c r="L44" i="7"/>
  <c r="T315" i="10"/>
  <c r="Q15" i="11"/>
  <c r="Q43" i="11"/>
  <c r="Q51" i="11"/>
  <c r="Q71" i="11"/>
  <c r="Q75" i="11"/>
  <c r="Q91" i="11"/>
  <c r="R338" i="11"/>
  <c r="P38" i="3"/>
  <c r="L23" i="29" s="1"/>
  <c r="R6" i="12"/>
  <c r="S15" i="12"/>
  <c r="S16" i="12" s="1"/>
  <c r="R18" i="12"/>
  <c r="R22" i="12"/>
  <c r="R46" i="12"/>
  <c r="R54" i="12"/>
  <c r="S57" i="12"/>
  <c r="S58" i="12" s="1"/>
  <c r="R58" i="12"/>
  <c r="S71" i="12"/>
  <c r="S72" i="12" s="1"/>
  <c r="R70" i="12"/>
  <c r="R74" i="12"/>
  <c r="P8" i="3"/>
  <c r="R110" i="12"/>
  <c r="S127" i="12"/>
  <c r="S128" i="12" s="1"/>
  <c r="P9" i="3"/>
  <c r="R126" i="12"/>
  <c r="R130" i="12"/>
  <c r="R146" i="12"/>
  <c r="P43" i="3"/>
  <c r="P11" i="3"/>
  <c r="Q75" i="3" s="1"/>
  <c r="R198" i="12"/>
  <c r="R226" i="12"/>
  <c r="R246" i="12"/>
  <c r="R278" i="12"/>
  <c r="R286" i="12"/>
  <c r="P16" i="3"/>
  <c r="Q16" i="3" s="1"/>
  <c r="T350" i="12"/>
  <c r="R368" i="12"/>
  <c r="R206" i="9"/>
  <c r="R218" i="9"/>
  <c r="P27" i="10"/>
  <c r="P29" i="10"/>
  <c r="P33" i="10"/>
  <c r="P47" i="10"/>
  <c r="P87" i="10"/>
  <c r="R90" i="10"/>
  <c r="P109" i="10"/>
  <c r="P161" i="10"/>
  <c r="P165" i="10"/>
  <c r="P193" i="10"/>
  <c r="P89" i="11"/>
  <c r="Q132" i="11"/>
  <c r="Q135" i="11"/>
  <c r="Q188" i="11"/>
  <c r="Q43" i="12"/>
  <c r="Q47" i="12"/>
  <c r="O50" i="12"/>
  <c r="N62" i="12"/>
  <c r="O64" i="12"/>
  <c r="N66" i="12"/>
  <c r="Q67" i="12"/>
  <c r="O68" i="12"/>
  <c r="O88" i="12"/>
  <c r="O106" i="12"/>
  <c r="N128" i="12"/>
  <c r="N144" i="12"/>
  <c r="N148" i="12"/>
  <c r="O162" i="12"/>
  <c r="Q167" i="12"/>
  <c r="Q175" i="12"/>
  <c r="O182" i="12"/>
  <c r="N190" i="12"/>
  <c r="O210" i="12"/>
  <c r="N212" i="12"/>
  <c r="N220" i="12"/>
  <c r="N242" i="12"/>
  <c r="N246" i="12"/>
  <c r="Q247" i="12"/>
  <c r="R325" i="13"/>
  <c r="Q112" i="10"/>
  <c r="R257" i="6"/>
  <c r="Q171" i="1"/>
  <c r="O299" i="1"/>
  <c r="N178" i="1"/>
  <c r="Q97" i="1"/>
  <c r="Q259" i="9"/>
  <c r="Q263" i="9"/>
  <c r="Q267" i="9"/>
  <c r="O275" i="9"/>
  <c r="O139" i="9"/>
  <c r="S281" i="11"/>
  <c r="S282" i="11" s="1"/>
  <c r="R279" i="10"/>
  <c r="R174" i="6"/>
  <c r="P185" i="12"/>
  <c r="N14" i="6"/>
  <c r="O134" i="6"/>
  <c r="N166" i="6"/>
  <c r="S43" i="12"/>
  <c r="S44" i="12" s="1"/>
  <c r="H40" i="3"/>
  <c r="H43" i="29" s="1"/>
  <c r="H44" i="29" s="1"/>
  <c r="M8" i="29" s="1"/>
  <c r="P127" i="6"/>
  <c r="H46" i="3"/>
  <c r="V43" i="29" s="1"/>
  <c r="P250" i="6"/>
  <c r="Q18" i="6"/>
  <c r="N18" i="6"/>
  <c r="Q22" i="6"/>
  <c r="N22" i="6"/>
  <c r="Q50" i="6"/>
  <c r="N50" i="6"/>
  <c r="Q126" i="6"/>
  <c r="N126" i="6"/>
  <c r="N158" i="6"/>
  <c r="H26" i="3"/>
  <c r="N187" i="6"/>
  <c r="O215" i="6"/>
  <c r="N215" i="6"/>
  <c r="Q223" i="6"/>
  <c r="N223" i="6"/>
  <c r="Q339" i="10"/>
  <c r="L32" i="3"/>
  <c r="O270" i="13"/>
  <c r="Q270" i="13"/>
  <c r="O366" i="13"/>
  <c r="Q366" i="13"/>
  <c r="O242" i="1"/>
  <c r="O186" i="1"/>
  <c r="S130" i="9"/>
  <c r="S131" i="9" s="1"/>
  <c r="T70" i="12"/>
  <c r="R70" i="6"/>
  <c r="H25" i="3"/>
  <c r="N58" i="6"/>
  <c r="Q4" i="9"/>
  <c r="Q20" i="9"/>
  <c r="O309" i="11"/>
  <c r="Q309" i="11"/>
  <c r="R292" i="11"/>
  <c r="R296" i="11"/>
  <c r="R304" i="11"/>
  <c r="R312" i="11"/>
  <c r="R320" i="11"/>
  <c r="R324" i="11"/>
  <c r="R328" i="11"/>
  <c r="Q292" i="13"/>
  <c r="R292" i="13"/>
  <c r="Q348" i="13"/>
  <c r="O348" i="13"/>
  <c r="Q37" i="9"/>
  <c r="Q121" i="9"/>
  <c r="Q65" i="10"/>
  <c r="Q89" i="10"/>
  <c r="P216" i="11"/>
  <c r="P242" i="11"/>
  <c r="P246" i="11"/>
  <c r="R365" i="11"/>
  <c r="P8" i="12"/>
  <c r="P12" i="12"/>
  <c r="P14" i="12"/>
  <c r="P28" i="12"/>
  <c r="P40" i="12"/>
  <c r="P46" i="12"/>
  <c r="P60" i="12"/>
  <c r="P66" i="12"/>
  <c r="P72" i="12"/>
  <c r="P78" i="12"/>
  <c r="P80" i="12"/>
  <c r="P82" i="12"/>
  <c r="P84" i="12"/>
  <c r="P86" i="12"/>
  <c r="P88" i="12"/>
  <c r="P90" i="12"/>
  <c r="P92" i="12"/>
  <c r="P94" i="12"/>
  <c r="P96" i="12"/>
  <c r="P100" i="12"/>
  <c r="P106" i="12"/>
  <c r="P108" i="12"/>
  <c r="P112" i="12"/>
  <c r="P114" i="12"/>
  <c r="P126" i="12"/>
  <c r="P128" i="12"/>
  <c r="P130" i="12"/>
  <c r="P134" i="12"/>
  <c r="P136" i="12"/>
  <c r="P138" i="12"/>
  <c r="P140" i="12"/>
  <c r="P142" i="12"/>
  <c r="P146" i="12"/>
  <c r="P148" i="12"/>
  <c r="P150" i="12"/>
  <c r="P152" i="12"/>
  <c r="P156" i="12"/>
  <c r="P160" i="12"/>
  <c r="P164" i="12"/>
  <c r="P166" i="12"/>
  <c r="P168" i="12"/>
  <c r="P170" i="12"/>
  <c r="P174" i="12"/>
  <c r="P176" i="12"/>
  <c r="P178" i="12"/>
  <c r="P180" i="12"/>
  <c r="P182" i="12"/>
  <c r="P184" i="12"/>
  <c r="P186" i="12"/>
  <c r="P188" i="12"/>
  <c r="P190" i="12"/>
  <c r="P192" i="12"/>
  <c r="P194" i="12"/>
  <c r="P196" i="12"/>
  <c r="P198" i="12"/>
  <c r="P202" i="12"/>
  <c r="P206" i="12"/>
  <c r="P208" i="12"/>
  <c r="P210" i="12"/>
  <c r="P212" i="12"/>
  <c r="P214" i="12"/>
  <c r="P220" i="12"/>
  <c r="P226" i="12"/>
  <c r="P242" i="12"/>
  <c r="P246" i="12"/>
  <c r="R21" i="9"/>
  <c r="P50" i="9"/>
  <c r="R273" i="9"/>
  <c r="R285" i="9"/>
  <c r="P18" i="10"/>
  <c r="P22" i="10"/>
  <c r="R73" i="10"/>
  <c r="P90" i="10"/>
  <c r="P108" i="10"/>
  <c r="P114" i="10"/>
  <c r="P128" i="10"/>
  <c r="L12" i="3"/>
  <c r="P246" i="10"/>
  <c r="P4" i="11"/>
  <c r="P6" i="11"/>
  <c r="P28" i="11"/>
  <c r="P44" i="11"/>
  <c r="R81" i="11"/>
  <c r="Q159" i="11"/>
  <c r="N179" i="11"/>
  <c r="Q243" i="12"/>
  <c r="N245" i="12"/>
  <c r="P244" i="13"/>
  <c r="P288" i="1"/>
  <c r="P290" i="1"/>
  <c r="P320" i="1"/>
  <c r="R198" i="1"/>
  <c r="N51" i="10"/>
  <c r="N34" i="9"/>
  <c r="O40" i="9"/>
  <c r="O46" i="9"/>
  <c r="N56" i="9"/>
  <c r="N62" i="9"/>
  <c r="O74" i="9"/>
  <c r="O78" i="9"/>
  <c r="N80" i="9"/>
  <c r="N84" i="9"/>
  <c r="O104" i="9"/>
  <c r="N106" i="9"/>
  <c r="N128" i="9"/>
  <c r="N138" i="9"/>
  <c r="N6" i="10"/>
  <c r="Q18" i="10"/>
  <c r="Q34" i="10"/>
  <c r="N42" i="10"/>
  <c r="N48" i="10"/>
  <c r="L37" i="7"/>
  <c r="Q82" i="10"/>
  <c r="Q86" i="10"/>
  <c r="Q118" i="10"/>
  <c r="N120" i="10"/>
  <c r="N124" i="10"/>
  <c r="L40" i="7"/>
  <c r="Q198" i="10"/>
  <c r="R214" i="10"/>
  <c r="N216" i="10"/>
  <c r="O242" i="10"/>
  <c r="N244" i="10"/>
  <c r="O246" i="10"/>
  <c r="N14" i="11"/>
  <c r="N16" i="11"/>
  <c r="O66" i="11"/>
  <c r="O86" i="11"/>
  <c r="P152" i="11"/>
  <c r="P8" i="4"/>
  <c r="P10" i="3"/>
  <c r="P45" i="3"/>
  <c r="Z33" i="29" s="1"/>
  <c r="T9" i="9"/>
  <c r="T37" i="9"/>
  <c r="T40" i="9"/>
  <c r="T96" i="9"/>
  <c r="T100" i="9"/>
  <c r="T152" i="9"/>
  <c r="T187" i="9"/>
  <c r="T222" i="9"/>
  <c r="T243" i="9"/>
  <c r="Q107" i="11"/>
  <c r="Q147" i="11"/>
  <c r="Q163" i="11"/>
  <c r="Q171" i="11"/>
  <c r="Q191" i="11"/>
  <c r="P244" i="9"/>
  <c r="P8" i="11"/>
  <c r="P10" i="11"/>
  <c r="P14" i="11"/>
  <c r="P22" i="11"/>
  <c r="P26" i="11"/>
  <c r="P30" i="11"/>
  <c r="P40" i="11"/>
  <c r="P46" i="11"/>
  <c r="P48" i="11"/>
  <c r="P50" i="11"/>
  <c r="P52" i="11"/>
  <c r="P60" i="11"/>
  <c r="P62" i="11"/>
  <c r="P66" i="11"/>
  <c r="P68" i="11"/>
  <c r="P70" i="11"/>
  <c r="P72" i="11"/>
  <c r="P76" i="11"/>
  <c r="P82" i="11"/>
  <c r="P88" i="11"/>
  <c r="P92" i="11"/>
  <c r="P98" i="11"/>
  <c r="O103" i="11"/>
  <c r="N105" i="11"/>
  <c r="N107" i="11"/>
  <c r="O109" i="11"/>
  <c r="N111" i="11"/>
  <c r="O123" i="11"/>
  <c r="N123" i="11"/>
  <c r="N127" i="11"/>
  <c r="N131" i="11"/>
  <c r="O133" i="11"/>
  <c r="N139" i="11"/>
  <c r="N141" i="11"/>
  <c r="O147" i="11"/>
  <c r="N147" i="11"/>
  <c r="N155" i="11"/>
  <c r="O157" i="11"/>
  <c r="N159" i="11"/>
  <c r="O161" i="11"/>
  <c r="O163" i="11"/>
  <c r="O167" i="11"/>
  <c r="N173" i="11"/>
  <c r="O179" i="11"/>
  <c r="O183" i="11"/>
  <c r="O191" i="11"/>
  <c r="N193" i="11"/>
  <c r="N199" i="11"/>
  <c r="N207" i="11"/>
  <c r="O209" i="11"/>
  <c r="N211" i="11"/>
  <c r="N215" i="11"/>
  <c r="O217" i="11"/>
  <c r="O223" i="11"/>
  <c r="O231" i="11"/>
  <c r="O241" i="11"/>
  <c r="N243" i="11"/>
  <c r="O245" i="11"/>
  <c r="N7" i="12"/>
  <c r="Q18" i="1"/>
  <c r="P239" i="1"/>
  <c r="P231" i="1"/>
  <c r="P223" i="1"/>
  <c r="P215" i="1"/>
  <c r="P207" i="1"/>
  <c r="P199" i="1"/>
  <c r="P167" i="1"/>
  <c r="P159" i="1"/>
  <c r="P241" i="12"/>
  <c r="P245" i="12"/>
  <c r="P241" i="9"/>
  <c r="P245" i="9"/>
  <c r="P5" i="10"/>
  <c r="P13" i="10"/>
  <c r="P23" i="10"/>
  <c r="P37" i="10"/>
  <c r="P49" i="10"/>
  <c r="P63" i="10"/>
  <c r="P67" i="10"/>
  <c r="P77" i="10"/>
  <c r="P85" i="10"/>
  <c r="P91" i="10"/>
  <c r="P97" i="10"/>
  <c r="P105" i="10"/>
  <c r="P123" i="10"/>
  <c r="P135" i="10"/>
  <c r="P145" i="10"/>
  <c r="P147" i="10"/>
  <c r="P183" i="10"/>
  <c r="P205" i="10"/>
  <c r="P211" i="10"/>
  <c r="P241" i="10"/>
  <c r="P245" i="10"/>
  <c r="R12" i="11"/>
  <c r="R16" i="11"/>
  <c r="R20" i="11"/>
  <c r="R68" i="11"/>
  <c r="R72" i="11"/>
  <c r="N108" i="11"/>
  <c r="O158" i="11"/>
  <c r="O166" i="11"/>
  <c r="Q170" i="11"/>
  <c r="Q214" i="13"/>
  <c r="R355" i="11"/>
  <c r="P244" i="12"/>
  <c r="O13" i="12"/>
  <c r="N15" i="12"/>
  <c r="O17" i="12"/>
  <c r="N25" i="12"/>
  <c r="N27" i="12"/>
  <c r="N29" i="12"/>
  <c r="N33" i="12"/>
  <c r="N37" i="12"/>
  <c r="O39" i="12"/>
  <c r="O41" i="12"/>
  <c r="O43" i="12"/>
  <c r="N47" i="12"/>
  <c r="N49" i="12"/>
  <c r="N51" i="12"/>
  <c r="N53" i="12"/>
  <c r="O57" i="12"/>
  <c r="N61" i="12"/>
  <c r="N63" i="12"/>
  <c r="O65" i="12"/>
  <c r="N67" i="12"/>
  <c r="O69" i="12"/>
  <c r="N73" i="12"/>
  <c r="N75" i="12"/>
  <c r="N79" i="12"/>
  <c r="N81" i="12"/>
  <c r="O83" i="12"/>
  <c r="O85" i="12"/>
  <c r="N87" i="12"/>
  <c r="N89" i="12"/>
  <c r="O91" i="12"/>
  <c r="N91" i="12"/>
  <c r="N97" i="12"/>
  <c r="N101" i="12"/>
  <c r="N103" i="12"/>
  <c r="N111" i="12"/>
  <c r="N113" i="12"/>
  <c r="O115" i="12"/>
  <c r="O117" i="12"/>
  <c r="N119" i="12"/>
  <c r="N121" i="12"/>
  <c r="O123" i="12"/>
  <c r="N123" i="12"/>
  <c r="N125" i="12"/>
  <c r="O127" i="12"/>
  <c r="N127" i="12"/>
  <c r="N131" i="12"/>
  <c r="N133" i="12"/>
  <c r="N137" i="12"/>
  <c r="O139" i="12"/>
  <c r="N139" i="12"/>
  <c r="N143" i="12"/>
  <c r="O145" i="12"/>
  <c r="N147" i="12"/>
  <c r="N149" i="12"/>
  <c r="N151" i="12"/>
  <c r="N153" i="12"/>
  <c r="N157" i="12"/>
  <c r="N163" i="12"/>
  <c r="N165" i="12"/>
  <c r="N167" i="12"/>
  <c r="N169" i="12"/>
  <c r="N173" i="12"/>
  <c r="N175" i="12"/>
  <c r="O177" i="12"/>
  <c r="N179" i="12"/>
  <c r="N181" i="12"/>
  <c r="N183" i="12"/>
  <c r="O185" i="12"/>
  <c r="N187" i="12"/>
  <c r="N191" i="12"/>
  <c r="O195" i="12"/>
  <c r="N197" i="12"/>
  <c r="N199" i="12"/>
  <c r="N203" i="12"/>
  <c r="N205" i="12"/>
  <c r="N211" i="12"/>
  <c r="N215" i="12"/>
  <c r="O217" i="12"/>
  <c r="N219" i="12"/>
  <c r="O221" i="12"/>
  <c r="N223" i="12"/>
  <c r="N227" i="12"/>
  <c r="O229" i="12"/>
  <c r="O241" i="12"/>
  <c r="N243" i="12"/>
  <c r="P243" i="13"/>
  <c r="P247" i="13"/>
  <c r="Q190" i="11"/>
  <c r="Q197" i="11"/>
  <c r="Q202" i="11"/>
  <c r="N14" i="12"/>
  <c r="N28" i="12"/>
  <c r="N44" i="12"/>
  <c r="N48" i="12"/>
  <c r="Q49" i="12"/>
  <c r="N60" i="12"/>
  <c r="N72" i="12"/>
  <c r="O84" i="12"/>
  <c r="N88" i="12"/>
  <c r="N90" i="12"/>
  <c r="O92" i="12"/>
  <c r="N116" i="12"/>
  <c r="O122" i="12"/>
  <c r="O126" i="12"/>
  <c r="O130" i="12"/>
  <c r="N142" i="12"/>
  <c r="O146" i="12"/>
  <c r="N154" i="12"/>
  <c r="N158" i="12"/>
  <c r="N160" i="12"/>
  <c r="N164" i="12"/>
  <c r="N166" i="12"/>
  <c r="O168" i="12"/>
  <c r="O170" i="12"/>
  <c r="N182" i="12"/>
  <c r="N184" i="12"/>
  <c r="N186" i="12"/>
  <c r="N194" i="12"/>
  <c r="O198" i="12"/>
  <c r="N204" i="12"/>
  <c r="N214" i="12"/>
  <c r="O218" i="12"/>
  <c r="N228" i="12"/>
  <c r="N232" i="12"/>
  <c r="N244" i="12"/>
  <c r="Q318" i="13"/>
  <c r="O280" i="1"/>
  <c r="N59" i="1"/>
  <c r="R67" i="1"/>
  <c r="O344" i="1"/>
  <c r="Q344" i="1"/>
  <c r="R172" i="1"/>
  <c r="R7" i="1"/>
  <c r="R312" i="1"/>
  <c r="R208" i="1"/>
  <c r="P304" i="1"/>
  <c r="N244" i="1"/>
  <c r="Q291" i="1"/>
  <c r="Q263" i="1"/>
  <c r="P332" i="1"/>
  <c r="R127" i="1"/>
  <c r="P302" i="1"/>
  <c r="O250" i="1"/>
  <c r="R304" i="1"/>
  <c r="P268" i="1"/>
  <c r="P352" i="1"/>
  <c r="Q165" i="1"/>
  <c r="R316" i="1"/>
  <c r="P328" i="1"/>
  <c r="Q264" i="1"/>
  <c r="R296" i="1"/>
  <c r="P344" i="1"/>
  <c r="Q47" i="1"/>
  <c r="Q87" i="1"/>
  <c r="R272" i="1"/>
  <c r="R119" i="1"/>
  <c r="Q103" i="1"/>
  <c r="Q216" i="1"/>
  <c r="Q346" i="1"/>
  <c r="N87" i="1"/>
  <c r="N119" i="1"/>
  <c r="N168" i="1"/>
  <c r="P272" i="1"/>
  <c r="O139" i="1"/>
  <c r="O131" i="1"/>
  <c r="O123" i="1"/>
  <c r="O115" i="1"/>
  <c r="O107" i="1"/>
  <c r="O99" i="1"/>
  <c r="O75" i="1"/>
  <c r="O59" i="1"/>
  <c r="O51" i="1"/>
  <c r="O43" i="1"/>
  <c r="O35" i="1"/>
  <c r="P336" i="1"/>
  <c r="R280" i="1"/>
  <c r="Q111" i="1"/>
  <c r="O346" i="1"/>
  <c r="P348" i="1"/>
  <c r="P256" i="1"/>
  <c r="R176" i="1"/>
  <c r="N248" i="1"/>
  <c r="N192" i="1"/>
  <c r="O282" i="1"/>
  <c r="O234" i="1"/>
  <c r="O210" i="1"/>
  <c r="Q134" i="1"/>
  <c r="Q118" i="1"/>
  <c r="N353" i="9"/>
  <c r="T345" i="9"/>
  <c r="S312" i="9"/>
  <c r="S313" i="9" s="1"/>
  <c r="S291" i="9"/>
  <c r="S292" i="9" s="1"/>
  <c r="Q327" i="9"/>
  <c r="S333" i="9"/>
  <c r="S334" i="9" s="1"/>
  <c r="T285" i="9"/>
  <c r="T343" i="9"/>
  <c r="T138" i="9"/>
  <c r="T201" i="9"/>
  <c r="S354" i="9"/>
  <c r="S355" i="9" s="1"/>
  <c r="Q95" i="9"/>
  <c r="R39" i="9"/>
  <c r="R275" i="9"/>
  <c r="R17" i="9"/>
  <c r="R53" i="9"/>
  <c r="R61" i="9"/>
  <c r="R81" i="9"/>
  <c r="R89" i="9"/>
  <c r="R157" i="9"/>
  <c r="R197" i="9"/>
  <c r="P242" i="9"/>
  <c r="P246" i="9"/>
  <c r="T261" i="9"/>
  <c r="Q67" i="9"/>
  <c r="R267" i="9"/>
  <c r="P243" i="9"/>
  <c r="R343" i="9"/>
  <c r="O315" i="9"/>
  <c r="R299" i="9"/>
  <c r="R95" i="9"/>
  <c r="T301" i="9"/>
  <c r="R291" i="9"/>
  <c r="O295" i="9"/>
  <c r="O331" i="9"/>
  <c r="R359" i="9"/>
  <c r="R311" i="9"/>
  <c r="Q323" i="9"/>
  <c r="O335" i="9"/>
  <c r="T310" i="9"/>
  <c r="T299" i="9"/>
  <c r="Q283" i="9"/>
  <c r="Q339" i="9"/>
  <c r="Q123" i="9"/>
  <c r="S144" i="9"/>
  <c r="S145" i="9" s="1"/>
  <c r="T117" i="9"/>
  <c r="Q39" i="9"/>
  <c r="O223" i="9"/>
  <c r="O299" i="9"/>
  <c r="T30" i="9"/>
  <c r="T12" i="9"/>
  <c r="N243" i="9"/>
  <c r="Q245" i="9"/>
  <c r="S200" i="9"/>
  <c r="S201" i="9" s="1"/>
  <c r="O271" i="9"/>
  <c r="R259" i="9"/>
  <c r="T338" i="9"/>
  <c r="O283" i="9"/>
  <c r="T357" i="9"/>
  <c r="O26" i="9"/>
  <c r="Q89" i="9"/>
  <c r="R130" i="9"/>
  <c r="R150" i="9"/>
  <c r="R186" i="9"/>
  <c r="Q197" i="9"/>
  <c r="O208" i="9"/>
  <c r="Q214" i="9"/>
  <c r="R222" i="9"/>
  <c r="N244" i="9"/>
  <c r="Q246" i="9"/>
  <c r="R360" i="1"/>
  <c r="R240" i="1"/>
  <c r="P280" i="1"/>
  <c r="R135" i="1"/>
  <c r="Q5" i="1"/>
  <c r="P322" i="1"/>
  <c r="Q288" i="1"/>
  <c r="R364" i="1"/>
  <c r="P274" i="1"/>
  <c r="Q156" i="1"/>
  <c r="L7" i="3"/>
  <c r="M71" i="3" s="1"/>
  <c r="P314" i="1"/>
  <c r="Q122" i="1"/>
  <c r="Q114" i="1"/>
  <c r="Q178" i="9"/>
  <c r="Q78" i="10"/>
  <c r="Q114" i="10"/>
  <c r="R302" i="1"/>
  <c r="R260" i="1"/>
  <c r="R69" i="1"/>
  <c r="O214" i="9"/>
  <c r="O342" i="9"/>
  <c r="O350" i="10"/>
  <c r="Q144" i="1"/>
  <c r="Q24" i="1"/>
  <c r="Q16" i="1"/>
  <c r="D45" i="3"/>
  <c r="S218" i="1"/>
  <c r="S219" i="1" s="1"/>
  <c r="S176" i="1"/>
  <c r="N190" i="11"/>
  <c r="R141" i="1"/>
  <c r="N109" i="1"/>
  <c r="Q37" i="10"/>
  <c r="Q77" i="10"/>
  <c r="Q113" i="10"/>
  <c r="Q121" i="10"/>
  <c r="Q125" i="10"/>
  <c r="Q153" i="10"/>
  <c r="O241" i="10"/>
  <c r="N243" i="10"/>
  <c r="O245" i="10"/>
  <c r="N247" i="10"/>
  <c r="R269" i="10"/>
  <c r="Q10" i="11"/>
  <c r="Q22" i="11"/>
  <c r="Q26" i="11"/>
  <c r="Q50" i="11"/>
  <c r="N53" i="11"/>
  <c r="N57" i="11"/>
  <c r="O61" i="11"/>
  <c r="N63" i="11"/>
  <c r="T70" i="11"/>
  <c r="Q78" i="11"/>
  <c r="P243" i="10"/>
  <c r="P3" i="11"/>
  <c r="R58" i="11"/>
  <c r="N106" i="11"/>
  <c r="N110" i="11"/>
  <c r="R124" i="11"/>
  <c r="O136" i="11"/>
  <c r="O140" i="11"/>
  <c r="R152" i="11"/>
  <c r="O160" i="11"/>
  <c r="S165" i="11"/>
  <c r="S166" i="11" s="1"/>
  <c r="N166" i="11"/>
  <c r="N174" i="11"/>
  <c r="O176" i="11"/>
  <c r="T184" i="11"/>
  <c r="R192" i="11"/>
  <c r="N198" i="11"/>
  <c r="R204" i="11"/>
  <c r="N206" i="11"/>
  <c r="O212" i="11"/>
  <c r="R220" i="11"/>
  <c r="O236" i="11"/>
  <c r="R240" i="11"/>
  <c r="N242" i="11"/>
  <c r="R244" i="11"/>
  <c r="N246" i="11"/>
  <c r="R260" i="11"/>
  <c r="O8" i="9"/>
  <c r="O10" i="9"/>
  <c r="N14" i="9"/>
  <c r="N20" i="9"/>
  <c r="O22" i="9"/>
  <c r="N22" i="9"/>
  <c r="O24" i="9"/>
  <c r="N26" i="9"/>
  <c r="N30" i="9"/>
  <c r="N32" i="9"/>
  <c r="O34" i="9"/>
  <c r="N38" i="9"/>
  <c r="N40" i="9"/>
  <c r="O50" i="9"/>
  <c r="N50" i="9"/>
  <c r="N52" i="9"/>
  <c r="N54" i="9"/>
  <c r="O58" i="9"/>
  <c r="N58" i="9"/>
  <c r="O64" i="9"/>
  <c r="N68" i="9"/>
  <c r="N72" i="9"/>
  <c r="N74" i="9"/>
  <c r="O76" i="9"/>
  <c r="O82" i="9"/>
  <c r="N82" i="9"/>
  <c r="N90" i="9"/>
  <c r="N92" i="9"/>
  <c r="N98" i="9"/>
  <c r="N100" i="9"/>
  <c r="N102" i="9"/>
  <c r="N104" i="9"/>
  <c r="N114" i="9"/>
  <c r="O116" i="9"/>
  <c r="O118" i="9"/>
  <c r="N120" i="9"/>
  <c r="O126" i="9"/>
  <c r="N132" i="9"/>
  <c r="O134" i="9"/>
  <c r="O136" i="9"/>
  <c r="O164" i="9"/>
  <c r="N170" i="9"/>
  <c r="O182" i="9"/>
  <c r="O210" i="9"/>
  <c r="N226" i="9"/>
  <c r="O8" i="10"/>
  <c r="N26" i="10"/>
  <c r="O54" i="10"/>
  <c r="O60" i="10"/>
  <c r="O72" i="10"/>
  <c r="O74" i="10"/>
  <c r="N78" i="10"/>
  <c r="N84" i="10"/>
  <c r="N100" i="10"/>
  <c r="N108" i="10"/>
  <c r="N160" i="10"/>
  <c r="N170" i="10"/>
  <c r="N214" i="10"/>
  <c r="N242" i="10"/>
  <c r="N246" i="10"/>
  <c r="P8" i="9"/>
  <c r="P12" i="9"/>
  <c r="P16" i="9"/>
  <c r="P18" i="9"/>
  <c r="P20" i="9"/>
  <c r="P24" i="9"/>
  <c r="P26" i="9"/>
  <c r="P28" i="9"/>
  <c r="P30" i="9"/>
  <c r="P32" i="9"/>
  <c r="P36" i="9"/>
  <c r="P38" i="9"/>
  <c r="P40" i="9"/>
  <c r="P42" i="9"/>
  <c r="P44" i="9"/>
  <c r="P46" i="9"/>
  <c r="P48" i="9"/>
  <c r="P54" i="9"/>
  <c r="P56" i="9"/>
  <c r="P60" i="9"/>
  <c r="P62" i="9"/>
  <c r="P68" i="9"/>
  <c r="P70" i="9"/>
  <c r="R71" i="9"/>
  <c r="P72" i="9"/>
  <c r="P76" i="9"/>
  <c r="P78" i="9"/>
  <c r="P80" i="9"/>
  <c r="P84" i="9"/>
  <c r="P86" i="9"/>
  <c r="P88" i="9"/>
  <c r="P92" i="9"/>
  <c r="P96" i="9"/>
  <c r="P98" i="9"/>
  <c r="P100" i="9"/>
  <c r="P106" i="9"/>
  <c r="P108" i="9"/>
  <c r="P110" i="9"/>
  <c r="P112" i="9"/>
  <c r="P114" i="9"/>
  <c r="P116" i="9"/>
  <c r="P118" i="9"/>
  <c r="P120" i="9"/>
  <c r="P128" i="9"/>
  <c r="P140" i="9"/>
  <c r="P154" i="9"/>
  <c r="P160" i="9"/>
  <c r="P170" i="9"/>
  <c r="P172" i="9"/>
  <c r="R187" i="9"/>
  <c r="P198" i="9"/>
  <c r="P202" i="9"/>
  <c r="P206" i="9"/>
  <c r="P216" i="9"/>
  <c r="R227" i="9"/>
  <c r="T238" i="9"/>
  <c r="R239" i="9"/>
  <c r="R263" i="9"/>
  <c r="T280" i="9"/>
  <c r="R287" i="9"/>
  <c r="R319" i="9"/>
  <c r="R323" i="9"/>
  <c r="R339" i="9"/>
  <c r="T364" i="9"/>
  <c r="P8" i="10"/>
  <c r="P10" i="10"/>
  <c r="P12" i="10"/>
  <c r="P14" i="10"/>
  <c r="P20" i="10"/>
  <c r="R27" i="10"/>
  <c r="P28" i="10"/>
  <c r="P30" i="10"/>
  <c r="P36" i="10"/>
  <c r="P38" i="10"/>
  <c r="R39" i="10"/>
  <c r="P40" i="10"/>
  <c r="P46" i="10"/>
  <c r="R47" i="10"/>
  <c r="P48" i="10"/>
  <c r="P50" i="10"/>
  <c r="P52" i="10"/>
  <c r="P54" i="10"/>
  <c r="P56" i="10"/>
  <c r="P60" i="10"/>
  <c r="P62" i="10"/>
  <c r="P64" i="10"/>
  <c r="P66" i="10"/>
  <c r="P70" i="10"/>
  <c r="P72" i="10"/>
  <c r="P78" i="10"/>
  <c r="T84" i="10"/>
  <c r="P84" i="10"/>
  <c r="P86" i="10"/>
  <c r="P88" i="10"/>
  <c r="P94" i="10"/>
  <c r="P96" i="10"/>
  <c r="P104" i="10"/>
  <c r="P106" i="10"/>
  <c r="P110" i="10"/>
  <c r="P120" i="10"/>
  <c r="S127" i="10"/>
  <c r="S128" i="10" s="1"/>
  <c r="L9" i="3"/>
  <c r="R127" i="10"/>
  <c r="P130" i="10"/>
  <c r="S134" i="10"/>
  <c r="S135" i="10" s="1"/>
  <c r="P136" i="10"/>
  <c r="P138" i="10"/>
  <c r="P140" i="10"/>
  <c r="P144" i="10"/>
  <c r="P148" i="10"/>
  <c r="R151" i="10"/>
  <c r="P152" i="10"/>
  <c r="P154" i="10"/>
  <c r="P162" i="10"/>
  <c r="P164" i="10"/>
  <c r="T168" i="10"/>
  <c r="L11" i="3"/>
  <c r="P188" i="10"/>
  <c r="P192" i="10"/>
  <c r="P196" i="10"/>
  <c r="P206" i="10"/>
  <c r="P210" i="10"/>
  <c r="R215" i="10"/>
  <c r="R223" i="10"/>
  <c r="P244" i="10"/>
  <c r="L13" i="3"/>
  <c r="M13" i="3" s="1"/>
  <c r="R271" i="10"/>
  <c r="R275" i="10"/>
  <c r="L14" i="3"/>
  <c r="M78" i="3" s="1"/>
  <c r="T280" i="10"/>
  <c r="R295" i="10"/>
  <c r="L15" i="3"/>
  <c r="R343" i="10"/>
  <c r="T364" i="10"/>
  <c r="R149" i="11"/>
  <c r="R165" i="11"/>
  <c r="R177" i="11"/>
  <c r="T9" i="12"/>
  <c r="Q9" i="12"/>
  <c r="T23" i="12"/>
  <c r="Q20" i="12"/>
  <c r="Q21" i="12"/>
  <c r="Q32" i="12"/>
  <c r="R45" i="12"/>
  <c r="Q56" i="12"/>
  <c r="Q68" i="12"/>
  <c r="Q84" i="12"/>
  <c r="R93" i="12"/>
  <c r="Q109" i="12"/>
  <c r="Q136" i="12"/>
  <c r="Q140" i="12"/>
  <c r="Q144" i="12"/>
  <c r="Q192" i="12"/>
  <c r="Q200" i="12"/>
  <c r="Q225" i="12"/>
  <c r="Q344" i="13"/>
  <c r="O328" i="13"/>
  <c r="Q277" i="13"/>
  <c r="N241" i="13"/>
  <c r="Q243" i="13"/>
  <c r="N245" i="13"/>
  <c r="Q247" i="13"/>
  <c r="R279" i="13"/>
  <c r="R303" i="13"/>
  <c r="N13" i="6"/>
  <c r="O17" i="6"/>
  <c r="N19" i="6"/>
  <c r="O25" i="6"/>
  <c r="N27" i="6"/>
  <c r="O31" i="6"/>
  <c r="N31" i="6"/>
  <c r="N33" i="6"/>
  <c r="N35" i="6"/>
  <c r="N37" i="6"/>
  <c r="N39" i="6"/>
  <c r="O43" i="6"/>
  <c r="N43" i="6"/>
  <c r="N45" i="6"/>
  <c r="O49" i="6"/>
  <c r="N51" i="6"/>
  <c r="N53" i="6"/>
  <c r="N57" i="6"/>
  <c r="O61" i="6"/>
  <c r="N67" i="6"/>
  <c r="O75" i="6"/>
  <c r="O77" i="6"/>
  <c r="N81" i="6"/>
  <c r="N85" i="6"/>
  <c r="N91" i="6"/>
  <c r="N95" i="6"/>
  <c r="N99" i="6"/>
  <c r="O103" i="6"/>
  <c r="N105" i="6"/>
  <c r="N109" i="6"/>
  <c r="O113" i="6"/>
  <c r="N115" i="6"/>
  <c r="N121" i="6"/>
  <c r="O133" i="6"/>
  <c r="N135" i="6"/>
  <c r="N141" i="6"/>
  <c r="O145" i="6"/>
  <c r="N147" i="6"/>
  <c r="O149" i="6"/>
  <c r="O151" i="6"/>
  <c r="O161" i="6"/>
  <c r="P169" i="6"/>
  <c r="P171" i="6"/>
  <c r="N176" i="6"/>
  <c r="N184" i="6"/>
  <c r="N188" i="6"/>
  <c r="N194" i="6"/>
  <c r="O198" i="6"/>
  <c r="N200" i="6"/>
  <c r="O202" i="6"/>
  <c r="N204" i="6"/>
  <c r="O208" i="6"/>
  <c r="N210" i="6"/>
  <c r="O218" i="6"/>
  <c r="O222" i="6"/>
  <c r="O226" i="6"/>
  <c r="N228" i="6"/>
  <c r="O232" i="6"/>
  <c r="N234" i="6"/>
  <c r="N238" i="6"/>
  <c r="O242" i="6"/>
  <c r="P20" i="6"/>
  <c r="P22" i="6"/>
  <c r="P24" i="6"/>
  <c r="P28" i="6"/>
  <c r="P46" i="6"/>
  <c r="P54" i="6"/>
  <c r="P58" i="6"/>
  <c r="P66" i="6"/>
  <c r="P68" i="6"/>
  <c r="P70" i="6"/>
  <c r="P74" i="6"/>
  <c r="P78" i="6"/>
  <c r="P80" i="6"/>
  <c r="P88" i="6"/>
  <c r="P96" i="6"/>
  <c r="P106" i="6"/>
  <c r="P126" i="6"/>
  <c r="P144" i="6"/>
  <c r="P154" i="6"/>
  <c r="P158" i="6"/>
  <c r="N163" i="6"/>
  <c r="O169" i="6"/>
  <c r="O175" i="6"/>
  <c r="P181" i="6"/>
  <c r="P195" i="6"/>
  <c r="P201" i="6"/>
  <c r="P225" i="6"/>
  <c r="P229" i="6"/>
  <c r="P235" i="6"/>
  <c r="P239" i="6"/>
  <c r="P243" i="6"/>
  <c r="R79" i="11"/>
  <c r="Q82" i="11"/>
  <c r="R83" i="11"/>
  <c r="R95" i="11"/>
  <c r="O97" i="11"/>
  <c r="R99" i="11"/>
  <c r="Q102" i="11"/>
  <c r="S106" i="11"/>
  <c r="S107" i="11" s="1"/>
  <c r="P107" i="11"/>
  <c r="T112" i="11"/>
  <c r="S113" i="11"/>
  <c r="S114" i="11" s="1"/>
  <c r="P115" i="11"/>
  <c r="N42" i="3"/>
  <c r="T133" i="11"/>
  <c r="R134" i="11"/>
  <c r="R146" i="11"/>
  <c r="R150" i="11"/>
  <c r="S155" i="11"/>
  <c r="S156" i="11" s="1"/>
  <c r="R154" i="11"/>
  <c r="P155" i="11"/>
  <c r="R162" i="11"/>
  <c r="R166" i="11"/>
  <c r="R170" i="11"/>
  <c r="T175" i="11"/>
  <c r="S183" i="11"/>
  <c r="S184" i="11" s="1"/>
  <c r="R182" i="11"/>
  <c r="T189" i="11"/>
  <c r="S190" i="11"/>
  <c r="S191" i="11" s="1"/>
  <c r="R190" i="11"/>
  <c r="T196" i="11"/>
  <c r="S197" i="11"/>
  <c r="S198" i="11" s="1"/>
  <c r="S204" i="11"/>
  <c r="S205" i="11" s="1"/>
  <c r="P201" i="11"/>
  <c r="R202" i="11"/>
  <c r="P203" i="11"/>
  <c r="P205" i="11"/>
  <c r="R206" i="11"/>
  <c r="S211" i="11"/>
  <c r="S212" i="11" s="1"/>
  <c r="R210" i="11"/>
  <c r="P213" i="11"/>
  <c r="T217" i="11"/>
  <c r="S218" i="11"/>
  <c r="S219" i="11" s="1"/>
  <c r="R222" i="11"/>
  <c r="S225" i="11"/>
  <c r="S226" i="11" s="1"/>
  <c r="P225" i="11"/>
  <c r="R226" i="11"/>
  <c r="S232" i="11"/>
  <c r="S233" i="11" s="1"/>
  <c r="R230" i="11"/>
  <c r="R238" i="11"/>
  <c r="R242" i="11"/>
  <c r="P243" i="11"/>
  <c r="R246" i="11"/>
  <c r="P247" i="11"/>
  <c r="R250" i="11"/>
  <c r="R258" i="11"/>
  <c r="T266" i="11"/>
  <c r="R274" i="11"/>
  <c r="R282" i="11"/>
  <c r="S288" i="11"/>
  <c r="S289" i="11" s="1"/>
  <c r="T287" i="11"/>
  <c r="R290" i="11"/>
  <c r="R294" i="11"/>
  <c r="R298" i="11"/>
  <c r="R302" i="11"/>
  <c r="R310" i="11"/>
  <c r="R314" i="11"/>
  <c r="R318" i="11"/>
  <c r="R322" i="11"/>
  <c r="R326" i="11"/>
  <c r="R330" i="11"/>
  <c r="R334" i="11"/>
  <c r="Q285" i="13"/>
  <c r="O242" i="13"/>
  <c r="N244" i="13"/>
  <c r="Q274" i="13"/>
  <c r="P242" i="13"/>
  <c r="P246" i="13"/>
  <c r="Q242" i="13"/>
  <c r="N246" i="13"/>
  <c r="O241" i="13"/>
  <c r="N243" i="13"/>
  <c r="N247" i="13"/>
  <c r="Q290" i="13"/>
  <c r="P245" i="13"/>
  <c r="Q24" i="6"/>
  <c r="Q52" i="6"/>
  <c r="Q136" i="6"/>
  <c r="N12" i="6"/>
  <c r="N16" i="6"/>
  <c r="O20" i="6"/>
  <c r="N20" i="6"/>
  <c r="O28" i="6"/>
  <c r="N30" i="6"/>
  <c r="N40" i="6"/>
  <c r="N42" i="6"/>
  <c r="O46" i="6"/>
  <c r="N48" i="6"/>
  <c r="N54" i="6"/>
  <c r="N60" i="6"/>
  <c r="O62" i="6"/>
  <c r="N64" i="6"/>
  <c r="N66" i="6"/>
  <c r="N70" i="6"/>
  <c r="O74" i="6"/>
  <c r="N78" i="6"/>
  <c r="O80" i="6"/>
  <c r="N82" i="6"/>
  <c r="N84" i="6"/>
  <c r="O88" i="6"/>
  <c r="N88" i="6"/>
  <c r="O92" i="6"/>
  <c r="N92" i="6"/>
  <c r="N102" i="6"/>
  <c r="N106" i="6"/>
  <c r="O110" i="6"/>
  <c r="N112" i="6"/>
  <c r="N114" i="6"/>
  <c r="O116" i="6"/>
  <c r="N118" i="6"/>
  <c r="O128" i="6"/>
  <c r="N132" i="6"/>
  <c r="N136" i="6"/>
  <c r="N138" i="6"/>
  <c r="O140" i="6"/>
  <c r="N142" i="6"/>
  <c r="N144" i="6"/>
  <c r="N146" i="6"/>
  <c r="N150" i="6"/>
  <c r="O154" i="6"/>
  <c r="O156" i="6"/>
  <c r="O158" i="6"/>
  <c r="N160" i="6"/>
  <c r="N162" i="6"/>
  <c r="P172" i="6"/>
  <c r="N177" i="6"/>
  <c r="N179" i="6"/>
  <c r="N181" i="6"/>
  <c r="O183" i="6"/>
  <c r="O187" i="6"/>
  <c r="O189" i="6"/>
  <c r="N189" i="6"/>
  <c r="N191" i="6"/>
  <c r="O195" i="6"/>
  <c r="N207" i="6"/>
  <c r="O211" i="6"/>
  <c r="O213" i="6"/>
  <c r="N213" i="6"/>
  <c r="O217" i="6"/>
  <c r="N219" i="6"/>
  <c r="N221" i="6"/>
  <c r="O225" i="6"/>
  <c r="N235" i="6"/>
  <c r="N239" i="6"/>
  <c r="N245" i="6"/>
  <c r="N289" i="11"/>
  <c r="T289" i="11"/>
  <c r="N44" i="7"/>
  <c r="R291" i="11"/>
  <c r="T292" i="11"/>
  <c r="T294" i="11"/>
  <c r="S291" i="11"/>
  <c r="S292" i="11" s="1"/>
  <c r="O291" i="11"/>
  <c r="Q291" i="11"/>
  <c r="Q295" i="11"/>
  <c r="O295" i="11"/>
  <c r="N297" i="11"/>
  <c r="T303" i="11"/>
  <c r="O299" i="11"/>
  <c r="S298" i="11"/>
  <c r="S299" i="11" s="1"/>
  <c r="R299" i="11"/>
  <c r="Q299" i="11"/>
  <c r="T299" i="11"/>
  <c r="R303" i="11"/>
  <c r="Q303" i="11"/>
  <c r="O303" i="11"/>
  <c r="T310" i="11"/>
  <c r="N305" i="11"/>
  <c r="S305" i="11"/>
  <c r="S306" i="11" s="1"/>
  <c r="Q307" i="11"/>
  <c r="O307" i="11"/>
  <c r="T306" i="11"/>
  <c r="T315" i="11"/>
  <c r="Q311" i="11"/>
  <c r="R311" i="11"/>
  <c r="T313" i="11"/>
  <c r="O311" i="11"/>
  <c r="Q315" i="11"/>
  <c r="O315" i="11"/>
  <c r="R315" i="11"/>
  <c r="Q319" i="11"/>
  <c r="T322" i="11"/>
  <c r="O319" i="11"/>
  <c r="S319" i="11"/>
  <c r="S320" i="11" s="1"/>
  <c r="N321" i="11"/>
  <c r="T324" i="11"/>
  <c r="O323" i="11"/>
  <c r="Q323" i="11"/>
  <c r="R323" i="11"/>
  <c r="N325" i="11"/>
  <c r="T331" i="11"/>
  <c r="O327" i="11"/>
  <c r="R327" i="11"/>
  <c r="Q327" i="11"/>
  <c r="S326" i="11"/>
  <c r="S327" i="11" s="1"/>
  <c r="R331" i="11"/>
  <c r="Q331" i="11"/>
  <c r="N333" i="11"/>
  <c r="T338" i="11"/>
  <c r="O335" i="11"/>
  <c r="S333" i="11"/>
  <c r="S334" i="11" s="1"/>
  <c r="T334" i="11"/>
  <c r="Q335" i="11"/>
  <c r="R335" i="11"/>
  <c r="Q339" i="11"/>
  <c r="S340" i="11"/>
  <c r="S341" i="11" s="1"/>
  <c r="O339" i="11"/>
  <c r="T341" i="11"/>
  <c r="R339" i="11"/>
  <c r="T343" i="11"/>
  <c r="N341" i="11"/>
  <c r="T345" i="11"/>
  <c r="Q343" i="11"/>
  <c r="O343" i="11"/>
  <c r="R343" i="11"/>
  <c r="O347" i="11"/>
  <c r="Q347" i="11"/>
  <c r="S347" i="11"/>
  <c r="S348" i="11" s="1"/>
  <c r="R347" i="11"/>
  <c r="N349" i="11"/>
  <c r="T352" i="11"/>
  <c r="Q351" i="11"/>
  <c r="R351" i="11"/>
  <c r="O351" i="11"/>
  <c r="R307" i="11"/>
  <c r="T317" i="11"/>
  <c r="O331" i="11"/>
  <c r="T329" i="11"/>
  <c r="T301" i="11"/>
  <c r="O3" i="11"/>
  <c r="R3" i="11"/>
  <c r="R7" i="11"/>
  <c r="Q7" i="11"/>
  <c r="R11" i="11"/>
  <c r="Q11" i="11"/>
  <c r="N13" i="11"/>
  <c r="T16" i="11"/>
  <c r="Q19" i="11"/>
  <c r="S18" i="11"/>
  <c r="S19" i="11" s="1"/>
  <c r="T19" i="11"/>
  <c r="T21" i="11"/>
  <c r="R19" i="11"/>
  <c r="R23" i="11"/>
  <c r="O23" i="11"/>
  <c r="Q23" i="11"/>
  <c r="R27" i="11"/>
  <c r="Q27" i="11"/>
  <c r="T33" i="11"/>
  <c r="R31" i="11"/>
  <c r="T37" i="11"/>
  <c r="Q34" i="11"/>
  <c r="O35" i="11"/>
  <c r="R35" i="11"/>
  <c r="Q35" i="11"/>
  <c r="S39" i="11"/>
  <c r="S40" i="11" s="1"/>
  <c r="T42" i="11"/>
  <c r="Q39" i="11"/>
  <c r="R47" i="11"/>
  <c r="O47" i="11"/>
  <c r="O55" i="11"/>
  <c r="Q55" i="11"/>
  <c r="R55" i="11"/>
  <c r="S53" i="11"/>
  <c r="S54" i="11" s="1"/>
  <c r="N59" i="11"/>
  <c r="Q59" i="11"/>
  <c r="R59" i="11"/>
  <c r="Q87" i="11"/>
  <c r="R87" i="11"/>
  <c r="T126" i="11"/>
  <c r="R122" i="11"/>
  <c r="T161" i="11"/>
  <c r="R158" i="11"/>
  <c r="P159" i="11"/>
  <c r="S162" i="11"/>
  <c r="S163" i="11" s="1"/>
  <c r="S176" i="11"/>
  <c r="S177" i="11" s="1"/>
  <c r="P171" i="11"/>
  <c r="T182" i="11"/>
  <c r="R178" i="11"/>
  <c r="P185" i="11"/>
  <c r="R218" i="11"/>
  <c r="T238" i="11"/>
  <c r="R234" i="11"/>
  <c r="S239" i="11"/>
  <c r="S240" i="11" s="1"/>
  <c r="P235" i="11"/>
  <c r="P299" i="11"/>
  <c r="S302" i="11"/>
  <c r="S303" i="11" s="1"/>
  <c r="P307" i="11"/>
  <c r="S309" i="11"/>
  <c r="S310" i="11" s="1"/>
  <c r="P311" i="11"/>
  <c r="N48" i="3"/>
  <c r="P327" i="11"/>
  <c r="S330" i="11"/>
  <c r="S331" i="11" s="1"/>
  <c r="S246" i="11"/>
  <c r="S247" i="11" s="1"/>
  <c r="R214" i="11"/>
  <c r="S260" i="11"/>
  <c r="S261" i="11" s="1"/>
  <c r="S323" i="11"/>
  <c r="S324" i="11" s="1"/>
  <c r="R91" i="11"/>
  <c r="T168" i="11"/>
  <c r="Q31" i="11"/>
  <c r="S274" i="11"/>
  <c r="S275" i="11" s="1"/>
  <c r="Q99" i="11"/>
  <c r="Q79" i="11"/>
  <c r="S169" i="11"/>
  <c r="S170" i="11" s="1"/>
  <c r="O59" i="11"/>
  <c r="P283" i="11"/>
  <c r="S253" i="11"/>
  <c r="S254" i="11" s="1"/>
  <c r="Q94" i="11"/>
  <c r="Q95" i="11"/>
  <c r="R174" i="11"/>
  <c r="Q47" i="11"/>
  <c r="Q83" i="11"/>
  <c r="R63" i="11"/>
  <c r="Q67" i="11"/>
  <c r="R39" i="11"/>
  <c r="R75" i="11"/>
  <c r="N41" i="3"/>
  <c r="T119" i="11"/>
  <c r="O144" i="11"/>
  <c r="Q144" i="11"/>
  <c r="Q155" i="11"/>
  <c r="R156" i="11"/>
  <c r="O156" i="11"/>
  <c r="R168" i="11"/>
  <c r="Q168" i="11"/>
  <c r="T173" i="11"/>
  <c r="S172" i="11"/>
  <c r="S173" i="11" s="1"/>
  <c r="R184" i="11"/>
  <c r="O184" i="11"/>
  <c r="R228" i="11"/>
  <c r="T231" i="11"/>
  <c r="P9" i="11"/>
  <c r="P57" i="11"/>
  <c r="P93" i="11"/>
  <c r="R118" i="11"/>
  <c r="T154" i="11"/>
  <c r="N152" i="11"/>
  <c r="O162" i="11"/>
  <c r="N168" i="11"/>
  <c r="N172" i="11"/>
  <c r="N184" i="11"/>
  <c r="R186" i="11"/>
  <c r="N188" i="11"/>
  <c r="N192" i="11"/>
  <c r="N194" i="11"/>
  <c r="R194" i="11"/>
  <c r="R198" i="11"/>
  <c r="O200" i="11"/>
  <c r="N204" i="11"/>
  <c r="O206" i="11"/>
  <c r="T208" i="11"/>
  <c r="O208" i="11"/>
  <c r="N208" i="11"/>
  <c r="Q214" i="11"/>
  <c r="T215" i="11"/>
  <c r="N220" i="11"/>
  <c r="O222" i="11"/>
  <c r="Q222" i="11"/>
  <c r="N224" i="11"/>
  <c r="O226" i="11"/>
  <c r="N232" i="11"/>
  <c r="O242" i="11"/>
  <c r="N244" i="11"/>
  <c r="O246" i="11"/>
  <c r="O254" i="11"/>
  <c r="R254" i="11"/>
  <c r="O266" i="11"/>
  <c r="R266" i="11"/>
  <c r="O282" i="11"/>
  <c r="Q282" i="11"/>
  <c r="O286" i="11"/>
  <c r="R286" i="11"/>
  <c r="Q358" i="11"/>
  <c r="O358" i="11"/>
  <c r="Q362" i="11"/>
  <c r="O362" i="11"/>
  <c r="Q366" i="11"/>
  <c r="R366" i="11"/>
  <c r="T373" i="11"/>
  <c r="Q367" i="11"/>
  <c r="O368" i="11"/>
  <c r="R368" i="11"/>
  <c r="R337" i="11"/>
  <c r="O50" i="11"/>
  <c r="N54" i="11"/>
  <c r="N58" i="11"/>
  <c r="O60" i="11"/>
  <c r="N72" i="11"/>
  <c r="N90" i="11"/>
  <c r="P116" i="11"/>
  <c r="P118" i="11"/>
  <c r="P120" i="11"/>
  <c r="P134" i="11"/>
  <c r="P142" i="11"/>
  <c r="P146" i="11"/>
  <c r="P148" i="11"/>
  <c r="P156" i="11"/>
  <c r="P178" i="11"/>
  <c r="P180" i="11"/>
  <c r="P184" i="11"/>
  <c r="P188" i="11"/>
  <c r="P190" i="11"/>
  <c r="P192" i="11"/>
  <c r="P194" i="11"/>
  <c r="P198" i="11"/>
  <c r="P200" i="11"/>
  <c r="P210" i="11"/>
  <c r="P212" i="11"/>
  <c r="P220" i="11"/>
  <c r="P222" i="11"/>
  <c r="P224" i="11"/>
  <c r="P226" i="11"/>
  <c r="P230" i="11"/>
  <c r="P236" i="11"/>
  <c r="P240" i="11"/>
  <c r="P244" i="11"/>
  <c r="R15" i="11"/>
  <c r="N39" i="3"/>
  <c r="R51" i="11"/>
  <c r="N40" i="3"/>
  <c r="K43" i="29" s="1"/>
  <c r="K44" i="29" s="1"/>
  <c r="M11" i="29" s="1"/>
  <c r="O71" i="3"/>
  <c r="R67" i="11"/>
  <c r="Q108" i="11"/>
  <c r="Q129" i="11"/>
  <c r="T147" i="11"/>
  <c r="Q169" i="11"/>
  <c r="Q172" i="11"/>
  <c r="N41" i="7"/>
  <c r="Q192" i="11"/>
  <c r="Q196" i="11"/>
  <c r="T201" i="11"/>
  <c r="S235" i="11"/>
  <c r="S236" i="11" s="1"/>
  <c r="R349" i="11"/>
  <c r="O345" i="11"/>
  <c r="P241" i="11"/>
  <c r="P245" i="11"/>
  <c r="Q179" i="11"/>
  <c r="N241" i="11"/>
  <c r="N245" i="11"/>
  <c r="R225" i="1"/>
  <c r="R78" i="1"/>
  <c r="P166" i="1"/>
  <c r="P158" i="1"/>
  <c r="Q357" i="1"/>
  <c r="Q86" i="1"/>
  <c r="R337" i="1"/>
  <c r="R22" i="1"/>
  <c r="O303" i="1"/>
  <c r="N38" i="1"/>
  <c r="O367" i="1"/>
  <c r="N6" i="1"/>
  <c r="Q30" i="1"/>
  <c r="N78" i="1"/>
  <c r="N159" i="1"/>
  <c r="P261" i="1"/>
  <c r="O126" i="1"/>
  <c r="O62" i="1"/>
  <c r="O38" i="1"/>
  <c r="O30" i="1"/>
  <c r="Q60" i="1"/>
  <c r="Q100" i="1"/>
  <c r="R76" i="1"/>
  <c r="O343" i="1"/>
  <c r="Q142" i="1"/>
  <c r="O247" i="1"/>
  <c r="S368" i="1"/>
  <c r="S369" i="1" s="1"/>
  <c r="N30" i="1"/>
  <c r="Q62" i="1"/>
  <c r="N100" i="1"/>
  <c r="N140" i="1"/>
  <c r="Q295" i="1"/>
  <c r="P313" i="1"/>
  <c r="P321" i="1"/>
  <c r="P329" i="1"/>
  <c r="Q319" i="1"/>
  <c r="O102" i="1"/>
  <c r="O78" i="1"/>
  <c r="Q303" i="1"/>
  <c r="R285" i="1"/>
  <c r="P331" i="1"/>
  <c r="O295" i="1"/>
  <c r="O352" i="1"/>
  <c r="Q349" i="1"/>
  <c r="P257" i="1"/>
  <c r="R341" i="1"/>
  <c r="Q280" i="1"/>
  <c r="Q150" i="1"/>
  <c r="R36" i="1"/>
  <c r="O285" i="1"/>
  <c r="R86" i="1"/>
  <c r="P265" i="1"/>
  <c r="R216" i="1"/>
  <c r="R126" i="1"/>
  <c r="R167" i="1"/>
  <c r="R351" i="1"/>
  <c r="R359" i="1"/>
  <c r="R185" i="1"/>
  <c r="N24" i="1"/>
  <c r="O304" i="1"/>
  <c r="N63" i="1"/>
  <c r="N103" i="1"/>
  <c r="P281" i="1"/>
  <c r="Q359" i="1"/>
  <c r="O132" i="1"/>
  <c r="O100" i="1"/>
  <c r="O68" i="1"/>
  <c r="O12" i="1"/>
  <c r="P119" i="1"/>
  <c r="P111" i="1"/>
  <c r="P103" i="1"/>
  <c r="P95" i="1"/>
  <c r="P87" i="1"/>
  <c r="P79" i="1"/>
  <c r="P71" i="1"/>
  <c r="P63" i="1"/>
  <c r="P55" i="1"/>
  <c r="P47" i="1"/>
  <c r="P39" i="1"/>
  <c r="P31" i="1"/>
  <c r="P23" i="1"/>
  <c r="P15" i="1"/>
  <c r="P7" i="1"/>
  <c r="R153" i="1"/>
  <c r="Q121" i="1"/>
  <c r="R89" i="1"/>
  <c r="P280" i="10"/>
  <c r="L47" i="3"/>
  <c r="O137" i="11"/>
  <c r="N137" i="11"/>
  <c r="Q213" i="11"/>
  <c r="N213" i="11"/>
  <c r="L42" i="3"/>
  <c r="O337" i="9"/>
  <c r="Q337" i="9"/>
  <c r="O5" i="10"/>
  <c r="N9" i="10"/>
  <c r="N11" i="10"/>
  <c r="N13" i="10"/>
  <c r="N15" i="10"/>
  <c r="O21" i="10"/>
  <c r="O23" i="10"/>
  <c r="N23" i="10"/>
  <c r="N25" i="10"/>
  <c r="N27" i="10"/>
  <c r="N29" i="10"/>
  <c r="O29" i="10"/>
  <c r="N31" i="10"/>
  <c r="N33" i="10"/>
  <c r="O33" i="10"/>
  <c r="N35" i="10"/>
  <c r="N41" i="10"/>
  <c r="O41" i="10"/>
  <c r="N43" i="10"/>
  <c r="N45" i="10"/>
  <c r="N47" i="10"/>
  <c r="N53" i="10"/>
  <c r="N55" i="10"/>
  <c r="N57" i="10"/>
  <c r="N59" i="10"/>
  <c r="N61" i="10"/>
  <c r="O61" i="10"/>
  <c r="N65" i="10"/>
  <c r="N67" i="10"/>
  <c r="N69" i="10"/>
  <c r="O71" i="10"/>
  <c r="N73" i="10"/>
  <c r="N75" i="10"/>
  <c r="N79" i="10"/>
  <c r="N81" i="10"/>
  <c r="N83" i="10"/>
  <c r="N87" i="10"/>
  <c r="N89" i="10"/>
  <c r="N93" i="10"/>
  <c r="N95" i="10"/>
  <c r="N97" i="10"/>
  <c r="N99" i="10"/>
  <c r="O101" i="10"/>
  <c r="N103" i="10"/>
  <c r="N105" i="10"/>
  <c r="N107" i="10"/>
  <c r="N109" i="10"/>
  <c r="N111" i="10"/>
  <c r="N115" i="10"/>
  <c r="N117" i="10"/>
  <c r="N119" i="10"/>
  <c r="N129" i="10"/>
  <c r="N133" i="10"/>
  <c r="N137" i="10"/>
  <c r="O145" i="10"/>
  <c r="N147" i="10"/>
  <c r="N155" i="10"/>
  <c r="N175" i="10"/>
  <c r="O189" i="10"/>
  <c r="N193" i="10"/>
  <c r="O197" i="10"/>
  <c r="O221" i="10"/>
  <c r="O225" i="10"/>
  <c r="Q293" i="10"/>
  <c r="O293" i="10"/>
  <c r="P124" i="10"/>
  <c r="N35" i="12"/>
  <c r="P36" i="7"/>
  <c r="N105" i="12"/>
  <c r="O105" i="12"/>
  <c r="O129" i="12"/>
  <c r="N129" i="12"/>
  <c r="P10" i="9"/>
  <c r="P22" i="9"/>
  <c r="L5" i="3"/>
  <c r="P6" i="10"/>
  <c r="P26" i="10"/>
  <c r="P98" i="10"/>
  <c r="P182" i="10"/>
  <c r="P218" i="10"/>
  <c r="L41" i="3"/>
  <c r="J53" i="29" s="1"/>
  <c r="N309" i="10"/>
  <c r="L45" i="7"/>
  <c r="L40" i="3"/>
  <c r="J43" i="29" s="1"/>
  <c r="J44" i="29" s="1"/>
  <c r="M10" i="29" s="1"/>
  <c r="N9" i="12"/>
  <c r="N40" i="7"/>
  <c r="N21" i="12"/>
  <c r="O121" i="12"/>
  <c r="N123" i="9"/>
  <c r="O157" i="12"/>
  <c r="N177" i="12"/>
  <c r="N209" i="11"/>
  <c r="R81" i="1"/>
  <c r="R65" i="1"/>
  <c r="R57" i="1"/>
  <c r="R41" i="1"/>
  <c r="Q25" i="1"/>
  <c r="R9" i="1"/>
  <c r="T217" i="10"/>
  <c r="S190" i="10"/>
  <c r="S191" i="10" s="1"/>
  <c r="R35" i="10"/>
  <c r="S246" i="10"/>
  <c r="S247" i="10" s="1"/>
  <c r="T364" i="11"/>
  <c r="Q241" i="11"/>
  <c r="S109" i="11"/>
  <c r="S110" i="11" s="1"/>
  <c r="T142" i="11"/>
  <c r="T210" i="11"/>
  <c r="Q201" i="11"/>
  <c r="T166" i="11"/>
  <c r="R213" i="11"/>
  <c r="Q101" i="12"/>
  <c r="Q121" i="12"/>
  <c r="Q125" i="12"/>
  <c r="T14" i="12"/>
  <c r="T107" i="12"/>
  <c r="Q65" i="12"/>
  <c r="T56" i="12"/>
  <c r="N17" i="12"/>
  <c r="T156" i="12"/>
  <c r="R105" i="12"/>
  <c r="Q73" i="12"/>
  <c r="S46" i="12"/>
  <c r="S47" i="12" s="1"/>
  <c r="T30" i="12"/>
  <c r="T47" i="12"/>
  <c r="R121" i="12"/>
  <c r="R49" i="12"/>
  <c r="Q53" i="12"/>
  <c r="R361" i="11"/>
  <c r="O137" i="12"/>
  <c r="R279" i="9"/>
  <c r="O249" i="12"/>
  <c r="L44" i="3"/>
  <c r="X23" i="29" s="1"/>
  <c r="Q271" i="13"/>
  <c r="R339" i="13"/>
  <c r="P108" i="13"/>
  <c r="O339" i="13"/>
  <c r="Q351" i="13"/>
  <c r="Q16" i="9"/>
  <c r="Q28" i="9"/>
  <c r="Q44" i="9"/>
  <c r="Q55" i="9"/>
  <c r="Q80" i="9"/>
  <c r="L41" i="7"/>
  <c r="Q149" i="12"/>
  <c r="Q217" i="12"/>
  <c r="O243" i="13"/>
  <c r="Q283" i="13"/>
  <c r="R315" i="13"/>
  <c r="Q343" i="13"/>
  <c r="O223" i="13"/>
  <c r="R357" i="13"/>
  <c r="P218" i="12"/>
  <c r="P101" i="9"/>
  <c r="P171" i="10"/>
  <c r="R308" i="13"/>
  <c r="R328" i="13"/>
  <c r="R344" i="13"/>
  <c r="R348" i="13"/>
  <c r="R352" i="13"/>
  <c r="Q98" i="10"/>
  <c r="Q126" i="10"/>
  <c r="Q172" i="12"/>
  <c r="Q134" i="13"/>
  <c r="Q230" i="13"/>
  <c r="R233" i="1"/>
  <c r="O310" i="1"/>
  <c r="R40" i="1"/>
  <c r="O361" i="1"/>
  <c r="R144" i="1"/>
  <c r="R112" i="1"/>
  <c r="R16" i="1"/>
  <c r="Q169" i="1"/>
  <c r="Q214" i="1"/>
  <c r="R169" i="1"/>
  <c r="P277" i="1"/>
  <c r="N177" i="1"/>
  <c r="O329" i="1"/>
  <c r="P32" i="1"/>
  <c r="P16" i="1"/>
  <c r="P8" i="1"/>
  <c r="Q196" i="1"/>
  <c r="Q188" i="1"/>
  <c r="Q200" i="1"/>
  <c r="Q184" i="1"/>
  <c r="Q168" i="1"/>
  <c r="Q152" i="1"/>
  <c r="Q136" i="1"/>
  <c r="Q128" i="1"/>
  <c r="Q96" i="1"/>
  <c r="Q64" i="1"/>
  <c r="Q24" i="9"/>
  <c r="N17" i="6"/>
  <c r="N46" i="6"/>
  <c r="O82" i="6"/>
  <c r="Q321" i="1"/>
  <c r="Q273" i="1"/>
  <c r="R56" i="1"/>
  <c r="R24" i="1"/>
  <c r="R32" i="1"/>
  <c r="R321" i="1"/>
  <c r="P317" i="1"/>
  <c r="R217" i="1"/>
  <c r="R161" i="1"/>
  <c r="N80" i="1"/>
  <c r="S148" i="1"/>
  <c r="N161" i="1"/>
  <c r="Q249" i="1"/>
  <c r="Q289" i="1"/>
  <c r="P135" i="1"/>
  <c r="S64" i="1"/>
  <c r="S65" i="1" s="1"/>
  <c r="Q41" i="6"/>
  <c r="Q65" i="6"/>
  <c r="R273" i="1"/>
  <c r="P143" i="1"/>
  <c r="P127" i="1"/>
  <c r="Q233" i="1"/>
  <c r="Q8" i="1"/>
  <c r="R96" i="1"/>
  <c r="O286" i="1"/>
  <c r="R241" i="1"/>
  <c r="Q302" i="1"/>
  <c r="O265" i="1"/>
  <c r="N193" i="1"/>
  <c r="R249" i="1"/>
  <c r="R64" i="1"/>
  <c r="N16" i="1"/>
  <c r="S120" i="1"/>
  <c r="S121" i="1" s="1"/>
  <c r="S253" i="1"/>
  <c r="S254" i="1" s="1"/>
  <c r="Q240" i="1"/>
  <c r="P365" i="1"/>
  <c r="P150" i="1"/>
  <c r="R362" i="1"/>
  <c r="R354" i="1"/>
  <c r="R330" i="1"/>
  <c r="N8" i="9"/>
  <c r="O130" i="6"/>
  <c r="N130" i="6"/>
  <c r="R265" i="1"/>
  <c r="O257" i="1"/>
  <c r="Q32" i="1"/>
  <c r="R329" i="1"/>
  <c r="Q241" i="1"/>
  <c r="Q329" i="1"/>
  <c r="O289" i="1"/>
  <c r="R353" i="1"/>
  <c r="P325" i="1"/>
  <c r="N8" i="1"/>
  <c r="Q225" i="1"/>
  <c r="L16" i="3"/>
  <c r="M16" i="3" s="1"/>
  <c r="P237" i="1"/>
  <c r="P229" i="1"/>
  <c r="P221" i="1"/>
  <c r="P213" i="1"/>
  <c r="P205" i="1"/>
  <c r="P189" i="1"/>
  <c r="P181" i="1"/>
  <c r="P173" i="1"/>
  <c r="R313" i="1"/>
  <c r="P341" i="1"/>
  <c r="Q353" i="1"/>
  <c r="Q177" i="1"/>
  <c r="R281" i="1"/>
  <c r="R80" i="1"/>
  <c r="P253" i="1"/>
  <c r="N144" i="1"/>
  <c r="O241" i="1"/>
  <c r="N48" i="1"/>
  <c r="P333" i="1"/>
  <c r="O233" i="1"/>
  <c r="O225" i="1"/>
  <c r="O217" i="1"/>
  <c r="O193" i="1"/>
  <c r="O185" i="1"/>
  <c r="O177" i="1"/>
  <c r="O169" i="1"/>
  <c r="O161" i="1"/>
  <c r="O152" i="1"/>
  <c r="O144" i="1"/>
  <c r="O136" i="1"/>
  <c r="O128" i="1"/>
  <c r="O120" i="1"/>
  <c r="O112" i="1"/>
  <c r="O88" i="1"/>
  <c r="O80" i="1"/>
  <c r="O72" i="1"/>
  <c r="O64" i="1"/>
  <c r="O56" i="1"/>
  <c r="O48" i="1"/>
  <c r="O40" i="1"/>
  <c r="O32" i="1"/>
  <c r="O24" i="1"/>
  <c r="O16" i="1"/>
  <c r="O8" i="1"/>
  <c r="O72" i="9"/>
  <c r="Q88" i="10"/>
  <c r="Q297" i="1"/>
  <c r="O68" i="9"/>
  <c r="N161" i="11"/>
  <c r="O305" i="1"/>
  <c r="P349" i="1"/>
  <c r="Q40" i="1"/>
  <c r="R297" i="1"/>
  <c r="O281" i="1"/>
  <c r="P269" i="1"/>
  <c r="Q305" i="1"/>
  <c r="P357" i="1"/>
  <c r="N112" i="1"/>
  <c r="N152" i="1"/>
  <c r="P293" i="1"/>
  <c r="Q80" i="1"/>
  <c r="Q56" i="1"/>
  <c r="Q361" i="1"/>
  <c r="P301" i="1"/>
  <c r="Q345" i="1"/>
  <c r="R152" i="1"/>
  <c r="R257" i="1"/>
  <c r="R305" i="1"/>
  <c r="P24" i="1"/>
  <c r="T40" i="1"/>
  <c r="Q257" i="1"/>
  <c r="O273" i="1"/>
  <c r="O321" i="1"/>
  <c r="Q221" i="1"/>
  <c r="Q213" i="1"/>
  <c r="Q205" i="1"/>
  <c r="Q173" i="1"/>
  <c r="O166" i="12"/>
  <c r="Q13" i="6"/>
  <c r="N49" i="6"/>
  <c r="N61" i="6"/>
  <c r="N74" i="6"/>
  <c r="N154" i="6"/>
  <c r="N183" i="6"/>
  <c r="O245" i="13"/>
  <c r="Q245" i="13"/>
  <c r="Q293" i="13"/>
  <c r="R293" i="13"/>
  <c r="O349" i="13"/>
  <c r="Q349" i="13"/>
  <c r="Q353" i="13"/>
  <c r="O353" i="13"/>
  <c r="Q178" i="13"/>
  <c r="R178" i="13"/>
  <c r="Q246" i="13"/>
  <c r="O246" i="13"/>
  <c r="O16" i="10"/>
  <c r="O22" i="10"/>
  <c r="N64" i="10"/>
  <c r="O70" i="10"/>
  <c r="N88" i="10"/>
  <c r="N104" i="10"/>
  <c r="O122" i="10"/>
  <c r="N146" i="10"/>
  <c r="O180" i="10"/>
  <c r="N190" i="10"/>
  <c r="N130" i="12"/>
  <c r="N140" i="12"/>
  <c r="Q143" i="12"/>
  <c r="N168" i="12"/>
  <c r="N170" i="12"/>
  <c r="N180" i="12"/>
  <c r="N200" i="12"/>
  <c r="N210" i="12"/>
  <c r="N218" i="12"/>
  <c r="N224" i="12"/>
  <c r="Q18" i="13"/>
  <c r="Q22" i="13"/>
  <c r="Q26" i="13"/>
  <c r="Q30" i="13"/>
  <c r="Q38" i="13"/>
  <c r="Q42" i="13"/>
  <c r="Q46" i="13"/>
  <c r="Q50" i="13"/>
  <c r="Q54" i="13"/>
  <c r="R270" i="13"/>
  <c r="R274" i="13"/>
  <c r="N23" i="9"/>
  <c r="O25" i="9"/>
  <c r="N59" i="9"/>
  <c r="O123" i="9"/>
  <c r="O129" i="9"/>
  <c r="N137" i="9"/>
  <c r="N141" i="9"/>
  <c r="P167" i="11"/>
  <c r="P199" i="11"/>
  <c r="P229" i="11"/>
  <c r="R7" i="13"/>
  <c r="R14" i="13"/>
  <c r="R18" i="13"/>
  <c r="R26" i="13"/>
  <c r="R30" i="13"/>
  <c r="R34" i="13"/>
  <c r="R38" i="13"/>
  <c r="R42" i="13"/>
  <c r="R46" i="13"/>
  <c r="R50" i="13"/>
  <c r="R54" i="13"/>
  <c r="R58" i="13"/>
  <c r="R62" i="13"/>
  <c r="R66" i="13"/>
  <c r="R70" i="13"/>
  <c r="R74" i="13"/>
  <c r="R78" i="13"/>
  <c r="R82" i="13"/>
  <c r="R86" i="13"/>
  <c r="R90" i="13"/>
  <c r="Q179" i="13"/>
  <c r="Q199" i="13"/>
  <c r="Q203" i="13"/>
  <c r="Q211" i="13"/>
  <c r="Q223" i="13"/>
  <c r="P143" i="10"/>
  <c r="P173" i="10"/>
  <c r="P175" i="10"/>
  <c r="P111" i="12"/>
  <c r="P119" i="12"/>
  <c r="P121" i="12"/>
  <c r="P137" i="12"/>
  <c r="P145" i="12"/>
  <c r="P153" i="12"/>
  <c r="P159" i="12"/>
  <c r="P181" i="12"/>
  <c r="P191" i="12"/>
  <c r="P203" i="12"/>
  <c r="P205" i="12"/>
  <c r="P223" i="12"/>
  <c r="O335" i="13"/>
  <c r="Q315" i="13"/>
  <c r="R16" i="13"/>
  <c r="R28" i="13"/>
  <c r="R36" i="13"/>
  <c r="R44" i="13"/>
  <c r="R56" i="13"/>
  <c r="R80" i="13"/>
  <c r="R84" i="13"/>
  <c r="R88" i="13"/>
  <c r="R131" i="13"/>
  <c r="R199" i="13"/>
  <c r="R207" i="13"/>
  <c r="P208" i="13"/>
  <c r="R211" i="13"/>
  <c r="P216" i="13"/>
  <c r="P226" i="13"/>
  <c r="R227" i="13"/>
  <c r="P228" i="13"/>
  <c r="P234" i="13"/>
  <c r="R283" i="13"/>
  <c r="R319" i="13"/>
  <c r="R343" i="13"/>
  <c r="R351" i="13"/>
  <c r="O49" i="1"/>
  <c r="O17" i="1"/>
  <c r="Q9" i="10"/>
  <c r="N113" i="10"/>
  <c r="O141" i="11"/>
  <c r="O13" i="10"/>
  <c r="Q57" i="10"/>
  <c r="O65" i="10"/>
  <c r="Q93" i="10"/>
  <c r="Q105" i="10"/>
  <c r="O129" i="10"/>
  <c r="Q292" i="1"/>
  <c r="R236" i="1"/>
  <c r="R179" i="1"/>
  <c r="N27" i="1"/>
  <c r="Q331" i="1"/>
  <c r="P240" i="1"/>
  <c r="P232" i="1"/>
  <c r="P224" i="1"/>
  <c r="P216" i="1"/>
  <c r="P208" i="1"/>
  <c r="P200" i="1"/>
  <c r="P184" i="1"/>
  <c r="P168" i="1"/>
  <c r="R261" i="1"/>
  <c r="R237" i="1"/>
  <c r="R157" i="1"/>
  <c r="O57" i="10"/>
  <c r="O265" i="10"/>
  <c r="O361" i="10"/>
  <c r="O25" i="10"/>
  <c r="Q113" i="11"/>
  <c r="Q121" i="11"/>
  <c r="Q133" i="11"/>
  <c r="Q137" i="11"/>
  <c r="Q141" i="11"/>
  <c r="N37" i="10"/>
  <c r="P44" i="10"/>
  <c r="P58" i="10"/>
  <c r="P68" i="10"/>
  <c r="P76" i="10"/>
  <c r="P80" i="10"/>
  <c r="P82" i="10"/>
  <c r="P92" i="10"/>
  <c r="P100" i="10"/>
  <c r="P102" i="10"/>
  <c r="P112" i="10"/>
  <c r="P116" i="10"/>
  <c r="P118" i="10"/>
  <c r="P126" i="10"/>
  <c r="P132" i="10"/>
  <c r="P134" i="10"/>
  <c r="P142" i="10"/>
  <c r="P146" i="10"/>
  <c r="P150" i="10"/>
  <c r="P156" i="10"/>
  <c r="P160" i="10"/>
  <c r="P166" i="10"/>
  <c r="P168" i="10"/>
  <c r="P170" i="10"/>
  <c r="P172" i="10"/>
  <c r="P176" i="10"/>
  <c r="P178" i="10"/>
  <c r="P180" i="10"/>
  <c r="P184" i="10"/>
  <c r="P190" i="10"/>
  <c r="P194" i="10"/>
  <c r="P198" i="10"/>
  <c r="P200" i="10"/>
  <c r="P204" i="10"/>
  <c r="P214" i="10"/>
  <c r="P232" i="10"/>
  <c r="P234" i="10"/>
  <c r="P238" i="10"/>
  <c r="S106" i="1"/>
  <c r="S107" i="1" s="1"/>
  <c r="D41" i="3"/>
  <c r="F53" i="29" s="1"/>
  <c r="Q109" i="10"/>
  <c r="N177" i="11"/>
  <c r="O239" i="11"/>
  <c r="O326" i="13"/>
  <c r="N6" i="13"/>
  <c r="P97" i="13"/>
  <c r="O152" i="11"/>
  <c r="Q232" i="11"/>
  <c r="R346" i="13"/>
  <c r="O288" i="13"/>
  <c r="O3" i="13"/>
  <c r="O5" i="13"/>
  <c r="O7" i="13"/>
  <c r="N7" i="13"/>
  <c r="N22" i="13"/>
  <c r="Q24" i="13"/>
  <c r="O26" i="13"/>
  <c r="O34" i="13"/>
  <c r="N34" i="13"/>
  <c r="N46" i="13"/>
  <c r="O48" i="13"/>
  <c r="O50" i="13"/>
  <c r="N50" i="13"/>
  <c r="O64" i="13"/>
  <c r="O76" i="13"/>
  <c r="O78" i="13"/>
  <c r="O86" i="13"/>
  <c r="O90" i="13"/>
  <c r="P102" i="13"/>
  <c r="P110" i="13"/>
  <c r="P156" i="13"/>
  <c r="P168" i="13"/>
  <c r="P186" i="13"/>
  <c r="P192" i="13"/>
  <c r="P194" i="13"/>
  <c r="L35" i="7"/>
  <c r="Q45" i="10"/>
  <c r="Q49" i="10"/>
  <c r="Q81" i="10"/>
  <c r="Q85" i="10"/>
  <c r="Q117" i="10"/>
  <c r="Q133" i="10"/>
  <c r="Q181" i="10"/>
  <c r="L42" i="7"/>
  <c r="L48" i="3"/>
  <c r="R319" i="12"/>
  <c r="O296" i="13"/>
  <c r="R276" i="13"/>
  <c r="Q330" i="13"/>
  <c r="R310" i="13"/>
  <c r="R272" i="13"/>
  <c r="R220" i="13"/>
  <c r="R240" i="13"/>
  <c r="Q310" i="13"/>
  <c r="R359" i="13"/>
  <c r="O240" i="13"/>
  <c r="N240" i="13"/>
  <c r="R368" i="13"/>
  <c r="Q276" i="13"/>
  <c r="O354" i="13"/>
  <c r="Q29" i="9"/>
  <c r="N64" i="9"/>
  <c r="Q69" i="9"/>
  <c r="O86" i="9"/>
  <c r="N160" i="9"/>
  <c r="N212" i="9"/>
  <c r="R36" i="10"/>
  <c r="R108" i="10"/>
  <c r="R136" i="10"/>
  <c r="R164" i="10"/>
  <c r="R268" i="13"/>
  <c r="Q323" i="13"/>
  <c r="R301" i="13"/>
  <c r="R313" i="13"/>
  <c r="O323" i="1"/>
  <c r="Q204" i="1"/>
  <c r="O283" i="1"/>
  <c r="R114" i="1"/>
  <c r="Q300" i="1"/>
  <c r="R138" i="1"/>
  <c r="Q324" i="1"/>
  <c r="R163" i="1"/>
  <c r="R154" i="1"/>
  <c r="Q147" i="1"/>
  <c r="N212" i="1"/>
  <c r="Q259" i="1"/>
  <c r="Q19" i="1"/>
  <c r="N147" i="1"/>
  <c r="N196" i="1"/>
  <c r="N226" i="1"/>
  <c r="P351" i="1"/>
  <c r="Q316" i="1"/>
  <c r="O314" i="1"/>
  <c r="O243" i="1"/>
  <c r="Q244" i="1"/>
  <c r="R162" i="1"/>
  <c r="R123" i="1"/>
  <c r="R219" i="1"/>
  <c r="R196" i="1"/>
  <c r="O274" i="1"/>
  <c r="Q107" i="1"/>
  <c r="R146" i="1"/>
  <c r="Q332" i="1"/>
  <c r="R339" i="1"/>
  <c r="R220" i="1"/>
  <c r="Q211" i="1"/>
  <c r="Q43" i="1"/>
  <c r="P278" i="1"/>
  <c r="R130" i="1"/>
  <c r="O338" i="1"/>
  <c r="N35" i="1"/>
  <c r="Q67" i="1"/>
  <c r="N90" i="1"/>
  <c r="Q123" i="1"/>
  <c r="Q202" i="1"/>
  <c r="P368" i="1"/>
  <c r="N41" i="1"/>
  <c r="N91" i="1"/>
  <c r="N106" i="1"/>
  <c r="Q186" i="1"/>
  <c r="Q218" i="1"/>
  <c r="Q338" i="1"/>
  <c r="R322" i="1"/>
  <c r="Q210" i="1"/>
  <c r="R292" i="1"/>
  <c r="O171" i="1"/>
  <c r="Q220" i="1"/>
  <c r="R50" i="1"/>
  <c r="R131" i="1"/>
  <c r="Q164" i="1"/>
  <c r="Q172" i="1"/>
  <c r="Q17" i="1"/>
  <c r="R252" i="1"/>
  <c r="Q49" i="1"/>
  <c r="R324" i="1"/>
  <c r="P318" i="1"/>
  <c r="O260" i="1"/>
  <c r="Q81" i="1"/>
  <c r="R25" i="1"/>
  <c r="R363" i="1"/>
  <c r="R250" i="1"/>
  <c r="O339" i="1"/>
  <c r="P366" i="1"/>
  <c r="R98" i="1"/>
  <c r="P238" i="1"/>
  <c r="R306" i="1"/>
  <c r="N123" i="1"/>
  <c r="Q10" i="1"/>
  <c r="S232" i="1"/>
  <c r="N26" i="1"/>
  <c r="N42" i="1"/>
  <c r="N107" i="1"/>
  <c r="N188" i="1"/>
  <c r="N219" i="1"/>
  <c r="N236" i="1"/>
  <c r="N83" i="1"/>
  <c r="Q180" i="1"/>
  <c r="R204" i="1"/>
  <c r="N131" i="1"/>
  <c r="O315" i="1"/>
  <c r="R315" i="1"/>
  <c r="O292" i="1"/>
  <c r="O284" i="1"/>
  <c r="Q236" i="1"/>
  <c r="R156" i="1"/>
  <c r="O74" i="1"/>
  <c r="Q348" i="1"/>
  <c r="Q308" i="1"/>
  <c r="Q260" i="1"/>
  <c r="R180" i="1"/>
  <c r="R276" i="1"/>
  <c r="Q227" i="1"/>
  <c r="O138" i="1"/>
  <c r="R299" i="1"/>
  <c r="R122" i="1"/>
  <c r="R18" i="1"/>
  <c r="O356" i="1"/>
  <c r="R171" i="1"/>
  <c r="R211" i="1"/>
  <c r="N235" i="1"/>
  <c r="N115" i="1"/>
  <c r="Q59" i="1"/>
  <c r="O163" i="1"/>
  <c r="N49" i="1"/>
  <c r="R300" i="1"/>
  <c r="O291" i="1"/>
  <c r="Q203" i="1"/>
  <c r="O203" i="1"/>
  <c r="R348" i="1"/>
  <c r="O244" i="1"/>
  <c r="R107" i="1"/>
  <c r="R170" i="1"/>
  <c r="R274" i="1"/>
  <c r="Q284" i="1"/>
  <c r="R147" i="1"/>
  <c r="N11" i="1"/>
  <c r="R244" i="1"/>
  <c r="N75" i="1"/>
  <c r="O306" i="1"/>
  <c r="P342" i="1"/>
  <c r="P335" i="1"/>
  <c r="R137" i="1"/>
  <c r="R106" i="1"/>
  <c r="R99" i="1"/>
  <c r="P175" i="1"/>
  <c r="N186" i="1"/>
  <c r="S372" i="1"/>
  <c r="S373" i="1" s="1"/>
  <c r="T201" i="1"/>
  <c r="S337" i="1"/>
  <c r="S338" i="1" s="1"/>
  <c r="Q33" i="1"/>
  <c r="N51" i="1"/>
  <c r="N65" i="1"/>
  <c r="N121" i="1"/>
  <c r="N139" i="1"/>
  <c r="T233" i="1"/>
  <c r="P359" i="1"/>
  <c r="P10" i="1"/>
  <c r="Q75" i="1"/>
  <c r="Q99" i="1"/>
  <c r="Q154" i="1"/>
  <c r="N195" i="1"/>
  <c r="P270" i="1"/>
  <c r="R338" i="1"/>
  <c r="R308" i="1"/>
  <c r="R242" i="1"/>
  <c r="O258" i="1"/>
  <c r="Q252" i="1"/>
  <c r="R346" i="1"/>
  <c r="R251" i="1"/>
  <c r="Q276" i="1"/>
  <c r="R290" i="1"/>
  <c r="R356" i="1"/>
  <c r="R188" i="1"/>
  <c r="R259" i="1"/>
  <c r="O330" i="1"/>
  <c r="N74" i="1"/>
  <c r="P367" i="1"/>
  <c r="N163" i="1"/>
  <c r="Q363" i="1"/>
  <c r="Q339" i="1"/>
  <c r="Q235" i="1"/>
  <c r="Q146" i="1"/>
  <c r="R228" i="1"/>
  <c r="R145" i="1"/>
  <c r="Q83" i="1"/>
  <c r="O298" i="1"/>
  <c r="Q330" i="1"/>
  <c r="R227" i="1"/>
  <c r="P262" i="1"/>
  <c r="O340" i="1"/>
  <c r="R97" i="1"/>
  <c r="R43" i="1"/>
  <c r="Q105" i="1"/>
  <c r="Q228" i="1"/>
  <c r="R355" i="1"/>
  <c r="P327" i="1"/>
  <c r="R90" i="1"/>
  <c r="O251" i="1"/>
  <c r="P343" i="1"/>
  <c r="R10" i="1"/>
  <c r="R258" i="1"/>
  <c r="Q298" i="1"/>
  <c r="R139" i="1"/>
  <c r="N10" i="1"/>
  <c r="N234" i="1"/>
  <c r="N227" i="1"/>
  <c r="O316" i="1"/>
  <c r="P137" i="1"/>
  <c r="P129" i="1"/>
  <c r="P121" i="1"/>
  <c r="P105" i="1"/>
  <c r="P97" i="1"/>
  <c r="P89" i="1"/>
  <c r="P73" i="1"/>
  <c r="P65" i="1"/>
  <c r="P57" i="1"/>
  <c r="P49" i="1"/>
  <c r="P41" i="1"/>
  <c r="Q356" i="1"/>
  <c r="Q306" i="1"/>
  <c r="R331" i="1"/>
  <c r="P310" i="1"/>
  <c r="Q267" i="1"/>
  <c r="Q219" i="1"/>
  <c r="Q58" i="1"/>
  <c r="Q131" i="1"/>
  <c r="O97" i="1"/>
  <c r="Q35" i="1"/>
  <c r="O252" i="1"/>
  <c r="O332" i="1"/>
  <c r="O355" i="1"/>
  <c r="Q251" i="1"/>
  <c r="P246" i="1"/>
  <c r="R35" i="1"/>
  <c r="R105" i="1"/>
  <c r="O259" i="1"/>
  <c r="R58" i="1"/>
  <c r="R235" i="1"/>
  <c r="Q66" i="1"/>
  <c r="P152" i="1"/>
  <c r="P160" i="1"/>
  <c r="R342" i="1"/>
  <c r="L49" i="3"/>
  <c r="N77" i="10"/>
  <c r="Q71" i="9"/>
  <c r="R349" i="9"/>
  <c r="R353" i="9"/>
  <c r="Q120" i="1"/>
  <c r="Q88" i="1"/>
  <c r="Q232" i="1"/>
  <c r="Q224" i="1"/>
  <c r="Q160" i="1"/>
  <c r="P7" i="11"/>
  <c r="R8" i="11"/>
  <c r="P11" i="11"/>
  <c r="P13" i="11"/>
  <c r="P19" i="11"/>
  <c r="P21" i="11"/>
  <c r="P23" i="11"/>
  <c r="R24" i="11"/>
  <c r="P27" i="11"/>
  <c r="R28" i="11"/>
  <c r="P29" i="11"/>
  <c r="P31" i="11"/>
  <c r="P33" i="11"/>
  <c r="R36" i="11"/>
  <c r="P37" i="11"/>
  <c r="P39" i="11"/>
  <c r="R40" i="11"/>
  <c r="P43" i="11"/>
  <c r="R44" i="11"/>
  <c r="P47" i="11"/>
  <c r="R48" i="11"/>
  <c r="P49" i="11"/>
  <c r="P51" i="11"/>
  <c r="R52" i="11"/>
  <c r="P55" i="11"/>
  <c r="R56" i="11"/>
  <c r="P59" i="11"/>
  <c r="R60" i="11"/>
  <c r="P61" i="11"/>
  <c r="P65" i="11"/>
  <c r="P67" i="11"/>
  <c r="P69" i="11"/>
  <c r="P71" i="11"/>
  <c r="P75" i="11"/>
  <c r="R76" i="11"/>
  <c r="P77" i="11"/>
  <c r="P79" i="11"/>
  <c r="R80" i="11"/>
  <c r="P81" i="11"/>
  <c r="P83" i="11"/>
  <c r="R84" i="11"/>
  <c r="P85" i="11"/>
  <c r="P87" i="11"/>
  <c r="R88" i="11"/>
  <c r="P91" i="11"/>
  <c r="R92" i="11"/>
  <c r="P95" i="11"/>
  <c r="P97" i="11"/>
  <c r="P99" i="11"/>
  <c r="P101" i="11"/>
  <c r="O104" i="11"/>
  <c r="N104" i="11"/>
  <c r="O108" i="11"/>
  <c r="O112" i="11"/>
  <c r="N112" i="11"/>
  <c r="O114" i="11"/>
  <c r="O116" i="11"/>
  <c r="N116" i="11"/>
  <c r="O120" i="11"/>
  <c r="N120" i="11"/>
  <c r="N124" i="11"/>
  <c r="O128" i="11"/>
  <c r="N128" i="11"/>
  <c r="O132" i="11"/>
  <c r="N132" i="11"/>
  <c r="N136" i="11"/>
  <c r="N140" i="11"/>
  <c r="N144" i="11"/>
  <c r="O148" i="11"/>
  <c r="O170" i="11"/>
  <c r="N170" i="11"/>
  <c r="N12" i="9"/>
  <c r="N18" i="9"/>
  <c r="N24" i="9"/>
  <c r="N28" i="9"/>
  <c r="N36" i="9"/>
  <c r="O38" i="9"/>
  <c r="N42" i="9"/>
  <c r="N44" i="9"/>
  <c r="N46" i="9"/>
  <c r="O56" i="9"/>
  <c r="O60" i="9"/>
  <c r="N70" i="9"/>
  <c r="N78" i="9"/>
  <c r="O84" i="9"/>
  <c r="N88" i="9"/>
  <c r="O92" i="9"/>
  <c r="O96" i="9"/>
  <c r="N96" i="9"/>
  <c r="O106" i="9"/>
  <c r="O110" i="9"/>
  <c r="N112" i="9"/>
  <c r="N118" i="9"/>
  <c r="N126" i="9"/>
  <c r="N130" i="9"/>
  <c r="O140" i="9"/>
  <c r="N140" i="9"/>
  <c r="O142" i="9"/>
  <c r="O144" i="9"/>
  <c r="O146" i="9"/>
  <c r="O154" i="9"/>
  <c r="N164" i="9"/>
  <c r="N168" i="9"/>
  <c r="N184" i="9"/>
  <c r="N194" i="9"/>
  <c r="N204" i="9"/>
  <c r="N208" i="9"/>
  <c r="N222" i="9"/>
  <c r="Q28" i="10"/>
  <c r="Q32" i="10"/>
  <c r="Q84" i="10"/>
  <c r="Q100" i="10"/>
  <c r="Q104" i="10"/>
  <c r="Q120" i="10"/>
  <c r="Q124" i="10"/>
  <c r="Q128" i="10"/>
  <c r="Q140" i="10"/>
  <c r="N174" i="10"/>
  <c r="Q25" i="11"/>
  <c r="R104" i="11"/>
  <c r="R116" i="11"/>
  <c r="R120" i="11"/>
  <c r="R128" i="11"/>
  <c r="R136" i="11"/>
  <c r="R144" i="11"/>
  <c r="R160" i="11"/>
  <c r="R176" i="11"/>
  <c r="Q321" i="13"/>
  <c r="O289" i="13"/>
  <c r="Q250" i="13"/>
  <c r="O292" i="13"/>
  <c r="R321" i="13"/>
  <c r="R322" i="13"/>
  <c r="R342" i="13"/>
  <c r="R291" i="13"/>
  <c r="Q302" i="13"/>
  <c r="R317" i="13"/>
  <c r="R94" i="13"/>
  <c r="R98" i="13"/>
  <c r="R102" i="13"/>
  <c r="R106" i="13"/>
  <c r="R110" i="13"/>
  <c r="R114" i="13"/>
  <c r="R118" i="13"/>
  <c r="R122" i="13"/>
  <c r="R126" i="13"/>
  <c r="R130" i="13"/>
  <c r="R134" i="13"/>
  <c r="R138" i="13"/>
  <c r="R142" i="13"/>
  <c r="R146" i="13"/>
  <c r="R154" i="13"/>
  <c r="R158" i="13"/>
  <c r="R162" i="13"/>
  <c r="R166" i="13"/>
  <c r="R174" i="13"/>
  <c r="R182" i="13"/>
  <c r="P239" i="13"/>
  <c r="T320" i="13"/>
  <c r="R326" i="13"/>
  <c r="R338" i="13"/>
  <c r="P238" i="11"/>
  <c r="R285" i="13"/>
  <c r="O261" i="13"/>
  <c r="P13" i="13"/>
  <c r="P15" i="13"/>
  <c r="P23" i="13"/>
  <c r="P27" i="13"/>
  <c r="P29" i="13"/>
  <c r="P31" i="13"/>
  <c r="P33" i="13"/>
  <c r="P35" i="13"/>
  <c r="P41" i="13"/>
  <c r="P47" i="13"/>
  <c r="P51" i="13"/>
  <c r="P55" i="13"/>
  <c r="P61" i="13"/>
  <c r="P65" i="13"/>
  <c r="P69" i="13"/>
  <c r="P71" i="13"/>
  <c r="P73" i="13"/>
  <c r="P75" i="13"/>
  <c r="P77" i="13"/>
  <c r="P79" i="13"/>
  <c r="P81" i="13"/>
  <c r="P83" i="13"/>
  <c r="P85" i="13"/>
  <c r="P87" i="13"/>
  <c r="P89" i="13"/>
  <c r="P91" i="13"/>
  <c r="O94" i="13"/>
  <c r="N94" i="13"/>
  <c r="N96" i="13"/>
  <c r="O98" i="13"/>
  <c r="N98" i="13"/>
  <c r="O102" i="13"/>
  <c r="N102" i="13"/>
  <c r="R104" i="13"/>
  <c r="O106" i="13"/>
  <c r="N106" i="13"/>
  <c r="O110" i="13"/>
  <c r="N110" i="13"/>
  <c r="O114" i="13"/>
  <c r="N114" i="13"/>
  <c r="P239" i="11"/>
  <c r="Q258" i="13"/>
  <c r="R277" i="13"/>
  <c r="R289" i="13"/>
  <c r="Q322" i="13"/>
  <c r="Q359" i="13"/>
  <c r="Q10" i="13"/>
  <c r="N236" i="11"/>
  <c r="O240" i="11"/>
  <c r="Q291" i="13"/>
  <c r="N85" i="10"/>
  <c r="O97" i="10"/>
  <c r="N101" i="10"/>
  <c r="Q110" i="10"/>
  <c r="N123" i="10"/>
  <c r="N127" i="10"/>
  <c r="N131" i="10"/>
  <c r="N135" i="10"/>
  <c r="N139" i="10"/>
  <c r="N145" i="10"/>
  <c r="O149" i="10"/>
  <c r="N149" i="10"/>
  <c r="N151" i="10"/>
  <c r="N153" i="10"/>
  <c r="N159" i="10"/>
  <c r="O161" i="10"/>
  <c r="N161" i="10"/>
  <c r="N163" i="10"/>
  <c r="N165" i="10"/>
  <c r="O169" i="10"/>
  <c r="N169" i="10"/>
  <c r="O173" i="10"/>
  <c r="N173" i="10"/>
  <c r="O177" i="10"/>
  <c r="N177" i="10"/>
  <c r="N181" i="10"/>
  <c r="N183" i="10"/>
  <c r="N189" i="10"/>
  <c r="N191" i="10"/>
  <c r="O195" i="10"/>
  <c r="N197" i="10"/>
  <c r="N199" i="10"/>
  <c r="O201" i="10"/>
  <c r="N201" i="10"/>
  <c r="O205" i="10"/>
  <c r="N205" i="10"/>
  <c r="N209" i="10"/>
  <c r="O213" i="10"/>
  <c r="N215" i="10"/>
  <c r="N217" i="10"/>
  <c r="O219" i="10"/>
  <c r="N221" i="10"/>
  <c r="N223" i="10"/>
  <c r="N225" i="10"/>
  <c r="N227" i="10"/>
  <c r="O229" i="10"/>
  <c r="O233" i="10"/>
  <c r="N233" i="10"/>
  <c r="N237" i="10"/>
  <c r="N235" i="11"/>
  <c r="O237" i="11"/>
  <c r="O357" i="13"/>
  <c r="O275" i="13"/>
  <c r="R271" i="13"/>
  <c r="R300" i="13"/>
  <c r="R311" i="13"/>
  <c r="O336" i="1"/>
  <c r="Q304" i="1"/>
  <c r="Q335" i="1"/>
  <c r="R352" i="1"/>
  <c r="Q104" i="1"/>
  <c r="R72" i="1"/>
  <c r="R71" i="1"/>
  <c r="Q71" i="1"/>
  <c r="R224" i="1"/>
  <c r="Q127" i="1"/>
  <c r="O255" i="1"/>
  <c r="R128" i="1"/>
  <c r="Q112" i="1"/>
  <c r="Q95" i="1"/>
  <c r="O328" i="1"/>
  <c r="R279" i="1"/>
  <c r="R150" i="1"/>
  <c r="P364" i="1"/>
  <c r="N151" i="1"/>
  <c r="N143" i="1"/>
  <c r="N136" i="1"/>
  <c r="N120" i="1"/>
  <c r="N167" i="1"/>
  <c r="N175" i="1"/>
  <c r="Q336" i="1"/>
  <c r="Q368" i="1"/>
  <c r="O287" i="1"/>
  <c r="R343" i="1"/>
  <c r="R287" i="1"/>
  <c r="R255" i="1"/>
  <c r="R303" i="1"/>
  <c r="N191" i="1"/>
  <c r="Q279" i="1"/>
  <c r="R327" i="1"/>
  <c r="Q193" i="1"/>
  <c r="Q182" i="1"/>
  <c r="Q126" i="1"/>
  <c r="Q176" i="1"/>
  <c r="Q102" i="1"/>
  <c r="Q15" i="1"/>
  <c r="Q48" i="1"/>
  <c r="Q26" i="1"/>
  <c r="Q185" i="1"/>
  <c r="R88" i="1"/>
  <c r="Q38" i="1"/>
  <c r="R62" i="1"/>
  <c r="O360" i="1"/>
  <c r="R191" i="1"/>
  <c r="R175" i="1"/>
  <c r="R256" i="1"/>
  <c r="Q217" i="1"/>
  <c r="R30" i="1"/>
  <c r="R120" i="1"/>
  <c r="N46" i="1"/>
  <c r="N88" i="1"/>
  <c r="N150" i="1"/>
  <c r="N206" i="1"/>
  <c r="T44" i="1"/>
  <c r="N62" i="1"/>
  <c r="S78" i="1"/>
  <c r="S79" i="1" s="1"/>
  <c r="N79" i="1"/>
  <c r="N86" i="1"/>
  <c r="N134" i="1"/>
  <c r="P347" i="1"/>
  <c r="P355" i="1"/>
  <c r="O216" i="1"/>
  <c r="O208" i="1"/>
  <c r="O200" i="1"/>
  <c r="T126" i="1"/>
  <c r="S102" i="1"/>
  <c r="S103" i="1" s="1"/>
  <c r="Q360" i="1"/>
  <c r="R295" i="1"/>
  <c r="Q343" i="1"/>
  <c r="R367" i="1"/>
  <c r="R231" i="1"/>
  <c r="O288" i="1"/>
  <c r="Q175" i="1"/>
  <c r="R247" i="1"/>
  <c r="R48" i="1"/>
  <c r="R328" i="1"/>
  <c r="R103" i="1"/>
  <c r="O312" i="1"/>
  <c r="R248" i="1"/>
  <c r="R183" i="1"/>
  <c r="O311" i="1"/>
  <c r="D40" i="3"/>
  <c r="F43" i="29" s="1"/>
  <c r="F44" i="29" s="1"/>
  <c r="M6" i="29" s="1"/>
  <c r="N23" i="1"/>
  <c r="N127" i="1"/>
  <c r="N135" i="1"/>
  <c r="N183" i="1"/>
  <c r="O239" i="1"/>
  <c r="O231" i="1"/>
  <c r="O223" i="1"/>
  <c r="O207" i="1"/>
  <c r="O191" i="1"/>
  <c r="O183" i="1"/>
  <c r="O159" i="1"/>
  <c r="O150" i="1"/>
  <c r="Q296" i="1"/>
  <c r="R199" i="1"/>
  <c r="Q135" i="1"/>
  <c r="Q312" i="1"/>
  <c r="R223" i="1"/>
  <c r="Q311" i="1"/>
  <c r="R159" i="1"/>
  <c r="R336" i="1"/>
  <c r="T170" i="1"/>
  <c r="N15" i="1"/>
  <c r="N224" i="1"/>
  <c r="P356" i="1"/>
  <c r="N142" i="9"/>
  <c r="Q172" i="9"/>
  <c r="N220" i="9"/>
  <c r="Q240" i="9"/>
  <c r="R260" i="9"/>
  <c r="O44" i="13"/>
  <c r="O294" i="13"/>
  <c r="Q294" i="13"/>
  <c r="O297" i="13"/>
  <c r="Q297" i="13"/>
  <c r="R312" i="13"/>
  <c r="Q312" i="13"/>
  <c r="O312" i="13"/>
  <c r="O320" i="13"/>
  <c r="R320" i="13"/>
  <c r="Q130" i="10"/>
  <c r="Q4" i="13"/>
  <c r="Q8" i="13"/>
  <c r="O24" i="13"/>
  <c r="R24" i="13"/>
  <c r="O68" i="13"/>
  <c r="R68" i="13"/>
  <c r="O72" i="13"/>
  <c r="R72" i="13"/>
  <c r="O252" i="13"/>
  <c r="Q252" i="13"/>
  <c r="O256" i="13"/>
  <c r="Q256" i="13"/>
  <c r="O56" i="13"/>
  <c r="P58" i="9"/>
  <c r="P64" i="9"/>
  <c r="P104" i="9"/>
  <c r="P122" i="9"/>
  <c r="P126" i="9"/>
  <c r="P132" i="9"/>
  <c r="P134" i="9"/>
  <c r="P136" i="9"/>
  <c r="P158" i="9"/>
  <c r="P176" i="9"/>
  <c r="P178" i="9"/>
  <c r="P180" i="9"/>
  <c r="P194" i="9"/>
  <c r="P224" i="9"/>
  <c r="N70" i="10"/>
  <c r="O158" i="10"/>
  <c r="N188" i="10"/>
  <c r="Q200" i="10"/>
  <c r="N202" i="10"/>
  <c r="N210" i="10"/>
  <c r="O226" i="10"/>
  <c r="N230" i="10"/>
  <c r="Q320" i="13"/>
  <c r="S319" i="13"/>
  <c r="S320" i="13" s="1"/>
  <c r="O235" i="1"/>
  <c r="O227" i="1"/>
  <c r="O219" i="1"/>
  <c r="O211" i="1"/>
  <c r="O154" i="1"/>
  <c r="O146" i="1"/>
  <c r="P230" i="1"/>
  <c r="P222" i="1"/>
  <c r="P214" i="1"/>
  <c r="P206" i="1"/>
  <c r="P198" i="1"/>
  <c r="Q201" i="1"/>
  <c r="Q57" i="1"/>
  <c r="Q41" i="1"/>
  <c r="R7" i="9"/>
  <c r="O9" i="9"/>
  <c r="N9" i="9"/>
  <c r="R11" i="9"/>
  <c r="O13" i="9"/>
  <c r="N15" i="9"/>
  <c r="O17" i="9"/>
  <c r="N17" i="9"/>
  <c r="O19" i="9"/>
  <c r="O21" i="9"/>
  <c r="N21" i="9"/>
  <c r="N27" i="9"/>
  <c r="N29" i="9"/>
  <c r="N33" i="9"/>
  <c r="N39" i="9"/>
  <c r="O41" i="9"/>
  <c r="O45" i="9"/>
  <c r="N45" i="9"/>
  <c r="O49" i="9"/>
  <c r="N49" i="9"/>
  <c r="O51" i="9"/>
  <c r="O53" i="9"/>
  <c r="N53" i="9"/>
  <c r="R55" i="9"/>
  <c r="O57" i="9"/>
  <c r="N57" i="9"/>
  <c r="O61" i="9"/>
  <c r="O65" i="9"/>
  <c r="N65" i="9"/>
  <c r="O67" i="9"/>
  <c r="O73" i="9"/>
  <c r="O77" i="9"/>
  <c r="N77" i="9"/>
  <c r="N79" i="9"/>
  <c r="O81" i="9"/>
  <c r="O85" i="9"/>
  <c r="N85" i="9"/>
  <c r="O89" i="9"/>
  <c r="N89" i="9"/>
  <c r="N91" i="9"/>
  <c r="O93" i="9"/>
  <c r="N93" i="9"/>
  <c r="R107" i="9"/>
  <c r="R143" i="9"/>
  <c r="R167" i="9"/>
  <c r="Q210" i="9"/>
  <c r="Q218" i="9"/>
  <c r="Q230" i="9"/>
  <c r="R231" i="9"/>
  <c r="R235" i="9"/>
  <c r="T303" i="13"/>
  <c r="Q287" i="13"/>
  <c r="R305" i="13"/>
  <c r="Q358" i="13"/>
  <c r="R358" i="13"/>
  <c r="O358" i="13"/>
  <c r="N237" i="11"/>
  <c r="P236" i="12"/>
  <c r="Q346" i="13"/>
  <c r="S358" i="13"/>
  <c r="S359" i="13" s="1"/>
  <c r="O319" i="13"/>
  <c r="N28" i="13"/>
  <c r="N44" i="13"/>
  <c r="O54" i="13"/>
  <c r="R201" i="13"/>
  <c r="P236" i="13"/>
  <c r="P238" i="13"/>
  <c r="R52" i="3"/>
  <c r="N148" i="11"/>
  <c r="Q149" i="11"/>
  <c r="N154" i="11"/>
  <c r="N156" i="11"/>
  <c r="N158" i="11"/>
  <c r="N160" i="11"/>
  <c r="N162" i="11"/>
  <c r="O164" i="11"/>
  <c r="N164" i="11"/>
  <c r="N176" i="11"/>
  <c r="O178" i="11"/>
  <c r="O180" i="11"/>
  <c r="N180" i="11"/>
  <c r="O182" i="11"/>
  <c r="N186" i="11"/>
  <c r="O194" i="11"/>
  <c r="N196" i="11"/>
  <c r="O198" i="11"/>
  <c r="N200" i="11"/>
  <c r="N202" i="11"/>
  <c r="O204" i="11"/>
  <c r="O210" i="11"/>
  <c r="N212" i="11"/>
  <c r="O214" i="11"/>
  <c r="O234" i="11"/>
  <c r="P237" i="11"/>
  <c r="N239" i="11"/>
  <c r="O311" i="13"/>
  <c r="O293" i="13"/>
  <c r="O365" i="13"/>
  <c r="P12" i="13"/>
  <c r="P14" i="13"/>
  <c r="P16" i="13"/>
  <c r="P18" i="13"/>
  <c r="P20" i="13"/>
  <c r="P22" i="13"/>
  <c r="P26" i="13"/>
  <c r="P28" i="13"/>
  <c r="P30" i="13"/>
  <c r="P32" i="13"/>
  <c r="P34" i="13"/>
  <c r="P36" i="13"/>
  <c r="P38" i="13"/>
  <c r="P40" i="13"/>
  <c r="P42" i="13"/>
  <c r="P44" i="13"/>
  <c r="P46" i="13"/>
  <c r="P50" i="13"/>
  <c r="P52" i="13"/>
  <c r="P54" i="13"/>
  <c r="P56" i="13"/>
  <c r="P58" i="13"/>
  <c r="P60" i="13"/>
  <c r="P62" i="13"/>
  <c r="P64" i="13"/>
  <c r="P66" i="13"/>
  <c r="P68" i="13"/>
  <c r="P70" i="13"/>
  <c r="P72" i="13"/>
  <c r="P74" i="13"/>
  <c r="P78" i="13"/>
  <c r="R14" i="11"/>
  <c r="R54" i="11"/>
  <c r="R78" i="11"/>
  <c r="R105" i="11"/>
  <c r="R109" i="11"/>
  <c r="R113" i="11"/>
  <c r="R121" i="11"/>
  <c r="R133" i="11"/>
  <c r="R137" i="11"/>
  <c r="P234" i="11"/>
  <c r="Q238" i="11"/>
  <c r="R361" i="13"/>
  <c r="O4" i="13"/>
  <c r="O8" i="13"/>
  <c r="N8" i="13"/>
  <c r="N11" i="13"/>
  <c r="Q13" i="13"/>
  <c r="Q21" i="13"/>
  <c r="Q41" i="13"/>
  <c r="R45" i="13"/>
  <c r="Q53" i="13"/>
  <c r="R57" i="13"/>
  <c r="Q73" i="13"/>
  <c r="Q85" i="13"/>
  <c r="P99" i="13"/>
  <c r="P105" i="13"/>
  <c r="P199" i="13"/>
  <c r="P203" i="13"/>
  <c r="P207" i="13"/>
  <c r="P209" i="13"/>
  <c r="P16" i="11"/>
  <c r="P18" i="11"/>
  <c r="P20" i="11"/>
  <c r="P32" i="11"/>
  <c r="P36" i="11"/>
  <c r="P42" i="11"/>
  <c r="P54" i="11"/>
  <c r="P56" i="11"/>
  <c r="P58" i="11"/>
  <c r="P64" i="11"/>
  <c r="P74" i="11"/>
  <c r="P78" i="11"/>
  <c r="P84" i="11"/>
  <c r="P86" i="11"/>
  <c r="P90" i="11"/>
  <c r="P96" i="11"/>
  <c r="P100" i="11"/>
  <c r="P102" i="11"/>
  <c r="N103" i="11"/>
  <c r="O105" i="11"/>
  <c r="N109" i="11"/>
  <c r="O113" i="11"/>
  <c r="N113" i="11"/>
  <c r="O117" i="11"/>
  <c r="N117" i="11"/>
  <c r="N121" i="11"/>
  <c r="O127" i="11"/>
  <c r="O129" i="11"/>
  <c r="N129" i="11"/>
  <c r="N133" i="11"/>
  <c r="N135" i="11"/>
  <c r="O143" i="11"/>
  <c r="N149" i="11"/>
  <c r="O151" i="11"/>
  <c r="O153" i="11"/>
  <c r="N153" i="11"/>
  <c r="N157" i="11"/>
  <c r="N163" i="11"/>
  <c r="O165" i="11"/>
  <c r="N165" i="11"/>
  <c r="N167" i="11"/>
  <c r="N169" i="11"/>
  <c r="N171" i="11"/>
  <c r="O173" i="11"/>
  <c r="N175" i="11"/>
  <c r="O181" i="11"/>
  <c r="N181" i="11"/>
  <c r="N183" i="11"/>
  <c r="N187" i="11"/>
  <c r="N189" i="11"/>
  <c r="N191" i="11"/>
  <c r="N195" i="11"/>
  <c r="N197" i="11"/>
  <c r="N201" i="11"/>
  <c r="N203" i="11"/>
  <c r="O205" i="11"/>
  <c r="N205" i="11"/>
  <c r="Q207" i="11"/>
  <c r="N217" i="11"/>
  <c r="N219" i="11"/>
  <c r="N221" i="11"/>
  <c r="N229" i="11"/>
  <c r="N233" i="11"/>
  <c r="N240" i="11"/>
  <c r="Q97" i="12"/>
  <c r="Q113" i="12"/>
  <c r="Q141" i="12"/>
  <c r="Q161" i="12"/>
  <c r="Q201" i="12"/>
  <c r="Q205" i="12"/>
  <c r="Q209" i="12"/>
  <c r="Q213" i="12"/>
  <c r="Q350" i="13"/>
  <c r="O300" i="13"/>
  <c r="R186" i="13"/>
  <c r="Q193" i="13"/>
  <c r="N197" i="13"/>
  <c r="O199" i="13"/>
  <c r="O207" i="13"/>
  <c r="N116" i="13"/>
  <c r="O118" i="13"/>
  <c r="O122" i="13"/>
  <c r="O124" i="13"/>
  <c r="O128" i="13"/>
  <c r="N130" i="13"/>
  <c r="R132" i="13"/>
  <c r="O136" i="13"/>
  <c r="O138" i="13"/>
  <c r="O146" i="13"/>
  <c r="N148" i="13"/>
  <c r="R152" i="13"/>
  <c r="O154" i="13"/>
  <c r="O156" i="13"/>
  <c r="N160" i="13"/>
  <c r="O162" i="13"/>
  <c r="N162" i="13"/>
  <c r="Q164" i="13"/>
  <c r="O166" i="13"/>
  <c r="Q176" i="13"/>
  <c r="O182" i="13"/>
  <c r="O184" i="13"/>
  <c r="T191" i="13"/>
  <c r="N190" i="13"/>
  <c r="Q192" i="13"/>
  <c r="O194" i="13"/>
  <c r="N194" i="13"/>
  <c r="R200" i="13"/>
  <c r="R204" i="13"/>
  <c r="R208" i="13"/>
  <c r="O210" i="13"/>
  <c r="N210" i="13"/>
  <c r="R212" i="13"/>
  <c r="R228" i="13"/>
  <c r="O234" i="13"/>
  <c r="N234" i="13"/>
  <c r="R236" i="13"/>
  <c r="T280" i="13"/>
  <c r="R318" i="13"/>
  <c r="S340" i="13"/>
  <c r="S341" i="13" s="1"/>
  <c r="I59" i="25"/>
  <c r="Q333" i="1"/>
  <c r="Q314" i="1"/>
  <c r="O354" i="1"/>
  <c r="Q282" i="1"/>
  <c r="R173" i="1"/>
  <c r="Q340" i="1"/>
  <c r="O317" i="1"/>
  <c r="R61" i="1"/>
  <c r="Q362" i="1"/>
  <c r="R205" i="1"/>
  <c r="R14" i="1"/>
  <c r="R6" i="1"/>
  <c r="O325" i="1"/>
  <c r="S53" i="1"/>
  <c r="T303" i="1"/>
  <c r="T35" i="1"/>
  <c r="T110" i="1"/>
  <c r="N153" i="1"/>
  <c r="O22" i="1"/>
  <c r="O14" i="1"/>
  <c r="O6" i="1"/>
  <c r="Q212" i="1"/>
  <c r="P5" i="1"/>
  <c r="R333" i="1"/>
  <c r="R309" i="1"/>
  <c r="N221" i="1"/>
  <c r="O277" i="1"/>
  <c r="T142" i="1"/>
  <c r="N173" i="1"/>
  <c r="Q293" i="1"/>
  <c r="O348" i="1"/>
  <c r="N114" i="1"/>
  <c r="R325" i="1"/>
  <c r="Q325" i="1"/>
  <c r="R298" i="1"/>
  <c r="Q285" i="1"/>
  <c r="P315" i="1"/>
  <c r="R314" i="1"/>
  <c r="Q274" i="1"/>
  <c r="Q170" i="1"/>
  <c r="Q82" i="1"/>
  <c r="Q162" i="1"/>
  <c r="Q11" i="1"/>
  <c r="R148" i="1"/>
  <c r="Q234" i="1"/>
  <c r="R178" i="1"/>
  <c r="R19" i="1"/>
  <c r="Q138" i="1"/>
  <c r="O324" i="1"/>
  <c r="O82" i="1"/>
  <c r="O218" i="1"/>
  <c r="P339" i="1"/>
  <c r="Q6" i="1"/>
  <c r="N34" i="1"/>
  <c r="Q106" i="1"/>
  <c r="N125" i="1"/>
  <c r="Q145" i="1"/>
  <c r="N218" i="1"/>
  <c r="N229" i="1"/>
  <c r="O194" i="1"/>
  <c r="O178" i="1"/>
  <c r="O162" i="1"/>
  <c r="T138" i="1"/>
  <c r="T51" i="1"/>
  <c r="Q317" i="1"/>
  <c r="P363" i="1"/>
  <c r="Q229" i="1"/>
  <c r="P323" i="1"/>
  <c r="R229" i="1"/>
  <c r="Q197" i="1"/>
  <c r="R189" i="1"/>
  <c r="R340" i="1"/>
  <c r="Q266" i="1"/>
  <c r="O202" i="1"/>
  <c r="Q74" i="1"/>
  <c r="R226" i="1"/>
  <c r="R332" i="1"/>
  <c r="R210" i="1"/>
  <c r="O226" i="1"/>
  <c r="R82" i="1"/>
  <c r="Q90" i="1"/>
  <c r="P299" i="1"/>
  <c r="Q178" i="1"/>
  <c r="N213" i="1"/>
  <c r="D44" i="3"/>
  <c r="G380" i="1"/>
  <c r="T282" i="1"/>
  <c r="T96" i="1"/>
  <c r="Q27" i="1"/>
  <c r="N82" i="1"/>
  <c r="N98" i="1"/>
  <c r="P211" i="1"/>
  <c r="P203" i="1"/>
  <c r="O228" i="1"/>
  <c r="O220" i="1"/>
  <c r="O212" i="1"/>
  <c r="O204" i="1"/>
  <c r="O196" i="1"/>
  <c r="O188" i="1"/>
  <c r="O180" i="1"/>
  <c r="O172" i="1"/>
  <c r="O164" i="1"/>
  <c r="O156" i="1"/>
  <c r="O147" i="1"/>
  <c r="O19" i="1"/>
  <c r="O11" i="1"/>
  <c r="P134" i="1"/>
  <c r="P126" i="1"/>
  <c r="P118" i="1"/>
  <c r="Q10" i="9"/>
  <c r="Q14" i="9"/>
  <c r="Q22" i="9"/>
  <c r="Q26" i="9"/>
  <c r="Q30" i="9"/>
  <c r="Q34" i="9"/>
  <c r="J36" i="7"/>
  <c r="Q38" i="9"/>
  <c r="Q42" i="9"/>
  <c r="Q46" i="9"/>
  <c r="Q50" i="9"/>
  <c r="Q54" i="9"/>
  <c r="Q62" i="9"/>
  <c r="Q70" i="9"/>
  <c r="Q78" i="9"/>
  <c r="T86" i="9"/>
  <c r="Q82" i="9"/>
  <c r="Q86" i="9"/>
  <c r="S88" i="9"/>
  <c r="S89" i="9" s="1"/>
  <c r="N48" i="9"/>
  <c r="N66" i="9"/>
  <c r="N76" i="9"/>
  <c r="N86" i="9"/>
  <c r="O102" i="9"/>
  <c r="O108" i="9"/>
  <c r="O114" i="9"/>
  <c r="N116" i="9"/>
  <c r="O120" i="9"/>
  <c r="O128" i="9"/>
  <c r="N136" i="9"/>
  <c r="N143" i="11"/>
  <c r="O197" i="1"/>
  <c r="O189" i="1"/>
  <c r="O181" i="1"/>
  <c r="O173" i="1"/>
  <c r="O165" i="1"/>
  <c r="O157" i="1"/>
  <c r="O148" i="1"/>
  <c r="O140" i="1"/>
  <c r="O124" i="1"/>
  <c r="O116" i="1"/>
  <c r="O108" i="1"/>
  <c r="O92" i="1"/>
  <c r="O84" i="1"/>
  <c r="O76" i="1"/>
  <c r="P150" i="9"/>
  <c r="P156" i="9"/>
  <c r="P184" i="9"/>
  <c r="P200" i="9"/>
  <c r="P204" i="9"/>
  <c r="P210" i="9"/>
  <c r="P214" i="9"/>
  <c r="P218" i="9"/>
  <c r="P226" i="9"/>
  <c r="P230" i="9"/>
  <c r="P236" i="9"/>
  <c r="O4" i="11"/>
  <c r="O6" i="11"/>
  <c r="O8" i="11"/>
  <c r="N8" i="11"/>
  <c r="O12" i="11"/>
  <c r="N12" i="11"/>
  <c r="O16" i="11"/>
  <c r="O20" i="11"/>
  <c r="N20" i="11"/>
  <c r="O24" i="11"/>
  <c r="O28" i="11"/>
  <c r="N28" i="11"/>
  <c r="N34" i="11"/>
  <c r="N36" i="11"/>
  <c r="O40" i="11"/>
  <c r="N40" i="11"/>
  <c r="O44" i="11"/>
  <c r="N44" i="11"/>
  <c r="O48" i="11"/>
  <c r="N50" i="11"/>
  <c r="O52" i="11"/>
  <c r="N52" i="11"/>
  <c r="N56" i="11"/>
  <c r="N60" i="11"/>
  <c r="Q62" i="11"/>
  <c r="O64" i="11"/>
  <c r="N64" i="11"/>
  <c r="O68" i="11"/>
  <c r="N68" i="11"/>
  <c r="O72" i="11"/>
  <c r="Q74" i="11"/>
  <c r="O76" i="11"/>
  <c r="N76" i="11"/>
  <c r="N80" i="11"/>
  <c r="N82" i="11"/>
  <c r="O84" i="11"/>
  <c r="Q86" i="11"/>
  <c r="O88" i="11"/>
  <c r="N88" i="11"/>
  <c r="O92" i="11"/>
  <c r="N92" i="11"/>
  <c r="O96" i="11"/>
  <c r="N96" i="11"/>
  <c r="Q98" i="11"/>
  <c r="O100" i="11"/>
  <c r="N100" i="11"/>
  <c r="O102" i="11"/>
  <c r="P104" i="11"/>
  <c r="P106" i="11"/>
  <c r="P108" i="11"/>
  <c r="P110" i="11"/>
  <c r="P112" i="11"/>
  <c r="P114" i="11"/>
  <c r="P122" i="11"/>
  <c r="P128" i="11"/>
  <c r="P130" i="11"/>
  <c r="P132" i="11"/>
  <c r="P138" i="11"/>
  <c r="P144" i="11"/>
  <c r="P166" i="11"/>
  <c r="P170" i="11"/>
  <c r="P208" i="11"/>
  <c r="R271" i="9"/>
  <c r="R350" i="11"/>
  <c r="N95" i="9"/>
  <c r="J38" i="7"/>
  <c r="Q99" i="9"/>
  <c r="O101" i="9"/>
  <c r="T107" i="9"/>
  <c r="N103" i="9"/>
  <c r="O105" i="9"/>
  <c r="N105" i="9"/>
  <c r="Q106" i="9"/>
  <c r="O109" i="9"/>
  <c r="T114" i="9"/>
  <c r="Q110" i="9"/>
  <c r="O113" i="9"/>
  <c r="N113" i="9"/>
  <c r="S116" i="9"/>
  <c r="S117" i="9" s="1"/>
  <c r="O117" i="9"/>
  <c r="O121" i="9"/>
  <c r="Q122" i="9"/>
  <c r="S123" i="9"/>
  <c r="S124" i="9" s="1"/>
  <c r="N127" i="9"/>
  <c r="Q130" i="9"/>
  <c r="O133" i="9"/>
  <c r="Q134" i="9"/>
  <c r="O137" i="9"/>
  <c r="T142" i="9"/>
  <c r="Q138" i="9"/>
  <c r="N139" i="9"/>
  <c r="O141" i="9"/>
  <c r="Q142" i="9"/>
  <c r="O145" i="9"/>
  <c r="N145" i="9"/>
  <c r="Q146" i="9"/>
  <c r="O149" i="9"/>
  <c r="O153" i="9"/>
  <c r="Q158" i="9"/>
  <c r="N161" i="9"/>
  <c r="Q162" i="9"/>
  <c r="Q163" i="9"/>
  <c r="O165" i="9"/>
  <c r="T170" i="9"/>
  <c r="Q166" i="9"/>
  <c r="O169" i="9"/>
  <c r="N169" i="9"/>
  <c r="N171" i="9"/>
  <c r="O173" i="9"/>
  <c r="Q174" i="9"/>
  <c r="O177" i="9"/>
  <c r="Q182" i="9"/>
  <c r="T191" i="9"/>
  <c r="O189" i="9"/>
  <c r="N189" i="9"/>
  <c r="Q190" i="9"/>
  <c r="O193" i="9"/>
  <c r="T198" i="9"/>
  <c r="Q194" i="9"/>
  <c r="Q198" i="9"/>
  <c r="Q202" i="9"/>
  <c r="O205" i="9"/>
  <c r="O209" i="9"/>
  <c r="O213" i="9"/>
  <c r="Q219" i="9"/>
  <c r="S221" i="9"/>
  <c r="S222" i="9" s="1"/>
  <c r="O225" i="9"/>
  <c r="O227" i="9"/>
  <c r="N229" i="9"/>
  <c r="O237" i="9"/>
  <c r="N237" i="9"/>
  <c r="R243" i="9"/>
  <c r="R247" i="9"/>
  <c r="T334" i="9"/>
  <c r="T336" i="9"/>
  <c r="Q240" i="12"/>
  <c r="P239" i="9"/>
  <c r="P81" i="10"/>
  <c r="P93" i="10"/>
  <c r="P113" i="10"/>
  <c r="P121" i="10"/>
  <c r="P141" i="10"/>
  <c r="P149" i="10"/>
  <c r="P151" i="10"/>
  <c r="P169" i="10"/>
  <c r="P181" i="10"/>
  <c r="P187" i="10"/>
  <c r="P189" i="10"/>
  <c r="P191" i="10"/>
  <c r="P195" i="10"/>
  <c r="P199" i="10"/>
  <c r="P201" i="10"/>
  <c r="P203" i="10"/>
  <c r="P207" i="10"/>
  <c r="P209" i="10"/>
  <c r="P213" i="10"/>
  <c r="P215" i="10"/>
  <c r="P217" i="10"/>
  <c r="P219" i="10"/>
  <c r="P221" i="10"/>
  <c r="P223" i="10"/>
  <c r="P225" i="10"/>
  <c r="P229" i="10"/>
  <c r="P233" i="10"/>
  <c r="P235" i="10"/>
  <c r="S4" i="11"/>
  <c r="S5" i="11" s="1"/>
  <c r="O7" i="11"/>
  <c r="N7" i="11"/>
  <c r="O11" i="11"/>
  <c r="N11" i="11"/>
  <c r="Q12" i="11"/>
  <c r="O15" i="11"/>
  <c r="N15" i="11"/>
  <c r="Q16" i="11"/>
  <c r="O19" i="11"/>
  <c r="Q20" i="11"/>
  <c r="N21" i="11"/>
  <c r="N23" i="11"/>
  <c r="Q24" i="11"/>
  <c r="O27" i="11"/>
  <c r="N27" i="11"/>
  <c r="O31" i="11"/>
  <c r="N31" i="11"/>
  <c r="N35" i="11"/>
  <c r="O39" i="11"/>
  <c r="Q40" i="11"/>
  <c r="O43" i="11"/>
  <c r="N43" i="11"/>
  <c r="Q44" i="11"/>
  <c r="Q48" i="11"/>
  <c r="O51" i="11"/>
  <c r="N51" i="11"/>
  <c r="Q52" i="11"/>
  <c r="N55" i="11"/>
  <c r="Q56" i="11"/>
  <c r="T65" i="11"/>
  <c r="O67" i="11"/>
  <c r="N67" i="11"/>
  <c r="O71" i="11"/>
  <c r="N71" i="11"/>
  <c r="N73" i="11"/>
  <c r="O75" i="11"/>
  <c r="N75" i="11"/>
  <c r="Q76" i="11"/>
  <c r="O79" i="11"/>
  <c r="N79" i="11"/>
  <c r="Q80" i="11"/>
  <c r="O83" i="11"/>
  <c r="N83" i="11"/>
  <c r="O87" i="11"/>
  <c r="O91" i="11"/>
  <c r="N91" i="11"/>
  <c r="Q92" i="11"/>
  <c r="O99" i="11"/>
  <c r="N99" i="11"/>
  <c r="Q100" i="11"/>
  <c r="P103" i="11"/>
  <c r="P105" i="11"/>
  <c r="P109" i="11"/>
  <c r="P111" i="11"/>
  <c r="P113" i="11"/>
  <c r="P119" i="11"/>
  <c r="P121" i="11"/>
  <c r="P123" i="11"/>
  <c r="P125" i="11"/>
  <c r="P127" i="11"/>
  <c r="P129" i="11"/>
  <c r="P131" i="11"/>
  <c r="P133" i="11"/>
  <c r="P135" i="11"/>
  <c r="P137" i="11"/>
  <c r="P139" i="11"/>
  <c r="P141" i="11"/>
  <c r="P143" i="11"/>
  <c r="P145" i="11"/>
  <c r="P149" i="11"/>
  <c r="P151" i="11"/>
  <c r="P153" i="11"/>
  <c r="P157" i="11"/>
  <c r="P161" i="11"/>
  <c r="P163" i="11"/>
  <c r="P165" i="11"/>
  <c r="P169" i="11"/>
  <c r="P173" i="11"/>
  <c r="P175" i="11"/>
  <c r="P177" i="11"/>
  <c r="P179" i="11"/>
  <c r="P181" i="11"/>
  <c r="P183" i="11"/>
  <c r="P187" i="11"/>
  <c r="P189" i="11"/>
  <c r="P191" i="11"/>
  <c r="P193" i="11"/>
  <c r="P195" i="11"/>
  <c r="P197" i="11"/>
  <c r="P207" i="11"/>
  <c r="P209" i="11"/>
  <c r="P211" i="11"/>
  <c r="P215" i="11"/>
  <c r="P217" i="11"/>
  <c r="P219" i="11"/>
  <c r="N108" i="13"/>
  <c r="O108" i="13"/>
  <c r="N166" i="13"/>
  <c r="T170" i="13"/>
  <c r="O196" i="13"/>
  <c r="R196" i="13"/>
  <c r="N196" i="13"/>
  <c r="N36" i="13"/>
  <c r="O30" i="13"/>
  <c r="N66" i="13"/>
  <c r="N68" i="13"/>
  <c r="N78" i="13"/>
  <c r="O92" i="13"/>
  <c r="P136" i="13"/>
  <c r="P160" i="13"/>
  <c r="P182" i="13"/>
  <c r="P184" i="13"/>
  <c r="P188" i="13"/>
  <c r="P190" i="13"/>
  <c r="P196" i="13"/>
  <c r="P198" i="13"/>
  <c r="P222" i="13"/>
  <c r="P224" i="13"/>
  <c r="N162" i="10"/>
  <c r="N176" i="10"/>
  <c r="O178" i="10"/>
  <c r="O182" i="10"/>
  <c r="N184" i="10"/>
  <c r="O190" i="10"/>
  <c r="N192" i="10"/>
  <c r="O202" i="10"/>
  <c r="O218" i="10"/>
  <c r="N228" i="10"/>
  <c r="N232" i="10"/>
  <c r="R350" i="13"/>
  <c r="R335" i="13"/>
  <c r="O305" i="13"/>
  <c r="T341" i="13"/>
  <c r="R365" i="13"/>
  <c r="Q342" i="13"/>
  <c r="Q331" i="13"/>
  <c r="R349" i="13"/>
  <c r="R107" i="13"/>
  <c r="Q118" i="13"/>
  <c r="R183" i="13"/>
  <c r="R191" i="13"/>
  <c r="Q198" i="13"/>
  <c r="Q227" i="13"/>
  <c r="Q235" i="13"/>
  <c r="Q55" i="13"/>
  <c r="Q63" i="13"/>
  <c r="P219" i="13"/>
  <c r="P227" i="13"/>
  <c r="P235" i="13"/>
  <c r="O16" i="13"/>
  <c r="R11" i="13"/>
  <c r="Q12" i="13"/>
  <c r="Q16" i="13"/>
  <c r="Q48" i="13"/>
  <c r="Q56" i="13"/>
  <c r="Q68" i="13"/>
  <c r="Q72" i="13"/>
  <c r="Q84" i="13"/>
  <c r="R92" i="13"/>
  <c r="S183" i="13"/>
  <c r="S184" i="13" s="1"/>
  <c r="S197" i="13"/>
  <c r="S198" i="13" s="1"/>
  <c r="N213" i="12"/>
  <c r="N225" i="12"/>
  <c r="N235" i="12"/>
  <c r="T348" i="13"/>
  <c r="O268" i="13"/>
  <c r="R41" i="13"/>
  <c r="R21" i="13"/>
  <c r="O361" i="13"/>
  <c r="R287" i="13"/>
  <c r="O327" i="13"/>
  <c r="Q298" i="13"/>
  <c r="O66" i="13"/>
  <c r="N218" i="13"/>
  <c r="R222" i="13"/>
  <c r="N224" i="13"/>
  <c r="N232" i="13"/>
  <c r="N236" i="13"/>
  <c r="R323" i="13"/>
  <c r="R255" i="13"/>
  <c r="R259" i="13"/>
  <c r="O263" i="13"/>
  <c r="R332" i="13"/>
  <c r="T343" i="13"/>
  <c r="R354" i="13"/>
  <c r="P80" i="13"/>
  <c r="P82" i="13"/>
  <c r="P84" i="13"/>
  <c r="P86" i="13"/>
  <c r="P88" i="13"/>
  <c r="P90" i="13"/>
  <c r="Q93" i="13"/>
  <c r="Q101" i="13"/>
  <c r="R109" i="13"/>
  <c r="Q113" i="13"/>
  <c r="R117" i="13"/>
  <c r="Q129" i="13"/>
  <c r="Q141" i="13"/>
  <c r="O151" i="13"/>
  <c r="R157" i="13"/>
  <c r="R161" i="13"/>
  <c r="Q169" i="13"/>
  <c r="R177" i="13"/>
  <c r="N183" i="13"/>
  <c r="R189" i="13"/>
  <c r="Q197" i="13"/>
  <c r="O201" i="13"/>
  <c r="R213" i="13"/>
  <c r="R217" i="13"/>
  <c r="R221" i="13"/>
  <c r="O225" i="13"/>
  <c r="R229" i="13"/>
  <c r="Q232" i="13"/>
  <c r="O235" i="13"/>
  <c r="Q236" i="13"/>
  <c r="R237" i="13"/>
  <c r="R258" i="13"/>
  <c r="R288" i="13"/>
  <c r="R295" i="13"/>
  <c r="R298" i="13"/>
  <c r="R302" i="13"/>
  <c r="R306" i="13"/>
  <c r="P10" i="13"/>
  <c r="R261" i="13"/>
  <c r="R290" i="13"/>
  <c r="R294" i="13"/>
  <c r="R297" i="13"/>
  <c r="R309" i="13"/>
  <c r="R316" i="13"/>
  <c r="T327" i="13"/>
  <c r="S333" i="13"/>
  <c r="S334" i="13" s="1"/>
  <c r="R366" i="13"/>
  <c r="R367" i="13"/>
  <c r="N115" i="9"/>
  <c r="R99" i="9"/>
  <c r="T103" i="9"/>
  <c r="R79" i="9"/>
  <c r="O79" i="9"/>
  <c r="R103" i="9"/>
  <c r="O3" i="9"/>
  <c r="N11" i="9"/>
  <c r="N67" i="9"/>
  <c r="Q79" i="9"/>
  <c r="O95" i="9"/>
  <c r="N109" i="9"/>
  <c r="O103" i="9"/>
  <c r="N101" i="9"/>
  <c r="R3" i="9"/>
  <c r="T5" i="9"/>
  <c r="O5" i="9"/>
  <c r="J35" i="7"/>
  <c r="O7" i="9"/>
  <c r="N7" i="9"/>
  <c r="T16" i="9"/>
  <c r="Q19" i="9"/>
  <c r="S18" i="9"/>
  <c r="S19" i="9" s="1"/>
  <c r="O23" i="9"/>
  <c r="R23" i="9"/>
  <c r="Q27" i="9"/>
  <c r="R27" i="9"/>
  <c r="O27" i="9"/>
  <c r="T26" i="9"/>
  <c r="N31" i="9"/>
  <c r="S32" i="9"/>
  <c r="S33" i="9" s="1"/>
  <c r="T33" i="9"/>
  <c r="R35" i="9"/>
  <c r="O35" i="9"/>
  <c r="N35" i="9"/>
  <c r="Q35" i="9"/>
  <c r="O37" i="9"/>
  <c r="S39" i="9"/>
  <c r="S40" i="9" s="1"/>
  <c r="O39" i="9"/>
  <c r="T44" i="9"/>
  <c r="N41" i="9"/>
  <c r="N43" i="9"/>
  <c r="O43" i="9"/>
  <c r="R43" i="9"/>
  <c r="Q47" i="9"/>
  <c r="N47" i="9"/>
  <c r="S46" i="9"/>
  <c r="S47" i="9" s="1"/>
  <c r="T47" i="9"/>
  <c r="N51" i="9"/>
  <c r="Q51" i="9"/>
  <c r="N55" i="9"/>
  <c r="S53" i="9"/>
  <c r="S54" i="9" s="1"/>
  <c r="Q59" i="9"/>
  <c r="R59" i="9"/>
  <c r="T65" i="9"/>
  <c r="N61" i="9"/>
  <c r="N63" i="9"/>
  <c r="O63" i="9"/>
  <c r="J23" i="3"/>
  <c r="K100" i="7" s="1"/>
  <c r="Q66" i="9"/>
  <c r="T72" i="9"/>
  <c r="N73" i="9"/>
  <c r="T79" i="9"/>
  <c r="R75" i="9"/>
  <c r="O75" i="9"/>
  <c r="S74" i="9"/>
  <c r="S75" i="9" s="1"/>
  <c r="T75" i="9"/>
  <c r="Q75" i="9"/>
  <c r="R83" i="9"/>
  <c r="S81" i="9"/>
  <c r="S82" i="9" s="1"/>
  <c r="Q83" i="9"/>
  <c r="N87" i="9"/>
  <c r="R87" i="9"/>
  <c r="O87" i="9"/>
  <c r="R91" i="9"/>
  <c r="Q91" i="9"/>
  <c r="N107" i="9"/>
  <c r="O107" i="9"/>
  <c r="R111" i="9"/>
  <c r="T110" i="9"/>
  <c r="Q111" i="9"/>
  <c r="S109" i="9"/>
  <c r="S110" i="9" s="1"/>
  <c r="T121" i="9"/>
  <c r="N119" i="9"/>
  <c r="R119" i="9"/>
  <c r="T124" i="9"/>
  <c r="T128" i="9"/>
  <c r="N125" i="9"/>
  <c r="J39" i="7"/>
  <c r="N129" i="9"/>
  <c r="T135" i="9"/>
  <c r="N131" i="9"/>
  <c r="R131" i="9"/>
  <c r="N135" i="9"/>
  <c r="O135" i="9"/>
  <c r="O143" i="9"/>
  <c r="N143" i="9"/>
  <c r="T149" i="9"/>
  <c r="O147" i="9"/>
  <c r="Q147" i="9"/>
  <c r="N151" i="9"/>
  <c r="Q151" i="9"/>
  <c r="T156" i="9"/>
  <c r="N153" i="9"/>
  <c r="N155" i="9"/>
  <c r="Q155" i="9"/>
  <c r="R155" i="9"/>
  <c r="O155" i="9"/>
  <c r="O157" i="9"/>
  <c r="N157" i="9"/>
  <c r="T163" i="9"/>
  <c r="J40" i="7"/>
  <c r="N159" i="9"/>
  <c r="R159" i="9"/>
  <c r="O159" i="9"/>
  <c r="Q159" i="9"/>
  <c r="T159" i="9"/>
  <c r="O163" i="9"/>
  <c r="R163" i="9"/>
  <c r="T177" i="9"/>
  <c r="O175" i="9"/>
  <c r="Q175" i="9"/>
  <c r="Q179" i="9"/>
  <c r="O179" i="9"/>
  <c r="T180" i="9"/>
  <c r="T184" i="9"/>
  <c r="N183" i="9"/>
  <c r="R183" i="9"/>
  <c r="O183" i="9"/>
  <c r="Q183" i="9"/>
  <c r="Q186" i="9"/>
  <c r="S186" i="9"/>
  <c r="S187" i="9" s="1"/>
  <c r="O187" i="9"/>
  <c r="Q187" i="9"/>
  <c r="N191" i="9"/>
  <c r="Q191" i="9"/>
  <c r="O195" i="9"/>
  <c r="Q195" i="9"/>
  <c r="T194" i="9"/>
  <c r="N199" i="9"/>
  <c r="R199" i="9"/>
  <c r="Q199" i="9"/>
  <c r="N201" i="9"/>
  <c r="T205" i="9"/>
  <c r="O203" i="9"/>
  <c r="Q203" i="9"/>
  <c r="R203" i="9"/>
  <c r="R207" i="9"/>
  <c r="O207" i="9"/>
  <c r="T208" i="9"/>
  <c r="Q207" i="9"/>
  <c r="S207" i="9"/>
  <c r="S208" i="9" s="1"/>
  <c r="T212" i="9"/>
  <c r="O211" i="9"/>
  <c r="R211" i="9"/>
  <c r="N213" i="9"/>
  <c r="T219" i="9"/>
  <c r="R215" i="9"/>
  <c r="T215" i="9"/>
  <c r="S214" i="9"/>
  <c r="S215" i="9" s="1"/>
  <c r="O217" i="9"/>
  <c r="O171" i="9"/>
  <c r="R171" i="9"/>
  <c r="T82" i="9"/>
  <c r="T145" i="9"/>
  <c r="Q107" i="9"/>
  <c r="T54" i="9"/>
  <c r="T19" i="9"/>
  <c r="O91" i="9"/>
  <c r="R151" i="9"/>
  <c r="O31" i="9"/>
  <c r="O115" i="9"/>
  <c r="R139" i="9"/>
  <c r="Q126" i="9"/>
  <c r="O185" i="9"/>
  <c r="J41" i="7"/>
  <c r="N19" i="9"/>
  <c r="N83" i="9"/>
  <c r="Q87" i="9"/>
  <c r="N99" i="9"/>
  <c r="N117" i="9"/>
  <c r="N173" i="9"/>
  <c r="T173" i="9"/>
  <c r="T61" i="9"/>
  <c r="S102" i="9"/>
  <c r="S103" i="9" s="1"/>
  <c r="O83" i="9"/>
  <c r="R19" i="9"/>
  <c r="S179" i="9"/>
  <c r="S180" i="9" s="1"/>
  <c r="O11" i="9"/>
  <c r="Q103" i="9"/>
  <c r="R115" i="9"/>
  <c r="N37" i="9"/>
  <c r="O59" i="9"/>
  <c r="O71" i="9"/>
  <c r="N71" i="9"/>
  <c r="N75" i="9"/>
  <c r="O99" i="9"/>
  <c r="O97" i="9"/>
  <c r="O151" i="9"/>
  <c r="N167" i="9"/>
  <c r="T131" i="9"/>
  <c r="S165" i="9"/>
  <c r="S166" i="9" s="1"/>
  <c r="T166" i="9"/>
  <c r="S158" i="9"/>
  <c r="S159" i="9" s="1"/>
  <c r="Q3" i="9"/>
  <c r="O167" i="9"/>
  <c r="R147" i="9"/>
  <c r="T68" i="9"/>
  <c r="S60" i="9"/>
  <c r="S61" i="9" s="1"/>
  <c r="T93" i="9"/>
  <c r="O47" i="9"/>
  <c r="T89" i="9"/>
  <c r="R127" i="9"/>
  <c r="Q15" i="9"/>
  <c r="S151" i="9"/>
  <c r="S152" i="9" s="1"/>
  <c r="Q6" i="9"/>
  <c r="R51" i="9"/>
  <c r="Q94" i="9"/>
  <c r="J37" i="7"/>
  <c r="Q63" i="9"/>
  <c r="O15" i="9"/>
  <c r="N69" i="9"/>
  <c r="N81" i="9"/>
  <c r="N97" i="9"/>
  <c r="O111" i="9"/>
  <c r="N111" i="9"/>
  <c r="T324" i="9"/>
  <c r="O258" i="9"/>
  <c r="O243" i="9"/>
  <c r="T257" i="9"/>
  <c r="O247" i="9"/>
  <c r="Q231" i="9"/>
  <c r="Q235" i="9"/>
  <c r="T264" i="9"/>
  <c r="S228" i="9"/>
  <c r="S229" i="9" s="1"/>
  <c r="Q362" i="9"/>
  <c r="S274" i="9"/>
  <c r="S275" i="9" s="1"/>
  <c r="Q347" i="9"/>
  <c r="Q243" i="9"/>
  <c r="T229" i="9"/>
  <c r="Q247" i="9"/>
  <c r="Q251" i="9"/>
  <c r="T233" i="9"/>
  <c r="R347" i="9"/>
  <c r="R219" i="9"/>
  <c r="R255" i="9"/>
  <c r="J48" i="3"/>
  <c r="J5" i="3"/>
  <c r="P7" i="9"/>
  <c r="P9" i="9"/>
  <c r="P11" i="9"/>
  <c r="P15" i="9"/>
  <c r="P17" i="9"/>
  <c r="P19" i="9"/>
  <c r="P21" i="9"/>
  <c r="P23" i="9"/>
  <c r="P27" i="9"/>
  <c r="P29" i="9"/>
  <c r="P31" i="9"/>
  <c r="P39" i="9"/>
  <c r="P43" i="9"/>
  <c r="P49" i="9"/>
  <c r="P51" i="9"/>
  <c r="P53" i="9"/>
  <c r="P55" i="9"/>
  <c r="P57" i="9"/>
  <c r="P59" i="9"/>
  <c r="P65" i="9"/>
  <c r="J7" i="3"/>
  <c r="P67" i="9"/>
  <c r="P71" i="9"/>
  <c r="P75" i="9"/>
  <c r="P77" i="9"/>
  <c r="P79" i="9"/>
  <c r="S85" i="9"/>
  <c r="S86" i="9" s="1"/>
  <c r="P83" i="9"/>
  <c r="P85" i="9"/>
  <c r="P87" i="9"/>
  <c r="P89" i="9"/>
  <c r="P91" i="9"/>
  <c r="P93" i="9"/>
  <c r="J8" i="3"/>
  <c r="K12" i="25" s="1"/>
  <c r="P99" i="9"/>
  <c r="S106" i="9"/>
  <c r="S107" i="9" s="1"/>
  <c r="P105" i="9"/>
  <c r="P107" i="9"/>
  <c r="S113" i="9"/>
  <c r="S114" i="9" s="1"/>
  <c r="P111" i="9"/>
  <c r="P113" i="9"/>
  <c r="P115" i="9"/>
  <c r="S120" i="9"/>
  <c r="S121" i="9" s="1"/>
  <c r="P119" i="9"/>
  <c r="P121" i="9"/>
  <c r="P123" i="9"/>
  <c r="P131" i="9"/>
  <c r="P135" i="9"/>
  <c r="P139" i="9"/>
  <c r="P141" i="9"/>
  <c r="S148" i="9"/>
  <c r="S149" i="9" s="1"/>
  <c r="S176" i="9"/>
  <c r="S177" i="9" s="1"/>
  <c r="P175" i="9"/>
  <c r="J11" i="3"/>
  <c r="K15" i="25" s="1"/>
  <c r="P191" i="9"/>
  <c r="P195" i="9"/>
  <c r="S204" i="9"/>
  <c r="S205" i="9" s="1"/>
  <c r="P203" i="9"/>
  <c r="P207" i="9"/>
  <c r="P209" i="9"/>
  <c r="J45" i="3"/>
  <c r="S225" i="9"/>
  <c r="S226" i="9" s="1"/>
  <c r="P225" i="9"/>
  <c r="S232" i="9"/>
  <c r="S233" i="9" s="1"/>
  <c r="P231" i="9"/>
  <c r="P233" i="9"/>
  <c r="R335" i="9"/>
  <c r="Q127" i="9"/>
  <c r="N146" i="9"/>
  <c r="N148" i="9"/>
  <c r="N152" i="9"/>
  <c r="N156" i="9"/>
  <c r="O158" i="9"/>
  <c r="N158" i="9"/>
  <c r="N162" i="9"/>
  <c r="N166" i="9"/>
  <c r="O170" i="9"/>
  <c r="N180" i="9"/>
  <c r="N182" i="9"/>
  <c r="N186" i="9"/>
  <c r="N198" i="9"/>
  <c r="N202" i="9"/>
  <c r="N210" i="9"/>
  <c r="Q211" i="9"/>
  <c r="O222" i="9"/>
  <c r="Q223" i="9"/>
  <c r="N224" i="9"/>
  <c r="O238" i="9"/>
  <c r="N238" i="9"/>
  <c r="P240" i="9"/>
  <c r="N147" i="9"/>
  <c r="N165" i="9"/>
  <c r="N175" i="9"/>
  <c r="N177" i="9"/>
  <c r="N179" i="9"/>
  <c r="N205" i="9"/>
  <c r="N207" i="9"/>
  <c r="N211" i="9"/>
  <c r="N221" i="9"/>
  <c r="N223" i="9"/>
  <c r="N225" i="9"/>
  <c r="N235" i="9"/>
  <c r="R21" i="25"/>
  <c r="L21" i="25"/>
  <c r="P21" i="25"/>
  <c r="H21" i="25"/>
  <c r="Q137" i="1"/>
  <c r="N203" i="10"/>
  <c r="Q203" i="10"/>
  <c r="N231" i="10"/>
  <c r="O231" i="10"/>
  <c r="J15" i="3"/>
  <c r="O313" i="1"/>
  <c r="Q250" i="1"/>
  <c r="O195" i="1"/>
  <c r="R282" i="1"/>
  <c r="R266" i="1"/>
  <c r="O188" i="9"/>
  <c r="N188" i="9"/>
  <c r="T271" i="9"/>
  <c r="J14" i="3"/>
  <c r="K78" i="3" s="1"/>
  <c r="P3" i="1"/>
  <c r="Q290" i="1"/>
  <c r="O327" i="1"/>
  <c r="O266" i="1"/>
  <c r="P84" i="1"/>
  <c r="R361" i="1"/>
  <c r="R202" i="1"/>
  <c r="O297" i="1"/>
  <c r="N179" i="1"/>
  <c r="N202" i="1"/>
  <c r="N231" i="1"/>
  <c r="N239" i="1"/>
  <c r="Q271" i="1"/>
  <c r="Q364" i="1"/>
  <c r="R357" i="1"/>
  <c r="Q313" i="1"/>
  <c r="Q242" i="1"/>
  <c r="Q245" i="1"/>
  <c r="R271" i="1"/>
  <c r="O271" i="1"/>
  <c r="O215" i="1"/>
  <c r="Q163" i="1"/>
  <c r="Q261" i="1"/>
  <c r="Q139" i="1"/>
  <c r="Q91" i="1"/>
  <c r="O300" i="1"/>
  <c r="O26" i="1"/>
  <c r="R277" i="1"/>
  <c r="R345" i="1"/>
  <c r="Q72" i="1"/>
  <c r="Q287" i="1"/>
  <c r="R26" i="1"/>
  <c r="O347" i="1"/>
  <c r="R115" i="1"/>
  <c r="O263" i="1"/>
  <c r="R213" i="1"/>
  <c r="R151" i="1"/>
  <c r="R207" i="1"/>
  <c r="N207" i="1"/>
  <c r="N102" i="1"/>
  <c r="N199" i="1"/>
  <c r="P360" i="1"/>
  <c r="O308" i="1"/>
  <c r="N171" i="1"/>
  <c r="S351" i="1"/>
  <c r="S352" i="1" s="1"/>
  <c r="S25" i="1"/>
  <c r="S26" i="1" s="1"/>
  <c r="N99" i="1"/>
  <c r="N154" i="1"/>
  <c r="Q195" i="1"/>
  <c r="N223" i="1"/>
  <c r="Q258" i="1"/>
  <c r="O357" i="1"/>
  <c r="O364" i="1"/>
  <c r="O237" i="1"/>
  <c r="O229" i="1"/>
  <c r="O221" i="1"/>
  <c r="O213" i="1"/>
  <c r="O205" i="1"/>
  <c r="O60" i="1"/>
  <c r="O52" i="1"/>
  <c r="O44" i="1"/>
  <c r="O36" i="1"/>
  <c r="O28" i="1"/>
  <c r="O20" i="1"/>
  <c r="P96" i="1"/>
  <c r="P88" i="1"/>
  <c r="S344" i="1"/>
  <c r="R254" i="9"/>
  <c r="T308" i="1"/>
  <c r="Q327" i="1"/>
  <c r="O179" i="1"/>
  <c r="R8" i="9"/>
  <c r="R12" i="9"/>
  <c r="R16" i="9"/>
  <c r="T21" i="9"/>
  <c r="R28" i="9"/>
  <c r="R32" i="9"/>
  <c r="R36" i="9"/>
  <c r="T42" i="9"/>
  <c r="R44" i="9"/>
  <c r="R48" i="9"/>
  <c r="R56" i="9"/>
  <c r="T63" i="9"/>
  <c r="T70" i="9"/>
  <c r="R72" i="9"/>
  <c r="R84" i="9"/>
  <c r="R92" i="9"/>
  <c r="R100" i="9"/>
  <c r="R112" i="9"/>
  <c r="R120" i="9"/>
  <c r="R128" i="9"/>
  <c r="T133" i="9"/>
  <c r="R140" i="9"/>
  <c r="R144" i="9"/>
  <c r="R148" i="9"/>
  <c r="R156" i="9"/>
  <c r="R168" i="9"/>
  <c r="R176" i="9"/>
  <c r="R184" i="9"/>
  <c r="R192" i="9"/>
  <c r="R196" i="9"/>
  <c r="R204" i="9"/>
  <c r="R212" i="9"/>
  <c r="J12" i="3"/>
  <c r="R220" i="9"/>
  <c r="R224" i="9"/>
  <c r="R232" i="9"/>
  <c r="P238" i="9"/>
  <c r="R302" i="9"/>
  <c r="J16" i="3"/>
  <c r="P237" i="10"/>
  <c r="Q273" i="13"/>
  <c r="O281" i="13"/>
  <c r="Q117" i="13"/>
  <c r="Q225" i="13"/>
  <c r="Q157" i="13"/>
  <c r="N221" i="13"/>
  <c r="R13" i="11"/>
  <c r="T63" i="11"/>
  <c r="R77" i="11"/>
  <c r="R85" i="11"/>
  <c r="R89" i="11"/>
  <c r="S102" i="11"/>
  <c r="S103" i="11" s="1"/>
  <c r="N44" i="3"/>
  <c r="O75" i="3"/>
  <c r="R141" i="13"/>
  <c r="P59" i="13"/>
  <c r="S64" i="13"/>
  <c r="S65" i="13" s="1"/>
  <c r="N100" i="13"/>
  <c r="R100" i="13"/>
  <c r="O100" i="13"/>
  <c r="O112" i="13"/>
  <c r="N112" i="13"/>
  <c r="N180" i="13"/>
  <c r="T180" i="13"/>
  <c r="R192" i="13"/>
  <c r="N192" i="13"/>
  <c r="O192" i="13"/>
  <c r="O269" i="13"/>
  <c r="R269" i="13"/>
  <c r="N156" i="13"/>
  <c r="O299" i="13"/>
  <c r="R299" i="13"/>
  <c r="Q299" i="13"/>
  <c r="T301" i="13"/>
  <c r="Q96" i="13"/>
  <c r="Q97" i="13"/>
  <c r="O97" i="13"/>
  <c r="R97" i="13"/>
  <c r="Q104" i="13"/>
  <c r="R105" i="13"/>
  <c r="Q105" i="13"/>
  <c r="Q108" i="13"/>
  <c r="Q120" i="13"/>
  <c r="Q121" i="13"/>
  <c r="R121" i="13"/>
  <c r="Q128" i="13"/>
  <c r="Q133" i="13"/>
  <c r="R133" i="13"/>
  <c r="R145" i="13"/>
  <c r="Q145" i="13"/>
  <c r="Q160" i="13"/>
  <c r="Q165" i="13"/>
  <c r="R165" i="13"/>
  <c r="Q168" i="13"/>
  <c r="R181" i="13"/>
  <c r="Q181" i="13"/>
  <c r="Q185" i="13"/>
  <c r="O185" i="13"/>
  <c r="Q188" i="13"/>
  <c r="O213" i="13"/>
  <c r="Q213" i="13"/>
  <c r="O244" i="13"/>
  <c r="Q244" i="13"/>
  <c r="O88" i="9"/>
  <c r="O98" i="9"/>
  <c r="N108" i="9"/>
  <c r="N134" i="9"/>
  <c r="N144" i="9"/>
  <c r="O152" i="9"/>
  <c r="N154" i="9"/>
  <c r="O162" i="9"/>
  <c r="N172" i="9"/>
  <c r="N174" i="9"/>
  <c r="N176" i="9"/>
  <c r="O178" i="9"/>
  <c r="Q181" i="9"/>
  <c r="N190" i="9"/>
  <c r="O194" i="9"/>
  <c r="N196" i="9"/>
  <c r="N200" i="9"/>
  <c r="N214" i="9"/>
  <c r="N218" i="9"/>
  <c r="N232" i="9"/>
  <c r="R251" i="9"/>
  <c r="J13" i="3"/>
  <c r="T273" i="9"/>
  <c r="T313" i="9"/>
  <c r="N8" i="10"/>
  <c r="N10" i="10"/>
  <c r="O12" i="10"/>
  <c r="O14" i="10"/>
  <c r="N14" i="10"/>
  <c r="N16" i="10"/>
  <c r="O18" i="10"/>
  <c r="N18" i="10"/>
  <c r="N22" i="10"/>
  <c r="N24" i="10"/>
  <c r="O30" i="10"/>
  <c r="N30" i="10"/>
  <c r="O34" i="10"/>
  <c r="O38" i="10"/>
  <c r="N38" i="10"/>
  <c r="O42" i="10"/>
  <c r="O46" i="10"/>
  <c r="N46" i="10"/>
  <c r="O48" i="10"/>
  <c r="O50" i="10"/>
  <c r="N50" i="10"/>
  <c r="N54" i="10"/>
  <c r="O56" i="10"/>
  <c r="O58" i="10"/>
  <c r="N58" i="10"/>
  <c r="N60" i="10"/>
  <c r="O62" i="10"/>
  <c r="N62" i="10"/>
  <c r="N66" i="10"/>
  <c r="N72" i="10"/>
  <c r="N74" i="10"/>
  <c r="O78" i="10"/>
  <c r="N82" i="10"/>
  <c r="O86" i="10"/>
  <c r="N86" i="10"/>
  <c r="O90" i="10"/>
  <c r="N90" i="10"/>
  <c r="N94" i="10"/>
  <c r="O98" i="10"/>
  <c r="N98" i="10"/>
  <c r="N102" i="10"/>
  <c r="O106" i="10"/>
  <c r="N106" i="10"/>
  <c r="O110" i="10"/>
  <c r="N110" i="10"/>
  <c r="N112" i="10"/>
  <c r="O114" i="10"/>
  <c r="N114" i="10"/>
  <c r="N118" i="10"/>
  <c r="N122" i="10"/>
  <c r="N130" i="10"/>
  <c r="N132" i="10"/>
  <c r="N134" i="10"/>
  <c r="O138" i="10"/>
  <c r="N138" i="10"/>
  <c r="O142" i="10"/>
  <c r="N144" i="10"/>
  <c r="O146" i="10"/>
  <c r="N148" i="10"/>
  <c r="O150" i="10"/>
  <c r="O154" i="10"/>
  <c r="N154" i="10"/>
  <c r="O156" i="10"/>
  <c r="N158" i="10"/>
  <c r="O160" i="10"/>
  <c r="O162" i="10"/>
  <c r="O166" i="10"/>
  <c r="N166" i="10"/>
  <c r="N168" i="10"/>
  <c r="O170" i="10"/>
  <c r="O172" i="10"/>
  <c r="O176" i="10"/>
  <c r="N180" i="10"/>
  <c r="N182" i="10"/>
  <c r="O186" i="10"/>
  <c r="N186" i="10"/>
  <c r="O188" i="10"/>
  <c r="O194" i="10"/>
  <c r="N194" i="10"/>
  <c r="N196" i="10"/>
  <c r="O198" i="10"/>
  <c r="N198" i="10"/>
  <c r="Q199" i="10"/>
  <c r="N204" i="10"/>
  <c r="O206" i="10"/>
  <c r="N208" i="10"/>
  <c r="N212" i="10"/>
  <c r="O214" i="10"/>
  <c r="O216" i="10"/>
  <c r="N218" i="10"/>
  <c r="N220" i="10"/>
  <c r="O222" i="10"/>
  <c r="N222" i="10"/>
  <c r="O224" i="10"/>
  <c r="N226" i="10"/>
  <c r="O228" i="10"/>
  <c r="O230" i="10"/>
  <c r="N234" i="10"/>
  <c r="O236" i="10"/>
  <c r="Q237" i="13"/>
  <c r="R244" i="13"/>
  <c r="R185" i="13"/>
  <c r="Q200" i="13"/>
  <c r="R101" i="13"/>
  <c r="Q5" i="13"/>
  <c r="O6" i="13"/>
  <c r="R6" i="13"/>
  <c r="Q33" i="13"/>
  <c r="R33" i="13"/>
  <c r="Q49" i="13"/>
  <c r="R49" i="13"/>
  <c r="R61" i="13"/>
  <c r="Q61" i="13"/>
  <c r="Q69" i="13"/>
  <c r="R69" i="13"/>
  <c r="R77" i="13"/>
  <c r="Q77" i="13"/>
  <c r="R81" i="13"/>
  <c r="Q81" i="13"/>
  <c r="R112" i="13"/>
  <c r="R120" i="13"/>
  <c r="R128" i="13"/>
  <c r="R140" i="13"/>
  <c r="P228" i="9"/>
  <c r="P237" i="9"/>
  <c r="T327" i="9"/>
  <c r="R364" i="9"/>
  <c r="P240" i="10"/>
  <c r="Q269" i="13"/>
  <c r="R73" i="13"/>
  <c r="T124" i="13"/>
  <c r="Q57" i="13"/>
  <c r="Q161" i="13"/>
  <c r="R85" i="13"/>
  <c r="R13" i="13"/>
  <c r="Q45" i="13"/>
  <c r="O229" i="9"/>
  <c r="N231" i="9"/>
  <c r="R305" i="9"/>
  <c r="O237" i="10"/>
  <c r="N239" i="10"/>
  <c r="N218" i="11"/>
  <c r="N222" i="11"/>
  <c r="S316" i="11"/>
  <c r="S317" i="11" s="1"/>
  <c r="R284" i="12"/>
  <c r="T352" i="13"/>
  <c r="S368" i="13"/>
  <c r="S369" i="13" s="1"/>
  <c r="Q241" i="13"/>
  <c r="T331" i="13"/>
  <c r="Q355" i="13"/>
  <c r="R355" i="13"/>
  <c r="R160" i="13"/>
  <c r="R164" i="13"/>
  <c r="R184" i="13"/>
  <c r="R188" i="13"/>
  <c r="N238" i="12"/>
  <c r="Q229" i="13"/>
  <c r="O279" i="13"/>
  <c r="Q279" i="13"/>
  <c r="R313" i="11"/>
  <c r="P233" i="12"/>
  <c r="N240" i="12"/>
  <c r="Q368" i="13"/>
  <c r="Q337" i="13"/>
  <c r="S351" i="13"/>
  <c r="S352" i="13" s="1"/>
  <c r="Q278" i="13"/>
  <c r="P221" i="11"/>
  <c r="P223" i="11"/>
  <c r="R14" i="12"/>
  <c r="N16" i="12"/>
  <c r="O20" i="12"/>
  <c r="N22" i="12"/>
  <c r="N36" i="12"/>
  <c r="O40" i="12"/>
  <c r="N52" i="12"/>
  <c r="N54" i="12"/>
  <c r="N58" i="12"/>
  <c r="O66" i="12"/>
  <c r="N68" i="12"/>
  <c r="O76" i="12"/>
  <c r="N76" i="12"/>
  <c r="O80" i="12"/>
  <c r="R82" i="12"/>
  <c r="N84" i="12"/>
  <c r="N94" i="12"/>
  <c r="O98" i="12"/>
  <c r="N100" i="12"/>
  <c r="O102" i="12"/>
  <c r="O104" i="12"/>
  <c r="N104" i="12"/>
  <c r="N106" i="12"/>
  <c r="O108" i="12"/>
  <c r="N110" i="12"/>
  <c r="N112" i="12"/>
  <c r="N122" i="12"/>
  <c r="N126" i="12"/>
  <c r="N132" i="12"/>
  <c r="N138" i="12"/>
  <c r="N146" i="12"/>
  <c r="O148" i="12"/>
  <c r="O150" i="12"/>
  <c r="N152" i="12"/>
  <c r="O154" i="12"/>
  <c r="N172" i="12"/>
  <c r="N174" i="12"/>
  <c r="O176" i="12"/>
  <c r="N176" i="12"/>
  <c r="N178" i="12"/>
  <c r="O180" i="12"/>
  <c r="N192" i="12"/>
  <c r="O194" i="12"/>
  <c r="N196" i="12"/>
  <c r="N198" i="12"/>
  <c r="N208" i="12"/>
  <c r="N222" i="12"/>
  <c r="Q234" i="12"/>
  <c r="P240" i="12"/>
  <c r="R241" i="13"/>
  <c r="S372" i="13"/>
  <c r="S373" i="13" s="1"/>
  <c r="R7" i="3"/>
  <c r="Q135" i="13"/>
  <c r="Q187" i="13"/>
  <c r="Q195" i="13"/>
  <c r="Q222" i="13"/>
  <c r="O229" i="13"/>
  <c r="N237" i="13"/>
  <c r="O239" i="13"/>
  <c r="Q265" i="13"/>
  <c r="O265" i="13"/>
  <c r="R336" i="13"/>
  <c r="P4" i="13"/>
  <c r="R5" i="3"/>
  <c r="S9" i="25" s="1"/>
  <c r="P6" i="13"/>
  <c r="P8" i="13"/>
  <c r="O13" i="13"/>
  <c r="N15" i="13"/>
  <c r="O17" i="13"/>
  <c r="O19" i="13"/>
  <c r="O21" i="13"/>
  <c r="N21" i="13"/>
  <c r="O25" i="13"/>
  <c r="N25" i="13"/>
  <c r="O29" i="13"/>
  <c r="N29" i="13"/>
  <c r="R31" i="13"/>
  <c r="O33" i="13"/>
  <c r="O35" i="13"/>
  <c r="O41" i="13"/>
  <c r="O45" i="13"/>
  <c r="N47" i="13"/>
  <c r="O49" i="13"/>
  <c r="N49" i="13"/>
  <c r="N51" i="13"/>
  <c r="O53" i="13"/>
  <c r="O57" i="13"/>
  <c r="Q58" i="13"/>
  <c r="O61" i="13"/>
  <c r="Q62" i="13"/>
  <c r="O69" i="13"/>
  <c r="Q70" i="13"/>
  <c r="T79" i="13"/>
  <c r="Q74" i="13"/>
  <c r="O77" i="13"/>
  <c r="N77" i="13"/>
  <c r="Q78" i="13"/>
  <c r="R79" i="13"/>
  <c r="O81" i="13"/>
  <c r="Q82" i="13"/>
  <c r="O85" i="13"/>
  <c r="N85" i="13"/>
  <c r="Q86" i="13"/>
  <c r="S88" i="13"/>
  <c r="S89" i="13" s="1"/>
  <c r="O89" i="13"/>
  <c r="Q90" i="13"/>
  <c r="P93" i="13"/>
  <c r="R41" i="3"/>
  <c r="S41" i="3" s="1"/>
  <c r="R8" i="3"/>
  <c r="S8" i="3" s="1"/>
  <c r="P101" i="13"/>
  <c r="P103" i="13"/>
  <c r="P107" i="13"/>
  <c r="P109" i="13"/>
  <c r="P111" i="13"/>
  <c r="P113" i="13"/>
  <c r="P115" i="13"/>
  <c r="P117" i="13"/>
  <c r="P119" i="13"/>
  <c r="P121" i="13"/>
  <c r="P123" i="13"/>
  <c r="R9" i="3"/>
  <c r="P125" i="13"/>
  <c r="P127" i="13"/>
  <c r="P129" i="13"/>
  <c r="P135" i="13"/>
  <c r="P139" i="13"/>
  <c r="P141" i="13"/>
  <c r="P145" i="13"/>
  <c r="P147" i="13"/>
  <c r="P149" i="13"/>
  <c r="P151" i="13"/>
  <c r="P153" i="13"/>
  <c r="P155" i="13"/>
  <c r="P159" i="13"/>
  <c r="P161" i="13"/>
  <c r="P163" i="13"/>
  <c r="P167" i="13"/>
  <c r="P169" i="13"/>
  <c r="P171" i="13"/>
  <c r="R214" i="13"/>
  <c r="R281" i="13"/>
  <c r="R333" i="13"/>
  <c r="R337" i="13"/>
  <c r="R22" i="13"/>
  <c r="R263" i="13"/>
  <c r="R278" i="13"/>
  <c r="R341" i="13"/>
  <c r="P3" i="13"/>
  <c r="R4" i="13"/>
  <c r="P5" i="13"/>
  <c r="P7" i="13"/>
  <c r="R8" i="13"/>
  <c r="P9" i="13"/>
  <c r="Q11" i="13"/>
  <c r="O12" i="13"/>
  <c r="O14" i="13"/>
  <c r="P202" i="13"/>
  <c r="P206" i="13"/>
  <c r="P210" i="13"/>
  <c r="P212" i="13"/>
  <c r="O214" i="13"/>
  <c r="N214" i="13"/>
  <c r="Q215" i="13"/>
  <c r="O216" i="13"/>
  <c r="O222" i="13"/>
  <c r="N222" i="13"/>
  <c r="N226" i="13"/>
  <c r="R252" i="13"/>
  <c r="Q196" i="13"/>
  <c r="N199" i="13"/>
  <c r="Q204" i="13"/>
  <c r="N207" i="13"/>
  <c r="Q208" i="13"/>
  <c r="O211" i="13"/>
  <c r="N211" i="13"/>
  <c r="P214" i="13"/>
  <c r="R215" i="13"/>
  <c r="R223" i="13"/>
  <c r="R327" i="13"/>
  <c r="R330" i="13"/>
  <c r="Q7" i="13"/>
  <c r="O188" i="13"/>
  <c r="N188" i="13"/>
  <c r="R198" i="13"/>
  <c r="O200" i="13"/>
  <c r="N200" i="13"/>
  <c r="O204" i="13"/>
  <c r="N204" i="13"/>
  <c r="O208" i="13"/>
  <c r="N208" i="13"/>
  <c r="Q210" i="13"/>
  <c r="N239" i="13"/>
  <c r="R246" i="13"/>
  <c r="R250" i="13"/>
  <c r="T324" i="13"/>
  <c r="P4" i="1"/>
  <c r="N89" i="1"/>
  <c r="O65" i="1"/>
  <c r="Q50" i="1"/>
  <c r="Q42" i="1"/>
  <c r="Q354" i="1"/>
  <c r="T257" i="1"/>
  <c r="N215" i="1"/>
  <c r="T371" i="1"/>
  <c r="N230" i="1"/>
  <c r="O331" i="1"/>
  <c r="R301" i="1"/>
  <c r="O362" i="1"/>
  <c r="O4" i="1"/>
  <c r="O368" i="1"/>
  <c r="N237" i="1"/>
  <c r="T128" i="1"/>
  <c r="N118" i="1"/>
  <c r="N110" i="1"/>
  <c r="S95" i="1"/>
  <c r="Q309" i="1"/>
  <c r="R206" i="1"/>
  <c r="O301" i="1"/>
  <c r="R311" i="1"/>
  <c r="N240" i="1"/>
  <c r="O137" i="1"/>
  <c r="O121" i="1"/>
  <c r="O113" i="1"/>
  <c r="O73" i="1"/>
  <c r="Q243" i="1"/>
  <c r="O320" i="1"/>
  <c r="Q14" i="1"/>
  <c r="O206" i="1"/>
  <c r="O190" i="1"/>
  <c r="P220" i="1"/>
  <c r="P204" i="1"/>
  <c r="P196" i="1"/>
  <c r="O67" i="1"/>
  <c r="O27" i="1"/>
  <c r="J43" i="7"/>
  <c r="N247" i="9"/>
  <c r="Q249" i="9"/>
  <c r="S249" i="9"/>
  <c r="S250" i="9" s="1"/>
  <c r="R249" i="9"/>
  <c r="T250" i="9"/>
  <c r="T252" i="9"/>
  <c r="T331" i="9"/>
  <c r="N325" i="9"/>
  <c r="P361" i="9"/>
  <c r="S365" i="9"/>
  <c r="S366" i="9" s="1"/>
  <c r="T362" i="9"/>
  <c r="R365" i="9"/>
  <c r="S361" i="9"/>
  <c r="S362" i="9" s="1"/>
  <c r="T366" i="9"/>
  <c r="O365" i="9"/>
  <c r="P3" i="9"/>
  <c r="S8" i="9"/>
  <c r="S9" i="9" s="1"/>
  <c r="J38" i="3"/>
  <c r="I23" i="29" s="1"/>
  <c r="P5" i="9"/>
  <c r="S29" i="9"/>
  <c r="S30" i="9" s="1"/>
  <c r="P25" i="9"/>
  <c r="J39" i="3"/>
  <c r="P37" i="9"/>
  <c r="T56" i="9"/>
  <c r="R52" i="9"/>
  <c r="S64" i="9"/>
  <c r="S65" i="9" s="1"/>
  <c r="P61" i="9"/>
  <c r="P63" i="9"/>
  <c r="R64" i="9"/>
  <c r="R80" i="9"/>
  <c r="T84" i="9"/>
  <c r="R108" i="9"/>
  <c r="T112" i="9"/>
  <c r="R116" i="9"/>
  <c r="T119" i="9"/>
  <c r="J9" i="3"/>
  <c r="P127" i="9"/>
  <c r="P129" i="9"/>
  <c r="S134" i="9"/>
  <c r="S135" i="9" s="1"/>
  <c r="S141" i="9"/>
  <c r="S142" i="9" s="1"/>
  <c r="P137" i="9"/>
  <c r="T154" i="9"/>
  <c r="R152" i="9"/>
  <c r="P155" i="9"/>
  <c r="P165" i="9"/>
  <c r="S169" i="9"/>
  <c r="S170" i="9" s="1"/>
  <c r="P181" i="9"/>
  <c r="S183" i="9"/>
  <c r="S184" i="9" s="1"/>
  <c r="J44" i="3"/>
  <c r="P185" i="9"/>
  <c r="R200" i="9"/>
  <c r="T203" i="9"/>
  <c r="T210" i="9"/>
  <c r="R208" i="9"/>
  <c r="R216" i="9"/>
  <c r="T217" i="9"/>
  <c r="P219" i="9"/>
  <c r="O351" i="9"/>
  <c r="T348" i="9"/>
  <c r="T350" i="9"/>
  <c r="S347" i="9"/>
  <c r="S348" i="9" s="1"/>
  <c r="Q351" i="9"/>
  <c r="S57" i="9"/>
  <c r="S58" i="9" s="1"/>
  <c r="R20" i="9"/>
  <c r="S358" i="9"/>
  <c r="S359" i="9" s="1"/>
  <c r="S190" i="9"/>
  <c r="S191" i="9" s="1"/>
  <c r="T35" i="9"/>
  <c r="S50" i="9"/>
  <c r="S51" i="9" s="1"/>
  <c r="P45" i="9"/>
  <c r="P69" i="9"/>
  <c r="S71" i="9"/>
  <c r="S72" i="9" s="1"/>
  <c r="T91" i="9"/>
  <c r="R88" i="9"/>
  <c r="P97" i="9"/>
  <c r="J41" i="3"/>
  <c r="I53" i="29" s="1"/>
  <c r="J42" i="3"/>
  <c r="S127" i="9"/>
  <c r="S128" i="9" s="1"/>
  <c r="T140" i="9"/>
  <c r="R136" i="9"/>
  <c r="P153" i="9"/>
  <c r="S155" i="9"/>
  <c r="S156" i="9" s="1"/>
  <c r="S162" i="9"/>
  <c r="S163" i="9" s="1"/>
  <c r="J43" i="3"/>
  <c r="T161" i="9"/>
  <c r="R160" i="9"/>
  <c r="R164" i="9"/>
  <c r="T168" i="9"/>
  <c r="R172" i="9"/>
  <c r="T175" i="9"/>
  <c r="R180" i="9"/>
  <c r="T182" i="9"/>
  <c r="P187" i="9"/>
  <c r="T189" i="9"/>
  <c r="R188" i="9"/>
  <c r="S197" i="9"/>
  <c r="S198" i="9" s="1"/>
  <c r="P193" i="9"/>
  <c r="R228" i="9"/>
  <c r="T231" i="9"/>
  <c r="P283" i="9"/>
  <c r="J47" i="3"/>
  <c r="P47" i="9"/>
  <c r="P81" i="9"/>
  <c r="R60" i="9"/>
  <c r="T49" i="9"/>
  <c r="T14" i="9"/>
  <c r="R40" i="9"/>
  <c r="R360" i="9"/>
  <c r="T224" i="9"/>
  <c r="T147" i="9"/>
  <c r="S22" i="9"/>
  <c r="S23" i="9" s="1"/>
  <c r="J10" i="3"/>
  <c r="K44" i="25" s="1"/>
  <c r="R4" i="9"/>
  <c r="T7" i="9"/>
  <c r="P13" i="9"/>
  <c r="S15" i="9"/>
  <c r="S16" i="9" s="1"/>
  <c r="P33" i="9"/>
  <c r="S36" i="9"/>
  <c r="S37" i="9" s="1"/>
  <c r="P41" i="9"/>
  <c r="S43" i="9"/>
  <c r="S44" i="9" s="1"/>
  <c r="P73" i="9"/>
  <c r="S78" i="9"/>
  <c r="S79" i="9" s="1"/>
  <c r="T77" i="9"/>
  <c r="R76" i="9"/>
  <c r="T98" i="9"/>
  <c r="R96" i="9"/>
  <c r="R104" i="9"/>
  <c r="T105" i="9"/>
  <c r="T352" i="9"/>
  <c r="S99" i="9"/>
  <c r="S100" i="9" s="1"/>
  <c r="T254" i="9"/>
  <c r="P229" i="9"/>
  <c r="S211" i="9"/>
  <c r="S212" i="9" s="1"/>
  <c r="T28" i="9"/>
  <c r="R24" i="9"/>
  <c r="P35" i="9"/>
  <c r="P95" i="9"/>
  <c r="R124" i="9"/>
  <c r="T126" i="9"/>
  <c r="T275" i="9"/>
  <c r="T196" i="9"/>
  <c r="R68" i="9"/>
  <c r="S92" i="9"/>
  <c r="S93" i="9" s="1"/>
  <c r="R351" i="9"/>
  <c r="S288" i="9"/>
  <c r="S289" i="9" s="1"/>
  <c r="R132" i="9"/>
  <c r="J40" i="3"/>
  <c r="I43" i="29" s="1"/>
  <c r="I44" i="29" s="1"/>
  <c r="M9" i="29" s="1"/>
  <c r="P252" i="9"/>
  <c r="J46" i="3"/>
  <c r="O268" i="9"/>
  <c r="R268" i="9"/>
  <c r="Q268" i="9"/>
  <c r="O330" i="9"/>
  <c r="T329" i="9"/>
  <c r="N240" i="9"/>
  <c r="T240" i="9"/>
  <c r="J42" i="7"/>
  <c r="T245" i="9"/>
  <c r="O242" i="9"/>
  <c r="Q242" i="9"/>
  <c r="R281" i="9"/>
  <c r="Q281" i="9"/>
  <c r="J45" i="7"/>
  <c r="P345" i="9"/>
  <c r="J49" i="3"/>
  <c r="T268" i="9"/>
  <c r="T317" i="9"/>
  <c r="S309" i="9"/>
  <c r="S310" i="9" s="1"/>
  <c r="S326" i="9"/>
  <c r="S327" i="9" s="1"/>
  <c r="J31" i="3"/>
  <c r="O324" i="9"/>
  <c r="R324" i="9"/>
  <c r="Q324" i="9"/>
  <c r="T306" i="9"/>
  <c r="T303" i="9"/>
  <c r="R310" i="9"/>
  <c r="T282" i="9"/>
  <c r="T247" i="9"/>
  <c r="N308" i="9"/>
  <c r="Q238" i="9"/>
  <c r="T236" i="9"/>
  <c r="T320" i="9"/>
  <c r="Q310" i="9"/>
  <c r="S263" i="9"/>
  <c r="S264" i="9" s="1"/>
  <c r="S344" i="9"/>
  <c r="S345" i="9" s="1"/>
  <c r="S267" i="9"/>
  <c r="S268" i="9" s="1"/>
  <c r="J44" i="7"/>
  <c r="T287" i="9"/>
  <c r="O286" i="9"/>
  <c r="O293" i="9"/>
  <c r="T292" i="9"/>
  <c r="Q321" i="9"/>
  <c r="O321" i="9"/>
  <c r="R321" i="9"/>
  <c r="S277" i="9"/>
  <c r="S278" i="9" s="1"/>
  <c r="T322" i="9"/>
  <c r="T266" i="9"/>
  <c r="R269" i="9"/>
  <c r="Q303" i="9"/>
  <c r="S242" i="9"/>
  <c r="S243" i="9" s="1"/>
  <c r="Q255" i="9"/>
  <c r="T259" i="9"/>
  <c r="S256" i="9"/>
  <c r="S257" i="9" s="1"/>
  <c r="O333" i="9"/>
  <c r="R333" i="9"/>
  <c r="N338" i="9"/>
  <c r="R340" i="9"/>
  <c r="Q74" i="9"/>
  <c r="Q90" i="9"/>
  <c r="Q150" i="9"/>
  <c r="Q206" i="9"/>
  <c r="Q234" i="9"/>
  <c r="Q239" i="9"/>
  <c r="P103" i="9"/>
  <c r="P109" i="9"/>
  <c r="P117" i="9"/>
  <c r="P125" i="9"/>
  <c r="P133" i="9"/>
  <c r="P143" i="9"/>
  <c r="P147" i="9"/>
  <c r="P149" i="9"/>
  <c r="P151" i="9"/>
  <c r="P157" i="9"/>
  <c r="P159" i="9"/>
  <c r="P163" i="9"/>
  <c r="P167" i="9"/>
  <c r="P169" i="9"/>
  <c r="P171" i="9"/>
  <c r="P179" i="9"/>
  <c r="P183" i="9"/>
  <c r="P189" i="9"/>
  <c r="P199" i="9"/>
  <c r="P211" i="9"/>
  <c r="P215" i="9"/>
  <c r="P217" i="9"/>
  <c r="P223" i="9"/>
  <c r="P227" i="9"/>
  <c r="O235" i="9"/>
  <c r="N236" i="9"/>
  <c r="N234" i="9"/>
  <c r="P235" i="9"/>
  <c r="N239" i="9"/>
  <c r="N149" i="9"/>
  <c r="O161" i="9"/>
  <c r="N163" i="9"/>
  <c r="N181" i="9"/>
  <c r="N187" i="9"/>
  <c r="O191" i="9"/>
  <c r="N195" i="9"/>
  <c r="O197" i="9"/>
  <c r="N203" i="9"/>
  <c r="N209" i="9"/>
  <c r="O215" i="9"/>
  <c r="N215" i="9"/>
  <c r="N219" i="9"/>
  <c r="O221" i="9"/>
  <c r="S389" i="9"/>
  <c r="N234" i="12"/>
  <c r="N237" i="12"/>
  <c r="R287" i="12"/>
  <c r="N229" i="12"/>
  <c r="O236" i="12"/>
  <c r="P239" i="12"/>
  <c r="R158" i="12"/>
  <c r="P13" i="3"/>
  <c r="Q220" i="12"/>
  <c r="S75" i="25"/>
  <c r="T10" i="16"/>
  <c r="T31" i="25" s="1"/>
  <c r="S10" i="16"/>
  <c r="D31" i="25"/>
  <c r="E31" i="25" s="1"/>
  <c r="T10" i="17"/>
  <c r="T91" i="3" s="1"/>
  <c r="S10" i="17"/>
  <c r="F91" i="3"/>
  <c r="Q3" i="1"/>
  <c r="T152" i="1"/>
  <c r="Q155" i="1"/>
  <c r="Q351" i="1"/>
  <c r="R209" i="1"/>
  <c r="Q209" i="1"/>
  <c r="T212" i="1"/>
  <c r="N209" i="1"/>
  <c r="S200" i="1"/>
  <c r="N201" i="1"/>
  <c r="O201" i="1"/>
  <c r="T205" i="1"/>
  <c r="T203" i="1"/>
  <c r="O187" i="1"/>
  <c r="T42" i="1"/>
  <c r="N39" i="1"/>
  <c r="Q39" i="1"/>
  <c r="S39" i="1"/>
  <c r="P155" i="1"/>
  <c r="S8" i="1"/>
  <c r="S9" i="1" s="1"/>
  <c r="O345" i="1"/>
  <c r="R201" i="1"/>
  <c r="R187" i="1"/>
  <c r="T355" i="1"/>
  <c r="Q187" i="1"/>
  <c r="T352" i="1"/>
  <c r="N164" i="1"/>
  <c r="O322" i="1"/>
  <c r="T56" i="1"/>
  <c r="N104" i="1"/>
  <c r="T100" i="1"/>
  <c r="T98" i="1"/>
  <c r="T324" i="1"/>
  <c r="N111" i="1"/>
  <c r="Q328" i="1"/>
  <c r="R253" i="1"/>
  <c r="O269" i="1"/>
  <c r="T322" i="1"/>
  <c r="T329" i="1"/>
  <c r="Q307" i="1"/>
  <c r="Q315" i="1"/>
  <c r="O253" i="1"/>
  <c r="R269" i="1"/>
  <c r="O290" i="1"/>
  <c r="Q355" i="1"/>
  <c r="O276" i="1"/>
  <c r="S312" i="1"/>
  <c r="S326" i="1"/>
  <c r="S327" i="1" s="1"/>
  <c r="O54" i="1"/>
  <c r="T65" i="1"/>
  <c r="O209" i="1"/>
  <c r="O104" i="1"/>
  <c r="O96" i="1"/>
  <c r="T338" i="1"/>
  <c r="R142" i="1"/>
  <c r="O134" i="1"/>
  <c r="D6" i="3"/>
  <c r="O335" i="1"/>
  <c r="R335" i="1"/>
  <c r="R245" i="1"/>
  <c r="T315" i="1"/>
  <c r="N54" i="1"/>
  <c r="D7" i="3"/>
  <c r="E71" i="3" s="1"/>
  <c r="Q272" i="1"/>
  <c r="T317" i="1"/>
  <c r="S288" i="1"/>
  <c r="O167" i="1"/>
  <c r="O199" i="1"/>
  <c r="O175" i="1"/>
  <c r="O142" i="1"/>
  <c r="O118" i="1"/>
  <c r="O70" i="1"/>
  <c r="P197" i="1"/>
  <c r="O218" i="9"/>
  <c r="P145" i="9"/>
  <c r="P161" i="9"/>
  <c r="P173" i="9"/>
  <c r="P177" i="9"/>
  <c r="P197" i="9"/>
  <c r="P201" i="9"/>
  <c r="P205" i="9"/>
  <c r="P213" i="9"/>
  <c r="P221" i="9"/>
  <c r="Q232" i="9"/>
  <c r="N233" i="9"/>
  <c r="P227" i="11"/>
  <c r="P231" i="11"/>
  <c r="P233" i="11"/>
  <c r="R295" i="11"/>
  <c r="N238" i="10"/>
  <c r="O238" i="10"/>
  <c r="P35" i="7"/>
  <c r="Q46" i="12"/>
  <c r="P37" i="7"/>
  <c r="Q86" i="12"/>
  <c r="T91" i="12"/>
  <c r="S389" i="1"/>
  <c r="T54" i="11"/>
  <c r="P138" i="9"/>
  <c r="P142" i="9"/>
  <c r="P144" i="9"/>
  <c r="P148" i="9"/>
  <c r="P152" i="9"/>
  <c r="P162" i="9"/>
  <c r="P164" i="9"/>
  <c r="P168" i="9"/>
  <c r="P174" i="9"/>
  <c r="P182" i="9"/>
  <c r="P186" i="9"/>
  <c r="P188" i="9"/>
  <c r="P190" i="9"/>
  <c r="P192" i="9"/>
  <c r="P196" i="9"/>
  <c r="P208" i="9"/>
  <c r="P212" i="9"/>
  <c r="P220" i="9"/>
  <c r="P222" i="9"/>
  <c r="O230" i="9"/>
  <c r="N230" i="9"/>
  <c r="T9" i="10"/>
  <c r="Q7" i="10"/>
  <c r="T30" i="10"/>
  <c r="Q31" i="10"/>
  <c r="L36" i="7"/>
  <c r="Q39" i="10"/>
  <c r="S39" i="10"/>
  <c r="S40" i="10" s="1"/>
  <c r="Q43" i="10"/>
  <c r="Q51" i="10"/>
  <c r="T54" i="10"/>
  <c r="Q55" i="10"/>
  <c r="Q59" i="10"/>
  <c r="Q63" i="10"/>
  <c r="Q67" i="10"/>
  <c r="T68" i="10"/>
  <c r="Q71" i="10"/>
  <c r="Q75" i="10"/>
  <c r="Q87" i="10"/>
  <c r="T91" i="10"/>
  <c r="Q99" i="10"/>
  <c r="Q107" i="10"/>
  <c r="Q111" i="10"/>
  <c r="Q115" i="10"/>
  <c r="T119" i="10"/>
  <c r="Q119" i="10"/>
  <c r="Q123" i="10"/>
  <c r="Q139" i="10"/>
  <c r="Q143" i="10"/>
  <c r="T154" i="10"/>
  <c r="L46" i="3"/>
  <c r="X43" i="29" s="1"/>
  <c r="T14" i="11"/>
  <c r="T40" i="11"/>
  <c r="O151" i="10"/>
  <c r="Q177" i="9"/>
  <c r="Q193" i="9"/>
  <c r="Q217" i="9"/>
  <c r="P236" i="10"/>
  <c r="T121" i="12"/>
  <c r="P39" i="7"/>
  <c r="T210" i="12"/>
  <c r="Q210" i="12"/>
  <c r="Q239" i="12"/>
  <c r="O254" i="13"/>
  <c r="Q254" i="13"/>
  <c r="T308" i="13"/>
  <c r="S305" i="13"/>
  <c r="S306" i="13" s="1"/>
  <c r="O306" i="13"/>
  <c r="Q334" i="13"/>
  <c r="O334" i="13"/>
  <c r="S92" i="11"/>
  <c r="S93" i="11" s="1"/>
  <c r="T114" i="11"/>
  <c r="T124" i="11"/>
  <c r="Q146" i="11"/>
  <c r="Q174" i="11"/>
  <c r="T338" i="13"/>
  <c r="Q306" i="13"/>
  <c r="S113" i="13"/>
  <c r="S114" i="13" s="1"/>
  <c r="Q226" i="13"/>
  <c r="O226" i="13"/>
  <c r="N230" i="13"/>
  <c r="O230" i="13"/>
  <c r="R230" i="13"/>
  <c r="R234" i="13"/>
  <c r="Q282" i="13"/>
  <c r="R282" i="13"/>
  <c r="R15" i="3"/>
  <c r="S79" i="3" s="1"/>
  <c r="T322" i="13"/>
  <c r="N321" i="13"/>
  <c r="O325" i="13"/>
  <c r="Q325" i="13"/>
  <c r="S326" i="13"/>
  <c r="S327" i="13" s="1"/>
  <c r="P16" i="4"/>
  <c r="T40" i="13"/>
  <c r="N91" i="13"/>
  <c r="R91" i="13"/>
  <c r="O91" i="13"/>
  <c r="S134" i="13"/>
  <c r="S135" i="13" s="1"/>
  <c r="P131" i="13"/>
  <c r="P143" i="13"/>
  <c r="S148" i="13"/>
  <c r="S149" i="13" s="1"/>
  <c r="O272" i="13"/>
  <c r="S270" i="13"/>
  <c r="S271" i="13" s="1"/>
  <c r="Q286" i="13"/>
  <c r="O286" i="13"/>
  <c r="O303" i="13"/>
  <c r="Q303" i="13"/>
  <c r="Q314" i="13"/>
  <c r="O314" i="13"/>
  <c r="R314" i="13"/>
  <c r="P325" i="13"/>
  <c r="S330" i="13"/>
  <c r="S331" i="13" s="1"/>
  <c r="Q329" i="13"/>
  <c r="O329" i="13"/>
  <c r="R329" i="13"/>
  <c r="O356" i="13"/>
  <c r="T357" i="13"/>
  <c r="T355" i="13"/>
  <c r="Q363" i="13"/>
  <c r="R363" i="13"/>
  <c r="P15" i="3"/>
  <c r="P95" i="13"/>
  <c r="Q231" i="13"/>
  <c r="O231" i="13"/>
  <c r="O255" i="13"/>
  <c r="Q255" i="13"/>
  <c r="Q367" i="13"/>
  <c r="T373" i="13"/>
  <c r="T371" i="13"/>
  <c r="P230" i="12"/>
  <c r="P232" i="12"/>
  <c r="N239" i="12"/>
  <c r="P215" i="13"/>
  <c r="S218" i="13"/>
  <c r="S219" i="13" s="1"/>
  <c r="S361" i="13"/>
  <c r="S362" i="13" s="1"/>
  <c r="N235" i="10"/>
  <c r="O239" i="10"/>
  <c r="N240" i="10"/>
  <c r="N226" i="11"/>
  <c r="N228" i="11"/>
  <c r="N230" i="11"/>
  <c r="P229" i="12"/>
  <c r="S239" i="12"/>
  <c r="S240" i="12" s="1"/>
  <c r="P237" i="12"/>
  <c r="S99" i="13"/>
  <c r="S100" i="13" s="1"/>
  <c r="R286" i="13"/>
  <c r="R356" i="13"/>
  <c r="S29" i="13"/>
  <c r="S30" i="13" s="1"/>
  <c r="P24" i="13"/>
  <c r="P48" i="13"/>
  <c r="S50" i="13"/>
  <c r="S51" i="13" s="1"/>
  <c r="P76" i="13"/>
  <c r="S78" i="13"/>
  <c r="S79" i="13" s="1"/>
  <c r="Q109" i="13"/>
  <c r="S109" i="13"/>
  <c r="S110" i="13" s="1"/>
  <c r="Q125" i="13"/>
  <c r="R125" i="13"/>
  <c r="Q137" i="13"/>
  <c r="R137" i="13"/>
  <c r="Q149" i="13"/>
  <c r="R149" i="13"/>
  <c r="R153" i="13"/>
  <c r="Q153" i="13"/>
  <c r="T194" i="13"/>
  <c r="P200" i="13"/>
  <c r="S204" i="13"/>
  <c r="S205" i="13" s="1"/>
  <c r="S221" i="13"/>
  <c r="S222" i="13" s="1"/>
  <c r="Q220" i="13"/>
  <c r="O228" i="13"/>
  <c r="R232" i="13"/>
  <c r="O232" i="13"/>
  <c r="O333" i="13"/>
  <c r="Q333" i="13"/>
  <c r="T334" i="13"/>
  <c r="O336" i="13"/>
  <c r="Q336" i="13"/>
  <c r="L38" i="3"/>
  <c r="J23" i="29" s="1"/>
  <c r="P7" i="10"/>
  <c r="P9" i="10"/>
  <c r="P11" i="10"/>
  <c r="P17" i="10"/>
  <c r="P19" i="10"/>
  <c r="P31" i="10"/>
  <c r="L6" i="3"/>
  <c r="P35" i="10"/>
  <c r="L39" i="3"/>
  <c r="J33" i="29" s="1"/>
  <c r="P39" i="10"/>
  <c r="P41" i="10"/>
  <c r="P43" i="10"/>
  <c r="P45" i="10"/>
  <c r="P51" i="10"/>
  <c r="P55" i="10"/>
  <c r="P57" i="10"/>
  <c r="P61" i="10"/>
  <c r="P65" i="10"/>
  <c r="P69" i="10"/>
  <c r="P75" i="10"/>
  <c r="P83" i="10"/>
  <c r="P89" i="10"/>
  <c r="L8" i="3"/>
  <c r="P99" i="10"/>
  <c r="P101" i="10"/>
  <c r="P107" i="10"/>
  <c r="P111" i="10"/>
  <c r="P115" i="10"/>
  <c r="P117" i="10"/>
  <c r="P119" i="10"/>
  <c r="P125" i="10"/>
  <c r="P127" i="10"/>
  <c r="P129" i="10"/>
  <c r="P131" i="10"/>
  <c r="P133" i="10"/>
  <c r="P137" i="10"/>
  <c r="P153" i="10"/>
  <c r="P157" i="10"/>
  <c r="L10" i="3"/>
  <c r="M74" i="3" s="1"/>
  <c r="P159" i="10"/>
  <c r="P163" i="10"/>
  <c r="P167" i="10"/>
  <c r="P239" i="10"/>
  <c r="P232" i="11"/>
  <c r="N217" i="12"/>
  <c r="O219" i="12"/>
  <c r="N221" i="12"/>
  <c r="S225" i="12"/>
  <c r="S226" i="12" s="1"/>
  <c r="P12" i="3"/>
  <c r="P42" i="7"/>
  <c r="R230" i="12"/>
  <c r="N236" i="12"/>
  <c r="P14" i="3"/>
  <c r="Q78" i="3" s="1"/>
  <c r="T294" i="12"/>
  <c r="R333" i="12"/>
  <c r="R336" i="12"/>
  <c r="T341" i="12"/>
  <c r="S141" i="13"/>
  <c r="S142" i="13" s="1"/>
  <c r="R334" i="13"/>
  <c r="R17" i="13"/>
  <c r="Q17" i="13"/>
  <c r="Q25" i="13"/>
  <c r="R25" i="13"/>
  <c r="Q29" i="13"/>
  <c r="R29" i="13"/>
  <c r="R37" i="13"/>
  <c r="Q37" i="13"/>
  <c r="R53" i="13"/>
  <c r="T56" i="13"/>
  <c r="R65" i="13"/>
  <c r="Q65" i="13"/>
  <c r="Q89" i="13"/>
  <c r="R89" i="13"/>
  <c r="S106" i="13"/>
  <c r="S107" i="13" s="1"/>
  <c r="P133" i="13"/>
  <c r="P137" i="13"/>
  <c r="S162" i="13"/>
  <c r="S163" i="13" s="1"/>
  <c r="N201" i="13"/>
  <c r="T203" i="13"/>
  <c r="N205" i="13"/>
  <c r="R205" i="13"/>
  <c r="O205" i="13"/>
  <c r="N209" i="13"/>
  <c r="Q209" i="13"/>
  <c r="S225" i="13"/>
  <c r="S226" i="13" s="1"/>
  <c r="O301" i="13"/>
  <c r="S298" i="13"/>
  <c r="S299" i="13" s="1"/>
  <c r="Q301" i="13"/>
  <c r="O309" i="13"/>
  <c r="Q309" i="13"/>
  <c r="T315" i="13"/>
  <c r="R324" i="13"/>
  <c r="O324" i="13"/>
  <c r="R347" i="13"/>
  <c r="T350" i="13"/>
  <c r="S347" i="13"/>
  <c r="S348" i="13" s="1"/>
  <c r="O347" i="13"/>
  <c r="N359" i="13"/>
  <c r="T359" i="13"/>
  <c r="P232" i="9"/>
  <c r="O234" i="10"/>
  <c r="N236" i="10"/>
  <c r="O229" i="11"/>
  <c r="N231" i="11"/>
  <c r="O233" i="11"/>
  <c r="R252" i="11"/>
  <c r="T254" i="11"/>
  <c r="S270" i="11"/>
  <c r="S271" i="11" s="1"/>
  <c r="T285" i="11"/>
  <c r="T327" i="11"/>
  <c r="R336" i="11"/>
  <c r="N49" i="3"/>
  <c r="O50" i="25"/>
  <c r="N230" i="12"/>
  <c r="P238" i="12"/>
  <c r="T329" i="13"/>
  <c r="S277" i="13"/>
  <c r="S278" i="13" s="1"/>
  <c r="S316" i="13"/>
  <c r="S317" i="13" s="1"/>
  <c r="Q234" i="13"/>
  <c r="R129" i="13"/>
  <c r="R93" i="13"/>
  <c r="R226" i="13"/>
  <c r="R113" i="13"/>
  <c r="O125" i="13"/>
  <c r="S354" i="13"/>
  <c r="S355" i="13" s="1"/>
  <c r="R193" i="13"/>
  <c r="Q356" i="13"/>
  <c r="O340" i="13"/>
  <c r="R340" i="13"/>
  <c r="Q340" i="13"/>
  <c r="P342" i="13"/>
  <c r="S344" i="13"/>
  <c r="S345" i="13" s="1"/>
  <c r="O345" i="13"/>
  <c r="R345" i="13"/>
  <c r="T9" i="13"/>
  <c r="S4" i="13"/>
  <c r="S5" i="13" s="1"/>
  <c r="R9" i="13"/>
  <c r="S15" i="13"/>
  <c r="S16" i="13" s="1"/>
  <c r="S22" i="13"/>
  <c r="S23" i="13" s="1"/>
  <c r="S43" i="13"/>
  <c r="S44" i="13" s="1"/>
  <c r="R40" i="3"/>
  <c r="S71" i="13"/>
  <c r="S72" i="13" s="1"/>
  <c r="R108" i="13"/>
  <c r="Q112" i="13"/>
  <c r="N118" i="13"/>
  <c r="O120" i="13"/>
  <c r="N122" i="13"/>
  <c r="Q124" i="13"/>
  <c r="O126" i="13"/>
  <c r="N126" i="13"/>
  <c r="N128" i="13"/>
  <c r="O130" i="13"/>
  <c r="O134" i="13"/>
  <c r="N134" i="13"/>
  <c r="N136" i="13"/>
  <c r="N138" i="13"/>
  <c r="N140" i="13"/>
  <c r="O142" i="13"/>
  <c r="N142" i="13"/>
  <c r="N146" i="13"/>
  <c r="O148" i="13"/>
  <c r="O150" i="13"/>
  <c r="N150" i="13"/>
  <c r="O152" i="13"/>
  <c r="N154" i="13"/>
  <c r="Q156" i="13"/>
  <c r="O158" i="13"/>
  <c r="N158" i="13"/>
  <c r="O160" i="13"/>
  <c r="N164" i="13"/>
  <c r="N168" i="13"/>
  <c r="O170" i="13"/>
  <c r="N172" i="13"/>
  <c r="R176" i="13"/>
  <c r="T389" i="10"/>
  <c r="R5" i="13"/>
  <c r="P217" i="13"/>
  <c r="P225" i="13"/>
  <c r="O237" i="13"/>
  <c r="Q240" i="13"/>
  <c r="Q9" i="13"/>
  <c r="O93" i="13"/>
  <c r="N93" i="13"/>
  <c r="Q98" i="13"/>
  <c r="O101" i="13"/>
  <c r="Q102" i="13"/>
  <c r="O105" i="13"/>
  <c r="N105" i="13"/>
  <c r="Q106" i="13"/>
  <c r="O109" i="13"/>
  <c r="Q110" i="13"/>
  <c r="O113" i="13"/>
  <c r="N113" i="13"/>
  <c r="Q114" i="13"/>
  <c r="Q115" i="13"/>
  <c r="O117" i="13"/>
  <c r="O121" i="13"/>
  <c r="N121" i="13"/>
  <c r="Q122" i="13"/>
  <c r="O129" i="13"/>
  <c r="Q130" i="13"/>
  <c r="O133" i="13"/>
  <c r="N133" i="13"/>
  <c r="O137" i="13"/>
  <c r="Q138" i="13"/>
  <c r="Q139" i="13"/>
  <c r="O141" i="13"/>
  <c r="N141" i="13"/>
  <c r="Q142" i="13"/>
  <c r="O145" i="13"/>
  <c r="Q146" i="13"/>
  <c r="O149" i="13"/>
  <c r="N149" i="13"/>
  <c r="Q150" i="13"/>
  <c r="O153" i="13"/>
  <c r="Q154" i="13"/>
  <c r="O157" i="13"/>
  <c r="O161" i="13"/>
  <c r="Q162" i="13"/>
  <c r="N165" i="13"/>
  <c r="Q166" i="13"/>
  <c r="O169" i="13"/>
  <c r="N169" i="13"/>
  <c r="S172" i="13"/>
  <c r="S173" i="13" s="1"/>
  <c r="N173" i="13"/>
  <c r="Q174" i="13"/>
  <c r="O177" i="13"/>
  <c r="N177" i="13"/>
  <c r="O179" i="13"/>
  <c r="O181" i="13"/>
  <c r="N181" i="13"/>
  <c r="Q182" i="13"/>
  <c r="N185" i="13"/>
  <c r="Q186" i="13"/>
  <c r="O193" i="13"/>
  <c r="N193" i="13"/>
  <c r="O197" i="13"/>
  <c r="P231" i="13"/>
  <c r="P233" i="13"/>
  <c r="P237" i="13"/>
  <c r="P240" i="13"/>
  <c r="R247" i="13"/>
  <c r="R296" i="13"/>
  <c r="R197" i="13"/>
  <c r="Q201" i="13"/>
  <c r="Q205" i="13"/>
  <c r="T208" i="13"/>
  <c r="T389" i="9"/>
  <c r="N14" i="13"/>
  <c r="N16" i="13"/>
  <c r="O18" i="13"/>
  <c r="N18" i="13"/>
  <c r="N20" i="13"/>
  <c r="N24" i="13"/>
  <c r="N26" i="13"/>
  <c r="O28" i="13"/>
  <c r="N30" i="13"/>
  <c r="N32" i="13"/>
  <c r="O36" i="13"/>
  <c r="O38" i="13"/>
  <c r="N38" i="13"/>
  <c r="Q40" i="13"/>
  <c r="O42" i="13"/>
  <c r="N42" i="13"/>
  <c r="Q44" i="13"/>
  <c r="O46" i="13"/>
  <c r="N48" i="13"/>
  <c r="R52" i="13"/>
  <c r="N54" i="13"/>
  <c r="N56" i="13"/>
  <c r="O58" i="13"/>
  <c r="N58" i="13"/>
  <c r="Q60" i="13"/>
  <c r="O62" i="13"/>
  <c r="N62" i="13"/>
  <c r="Q64" i="13"/>
  <c r="O70" i="13"/>
  <c r="N70" i="13"/>
  <c r="N72" i="13"/>
  <c r="O74" i="13"/>
  <c r="N74" i="13"/>
  <c r="N76" i="13"/>
  <c r="O82" i="13"/>
  <c r="N82" i="13"/>
  <c r="N84" i="13"/>
  <c r="N86" i="13"/>
  <c r="N88" i="13"/>
  <c r="N92" i="13"/>
  <c r="P96" i="13"/>
  <c r="P98" i="13"/>
  <c r="P100" i="13"/>
  <c r="P104" i="13"/>
  <c r="P106" i="13"/>
  <c r="P112" i="13"/>
  <c r="P114" i="13"/>
  <c r="P116" i="13"/>
  <c r="P118" i="13"/>
  <c r="P120" i="13"/>
  <c r="P122" i="13"/>
  <c r="R42" i="3"/>
  <c r="S42" i="3" s="1"/>
  <c r="P126" i="13"/>
  <c r="P128" i="13"/>
  <c r="P130" i="13"/>
  <c r="P132" i="13"/>
  <c r="P134" i="13"/>
  <c r="P138" i="13"/>
  <c r="P140" i="13"/>
  <c r="P142" i="13"/>
  <c r="P144" i="13"/>
  <c r="P146" i="13"/>
  <c r="P148" i="13"/>
  <c r="P162" i="13"/>
  <c r="P164" i="13"/>
  <c r="P178" i="13"/>
  <c r="P180" i="13"/>
  <c r="N215" i="13"/>
  <c r="O221" i="13"/>
  <c r="R243" i="13"/>
  <c r="T271" i="13"/>
  <c r="M88" i="25"/>
  <c r="R389" i="9"/>
  <c r="H10" i="3"/>
  <c r="S70" i="25"/>
  <c r="R389" i="11"/>
  <c r="S55" i="25"/>
  <c r="E55" i="25"/>
  <c r="F52" i="3"/>
  <c r="K71" i="25"/>
  <c r="P175" i="13"/>
  <c r="P183" i="13"/>
  <c r="P195" i="13"/>
  <c r="P197" i="13"/>
  <c r="Q207" i="13"/>
  <c r="Q217" i="13"/>
  <c r="Q221" i="13"/>
  <c r="T224" i="13"/>
  <c r="R231" i="13"/>
  <c r="P232" i="13"/>
  <c r="R235" i="13"/>
  <c r="N238" i="13"/>
  <c r="R245" i="13"/>
  <c r="R256" i="13"/>
  <c r="J52" i="3"/>
  <c r="H52" i="3"/>
  <c r="Q180" i="13"/>
  <c r="N182" i="13"/>
  <c r="N184" i="13"/>
  <c r="O186" i="13"/>
  <c r="N186" i="13"/>
  <c r="P218" i="13"/>
  <c r="P220" i="13"/>
  <c r="O224" i="13"/>
  <c r="O227" i="13"/>
  <c r="N227" i="13"/>
  <c r="N229" i="13"/>
  <c r="N231" i="13"/>
  <c r="R254" i="13"/>
  <c r="N95" i="13"/>
  <c r="T98" i="13"/>
  <c r="Q95" i="13"/>
  <c r="T100" i="13"/>
  <c r="O99" i="13"/>
  <c r="Q99" i="13"/>
  <c r="T107" i="13"/>
  <c r="N101" i="13"/>
  <c r="S102" i="13"/>
  <c r="S103" i="13" s="1"/>
  <c r="Q103" i="13"/>
  <c r="N109" i="13"/>
  <c r="T114" i="13"/>
  <c r="N111" i="13"/>
  <c r="T112" i="13"/>
  <c r="Q111" i="13"/>
  <c r="R119" i="13"/>
  <c r="Q119" i="13"/>
  <c r="N119" i="13"/>
  <c r="O119" i="13"/>
  <c r="Q126" i="13"/>
  <c r="T135" i="13"/>
  <c r="N129" i="13"/>
  <c r="T131" i="13"/>
  <c r="N135" i="13"/>
  <c r="O135" i="13"/>
  <c r="R135" i="13"/>
  <c r="T142" i="13"/>
  <c r="N137" i="13"/>
  <c r="O143" i="13"/>
  <c r="S144" i="13"/>
  <c r="S145" i="13" s="1"/>
  <c r="N151" i="13"/>
  <c r="T152" i="13"/>
  <c r="S151" i="13"/>
  <c r="S152" i="13" s="1"/>
  <c r="Q151" i="13"/>
  <c r="R151" i="13"/>
  <c r="T156" i="13"/>
  <c r="N153" i="13"/>
  <c r="N155" i="13"/>
  <c r="R155" i="13"/>
  <c r="O155" i="13"/>
  <c r="Q155" i="13"/>
  <c r="N157" i="13"/>
  <c r="T163" i="13"/>
  <c r="Q158" i="13"/>
  <c r="N159" i="13"/>
  <c r="Q159" i="13"/>
  <c r="O159" i="13"/>
  <c r="R159" i="13"/>
  <c r="N163" i="13"/>
  <c r="O163" i="13"/>
  <c r="O167" i="13"/>
  <c r="S165" i="13"/>
  <c r="S166" i="13" s="1"/>
  <c r="T7" i="13"/>
  <c r="N13" i="13"/>
  <c r="T16" i="13"/>
  <c r="Q14" i="13"/>
  <c r="R27" i="13"/>
  <c r="S25" i="13"/>
  <c r="S26" i="13" s="1"/>
  <c r="N33" i="13"/>
  <c r="T37" i="13"/>
  <c r="Q34" i="13"/>
  <c r="N41" i="13"/>
  <c r="T44" i="13"/>
  <c r="Q43" i="13"/>
  <c r="N43" i="13"/>
  <c r="N45" i="13"/>
  <c r="T51" i="13"/>
  <c r="N57" i="13"/>
  <c r="N59" i="13"/>
  <c r="T61" i="13"/>
  <c r="N61" i="13"/>
  <c r="T65" i="13"/>
  <c r="O65" i="13"/>
  <c r="Q67" i="13"/>
  <c r="T68" i="13"/>
  <c r="N75" i="13"/>
  <c r="O75" i="13"/>
  <c r="S74" i="13"/>
  <c r="S75" i="13" s="1"/>
  <c r="O83" i="13"/>
  <c r="T84" i="13"/>
  <c r="O67" i="13"/>
  <c r="R262" i="13"/>
  <c r="T168" i="13"/>
  <c r="Q239" i="13"/>
  <c r="T282" i="13"/>
  <c r="Q6" i="13"/>
  <c r="P124" i="13"/>
  <c r="R64" i="13"/>
  <c r="T336" i="13"/>
  <c r="S211" i="13"/>
  <c r="S212" i="13" s="1"/>
  <c r="Q116" i="13"/>
  <c r="S127" i="13"/>
  <c r="S128" i="13" s="1"/>
  <c r="S120" i="13"/>
  <c r="S121" i="13" s="1"/>
  <c r="O32" i="13"/>
  <c r="S85" i="13"/>
  <c r="S86" i="13" s="1"/>
  <c r="O116" i="13"/>
  <c r="S253" i="13"/>
  <c r="S254" i="13" s="1"/>
  <c r="Q100" i="13"/>
  <c r="Q148" i="13"/>
  <c r="Q136" i="13"/>
  <c r="O88" i="13"/>
  <c r="Q91" i="13"/>
  <c r="R124" i="13"/>
  <c r="R60" i="13"/>
  <c r="O40" i="13"/>
  <c r="P67" i="13"/>
  <c r="N40" i="13"/>
  <c r="N120" i="13"/>
  <c r="O168" i="13"/>
  <c r="R44" i="3"/>
  <c r="Q338" i="13"/>
  <c r="O338" i="13"/>
  <c r="O175" i="13"/>
  <c r="N175" i="13"/>
  <c r="N202" i="13"/>
  <c r="O202" i="13"/>
  <c r="S242" i="13"/>
  <c r="S243" i="13" s="1"/>
  <c r="S295" i="13"/>
  <c r="S296" i="13" s="1"/>
  <c r="T177" i="13"/>
  <c r="R171" i="13"/>
  <c r="Q171" i="13"/>
  <c r="S193" i="13"/>
  <c r="S194" i="13" s="1"/>
  <c r="Q183" i="13"/>
  <c r="R175" i="13"/>
  <c r="R27" i="3"/>
  <c r="O195" i="13"/>
  <c r="R6" i="3"/>
  <c r="S6" i="3" s="1"/>
  <c r="P157" i="13"/>
  <c r="R14" i="3"/>
  <c r="S78" i="3" s="1"/>
  <c r="T243" i="13"/>
  <c r="T187" i="13"/>
  <c r="T184" i="13"/>
  <c r="T173" i="13"/>
  <c r="T210" i="13"/>
  <c r="R202" i="13"/>
  <c r="R179" i="13"/>
  <c r="N179" i="13"/>
  <c r="N52" i="13"/>
  <c r="O52" i="13"/>
  <c r="Q80" i="13"/>
  <c r="N80" i="13"/>
  <c r="O104" i="13"/>
  <c r="N104" i="13"/>
  <c r="O132" i="13"/>
  <c r="N132" i="13"/>
  <c r="N144" i="13"/>
  <c r="O144" i="13"/>
  <c r="N152" i="13"/>
  <c r="Q152" i="13"/>
  <c r="R13" i="3"/>
  <c r="S77" i="3" s="1"/>
  <c r="Q202" i="13"/>
  <c r="T198" i="13"/>
  <c r="R187" i="13"/>
  <c r="O191" i="13"/>
  <c r="R195" i="13"/>
  <c r="S309" i="13"/>
  <c r="S310" i="13" s="1"/>
  <c r="T285" i="13"/>
  <c r="P360" i="13"/>
  <c r="S235" i="13"/>
  <c r="S236" i="13" s="1"/>
  <c r="O247" i="13"/>
  <c r="S365" i="13"/>
  <c r="S366" i="13" s="1"/>
  <c r="N124" i="13"/>
  <c r="T82" i="13"/>
  <c r="T5" i="13"/>
  <c r="Q132" i="13"/>
  <c r="Q76" i="13"/>
  <c r="Q36" i="13"/>
  <c r="P63" i="13"/>
  <c r="S169" i="13"/>
  <c r="S170" i="13" s="1"/>
  <c r="T182" i="13"/>
  <c r="R96" i="13"/>
  <c r="Q28" i="13"/>
  <c r="O84" i="13"/>
  <c r="Q20" i="13"/>
  <c r="R180" i="13"/>
  <c r="R136" i="13"/>
  <c r="R148" i="13"/>
  <c r="Q191" i="13"/>
  <c r="O172" i="13"/>
  <c r="R40" i="13"/>
  <c r="Q175" i="13"/>
  <c r="R224" i="13"/>
  <c r="O60" i="13"/>
  <c r="N60" i="13"/>
  <c r="N187" i="13"/>
  <c r="S228" i="13"/>
  <c r="S229" i="13" s="1"/>
  <c r="S288" i="13"/>
  <c r="S289" i="13" s="1"/>
  <c r="R76" i="13"/>
  <c r="Q52" i="13"/>
  <c r="S92" i="13"/>
  <c r="S93" i="13" s="1"/>
  <c r="O96" i="13"/>
  <c r="R32" i="13"/>
  <c r="T110" i="13"/>
  <c r="O20" i="13"/>
  <c r="R172" i="13"/>
  <c r="R144" i="13"/>
  <c r="T128" i="13"/>
  <c r="R12" i="13"/>
  <c r="S260" i="13"/>
  <c r="S261" i="13" s="1"/>
  <c r="O180" i="13"/>
  <c r="O307" i="13"/>
  <c r="S179" i="13"/>
  <c r="S180" i="13" s="1"/>
  <c r="O80" i="13"/>
  <c r="T317" i="13"/>
  <c r="O140" i="13"/>
  <c r="P181" i="13"/>
  <c r="Q262" i="13"/>
  <c r="S284" i="13"/>
  <c r="S285" i="13" s="1"/>
  <c r="R239" i="13"/>
  <c r="Q140" i="13"/>
  <c r="T14" i="13"/>
  <c r="T140" i="13"/>
  <c r="Q32" i="13"/>
  <c r="R307" i="13"/>
  <c r="R116" i="13"/>
  <c r="Q88" i="13"/>
  <c r="R156" i="13"/>
  <c r="Q144" i="13"/>
  <c r="P94" i="13"/>
  <c r="N12" i="13"/>
  <c r="Q190" i="13"/>
  <c r="O190" i="13"/>
  <c r="Q194" i="13"/>
  <c r="P154" i="13"/>
  <c r="P158" i="13"/>
  <c r="P166" i="13"/>
  <c r="R169" i="13"/>
  <c r="P170" i="13"/>
  <c r="P172" i="13"/>
  <c r="P176" i="13"/>
  <c r="P189" i="13"/>
  <c r="P221" i="13"/>
  <c r="N223" i="13"/>
  <c r="Q224" i="13"/>
  <c r="R43" i="7"/>
  <c r="R273" i="13"/>
  <c r="R364" i="13"/>
  <c r="R10" i="13"/>
  <c r="N10" i="13"/>
  <c r="O10" i="13"/>
  <c r="Q172" i="13"/>
  <c r="P204" i="13"/>
  <c r="P211" i="13"/>
  <c r="O215" i="13"/>
  <c r="P230" i="13"/>
  <c r="R242" i="13"/>
  <c r="R275" i="13"/>
  <c r="O9" i="13"/>
  <c r="N9" i="13"/>
  <c r="P17" i="13"/>
  <c r="P19" i="13"/>
  <c r="R20" i="13"/>
  <c r="P21" i="13"/>
  <c r="P25" i="13"/>
  <c r="S36" i="13"/>
  <c r="S37" i="13" s="1"/>
  <c r="P39" i="13"/>
  <c r="P43" i="13"/>
  <c r="P45" i="13"/>
  <c r="R48" i="13"/>
  <c r="P49" i="13"/>
  <c r="P57" i="13"/>
  <c r="R168" i="13"/>
  <c r="P173" i="13"/>
  <c r="P177" i="13"/>
  <c r="P179" i="13"/>
  <c r="O183" i="13"/>
  <c r="Q184" i="13"/>
  <c r="S186" i="13"/>
  <c r="S187" i="13" s="1"/>
  <c r="T205" i="13"/>
  <c r="O209" i="13"/>
  <c r="R209" i="13"/>
  <c r="R210" i="13"/>
  <c r="P213" i="13"/>
  <c r="T299" i="13"/>
  <c r="T313" i="13"/>
  <c r="T369" i="13"/>
  <c r="O176" i="13"/>
  <c r="N176" i="13"/>
  <c r="Q177" i="13"/>
  <c r="P185" i="13"/>
  <c r="N191" i="13"/>
  <c r="N195" i="13"/>
  <c r="O198" i="13"/>
  <c r="N198" i="13"/>
  <c r="P201" i="13"/>
  <c r="P205" i="13"/>
  <c r="R265" i="13"/>
  <c r="T336" i="11"/>
  <c r="N223" i="11"/>
  <c r="N42" i="7"/>
  <c r="T226" i="11"/>
  <c r="Q224" i="11"/>
  <c r="Q225" i="11"/>
  <c r="N225" i="11"/>
  <c r="O225" i="11"/>
  <c r="T222" i="11"/>
  <c r="R225" i="11"/>
  <c r="S221" i="11"/>
  <c r="S222" i="11" s="1"/>
  <c r="P267" i="11"/>
  <c r="N46" i="3"/>
  <c r="Q359" i="11"/>
  <c r="R359" i="11"/>
  <c r="T355" i="11"/>
  <c r="O359" i="11"/>
  <c r="T366" i="11"/>
  <c r="N360" i="11"/>
  <c r="P361" i="11"/>
  <c r="S267" i="11"/>
  <c r="S268" i="11" s="1"/>
  <c r="O253" i="11"/>
  <c r="Q253" i="11"/>
  <c r="T224" i="11"/>
  <c r="O270" i="11"/>
  <c r="R270" i="11"/>
  <c r="Q270" i="11"/>
  <c r="T320" i="11"/>
  <c r="T275" i="11"/>
  <c r="T273" i="11"/>
  <c r="R253" i="11"/>
  <c r="T252" i="11"/>
  <c r="T271" i="11"/>
  <c r="T357" i="11"/>
  <c r="S354" i="11"/>
  <c r="S355" i="11" s="1"/>
  <c r="S141" i="11"/>
  <c r="S142" i="11" s="1"/>
  <c r="S127" i="11"/>
  <c r="S128" i="11" s="1"/>
  <c r="Q61" i="11"/>
  <c r="O146" i="11"/>
  <c r="S71" i="11"/>
  <c r="S72" i="11" s="1"/>
  <c r="O54" i="11"/>
  <c r="T58" i="11"/>
  <c r="S36" i="11"/>
  <c r="S37" i="11" s="1"/>
  <c r="N6" i="11"/>
  <c r="N146" i="11"/>
  <c r="T9" i="11"/>
  <c r="N35" i="7"/>
  <c r="T7" i="11"/>
  <c r="T5" i="11"/>
  <c r="N9" i="11"/>
  <c r="O9" i="11"/>
  <c r="Q17" i="11"/>
  <c r="R17" i="11"/>
  <c r="N17" i="11"/>
  <c r="N19" i="11"/>
  <c r="T23" i="11"/>
  <c r="O25" i="11"/>
  <c r="N25" i="11"/>
  <c r="R25" i="11"/>
  <c r="Q29" i="11"/>
  <c r="N29" i="11"/>
  <c r="R29" i="11"/>
  <c r="N33" i="11"/>
  <c r="Q33" i="11"/>
  <c r="S32" i="11"/>
  <c r="S33" i="11" s="1"/>
  <c r="T35" i="11"/>
  <c r="O37" i="11"/>
  <c r="N37" i="11"/>
  <c r="R37" i="11"/>
  <c r="T44" i="11"/>
  <c r="N39" i="11"/>
  <c r="Q41" i="11"/>
  <c r="N41" i="11"/>
  <c r="O41" i="11"/>
  <c r="R41" i="11"/>
  <c r="Q45" i="11"/>
  <c r="N45" i="11"/>
  <c r="O45" i="11"/>
  <c r="T49" i="11"/>
  <c r="S46" i="11"/>
  <c r="S47" i="11" s="1"/>
  <c r="N47" i="11"/>
  <c r="T51" i="11"/>
  <c r="O49" i="11"/>
  <c r="R49" i="11"/>
  <c r="O57" i="11"/>
  <c r="R57" i="11"/>
  <c r="N61" i="11"/>
  <c r="R61" i="11"/>
  <c r="T61" i="11"/>
  <c r="S60" i="11"/>
  <c r="S61" i="11" s="1"/>
  <c r="N37" i="7"/>
  <c r="N65" i="11"/>
  <c r="O65" i="11"/>
  <c r="N69" i="11"/>
  <c r="Q69" i="11"/>
  <c r="R69" i="11"/>
  <c r="O69" i="11"/>
  <c r="T75" i="11"/>
  <c r="O73" i="11"/>
  <c r="S74" i="11"/>
  <c r="S75" i="11" s="1"/>
  <c r="O77" i="11"/>
  <c r="N77" i="11"/>
  <c r="N81" i="11"/>
  <c r="O81" i="11"/>
  <c r="T84" i="11"/>
  <c r="Q81" i="11"/>
  <c r="N85" i="11"/>
  <c r="O85" i="11"/>
  <c r="N87" i="11"/>
  <c r="T93" i="11"/>
  <c r="O89" i="11"/>
  <c r="N89" i="11"/>
  <c r="S88" i="11"/>
  <c r="S89" i="11" s="1"/>
  <c r="T91" i="11"/>
  <c r="O93" i="11"/>
  <c r="N93" i="11"/>
  <c r="N95" i="11"/>
  <c r="N38" i="7"/>
  <c r="T100" i="11"/>
  <c r="N97" i="11"/>
  <c r="Q97" i="11"/>
  <c r="N101" i="11"/>
  <c r="Q101" i="11"/>
  <c r="O101" i="11"/>
  <c r="T105" i="11"/>
  <c r="P117" i="11"/>
  <c r="S120" i="11"/>
  <c r="S121" i="11" s="1"/>
  <c r="P5" i="11"/>
  <c r="S8" i="11"/>
  <c r="S9" i="11" s="1"/>
  <c r="N38" i="3"/>
  <c r="P17" i="11"/>
  <c r="S22" i="11"/>
  <c r="S23" i="11" s="1"/>
  <c r="P25" i="11"/>
  <c r="S29" i="11"/>
  <c r="S30" i="11" s="1"/>
  <c r="P35" i="11"/>
  <c r="P41" i="11"/>
  <c r="S43" i="11"/>
  <c r="S44" i="11" s="1"/>
  <c r="P45" i="11"/>
  <c r="S50" i="11"/>
  <c r="S51" i="11" s="1"/>
  <c r="P53" i="11"/>
  <c r="S57" i="11"/>
  <c r="S58" i="11" s="1"/>
  <c r="R64" i="11"/>
  <c r="P73" i="11"/>
  <c r="S78" i="11"/>
  <c r="S79" i="11" s="1"/>
  <c r="R96" i="11"/>
  <c r="O106" i="11"/>
  <c r="R106" i="11"/>
  <c r="O110" i="11"/>
  <c r="T110" i="11"/>
  <c r="O118" i="11"/>
  <c r="T117" i="11"/>
  <c r="N118" i="11"/>
  <c r="S116" i="11"/>
  <c r="S117" i="11" s="1"/>
  <c r="O122" i="11"/>
  <c r="N122" i="11"/>
  <c r="Q122" i="11"/>
  <c r="S123" i="11"/>
  <c r="S124" i="11" s="1"/>
  <c r="N126" i="11"/>
  <c r="O126" i="11"/>
  <c r="R126" i="11"/>
  <c r="N130" i="11"/>
  <c r="O130" i="11"/>
  <c r="R130" i="11"/>
  <c r="T131" i="11"/>
  <c r="N134" i="11"/>
  <c r="Q134" i="11"/>
  <c r="N138" i="11"/>
  <c r="O138" i="11"/>
  <c r="S137" i="11"/>
  <c r="S138" i="11" s="1"/>
  <c r="R138" i="11"/>
  <c r="Q138" i="11"/>
  <c r="T140" i="11"/>
  <c r="N142" i="11"/>
  <c r="R142" i="11"/>
  <c r="O150" i="11"/>
  <c r="Q150" i="11"/>
  <c r="N150" i="11"/>
  <c r="S151" i="11"/>
  <c r="S152" i="11" s="1"/>
  <c r="T156" i="11"/>
  <c r="Q251" i="11"/>
  <c r="T250" i="11"/>
  <c r="S249" i="11"/>
  <c r="S250" i="11" s="1"/>
  <c r="P292" i="11"/>
  <c r="S295" i="11"/>
  <c r="S296" i="11" s="1"/>
  <c r="P332" i="11"/>
  <c r="S337" i="11"/>
  <c r="S338" i="11" s="1"/>
  <c r="N10" i="11"/>
  <c r="T12" i="11"/>
  <c r="O18" i="11"/>
  <c r="Q18" i="11"/>
  <c r="N18" i="11"/>
  <c r="N22" i="11"/>
  <c r="O22" i="11"/>
  <c r="T30" i="11"/>
  <c r="N24" i="11"/>
  <c r="O26" i="11"/>
  <c r="N26" i="11"/>
  <c r="N30" i="11"/>
  <c r="Q30" i="11"/>
  <c r="R30" i="11"/>
  <c r="N22" i="3"/>
  <c r="O99" i="7" s="1"/>
  <c r="O34" i="11"/>
  <c r="O38" i="11"/>
  <c r="R38" i="11"/>
  <c r="Q38" i="11"/>
  <c r="N38" i="11"/>
  <c r="N42" i="11"/>
  <c r="O42" i="11"/>
  <c r="R42" i="11"/>
  <c r="R46" i="11"/>
  <c r="N46" i="11"/>
  <c r="O58" i="11"/>
  <c r="Q58" i="11"/>
  <c r="O62" i="11"/>
  <c r="N62" i="11"/>
  <c r="Q66" i="11"/>
  <c r="N66" i="11"/>
  <c r="T68" i="11"/>
  <c r="S67" i="11"/>
  <c r="S68" i="11" s="1"/>
  <c r="O70" i="11"/>
  <c r="N70" i="11"/>
  <c r="Q70" i="11"/>
  <c r="O74" i="11"/>
  <c r="R74" i="11"/>
  <c r="N74" i="11"/>
  <c r="N78" i="11"/>
  <c r="O78" i="11"/>
  <c r="N86" i="11"/>
  <c r="R86" i="11"/>
  <c r="Q90" i="11"/>
  <c r="O90" i="11"/>
  <c r="R90" i="11"/>
  <c r="O94" i="11"/>
  <c r="N94" i="11"/>
  <c r="S95" i="11"/>
  <c r="S96" i="11" s="1"/>
  <c r="R94" i="11"/>
  <c r="T96" i="11"/>
  <c r="O98" i="11"/>
  <c r="N98" i="11"/>
  <c r="R98" i="11"/>
  <c r="N238" i="11"/>
  <c r="T240" i="11"/>
  <c r="N276" i="11"/>
  <c r="N43" i="7"/>
  <c r="O278" i="11"/>
  <c r="R278" i="11"/>
  <c r="T280" i="11"/>
  <c r="T308" i="11"/>
  <c r="O314" i="11"/>
  <c r="Q314" i="11"/>
  <c r="S312" i="11"/>
  <c r="S313" i="11" s="1"/>
  <c r="Q9" i="11"/>
  <c r="R50" i="11"/>
  <c r="S11" i="11"/>
  <c r="S12" i="11" s="1"/>
  <c r="T28" i="11"/>
  <c r="T47" i="11"/>
  <c r="Q54" i="11"/>
  <c r="Q14" i="11"/>
  <c r="T79" i="11"/>
  <c r="T56" i="11"/>
  <c r="T26" i="11"/>
  <c r="T82" i="11"/>
  <c r="R114" i="11"/>
  <c r="R10" i="11"/>
  <c r="T103" i="11"/>
  <c r="R5" i="11"/>
  <c r="R82" i="11"/>
  <c r="Q110" i="11"/>
  <c r="Q6" i="11"/>
  <c r="N25" i="3"/>
  <c r="Q89" i="11"/>
  <c r="Q77" i="11"/>
  <c r="Q64" i="11"/>
  <c r="T278" i="11"/>
  <c r="S99" i="11"/>
  <c r="S100" i="11" s="1"/>
  <c r="R34" i="11"/>
  <c r="R9" i="11"/>
  <c r="T77" i="11"/>
  <c r="Q42" i="11"/>
  <c r="Q37" i="11"/>
  <c r="Q46" i="11"/>
  <c r="O53" i="11"/>
  <c r="O21" i="11"/>
  <c r="S25" i="11"/>
  <c r="S26" i="11" s="1"/>
  <c r="T296" i="11"/>
  <c r="T86" i="11"/>
  <c r="T89" i="11"/>
  <c r="R110" i="11"/>
  <c r="R319" i="11"/>
  <c r="O82" i="11"/>
  <c r="R22" i="11"/>
  <c r="R53" i="11"/>
  <c r="N39" i="7"/>
  <c r="T98" i="11"/>
  <c r="R33" i="11"/>
  <c r="Q21" i="11"/>
  <c r="O63" i="11"/>
  <c r="T72" i="11"/>
  <c r="R102" i="11"/>
  <c r="T128" i="11"/>
  <c r="T107" i="11"/>
  <c r="R62" i="11"/>
  <c r="R97" i="11"/>
  <c r="P63" i="11"/>
  <c r="N36" i="7"/>
  <c r="N47" i="3"/>
  <c r="T348" i="11"/>
  <c r="S148" i="11"/>
  <c r="S149" i="11" s="1"/>
  <c r="T350" i="11"/>
  <c r="S134" i="11"/>
  <c r="S135" i="11" s="1"/>
  <c r="R188" i="11"/>
  <c r="O119" i="11"/>
  <c r="N119" i="11"/>
  <c r="N43" i="3"/>
  <c r="K73" i="29" s="1"/>
  <c r="N45" i="3"/>
  <c r="O154" i="11"/>
  <c r="N214" i="11"/>
  <c r="Q228" i="11"/>
  <c r="T389" i="11"/>
  <c r="S389" i="11"/>
  <c r="N151" i="11"/>
  <c r="N182" i="11"/>
  <c r="Q218" i="11"/>
  <c r="N227" i="11"/>
  <c r="P228" i="11"/>
  <c r="N178" i="11"/>
  <c r="P126" i="11"/>
  <c r="P136" i="11"/>
  <c r="P140" i="11"/>
  <c r="P150" i="11"/>
  <c r="P154" i="11"/>
  <c r="P160" i="11"/>
  <c r="P162" i="11"/>
  <c r="P164" i="11"/>
  <c r="P168" i="11"/>
  <c r="P172" i="11"/>
  <c r="P174" i="11"/>
  <c r="P176" i="11"/>
  <c r="P182" i="11"/>
  <c r="P186" i="11"/>
  <c r="P196" i="11"/>
  <c r="P202" i="11"/>
  <c r="P204" i="11"/>
  <c r="P206" i="11"/>
  <c r="P214" i="11"/>
  <c r="P218" i="11"/>
  <c r="T336" i="12"/>
  <c r="Q319" i="12"/>
  <c r="T231" i="12"/>
  <c r="S330" i="12"/>
  <c r="S331" i="12" s="1"/>
  <c r="T320" i="12"/>
  <c r="O226" i="12"/>
  <c r="R273" i="12"/>
  <c r="P30" i="3"/>
  <c r="Q92" i="7" s="1"/>
  <c r="Q294" i="12"/>
  <c r="O294" i="12"/>
  <c r="N311" i="12"/>
  <c r="P45" i="7"/>
  <c r="R228" i="12"/>
  <c r="O237" i="12"/>
  <c r="Q237" i="12"/>
  <c r="O231" i="12"/>
  <c r="N231" i="12"/>
  <c r="S228" i="12"/>
  <c r="S229" i="12" s="1"/>
  <c r="R291" i="12"/>
  <c r="R337" i="12"/>
  <c r="N248" i="12"/>
  <c r="P43" i="7"/>
  <c r="P15" i="4"/>
  <c r="N338" i="12"/>
  <c r="N6" i="12"/>
  <c r="T16" i="12"/>
  <c r="T19" i="12"/>
  <c r="R30" i="12"/>
  <c r="O30" i="12"/>
  <c r="N32" i="12"/>
  <c r="T37" i="12"/>
  <c r="Q34" i="12"/>
  <c r="N38" i="12"/>
  <c r="S39" i="12"/>
  <c r="S40" i="12" s="1"/>
  <c r="R42" i="12"/>
  <c r="N42" i="12"/>
  <c r="Q42" i="12"/>
  <c r="O74" i="12"/>
  <c r="N74" i="12"/>
  <c r="N78" i="12"/>
  <c r="O78" i="12"/>
  <c r="N80" i="12"/>
  <c r="T86" i="12"/>
  <c r="N96" i="12"/>
  <c r="P38" i="7"/>
  <c r="O114" i="12"/>
  <c r="R114" i="12"/>
  <c r="N114" i="12"/>
  <c r="Q118" i="12"/>
  <c r="N118" i="12"/>
  <c r="R134" i="12"/>
  <c r="N134" i="12"/>
  <c r="R142" i="12"/>
  <c r="O142" i="12"/>
  <c r="Q162" i="12"/>
  <c r="R162" i="12"/>
  <c r="O188" i="12"/>
  <c r="P41" i="7"/>
  <c r="N188" i="12"/>
  <c r="O190" i="12"/>
  <c r="R190" i="12"/>
  <c r="N202" i="12"/>
  <c r="O202" i="12"/>
  <c r="R202" i="12"/>
  <c r="P44" i="7"/>
  <c r="S319" i="12"/>
  <c r="S320" i="12" s="1"/>
  <c r="T224" i="12"/>
  <c r="T236" i="12"/>
  <c r="R223" i="12"/>
  <c r="Q337" i="12"/>
  <c r="P224" i="12"/>
  <c r="T233" i="12"/>
  <c r="P48" i="3"/>
  <c r="N226" i="12"/>
  <c r="N233" i="12"/>
  <c r="O363" i="12"/>
  <c r="P228" i="12"/>
  <c r="O224" i="12"/>
  <c r="S4" i="1"/>
  <c r="Q247" i="1"/>
  <c r="S242" i="1"/>
  <c r="S243" i="1" s="1"/>
  <c r="P188" i="1"/>
  <c r="S256" i="1"/>
  <c r="Q275" i="1"/>
  <c r="O268" i="1"/>
  <c r="Q268" i="1"/>
  <c r="R275" i="1"/>
  <c r="T259" i="1"/>
  <c r="P94" i="1"/>
  <c r="P30" i="1"/>
  <c r="D16" i="3"/>
  <c r="O261" i="1"/>
  <c r="P101" i="1"/>
  <c r="R268" i="1"/>
  <c r="O3" i="1"/>
  <c r="P124" i="1"/>
  <c r="P60" i="1"/>
  <c r="P12" i="1"/>
  <c r="P192" i="1"/>
  <c r="P176" i="1"/>
  <c r="T373" i="1"/>
  <c r="P210" i="1"/>
  <c r="P33" i="1"/>
  <c r="Q51" i="1"/>
  <c r="Q36" i="1"/>
  <c r="N122" i="1"/>
  <c r="O293" i="1"/>
  <c r="R347" i="1"/>
  <c r="R293" i="1"/>
  <c r="T252" i="1"/>
  <c r="T341" i="1"/>
  <c r="T287" i="1"/>
  <c r="T261" i="1"/>
  <c r="Q347" i="1"/>
  <c r="T389" i="1"/>
  <c r="R389" i="1"/>
  <c r="H41" i="7"/>
  <c r="H6" i="3"/>
  <c r="H28" i="3"/>
  <c r="S389" i="6"/>
  <c r="T135" i="10"/>
  <c r="T117" i="10"/>
  <c r="T142" i="10"/>
  <c r="T166" i="10"/>
  <c r="R140" i="10"/>
  <c r="Q36" i="10"/>
  <c r="R12" i="10"/>
  <c r="R120" i="10"/>
  <c r="O100" i="10"/>
  <c r="S88" i="10"/>
  <c r="S89" i="10" s="1"/>
  <c r="T63" i="10"/>
  <c r="S32" i="10"/>
  <c r="S33" i="10" s="1"/>
  <c r="T51" i="10"/>
  <c r="T14" i="10"/>
  <c r="S46" i="10"/>
  <c r="S47" i="10" s="1"/>
  <c r="T61" i="10"/>
  <c r="R16" i="10"/>
  <c r="T147" i="10"/>
  <c r="T79" i="10"/>
  <c r="O52" i="10"/>
  <c r="T121" i="10"/>
  <c r="T93" i="10"/>
  <c r="R132" i="10"/>
  <c r="R148" i="10"/>
  <c r="O4" i="10"/>
  <c r="S4" i="10"/>
  <c r="S5" i="10" s="1"/>
  <c r="O6" i="10"/>
  <c r="R20" i="10"/>
  <c r="S18" i="10"/>
  <c r="S19" i="10" s="1"/>
  <c r="O28" i="10"/>
  <c r="N28" i="10"/>
  <c r="N36" i="10"/>
  <c r="O36" i="10"/>
  <c r="O40" i="10"/>
  <c r="N40" i="10"/>
  <c r="N44" i="10"/>
  <c r="O44" i="10"/>
  <c r="O64" i="10"/>
  <c r="L23" i="3"/>
  <c r="M100" i="7" s="1"/>
  <c r="Q68" i="10"/>
  <c r="N68" i="10"/>
  <c r="N76" i="10"/>
  <c r="O76" i="10"/>
  <c r="Q76" i="10"/>
  <c r="N80" i="10"/>
  <c r="O80" i="10"/>
  <c r="N92" i="10"/>
  <c r="Q92" i="10"/>
  <c r="N96" i="10"/>
  <c r="L24" i="3"/>
  <c r="M101" i="7" s="1"/>
  <c r="Q96" i="10"/>
  <c r="L39" i="7"/>
  <c r="N126" i="10"/>
  <c r="O136" i="10"/>
  <c r="N136" i="10"/>
  <c r="R152" i="10"/>
  <c r="N152" i="10"/>
  <c r="T96" i="10"/>
  <c r="O124" i="10"/>
  <c r="T112" i="10"/>
  <c r="O84" i="10"/>
  <c r="T7" i="10"/>
  <c r="T107" i="10"/>
  <c r="R52" i="10"/>
  <c r="Q152" i="10"/>
  <c r="R60" i="10"/>
  <c r="Q48" i="10"/>
  <c r="R24" i="10"/>
  <c r="Q160" i="10"/>
  <c r="R104" i="10"/>
  <c r="S11" i="10"/>
  <c r="S12" i="10" s="1"/>
  <c r="O94" i="10"/>
  <c r="N52" i="10"/>
  <c r="O68" i="10"/>
  <c r="N116" i="10"/>
  <c r="Q116" i="10"/>
  <c r="N156" i="10"/>
  <c r="S137" i="10"/>
  <c r="S138" i="10" s="1"/>
  <c r="Q148" i="10"/>
  <c r="T89" i="10"/>
  <c r="Q108" i="10"/>
  <c r="O152" i="10"/>
  <c r="S25" i="10"/>
  <c r="S26" i="10" s="1"/>
  <c r="R124" i="10"/>
  <c r="O112" i="10"/>
  <c r="O92" i="10"/>
  <c r="R84" i="10"/>
  <c r="T40" i="10"/>
  <c r="T70" i="10"/>
  <c r="R8" i="10"/>
  <c r="R40" i="10"/>
  <c r="T98" i="10"/>
  <c r="Q144" i="10"/>
  <c r="S74" i="10"/>
  <c r="S75" i="10" s="1"/>
  <c r="T19" i="10"/>
  <c r="T26" i="10"/>
  <c r="R80" i="10"/>
  <c r="O20" i="10"/>
  <c r="Q3" i="10"/>
  <c r="L25" i="3"/>
  <c r="N12" i="10"/>
  <c r="N32" i="10"/>
  <c r="O108" i="10"/>
  <c r="N128" i="10"/>
  <c r="N140" i="10"/>
  <c r="T82" i="10"/>
  <c r="O144" i="10"/>
  <c r="Q24" i="10"/>
  <c r="R112" i="10"/>
  <c r="R92" i="10"/>
  <c r="T86" i="10"/>
  <c r="T44" i="10"/>
  <c r="O24" i="10"/>
  <c r="T131" i="10"/>
  <c r="S109" i="10"/>
  <c r="S110" i="10" s="1"/>
  <c r="T77" i="10"/>
  <c r="T58" i="10"/>
  <c r="Q64" i="10"/>
  <c r="S130" i="10"/>
  <c r="S131" i="10" s="1"/>
  <c r="R72" i="10"/>
  <c r="R28" i="10"/>
  <c r="S144" i="10"/>
  <c r="S145" i="10" s="1"/>
  <c r="T23" i="10"/>
  <c r="T35" i="10"/>
  <c r="Q20" i="10"/>
  <c r="S67" i="10"/>
  <c r="S68" i="10" s="1"/>
  <c r="O148" i="10"/>
  <c r="N56" i="10"/>
  <c r="L45" i="3"/>
  <c r="X33" i="29" s="1"/>
  <c r="N172" i="10"/>
  <c r="Q106" i="10"/>
  <c r="Q146" i="10"/>
  <c r="Q207" i="10"/>
  <c r="Q210" i="10"/>
  <c r="P155" i="10"/>
  <c r="P227" i="10"/>
  <c r="P231" i="10"/>
  <c r="P253" i="10"/>
  <c r="O255" i="10"/>
  <c r="N200" i="10"/>
  <c r="P186" i="10"/>
  <c r="P208" i="10"/>
  <c r="P212" i="10"/>
  <c r="P220" i="10"/>
  <c r="P222" i="10"/>
  <c r="P224" i="10"/>
  <c r="P226" i="10"/>
  <c r="P228" i="10"/>
  <c r="L84" i="7"/>
  <c r="S389" i="10"/>
  <c r="Q188" i="10"/>
  <c r="L26" i="4"/>
  <c r="O220" i="10"/>
  <c r="R389" i="10"/>
  <c r="S151" i="1"/>
  <c r="S152" i="1" s="1"/>
  <c r="O155" i="1"/>
  <c r="N3" i="1"/>
  <c r="T156" i="1"/>
  <c r="P113" i="1"/>
  <c r="O179" i="10"/>
  <c r="N179" i="10"/>
  <c r="O187" i="10"/>
  <c r="N187" i="10"/>
  <c r="O191" i="10"/>
  <c r="N207" i="10"/>
  <c r="O157" i="10"/>
  <c r="O165" i="10"/>
  <c r="N167" i="10"/>
  <c r="O193" i="10"/>
  <c r="N195" i="10"/>
  <c r="O209" i="10"/>
  <c r="N211" i="10"/>
  <c r="O217" i="10"/>
  <c r="N219" i="10"/>
  <c r="R42" i="7"/>
  <c r="T219" i="13"/>
  <c r="N217" i="13"/>
  <c r="N219" i="13"/>
  <c r="O219" i="13"/>
  <c r="R219" i="13"/>
  <c r="Q219" i="13"/>
  <c r="T215" i="13"/>
  <c r="P229" i="13"/>
  <c r="R45" i="3"/>
  <c r="S232" i="13"/>
  <c r="S233" i="13" s="1"/>
  <c r="R251" i="13"/>
  <c r="O251" i="13"/>
  <c r="T254" i="13"/>
  <c r="R29" i="3"/>
  <c r="R253" i="13"/>
  <c r="Q253" i="13"/>
  <c r="O253" i="13"/>
  <c r="Q257" i="13"/>
  <c r="O257" i="13"/>
  <c r="R257" i="13"/>
  <c r="T259" i="13"/>
  <c r="S256" i="13"/>
  <c r="S257" i="13" s="1"/>
  <c r="T257" i="13"/>
  <c r="O260" i="13"/>
  <c r="R260" i="13"/>
  <c r="Q260" i="13"/>
  <c r="P262" i="13"/>
  <c r="S267" i="13"/>
  <c r="S268" i="13" s="1"/>
  <c r="R46" i="3"/>
  <c r="AA43" i="29" s="1"/>
  <c r="Q267" i="13"/>
  <c r="R267" i="13"/>
  <c r="O267" i="13"/>
  <c r="P269" i="13"/>
  <c r="S274" i="13"/>
  <c r="S275" i="13" s="1"/>
  <c r="Q221" i="11"/>
  <c r="Q251" i="13"/>
  <c r="N197" i="9"/>
  <c r="N224" i="10"/>
  <c r="N193" i="9"/>
  <c r="N217" i="9"/>
  <c r="O228" i="12"/>
  <c r="T273" i="13"/>
  <c r="T245" i="13"/>
  <c r="R3" i="13"/>
  <c r="S302" i="13"/>
  <c r="S303" i="13" s="1"/>
  <c r="N73" i="13"/>
  <c r="R190" i="13"/>
  <c r="T189" i="13"/>
  <c r="P191" i="13"/>
  <c r="S190" i="13"/>
  <c r="S191" i="13" s="1"/>
  <c r="T196" i="13"/>
  <c r="R194" i="13"/>
  <c r="T201" i="13"/>
  <c r="R206" i="13"/>
  <c r="S207" i="13"/>
  <c r="S208" i="13" s="1"/>
  <c r="N206" i="13"/>
  <c r="O206" i="13"/>
  <c r="Q206" i="13"/>
  <c r="T212" i="13"/>
  <c r="N216" i="13"/>
  <c r="Q216" i="13"/>
  <c r="S214" i="13"/>
  <c r="S215" i="13" s="1"/>
  <c r="R216" i="13"/>
  <c r="O238" i="13"/>
  <c r="Q238" i="13"/>
  <c r="R238" i="13"/>
  <c r="P282" i="13"/>
  <c r="S281" i="13"/>
  <c r="S282" i="13" s="1"/>
  <c r="R304" i="13"/>
  <c r="O304" i="13"/>
  <c r="T306" i="13"/>
  <c r="Q304" i="13"/>
  <c r="N307" i="13"/>
  <c r="T310" i="13"/>
  <c r="P320" i="13"/>
  <c r="S323" i="13"/>
  <c r="S324" i="13" s="1"/>
  <c r="R362" i="13"/>
  <c r="Q362" i="13"/>
  <c r="O266" i="13"/>
  <c r="T264" i="13"/>
  <c r="Q266" i="13"/>
  <c r="S263" i="13"/>
  <c r="S264" i="13" s="1"/>
  <c r="R266" i="13"/>
  <c r="T268" i="13"/>
  <c r="N281" i="13"/>
  <c r="P174" i="13"/>
  <c r="S176" i="13"/>
  <c r="S177" i="13" s="1"/>
  <c r="P193" i="13"/>
  <c r="O236" i="13"/>
  <c r="T236" i="13"/>
  <c r="T238" i="13"/>
  <c r="R30" i="3"/>
  <c r="O280" i="13"/>
  <c r="T278" i="13"/>
  <c r="R280" i="13"/>
  <c r="Q280" i="13"/>
  <c r="T362" i="13"/>
  <c r="S239" i="13"/>
  <c r="S240" i="13" s="1"/>
  <c r="S8" i="13"/>
  <c r="S9" i="13" s="1"/>
  <c r="S11" i="13"/>
  <c r="S12" i="13" s="1"/>
  <c r="R15" i="13"/>
  <c r="O15" i="13"/>
  <c r="T12" i="13"/>
  <c r="Q15" i="13"/>
  <c r="N17" i="13"/>
  <c r="T23" i="13"/>
  <c r="Q19" i="13"/>
  <c r="N19" i="13"/>
  <c r="T19" i="13"/>
  <c r="T21" i="13"/>
  <c r="S18" i="13"/>
  <c r="S19" i="13" s="1"/>
  <c r="R19" i="13"/>
  <c r="O23" i="13"/>
  <c r="Q23" i="13"/>
  <c r="R23" i="13"/>
  <c r="N23" i="13"/>
  <c r="N27" i="13"/>
  <c r="T28" i="13"/>
  <c r="Q27" i="13"/>
  <c r="O27" i="13"/>
  <c r="T26" i="13"/>
  <c r="O31" i="13"/>
  <c r="Q31" i="13"/>
  <c r="T33" i="13"/>
  <c r="N31" i="13"/>
  <c r="S32" i="13"/>
  <c r="S33" i="13" s="1"/>
  <c r="T35" i="13"/>
  <c r="R35" i="13"/>
  <c r="N35" i="13"/>
  <c r="Q35" i="13"/>
  <c r="O37" i="13"/>
  <c r="N37" i="13"/>
  <c r="R36" i="7"/>
  <c r="S39" i="13"/>
  <c r="S40" i="13" s="1"/>
  <c r="T42" i="13"/>
  <c r="O39" i="13"/>
  <c r="Q39" i="13"/>
  <c r="R39" i="13"/>
  <c r="R43" i="13"/>
  <c r="O43" i="13"/>
  <c r="Q47" i="13"/>
  <c r="S46" i="13"/>
  <c r="S47" i="13" s="1"/>
  <c r="R47" i="13"/>
  <c r="O47" i="13"/>
  <c r="T47" i="13"/>
  <c r="T49" i="13"/>
  <c r="R51" i="13"/>
  <c r="O51" i="13"/>
  <c r="Q51" i="13"/>
  <c r="N53" i="13"/>
  <c r="T58" i="13"/>
  <c r="N55" i="13"/>
  <c r="O55" i="13"/>
  <c r="S53" i="13"/>
  <c r="S54" i="13" s="1"/>
  <c r="R55" i="13"/>
  <c r="T54" i="13"/>
  <c r="O59" i="13"/>
  <c r="T63" i="13"/>
  <c r="R59" i="13"/>
  <c r="S60" i="13"/>
  <c r="S61" i="13" s="1"/>
  <c r="Q59" i="13"/>
  <c r="O63" i="13"/>
  <c r="R63" i="13"/>
  <c r="N65" i="13"/>
  <c r="Q66" i="13"/>
  <c r="N67" i="13"/>
  <c r="R67" i="13"/>
  <c r="T70" i="13"/>
  <c r="S67" i="13"/>
  <c r="S68" i="13" s="1"/>
  <c r="N69" i="13"/>
  <c r="T72" i="13"/>
  <c r="O71" i="13"/>
  <c r="N71" i="13"/>
  <c r="Q71" i="13"/>
  <c r="R71" i="13"/>
  <c r="T75" i="13"/>
  <c r="Q75" i="13"/>
  <c r="T77" i="13"/>
  <c r="R75" i="13"/>
  <c r="O79" i="13"/>
  <c r="N79" i="13"/>
  <c r="Q79" i="13"/>
  <c r="N81" i="13"/>
  <c r="T86" i="13"/>
  <c r="Q83" i="13"/>
  <c r="S81" i="13"/>
  <c r="S82" i="13" s="1"/>
  <c r="R83" i="13"/>
  <c r="N83" i="13"/>
  <c r="R87" i="13"/>
  <c r="T89" i="13"/>
  <c r="O87" i="13"/>
  <c r="T91" i="13"/>
  <c r="N89" i="13"/>
  <c r="T93" i="13"/>
  <c r="P92" i="13"/>
  <c r="Q94" i="13"/>
  <c r="O95" i="13"/>
  <c r="R95" i="13"/>
  <c r="T96" i="13"/>
  <c r="S95" i="13"/>
  <c r="S96" i="13" s="1"/>
  <c r="R38" i="7"/>
  <c r="N97" i="13"/>
  <c r="N99" i="13"/>
  <c r="R99" i="13"/>
  <c r="R103" i="13"/>
  <c r="O103" i="13"/>
  <c r="N103" i="13"/>
  <c r="T105" i="13"/>
  <c r="T103" i="13"/>
  <c r="Q107" i="13"/>
  <c r="N107" i="13"/>
  <c r="O107" i="13"/>
  <c r="O111" i="13"/>
  <c r="R111" i="13"/>
  <c r="T119" i="13"/>
  <c r="N115" i="13"/>
  <c r="O115" i="13"/>
  <c r="T117" i="13"/>
  <c r="R115" i="13"/>
  <c r="S116" i="13"/>
  <c r="S117" i="13" s="1"/>
  <c r="N117" i="13"/>
  <c r="T121" i="13"/>
  <c r="T126" i="13"/>
  <c r="N123" i="13"/>
  <c r="O123" i="13"/>
  <c r="S123" i="13"/>
  <c r="S124" i="13" s="1"/>
  <c r="Q123" i="13"/>
  <c r="R123" i="13"/>
  <c r="R39" i="7"/>
  <c r="N125" i="13"/>
  <c r="Q127" i="13"/>
  <c r="R127" i="13"/>
  <c r="O127" i="13"/>
  <c r="N127" i="13"/>
  <c r="T133" i="13"/>
  <c r="O131" i="13"/>
  <c r="Q131" i="13"/>
  <c r="S130" i="13"/>
  <c r="S131" i="13" s="1"/>
  <c r="R139" i="13"/>
  <c r="T138" i="13"/>
  <c r="S137" i="13"/>
  <c r="S138" i="13" s="1"/>
  <c r="N139" i="13"/>
  <c r="O139" i="13"/>
  <c r="R143" i="13"/>
  <c r="T145" i="13"/>
  <c r="N143" i="13"/>
  <c r="T147" i="13"/>
  <c r="Q143" i="13"/>
  <c r="N145" i="13"/>
  <c r="T149" i="13"/>
  <c r="Q147" i="13"/>
  <c r="R147" i="13"/>
  <c r="O147" i="13"/>
  <c r="N147" i="13"/>
  <c r="N161" i="13"/>
  <c r="R40" i="7"/>
  <c r="R163" i="13"/>
  <c r="T159" i="13"/>
  <c r="S158" i="13"/>
  <c r="S159" i="13" s="1"/>
  <c r="Q163" i="13"/>
  <c r="T161" i="13"/>
  <c r="O165" i="13"/>
  <c r="N167" i="13"/>
  <c r="R167" i="13"/>
  <c r="T166" i="13"/>
  <c r="Q167" i="13"/>
  <c r="Q218" i="13"/>
  <c r="O218" i="13"/>
  <c r="R218" i="13"/>
  <c r="N220" i="13"/>
  <c r="T226" i="13"/>
  <c r="P223" i="13"/>
  <c r="S246" i="13"/>
  <c r="S247" i="13" s="1"/>
  <c r="P241" i="13"/>
  <c r="N63" i="13"/>
  <c r="T30" i="13"/>
  <c r="Q87" i="13"/>
  <c r="R23" i="3"/>
  <c r="O212" i="13"/>
  <c r="Q212" i="13"/>
  <c r="N212" i="13"/>
  <c r="O217" i="13"/>
  <c r="T240" i="13"/>
  <c r="N235" i="13"/>
  <c r="N270" i="13"/>
  <c r="T275" i="13"/>
  <c r="N288" i="13"/>
  <c r="T289" i="13"/>
  <c r="T294" i="13"/>
  <c r="S291" i="13"/>
  <c r="S292" i="13" s="1"/>
  <c r="T292" i="13"/>
  <c r="Q295" i="13"/>
  <c r="T250" i="13"/>
  <c r="N248" i="13"/>
  <c r="R35" i="7"/>
  <c r="R150" i="13"/>
  <c r="T154" i="13"/>
  <c r="T175" i="13"/>
  <c r="O171" i="13"/>
  <c r="T222" i="13"/>
  <c r="R225" i="13"/>
  <c r="Q228" i="13"/>
  <c r="T231" i="13"/>
  <c r="T247" i="13"/>
  <c r="N242" i="13"/>
  <c r="N341" i="13"/>
  <c r="T345" i="13"/>
  <c r="R16" i="3"/>
  <c r="S80" i="3" s="1"/>
  <c r="Q249" i="13"/>
  <c r="R249" i="13"/>
  <c r="N290" i="13"/>
  <c r="T296" i="13"/>
  <c r="Q360" i="13"/>
  <c r="R32" i="3"/>
  <c r="O360" i="13"/>
  <c r="N233" i="13"/>
  <c r="O233" i="13"/>
  <c r="Q233" i="13"/>
  <c r="Q284" i="13"/>
  <c r="T287" i="13"/>
  <c r="S337" i="13"/>
  <c r="S338" i="13" s="1"/>
  <c r="O363" i="13"/>
  <c r="Q3" i="13"/>
  <c r="R39" i="3"/>
  <c r="S39" i="3" s="1"/>
  <c r="P37" i="13"/>
  <c r="S57" i="13"/>
  <c r="S58" i="13" s="1"/>
  <c r="P53" i="13"/>
  <c r="P165" i="13"/>
  <c r="N171" i="13"/>
  <c r="O173" i="13"/>
  <c r="Q173" i="13"/>
  <c r="R173" i="13"/>
  <c r="N213" i="13"/>
  <c r="T217" i="13"/>
  <c r="R12" i="3"/>
  <c r="N228" i="13"/>
  <c r="Q264" i="13"/>
  <c r="T266" i="13"/>
  <c r="R264" i="13"/>
  <c r="T366" i="13"/>
  <c r="S249" i="13"/>
  <c r="S250" i="13" s="1"/>
  <c r="T364" i="13"/>
  <c r="R284" i="13"/>
  <c r="T233" i="13"/>
  <c r="O187" i="13"/>
  <c r="N203" i="13"/>
  <c r="S200" i="13"/>
  <c r="S201" i="13" s="1"/>
  <c r="R203" i="13"/>
  <c r="O203" i="13"/>
  <c r="O220" i="13"/>
  <c r="Q259" i="13"/>
  <c r="O259" i="13"/>
  <c r="Q308" i="13"/>
  <c r="O308" i="13"/>
  <c r="O313" i="13"/>
  <c r="S312" i="13"/>
  <c r="S313" i="13" s="1"/>
  <c r="Q313" i="13"/>
  <c r="R331" i="13"/>
  <c r="R248" i="13"/>
  <c r="R360" i="13"/>
  <c r="T261" i="13"/>
  <c r="T229" i="13"/>
  <c r="R233" i="13"/>
  <c r="N225" i="13"/>
  <c r="P150" i="13"/>
  <c r="S155" i="13"/>
  <c r="S156" i="13" s="1"/>
  <c r="P152" i="13"/>
  <c r="N170" i="13"/>
  <c r="Q170" i="13"/>
  <c r="R170" i="13"/>
  <c r="O174" i="13"/>
  <c r="N174" i="13"/>
  <c r="N178" i="13"/>
  <c r="O178" i="13"/>
  <c r="R11" i="3"/>
  <c r="S75" i="3" s="1"/>
  <c r="P187" i="13"/>
  <c r="R41" i="7"/>
  <c r="Q189" i="13"/>
  <c r="O189" i="13"/>
  <c r="N189" i="13"/>
  <c r="O248" i="13"/>
  <c r="T252" i="13"/>
  <c r="O22" i="13"/>
  <c r="N64" i="13"/>
  <c r="O164" i="13"/>
  <c r="N39" i="13"/>
  <c r="O73" i="13"/>
  <c r="N87" i="13"/>
  <c r="N131" i="13"/>
  <c r="R389" i="6"/>
  <c r="T389" i="6"/>
  <c r="J57" i="7"/>
  <c r="J90" i="7"/>
  <c r="R56" i="7"/>
  <c r="N85" i="7"/>
  <c r="L51" i="7"/>
  <c r="L5" i="4"/>
  <c r="P25" i="4"/>
  <c r="O60" i="33" s="1"/>
  <c r="P26" i="3"/>
  <c r="I36" i="25" l="1"/>
  <c r="S73" i="3"/>
  <c r="S9" i="3"/>
  <c r="S23" i="3"/>
  <c r="S100" i="7"/>
  <c r="S72" i="3"/>
  <c r="T101" i="3"/>
  <c r="U101" i="3" s="1"/>
  <c r="U86" i="3"/>
  <c r="H24" i="29"/>
  <c r="K8" i="29" s="1"/>
  <c r="G19" i="22" s="1"/>
  <c r="J22" i="8"/>
  <c r="I19" i="22"/>
  <c r="I22" i="22"/>
  <c r="I23" i="22"/>
  <c r="I20" i="22"/>
  <c r="I21" i="22"/>
  <c r="I17" i="22"/>
  <c r="S71" i="3"/>
  <c r="S7" i="3"/>
  <c r="M43" i="29"/>
  <c r="M44" i="29" s="1"/>
  <c r="M13" i="29" s="1"/>
  <c r="S40" i="3"/>
  <c r="I70" i="3"/>
  <c r="I10" i="25"/>
  <c r="I78" i="3"/>
  <c r="I18" i="25"/>
  <c r="I74" i="3"/>
  <c r="I14" i="25"/>
  <c r="I73" i="3"/>
  <c r="I13" i="25"/>
  <c r="I71" i="3"/>
  <c r="I11" i="25"/>
  <c r="I16" i="3"/>
  <c r="I20" i="25"/>
  <c r="I12" i="8"/>
  <c r="T91" i="5" s="1"/>
  <c r="D36" i="8"/>
  <c r="J36" i="8"/>
  <c r="D110" i="3"/>
  <c r="E110" i="3" s="1"/>
  <c r="F12" i="8"/>
  <c r="T90" i="5" s="1"/>
  <c r="K36" i="8"/>
  <c r="E36" i="8"/>
  <c r="J110" i="3"/>
  <c r="P110" i="3"/>
  <c r="F110" i="3"/>
  <c r="L110" i="3"/>
  <c r="H110" i="3"/>
  <c r="N110" i="3"/>
  <c r="R106" i="3"/>
  <c r="S106" i="3" s="1"/>
  <c r="S69" i="3"/>
  <c r="S5" i="3"/>
  <c r="AK19" i="8"/>
  <c r="AB22" i="8"/>
  <c r="J21" i="8"/>
  <c r="D106" i="3"/>
  <c r="E106" i="3" s="1"/>
  <c r="S62" i="7"/>
  <c r="S78" i="7"/>
  <c r="Z73" i="29"/>
  <c r="Z74" i="29" s="1"/>
  <c r="V12" i="29" s="1"/>
  <c r="E80" i="3"/>
  <c r="E16" i="3"/>
  <c r="M62" i="7"/>
  <c r="M78" i="7"/>
  <c r="X73" i="29"/>
  <c r="X74" i="29" s="1"/>
  <c r="V10" i="29" s="1"/>
  <c r="L65" i="3"/>
  <c r="V73" i="29"/>
  <c r="W73" i="29"/>
  <c r="W74" i="29" s="1"/>
  <c r="V9" i="29" s="1"/>
  <c r="K80" i="3"/>
  <c r="K16" i="3"/>
  <c r="S94" i="7"/>
  <c r="S46" i="7"/>
  <c r="R65" i="3"/>
  <c r="S31" i="4"/>
  <c r="Q50" i="25"/>
  <c r="Q80" i="3"/>
  <c r="M94" i="7"/>
  <c r="M46" i="7"/>
  <c r="M50" i="25"/>
  <c r="M80" i="3"/>
  <c r="I50" i="25"/>
  <c r="I80" i="3"/>
  <c r="N62" i="4"/>
  <c r="Y73" i="29"/>
  <c r="Y74" i="29" s="1"/>
  <c r="V11" i="29" s="1"/>
  <c r="R24" i="22"/>
  <c r="AK23" i="8"/>
  <c r="AK17" i="8"/>
  <c r="AJ12" i="8"/>
  <c r="T100" i="5" s="1"/>
  <c r="V63" i="29"/>
  <c r="V64" i="29" s="1"/>
  <c r="U8" i="29" s="1"/>
  <c r="X63" i="29"/>
  <c r="X64" i="29" s="1"/>
  <c r="U10" i="29" s="1"/>
  <c r="Z63" i="29"/>
  <c r="Z64" i="29" s="1"/>
  <c r="U12" i="29" s="1"/>
  <c r="W63" i="29"/>
  <c r="W64" i="29" s="1"/>
  <c r="U9" i="29" s="1"/>
  <c r="Y63" i="29"/>
  <c r="Y64" i="29" s="1"/>
  <c r="U11" i="29" s="1"/>
  <c r="Q24" i="22"/>
  <c r="T15" i="25"/>
  <c r="U30" i="25" s="1"/>
  <c r="K93" i="7"/>
  <c r="X53" i="29"/>
  <c r="X54" i="29" s="1"/>
  <c r="T10" i="29" s="1"/>
  <c r="V53" i="29"/>
  <c r="V54" i="29" s="1"/>
  <c r="T8" i="29" s="1"/>
  <c r="Z53" i="29"/>
  <c r="Z54" i="29" s="1"/>
  <c r="T12" i="29" s="1"/>
  <c r="W53" i="29"/>
  <c r="W54" i="29" s="1"/>
  <c r="T9" i="29" s="1"/>
  <c r="P20" i="22" s="1"/>
  <c r="Y53" i="29"/>
  <c r="Y54" i="29" s="1"/>
  <c r="T11" i="29" s="1"/>
  <c r="P24" i="22"/>
  <c r="S92" i="7"/>
  <c r="S44" i="7"/>
  <c r="R63" i="3"/>
  <c r="S29" i="4"/>
  <c r="Z43" i="29"/>
  <c r="Z44" i="29" s="1"/>
  <c r="S12" i="29" s="1"/>
  <c r="Y43" i="29"/>
  <c r="Y44" i="29" s="1"/>
  <c r="S11" i="29" s="1"/>
  <c r="W43" i="29"/>
  <c r="W44" i="29" s="1"/>
  <c r="S9" i="29" s="1"/>
  <c r="L106" i="3"/>
  <c r="Y81" i="5"/>
  <c r="AB18" i="8"/>
  <c r="J106" i="3"/>
  <c r="N106" i="3"/>
  <c r="H106" i="3"/>
  <c r="P106" i="3"/>
  <c r="S14" i="4"/>
  <c r="S16" i="4"/>
  <c r="G31" i="25"/>
  <c r="AB17" i="8"/>
  <c r="Y79" i="5"/>
  <c r="V24" i="8"/>
  <c r="M76" i="3"/>
  <c r="F106" i="3"/>
  <c r="S16" i="25"/>
  <c r="S76" i="3"/>
  <c r="Y33" i="29"/>
  <c r="Y34" i="29" s="1"/>
  <c r="R11" i="29" s="1"/>
  <c r="T33" i="29"/>
  <c r="T34" i="29" s="1"/>
  <c r="R6" i="29" s="1"/>
  <c r="AA33" i="29"/>
  <c r="AA34" i="29" s="1"/>
  <c r="R13" i="29" s="1"/>
  <c r="W33" i="29"/>
  <c r="W34" i="29" s="1"/>
  <c r="R9" i="29" s="1"/>
  <c r="X34" i="29"/>
  <c r="R10" i="29" s="1"/>
  <c r="Z34" i="29"/>
  <c r="R12" i="29" s="1"/>
  <c r="V34" i="29"/>
  <c r="R8" i="29" s="1"/>
  <c r="H61" i="3"/>
  <c r="Q76" i="3"/>
  <c r="T76" i="3"/>
  <c r="T106" i="3" s="1"/>
  <c r="U106" i="3" s="1"/>
  <c r="I76" i="3"/>
  <c r="AB16" i="8"/>
  <c r="X12" i="8"/>
  <c r="T96" i="5" s="1"/>
  <c r="S20" i="8"/>
  <c r="S18" i="8"/>
  <c r="Y80" i="5"/>
  <c r="U12" i="8"/>
  <c r="T95" i="5" s="1"/>
  <c r="I75" i="3"/>
  <c r="R105" i="3"/>
  <c r="S105" i="3" s="1"/>
  <c r="P105" i="3"/>
  <c r="AA23" i="29"/>
  <c r="AA24" i="29" s="1"/>
  <c r="Q13" i="29" s="1"/>
  <c r="Y23" i="29"/>
  <c r="Y24" i="29" s="1"/>
  <c r="Q11" i="29" s="1"/>
  <c r="V23" i="29"/>
  <c r="W23" i="29"/>
  <c r="T23" i="29"/>
  <c r="T75" i="3"/>
  <c r="T105" i="3" s="1"/>
  <c r="U105" i="3" s="1"/>
  <c r="D105" i="3"/>
  <c r="E105" i="3" s="1"/>
  <c r="H105" i="3"/>
  <c r="J105" i="3"/>
  <c r="L105" i="3"/>
  <c r="P104" i="3"/>
  <c r="Y75" i="5"/>
  <c r="Y76" i="5"/>
  <c r="H104" i="3"/>
  <c r="Y78" i="5"/>
  <c r="L73" i="29"/>
  <c r="L74" i="29" s="1"/>
  <c r="P12" i="29" s="1"/>
  <c r="E81" i="33" s="1"/>
  <c r="H73" i="29"/>
  <c r="H74" i="29" s="1"/>
  <c r="P8" i="29" s="1"/>
  <c r="E77" i="33" s="1"/>
  <c r="I73" i="29"/>
  <c r="I74" i="29" s="1"/>
  <c r="P9" i="29" s="1"/>
  <c r="E78" i="33" s="1"/>
  <c r="D104" i="3"/>
  <c r="E104" i="3" s="1"/>
  <c r="N104" i="3"/>
  <c r="R104" i="3"/>
  <c r="S104" i="3" s="1"/>
  <c r="L104" i="3"/>
  <c r="J104" i="3"/>
  <c r="T14" i="25"/>
  <c r="U29" i="25" s="1"/>
  <c r="H51" i="33"/>
  <c r="H44" i="33"/>
  <c r="G44" i="33" s="1" a="1"/>
  <c r="G44" i="33" s="1"/>
  <c r="K44" i="33" s="1"/>
  <c r="H46" i="33"/>
  <c r="H45" i="33"/>
  <c r="H47" i="33"/>
  <c r="H49" i="33"/>
  <c r="H50" i="33"/>
  <c r="H48" i="33"/>
  <c r="R12" i="8"/>
  <c r="T94" i="5" s="1"/>
  <c r="M63" i="29"/>
  <c r="M64" i="29" s="1"/>
  <c r="O13" i="29" s="1"/>
  <c r="J63" i="29"/>
  <c r="J64" i="29" s="1"/>
  <c r="O10" i="29" s="1"/>
  <c r="K63" i="29"/>
  <c r="L63" i="29"/>
  <c r="L64" i="29" s="1"/>
  <c r="O12" i="29" s="1"/>
  <c r="H63" i="29"/>
  <c r="H64" i="29" s="1"/>
  <c r="O8" i="29" s="1"/>
  <c r="I63" i="29"/>
  <c r="K28" i="25"/>
  <c r="S17" i="8"/>
  <c r="D102" i="3"/>
  <c r="E102" i="3" s="1"/>
  <c r="O12" i="8"/>
  <c r="T93" i="5" s="1"/>
  <c r="S23" i="8"/>
  <c r="M24" i="8"/>
  <c r="J102" i="3"/>
  <c r="Q70" i="7"/>
  <c r="K53" i="29"/>
  <c r="K54" i="29" s="1"/>
  <c r="M53" i="29"/>
  <c r="M54" i="29" s="1"/>
  <c r="M23" i="3"/>
  <c r="K23" i="3"/>
  <c r="M70" i="7"/>
  <c r="G27" i="25"/>
  <c r="R102" i="3"/>
  <c r="S102" i="3" s="1"/>
  <c r="P102" i="3"/>
  <c r="N102" i="3"/>
  <c r="L102" i="3"/>
  <c r="H102" i="3"/>
  <c r="J18" i="8"/>
  <c r="F102" i="3"/>
  <c r="T72" i="3"/>
  <c r="T102" i="3" s="1"/>
  <c r="U102" i="3" s="1"/>
  <c r="J20" i="8"/>
  <c r="Y96" i="5"/>
  <c r="T73" i="3"/>
  <c r="T103" i="3" s="1"/>
  <c r="U103" i="3" s="1"/>
  <c r="T16" i="25"/>
  <c r="U31" i="25" s="1"/>
  <c r="Y74" i="5"/>
  <c r="L12" i="8"/>
  <c r="T92" i="5" s="1"/>
  <c r="J23" i="8"/>
  <c r="S84" i="4"/>
  <c r="R56" i="3"/>
  <c r="K11" i="25"/>
  <c r="K71" i="3"/>
  <c r="J56" i="3"/>
  <c r="L56" i="3"/>
  <c r="Y92" i="5"/>
  <c r="M91" i="25"/>
  <c r="Q106" i="25"/>
  <c r="Q59" i="25"/>
  <c r="S10" i="25"/>
  <c r="S70" i="3"/>
  <c r="R100" i="3"/>
  <c r="S100" i="3" s="1"/>
  <c r="L100" i="3"/>
  <c r="T10" i="25"/>
  <c r="U25" i="25" s="1"/>
  <c r="F100" i="3"/>
  <c r="I84" i="4"/>
  <c r="P100" i="3"/>
  <c r="H100" i="3"/>
  <c r="N100" i="3"/>
  <c r="D100" i="3"/>
  <c r="E100" i="3" s="1"/>
  <c r="J100" i="3"/>
  <c r="J17" i="8"/>
  <c r="K33" i="29"/>
  <c r="K34" i="29" s="1"/>
  <c r="L11" i="29" s="1"/>
  <c r="M33" i="29"/>
  <c r="M34" i="29" s="1"/>
  <c r="L13" i="29" s="1"/>
  <c r="L33" i="29"/>
  <c r="L34" i="29" s="1"/>
  <c r="L12" i="29" s="1"/>
  <c r="I33" i="29"/>
  <c r="I34" i="29" s="1"/>
  <c r="L9" i="29" s="1"/>
  <c r="D21" i="25"/>
  <c r="P81" i="3"/>
  <c r="F110" i="7"/>
  <c r="H110" i="7"/>
  <c r="J110" i="7"/>
  <c r="H60" i="4"/>
  <c r="J19" i="8"/>
  <c r="H99" i="3"/>
  <c r="I12" i="3"/>
  <c r="L63" i="7"/>
  <c r="T70" i="3"/>
  <c r="T100" i="3" s="1"/>
  <c r="U100" i="3" s="1"/>
  <c r="I72" i="3"/>
  <c r="Q72" i="3"/>
  <c r="I51" i="7"/>
  <c r="T11" i="25"/>
  <c r="U26" i="25" s="1"/>
  <c r="T12" i="25"/>
  <c r="U27" i="25" s="1"/>
  <c r="L110" i="7"/>
  <c r="T9" i="25"/>
  <c r="U24" i="25" s="1"/>
  <c r="D99" i="3"/>
  <c r="E99" i="3" s="1"/>
  <c r="J16" i="8"/>
  <c r="S76" i="7"/>
  <c r="S60" i="7"/>
  <c r="M32" i="3"/>
  <c r="T107" i="25"/>
  <c r="K77" i="7"/>
  <c r="Q76" i="7"/>
  <c r="O76" i="25"/>
  <c r="O91" i="25"/>
  <c r="S20" i="25"/>
  <c r="S50" i="25"/>
  <c r="S17" i="25"/>
  <c r="S43" i="25"/>
  <c r="S13" i="25"/>
  <c r="E20" i="25"/>
  <c r="E50" i="25"/>
  <c r="K50" i="25"/>
  <c r="K20" i="25"/>
  <c r="Q120" i="25"/>
  <c r="M121" i="25"/>
  <c r="S15" i="25"/>
  <c r="S19" i="25"/>
  <c r="S49" i="25"/>
  <c r="S12" i="25"/>
  <c r="S48" i="25"/>
  <c r="S18" i="25"/>
  <c r="S11" i="25"/>
  <c r="Q90" i="25"/>
  <c r="G120" i="25"/>
  <c r="Q121" i="25"/>
  <c r="T105" i="25"/>
  <c r="I120" i="25"/>
  <c r="Q91" i="25"/>
  <c r="Y24" i="8"/>
  <c r="AB23" i="8"/>
  <c r="P24" i="8"/>
  <c r="S22" i="8"/>
  <c r="S16" i="8"/>
  <c r="S21" i="8"/>
  <c r="G24" i="8"/>
  <c r="D24" i="8"/>
  <c r="D86" i="4"/>
  <c r="E85" i="4"/>
  <c r="E84" i="4"/>
  <c r="M120" i="25"/>
  <c r="E121" i="25"/>
  <c r="T106" i="25"/>
  <c r="K26" i="25"/>
  <c r="E30" i="25"/>
  <c r="O90" i="25"/>
  <c r="M92" i="25"/>
  <c r="R36" i="25"/>
  <c r="S36" i="25" s="1"/>
  <c r="Q92" i="25"/>
  <c r="E29" i="25"/>
  <c r="I90" i="25"/>
  <c r="G25" i="25"/>
  <c r="K27" i="25"/>
  <c r="K29" i="25"/>
  <c r="G29" i="25"/>
  <c r="G30" i="25"/>
  <c r="K30" i="25"/>
  <c r="K25" i="25"/>
  <c r="G26" i="25"/>
  <c r="K24" i="25"/>
  <c r="E27" i="25"/>
  <c r="E25" i="25"/>
  <c r="T13" i="25"/>
  <c r="U28" i="25" s="1"/>
  <c r="E24" i="25"/>
  <c r="E28" i="25"/>
  <c r="K31" i="25"/>
  <c r="E26" i="25"/>
  <c r="G28" i="25"/>
  <c r="M36" i="25"/>
  <c r="Q36" i="25"/>
  <c r="I69" i="25"/>
  <c r="Q61" i="25"/>
  <c r="O75" i="25"/>
  <c r="P99" i="3"/>
  <c r="F99" i="3"/>
  <c r="R99" i="3"/>
  <c r="S99" i="3" s="1"/>
  <c r="L99" i="3"/>
  <c r="N99" i="3"/>
  <c r="T69" i="3"/>
  <c r="T99" i="3" s="1"/>
  <c r="U99" i="3" s="1"/>
  <c r="K23" i="29"/>
  <c r="I45" i="3"/>
  <c r="P62" i="4"/>
  <c r="R31" i="3"/>
  <c r="S93" i="7" s="1"/>
  <c r="U119" i="25"/>
  <c r="S105" i="25"/>
  <c r="E106" i="25"/>
  <c r="S120" i="25"/>
  <c r="O36" i="25"/>
  <c r="T36" i="25"/>
  <c r="F21" i="25"/>
  <c r="J21" i="25"/>
  <c r="S15" i="16"/>
  <c r="F36" i="25"/>
  <c r="T15" i="16"/>
  <c r="D36" i="25"/>
  <c r="J36" i="25"/>
  <c r="I106" i="25"/>
  <c r="O48" i="3"/>
  <c r="H81" i="3"/>
  <c r="R81" i="3"/>
  <c r="J99" i="3"/>
  <c r="N81" i="3"/>
  <c r="L81" i="3"/>
  <c r="J81" i="3"/>
  <c r="J96" i="3"/>
  <c r="P96" i="3"/>
  <c r="J29" i="4"/>
  <c r="Q49" i="3"/>
  <c r="P29" i="3"/>
  <c r="Q75" i="7" s="1"/>
  <c r="J62" i="4"/>
  <c r="J16" i="4"/>
  <c r="N16" i="4"/>
  <c r="O105" i="25"/>
  <c r="Q60" i="25"/>
  <c r="Q5" i="3"/>
  <c r="K60" i="25"/>
  <c r="L31" i="4"/>
  <c r="L62" i="4"/>
  <c r="L16" i="4"/>
  <c r="M16" i="4" s="1"/>
  <c r="H31" i="4"/>
  <c r="O61" i="25"/>
  <c r="R126" i="25"/>
  <c r="K86" i="25"/>
  <c r="S62" i="25"/>
  <c r="L25" i="4"/>
  <c r="O58" i="33" s="1"/>
  <c r="I69" i="3"/>
  <c r="H59" i="4"/>
  <c r="I62" i="25"/>
  <c r="Q73" i="25"/>
  <c r="S60" i="25"/>
  <c r="G61" i="25"/>
  <c r="I61" i="25"/>
  <c r="I47" i="3"/>
  <c r="I5" i="3"/>
  <c r="Q44" i="25"/>
  <c r="Y93" i="5"/>
  <c r="T87" i="5"/>
  <c r="H29" i="4"/>
  <c r="O60" i="25"/>
  <c r="S61" i="25"/>
  <c r="G62" i="25"/>
  <c r="M62" i="25"/>
  <c r="G60" i="25"/>
  <c r="O62" i="25"/>
  <c r="M61" i="25"/>
  <c r="H27" i="4"/>
  <c r="R110" i="7"/>
  <c r="S58" i="25"/>
  <c r="N27" i="3"/>
  <c r="L21" i="3"/>
  <c r="M98" i="7" s="1"/>
  <c r="L30" i="4"/>
  <c r="S56" i="25"/>
  <c r="M70" i="25"/>
  <c r="S74" i="25"/>
  <c r="R95" i="7"/>
  <c r="N63" i="7"/>
  <c r="P63" i="7"/>
  <c r="K75" i="25"/>
  <c r="L31" i="3"/>
  <c r="L12" i="4"/>
  <c r="I75" i="25"/>
  <c r="P9" i="4"/>
  <c r="H25" i="4"/>
  <c r="O56" i="33" s="1"/>
  <c r="H23" i="3"/>
  <c r="P27" i="3"/>
  <c r="P60" i="3" s="1"/>
  <c r="R63" i="7"/>
  <c r="L95" i="7"/>
  <c r="P23" i="3"/>
  <c r="Q100" i="7" s="1"/>
  <c r="J25" i="3"/>
  <c r="L30" i="3"/>
  <c r="M92" i="7" s="1"/>
  <c r="J95" i="7"/>
  <c r="O41" i="3"/>
  <c r="E41" i="25"/>
  <c r="I76" i="25"/>
  <c r="F51" i="25"/>
  <c r="H32" i="3"/>
  <c r="N95" i="7"/>
  <c r="I46" i="25"/>
  <c r="H10" i="4"/>
  <c r="I10" i="4" s="1"/>
  <c r="H30" i="3"/>
  <c r="I92" i="7" s="1"/>
  <c r="J63" i="7"/>
  <c r="Q15" i="3"/>
  <c r="Q49" i="25"/>
  <c r="Q79" i="3"/>
  <c r="M15" i="3"/>
  <c r="M49" i="25"/>
  <c r="M79" i="3"/>
  <c r="I15" i="3"/>
  <c r="I49" i="25"/>
  <c r="I79" i="3"/>
  <c r="K61" i="7"/>
  <c r="K15" i="3"/>
  <c r="K19" i="25"/>
  <c r="K79" i="3"/>
  <c r="K49" i="25"/>
  <c r="O15" i="3"/>
  <c r="O49" i="25"/>
  <c r="O79" i="3"/>
  <c r="E70" i="25"/>
  <c r="E15" i="17"/>
  <c r="F74" i="3"/>
  <c r="F104" i="3" s="1"/>
  <c r="N15" i="4"/>
  <c r="Q48" i="3"/>
  <c r="J64" i="3"/>
  <c r="K31" i="3"/>
  <c r="Y89" i="5"/>
  <c r="G71" i="25"/>
  <c r="Q70" i="25"/>
  <c r="S88" i="25"/>
  <c r="I88" i="25"/>
  <c r="L15" i="4"/>
  <c r="Q13" i="3"/>
  <c r="H30" i="4"/>
  <c r="L26" i="3"/>
  <c r="L59" i="3" s="1"/>
  <c r="K45" i="7"/>
  <c r="M48" i="3"/>
  <c r="H61" i="4"/>
  <c r="L10" i="4"/>
  <c r="H11" i="4"/>
  <c r="K73" i="25"/>
  <c r="J61" i="4"/>
  <c r="J30" i="3"/>
  <c r="K92" i="7" s="1"/>
  <c r="J15" i="4"/>
  <c r="J74" i="29"/>
  <c r="P10" i="29" s="1"/>
  <c r="E79" i="33" s="1"/>
  <c r="J54" i="29"/>
  <c r="H56" i="4"/>
  <c r="O97" i="33" s="1"/>
  <c r="Q97" i="33" s="1"/>
  <c r="H37" i="7"/>
  <c r="H43" i="7"/>
  <c r="H38" i="7"/>
  <c r="H35" i="7"/>
  <c r="I35" i="7" s="1"/>
  <c r="H15" i="4"/>
  <c r="H36" i="7"/>
  <c r="I36" i="7" s="1"/>
  <c r="H42" i="7"/>
  <c r="I42" i="7" s="1"/>
  <c r="H39" i="7"/>
  <c r="I39" i="7" s="1"/>
  <c r="H58" i="4"/>
  <c r="N61" i="4"/>
  <c r="K84" i="4"/>
  <c r="T79" i="4"/>
  <c r="M84" i="4"/>
  <c r="J86" i="4"/>
  <c r="J87" i="4" s="1"/>
  <c r="K87" i="4" s="1"/>
  <c r="K85" i="4"/>
  <c r="M85" i="4"/>
  <c r="L86" i="4"/>
  <c r="L87" i="4" s="1"/>
  <c r="M87" i="4" s="1"/>
  <c r="U83" i="4"/>
  <c r="T111" i="4"/>
  <c r="U111" i="4"/>
  <c r="T84" i="4"/>
  <c r="T85" i="4" s="1"/>
  <c r="U127" i="4"/>
  <c r="F85" i="4"/>
  <c r="T127" i="4"/>
  <c r="P86" i="4"/>
  <c r="P87" i="4" s="1"/>
  <c r="Q87" i="4" s="1"/>
  <c r="Q85" i="4"/>
  <c r="R86" i="4"/>
  <c r="R87" i="4" s="1"/>
  <c r="S87" i="4" s="1"/>
  <c r="S85" i="4"/>
  <c r="H86" i="4"/>
  <c r="H87" i="4" s="1"/>
  <c r="I87" i="4" s="1"/>
  <c r="I85" i="4"/>
  <c r="Q84" i="4"/>
  <c r="N85" i="4"/>
  <c r="U79" i="4"/>
  <c r="K48" i="3"/>
  <c r="N57" i="4"/>
  <c r="Y90" i="5"/>
  <c r="S57" i="25"/>
  <c r="D111" i="25"/>
  <c r="L53" i="4"/>
  <c r="P30" i="4"/>
  <c r="P25" i="3"/>
  <c r="Q39" i="7" s="1"/>
  <c r="N26" i="3"/>
  <c r="L20" i="4"/>
  <c r="K46" i="3"/>
  <c r="AG12" i="8"/>
  <c r="T99" i="5" s="1"/>
  <c r="AH24" i="8"/>
  <c r="O39" i="3"/>
  <c r="P59" i="4"/>
  <c r="O6" i="3"/>
  <c r="K9" i="3"/>
  <c r="N55" i="4"/>
  <c r="Q8" i="3"/>
  <c r="P95" i="7"/>
  <c r="H57" i="4"/>
  <c r="G55" i="25"/>
  <c r="Q58" i="25"/>
  <c r="E73" i="25"/>
  <c r="L29" i="4"/>
  <c r="H22" i="4"/>
  <c r="F126" i="25"/>
  <c r="O70" i="25"/>
  <c r="Q43" i="25"/>
  <c r="T108" i="3"/>
  <c r="U108" i="3" s="1"/>
  <c r="O44" i="3"/>
  <c r="J26" i="4"/>
  <c r="K5" i="3"/>
  <c r="H9" i="4"/>
  <c r="I9" i="4" s="1"/>
  <c r="K13" i="3"/>
  <c r="M49" i="3"/>
  <c r="N53" i="4"/>
  <c r="P31" i="3"/>
  <c r="J57" i="4"/>
  <c r="G54" i="25"/>
  <c r="M40" i="3"/>
  <c r="P52" i="4"/>
  <c r="I43" i="3"/>
  <c r="O56" i="25"/>
  <c r="Q57" i="25"/>
  <c r="T89" i="25"/>
  <c r="O69" i="25"/>
  <c r="G70" i="25"/>
  <c r="Q72" i="25"/>
  <c r="N111" i="25"/>
  <c r="P14" i="4"/>
  <c r="S91" i="7"/>
  <c r="N55" i="3"/>
  <c r="O48" i="25"/>
  <c r="O14" i="3"/>
  <c r="O78" i="3"/>
  <c r="Q54" i="7"/>
  <c r="I54" i="25"/>
  <c r="O87" i="7"/>
  <c r="I70" i="25"/>
  <c r="M55" i="25"/>
  <c r="S87" i="25"/>
  <c r="E74" i="25"/>
  <c r="S89" i="25"/>
  <c r="M54" i="7"/>
  <c r="I83" i="7"/>
  <c r="I55" i="7"/>
  <c r="I90" i="7"/>
  <c r="AE24" i="8"/>
  <c r="Q43" i="3"/>
  <c r="Q7" i="3"/>
  <c r="P32" i="3"/>
  <c r="P7" i="4"/>
  <c r="P22" i="4"/>
  <c r="P28" i="4"/>
  <c r="M14" i="3"/>
  <c r="M48" i="25"/>
  <c r="M74" i="25"/>
  <c r="G76" i="25"/>
  <c r="Q30" i="3"/>
  <c r="Q60" i="7"/>
  <c r="I86" i="25"/>
  <c r="H96" i="25"/>
  <c r="T59" i="25"/>
  <c r="T46" i="25"/>
  <c r="Q14" i="3"/>
  <c r="Q48" i="25"/>
  <c r="F81" i="25"/>
  <c r="I87" i="25"/>
  <c r="T44" i="25"/>
  <c r="M76" i="25"/>
  <c r="L14" i="4"/>
  <c r="I14" i="3"/>
  <c r="I48" i="25"/>
  <c r="E69" i="25"/>
  <c r="I45" i="25"/>
  <c r="Q69" i="25"/>
  <c r="Q55" i="25"/>
  <c r="T55" i="25"/>
  <c r="K69" i="25"/>
  <c r="S59" i="25"/>
  <c r="K14" i="3"/>
  <c r="K48" i="25"/>
  <c r="K18" i="25"/>
  <c r="G72" i="25"/>
  <c r="N126" i="25"/>
  <c r="S73" i="25"/>
  <c r="Q76" i="25"/>
  <c r="G73" i="25"/>
  <c r="I73" i="25"/>
  <c r="I55" i="25"/>
  <c r="O54" i="25"/>
  <c r="K46" i="25"/>
  <c r="M72" i="25"/>
  <c r="M47" i="25"/>
  <c r="E89" i="25"/>
  <c r="O71" i="25"/>
  <c r="O72" i="25"/>
  <c r="G74" i="25"/>
  <c r="M71" i="25"/>
  <c r="G105" i="25"/>
  <c r="Q75" i="25"/>
  <c r="O121" i="25"/>
  <c r="K39" i="25"/>
  <c r="G57" i="25"/>
  <c r="T120" i="25"/>
  <c r="E120" i="25"/>
  <c r="E59" i="25"/>
  <c r="O106" i="25"/>
  <c r="T74" i="25"/>
  <c r="U104" i="25" s="1"/>
  <c r="I105" i="25"/>
  <c r="O46" i="25"/>
  <c r="K43" i="25"/>
  <c r="J111" i="25"/>
  <c r="H111" i="25"/>
  <c r="S72" i="25"/>
  <c r="R96" i="3"/>
  <c r="L96" i="3"/>
  <c r="H96" i="3"/>
  <c r="D96" i="3"/>
  <c r="E96" i="3"/>
  <c r="Y83" i="3" s="1"/>
  <c r="G75" i="25"/>
  <c r="M106" i="25"/>
  <c r="J126" i="25"/>
  <c r="I43" i="25"/>
  <c r="J14" i="4"/>
  <c r="G59" i="25"/>
  <c r="H81" i="25"/>
  <c r="K47" i="25"/>
  <c r="Q40" i="25"/>
  <c r="M39" i="25"/>
  <c r="M46" i="25"/>
  <c r="H53" i="4"/>
  <c r="D5" i="4"/>
  <c r="S47" i="25"/>
  <c r="N23" i="4"/>
  <c r="E72" i="25"/>
  <c r="Q38" i="3"/>
  <c r="P60" i="4"/>
  <c r="P63" i="3"/>
  <c r="Q56" i="25"/>
  <c r="Q44" i="7"/>
  <c r="G69" i="25"/>
  <c r="AK21" i="8"/>
  <c r="H389" i="9"/>
  <c r="H24" i="4"/>
  <c r="I44" i="3"/>
  <c r="H6" i="4"/>
  <c r="H63" i="7"/>
  <c r="H95" i="7"/>
  <c r="G56" i="25"/>
  <c r="O57" i="25"/>
  <c r="T58" i="25"/>
  <c r="I71" i="25"/>
  <c r="M69" i="25"/>
  <c r="T85" i="25"/>
  <c r="K88" i="25"/>
  <c r="R96" i="25"/>
  <c r="T88" i="25"/>
  <c r="O59" i="25"/>
  <c r="I74" i="25"/>
  <c r="O74" i="25"/>
  <c r="E105" i="25"/>
  <c r="T60" i="25"/>
  <c r="E75" i="25"/>
  <c r="K106" i="25"/>
  <c r="H126" i="25"/>
  <c r="N31" i="4"/>
  <c r="N25" i="4"/>
  <c r="O59" i="33" s="1"/>
  <c r="R51" i="25"/>
  <c r="E56" i="25"/>
  <c r="H66" i="25"/>
  <c r="M57" i="25"/>
  <c r="R66" i="25"/>
  <c r="T72" i="25"/>
  <c r="U102" i="25" s="1"/>
  <c r="K70" i="25"/>
  <c r="T73" i="25"/>
  <c r="U103" i="25" s="1"/>
  <c r="T71" i="25"/>
  <c r="U101" i="25" s="1"/>
  <c r="R81" i="25"/>
  <c r="F96" i="25"/>
  <c r="J96" i="25"/>
  <c r="L96" i="25"/>
  <c r="P96" i="25"/>
  <c r="D96" i="25"/>
  <c r="P66" i="25"/>
  <c r="K59" i="25"/>
  <c r="Q89" i="25"/>
  <c r="K89" i="25"/>
  <c r="L51" i="25"/>
  <c r="T75" i="25"/>
  <c r="T90" i="25"/>
  <c r="L126" i="25"/>
  <c r="P126" i="25"/>
  <c r="P11" i="4"/>
  <c r="T40" i="25"/>
  <c r="M56" i="25"/>
  <c r="F66" i="25"/>
  <c r="N66" i="25"/>
  <c r="T69" i="25"/>
  <c r="U99" i="25" s="1"/>
  <c r="K87" i="25"/>
  <c r="N81" i="25"/>
  <c r="S71" i="25"/>
  <c r="N96" i="25"/>
  <c r="T86" i="25"/>
  <c r="T54" i="25"/>
  <c r="M59" i="25"/>
  <c r="G89" i="25"/>
  <c r="M89" i="25"/>
  <c r="T61" i="25"/>
  <c r="T76" i="25"/>
  <c r="T91" i="25"/>
  <c r="T121" i="25"/>
  <c r="D126" i="25"/>
  <c r="M69" i="3"/>
  <c r="M39" i="3"/>
  <c r="L61" i="4"/>
  <c r="I40" i="25"/>
  <c r="I11" i="3"/>
  <c r="H28" i="4"/>
  <c r="I88" i="7"/>
  <c r="I48" i="3"/>
  <c r="H54" i="3"/>
  <c r="H13" i="4"/>
  <c r="H26" i="4"/>
  <c r="H27" i="3"/>
  <c r="I9" i="3"/>
  <c r="H5" i="4"/>
  <c r="I5" i="4" s="1"/>
  <c r="P31" i="4"/>
  <c r="P28" i="3"/>
  <c r="Q9" i="3"/>
  <c r="P20" i="4"/>
  <c r="Q45" i="25"/>
  <c r="Q46" i="25"/>
  <c r="P26" i="4"/>
  <c r="Q47" i="3"/>
  <c r="N20" i="4"/>
  <c r="O40" i="3"/>
  <c r="O10" i="3"/>
  <c r="N11" i="4"/>
  <c r="N28" i="4"/>
  <c r="O41" i="25"/>
  <c r="N23" i="3"/>
  <c r="J30" i="4"/>
  <c r="K42" i="25"/>
  <c r="K74" i="3"/>
  <c r="K47" i="3"/>
  <c r="Q122" i="25"/>
  <c r="I42" i="25"/>
  <c r="O73" i="25"/>
  <c r="M75" i="25"/>
  <c r="L81" i="25"/>
  <c r="T56" i="25"/>
  <c r="K85" i="25"/>
  <c r="T57" i="25"/>
  <c r="S106" i="25"/>
  <c r="L111" i="25"/>
  <c r="R111" i="25"/>
  <c r="T84" i="25"/>
  <c r="T43" i="25"/>
  <c r="E71" i="25"/>
  <c r="P81" i="25"/>
  <c r="E57" i="25"/>
  <c r="J66" i="25"/>
  <c r="M105" i="25"/>
  <c r="Q47" i="25"/>
  <c r="S54" i="25"/>
  <c r="S69" i="25"/>
  <c r="T87" i="25"/>
  <c r="E122" i="25"/>
  <c r="Q41" i="25"/>
  <c r="G87" i="25"/>
  <c r="K121" i="25"/>
  <c r="J81" i="25"/>
  <c r="J51" i="25"/>
  <c r="T42" i="25"/>
  <c r="Q71" i="25"/>
  <c r="T41" i="25"/>
  <c r="T45" i="25"/>
  <c r="P111" i="25"/>
  <c r="M73" i="25"/>
  <c r="I72" i="25"/>
  <c r="S86" i="25"/>
  <c r="K72" i="25"/>
  <c r="Q105" i="25"/>
  <c r="T39" i="25"/>
  <c r="I89" i="25"/>
  <c r="Q54" i="25"/>
  <c r="F111" i="25"/>
  <c r="I122" i="25"/>
  <c r="S39" i="25"/>
  <c r="T70" i="25"/>
  <c r="U100" i="25" s="1"/>
  <c r="Q74" i="25"/>
  <c r="D81" i="25"/>
  <c r="L66" i="25"/>
  <c r="O89" i="25"/>
  <c r="D51" i="25"/>
  <c r="D66" i="25"/>
  <c r="Q62" i="25"/>
  <c r="S76" i="25"/>
  <c r="N51" i="25"/>
  <c r="P51" i="25"/>
  <c r="H51" i="25"/>
  <c r="K74" i="25"/>
  <c r="S46" i="25"/>
  <c r="K76" i="25"/>
  <c r="O40" i="25"/>
  <c r="H14" i="4"/>
  <c r="N14" i="4"/>
  <c r="M10" i="3"/>
  <c r="M44" i="25"/>
  <c r="L57" i="4"/>
  <c r="S41" i="25"/>
  <c r="J9" i="4"/>
  <c r="M107" i="25"/>
  <c r="J29" i="3"/>
  <c r="K43" i="7" s="1"/>
  <c r="K49" i="3"/>
  <c r="N21" i="3"/>
  <c r="O13" i="3"/>
  <c r="J27" i="4"/>
  <c r="R58" i="4"/>
  <c r="K45" i="3"/>
  <c r="J52" i="4"/>
  <c r="P22" i="3"/>
  <c r="S42" i="25"/>
  <c r="N31" i="3"/>
  <c r="O55" i="7"/>
  <c r="J24" i="3"/>
  <c r="K101" i="7" s="1"/>
  <c r="K76" i="3"/>
  <c r="J389" i="6"/>
  <c r="N59" i="4"/>
  <c r="N21" i="4"/>
  <c r="R53" i="4"/>
  <c r="I84" i="7"/>
  <c r="N32" i="3"/>
  <c r="O42" i="3"/>
  <c r="P10" i="4"/>
  <c r="Q10" i="4" s="1"/>
  <c r="K11" i="3"/>
  <c r="H7" i="4"/>
  <c r="J34" i="29"/>
  <c r="L10" i="29" s="1"/>
  <c r="J56" i="4"/>
  <c r="O98" i="33" s="1"/>
  <c r="Q98" i="33" s="1"/>
  <c r="Q39" i="3"/>
  <c r="I40" i="3"/>
  <c r="I389" i="6"/>
  <c r="AA6" i="33" s="1"/>
  <c r="K389" i="6"/>
  <c r="Z6" i="33" s="1"/>
  <c r="H31" i="3"/>
  <c r="L27" i="3"/>
  <c r="M26" i="4" s="1"/>
  <c r="N24" i="3"/>
  <c r="O101" i="7" s="1"/>
  <c r="K7" i="3"/>
  <c r="D54" i="4"/>
  <c r="N26" i="4"/>
  <c r="J389" i="9"/>
  <c r="K12" i="3"/>
  <c r="N389" i="9"/>
  <c r="K13" i="25"/>
  <c r="J5" i="4"/>
  <c r="P389" i="9"/>
  <c r="J60" i="4"/>
  <c r="J25" i="4"/>
  <c r="O57" i="33" s="1"/>
  <c r="J12" i="4"/>
  <c r="K73" i="3"/>
  <c r="J26" i="3"/>
  <c r="K88" i="7" s="1"/>
  <c r="J10" i="4"/>
  <c r="J8" i="4"/>
  <c r="K17" i="25"/>
  <c r="I389" i="9"/>
  <c r="AA7" i="33" s="1"/>
  <c r="K10" i="3"/>
  <c r="K16" i="25"/>
  <c r="K14" i="25"/>
  <c r="K44" i="3"/>
  <c r="L389" i="9"/>
  <c r="R9" i="4"/>
  <c r="R24" i="4"/>
  <c r="N58" i="3"/>
  <c r="N54" i="4"/>
  <c r="O25" i="3"/>
  <c r="N30" i="3"/>
  <c r="O92" i="7" s="1"/>
  <c r="N12" i="4"/>
  <c r="N58" i="4"/>
  <c r="O389" i="11"/>
  <c r="N7" i="4"/>
  <c r="N29" i="4"/>
  <c r="N22" i="4"/>
  <c r="N10" i="4"/>
  <c r="O46" i="3"/>
  <c r="N6" i="4"/>
  <c r="O7" i="3"/>
  <c r="P57" i="4"/>
  <c r="Q42" i="3"/>
  <c r="Q73" i="3"/>
  <c r="Q74" i="3"/>
  <c r="Q12" i="3"/>
  <c r="P53" i="4"/>
  <c r="Q45" i="3"/>
  <c r="P58" i="4"/>
  <c r="I56" i="7"/>
  <c r="P389" i="6"/>
  <c r="P4" i="14"/>
  <c r="I6" i="3"/>
  <c r="L389" i="6"/>
  <c r="L51" i="4"/>
  <c r="L56" i="4"/>
  <c r="O99" i="33" s="1"/>
  <c r="Q99" i="33" s="1"/>
  <c r="L52" i="4"/>
  <c r="M12" i="3"/>
  <c r="M11" i="3"/>
  <c r="X24" i="29"/>
  <c r="Q10" i="29" s="1"/>
  <c r="Q77" i="3"/>
  <c r="Q38" i="7"/>
  <c r="Q42" i="25"/>
  <c r="L17" i="3"/>
  <c r="P56" i="4"/>
  <c r="O101" i="33" s="1"/>
  <c r="Q101" i="33" s="1"/>
  <c r="P59" i="3"/>
  <c r="L389" i="10"/>
  <c r="H389" i="10"/>
  <c r="L54" i="4"/>
  <c r="M41" i="3"/>
  <c r="Q29" i="10"/>
  <c r="S61" i="10"/>
  <c r="T12" i="10"/>
  <c r="S81" i="10"/>
  <c r="S82" i="10" s="1"/>
  <c r="Q50" i="10"/>
  <c r="Q10" i="10"/>
  <c r="R53" i="10"/>
  <c r="T33" i="10"/>
  <c r="R81" i="10"/>
  <c r="T189" i="10"/>
  <c r="Q30" i="10"/>
  <c r="Q263" i="12"/>
  <c r="Q275" i="12"/>
  <c r="Q21" i="10"/>
  <c r="T56" i="10"/>
  <c r="T28" i="10"/>
  <c r="O115" i="10"/>
  <c r="Q263" i="10"/>
  <c r="N269" i="10"/>
  <c r="O271" i="10"/>
  <c r="N273" i="10"/>
  <c r="R106" i="12"/>
  <c r="R138" i="12"/>
  <c r="P155" i="12"/>
  <c r="R174" i="12"/>
  <c r="P201" i="12"/>
  <c r="P215" i="12"/>
  <c r="P227" i="12"/>
  <c r="P231" i="12"/>
  <c r="R242" i="12"/>
  <c r="P271" i="12"/>
  <c r="P275" i="12"/>
  <c r="R326" i="12"/>
  <c r="P24" i="4"/>
  <c r="Q5" i="10"/>
  <c r="Q70" i="10"/>
  <c r="R117" i="10"/>
  <c r="O105" i="10"/>
  <c r="Q305" i="10"/>
  <c r="Q272" i="10"/>
  <c r="P13" i="4"/>
  <c r="Q368" i="10"/>
  <c r="O337" i="10"/>
  <c r="R328" i="12"/>
  <c r="P273" i="10"/>
  <c r="N272" i="12"/>
  <c r="N30" i="4"/>
  <c r="I44" i="25"/>
  <c r="R28" i="3"/>
  <c r="S58" i="7" s="1"/>
  <c r="N24" i="4"/>
  <c r="L28" i="4"/>
  <c r="R55" i="4"/>
  <c r="K41" i="3"/>
  <c r="L13" i="4"/>
  <c r="O39" i="7"/>
  <c r="I389" i="11"/>
  <c r="AA9" i="33" s="1"/>
  <c r="L29" i="3"/>
  <c r="L62" i="3" s="1"/>
  <c r="D70" i="7"/>
  <c r="P260" i="1"/>
  <c r="P244" i="1"/>
  <c r="P228" i="1"/>
  <c r="P212" i="1"/>
  <c r="P180" i="1"/>
  <c r="P172" i="1"/>
  <c r="P156" i="1"/>
  <c r="P147" i="1"/>
  <c r="P139" i="1"/>
  <c r="P115" i="1"/>
  <c r="P107" i="1"/>
  <c r="P99" i="1"/>
  <c r="P91" i="1"/>
  <c r="P83" i="1"/>
  <c r="P75" i="1"/>
  <c r="P67" i="1"/>
  <c r="P19" i="1"/>
  <c r="P11" i="1"/>
  <c r="R66" i="1"/>
  <c r="O264" i="1"/>
  <c r="O256" i="1"/>
  <c r="O240" i="1"/>
  <c r="O232" i="1"/>
  <c r="O224" i="1"/>
  <c r="O192" i="1"/>
  <c r="O184" i="1"/>
  <c r="O176" i="1"/>
  <c r="O168" i="1"/>
  <c r="O151" i="1"/>
  <c r="O143" i="1"/>
  <c r="O135" i="1"/>
  <c r="O127" i="1"/>
  <c r="O119" i="1"/>
  <c r="O103" i="1"/>
  <c r="O95" i="1"/>
  <c r="O87" i="1"/>
  <c r="O79" i="1"/>
  <c r="O63" i="1"/>
  <c r="O55" i="1"/>
  <c r="O47" i="1"/>
  <c r="O39" i="1"/>
  <c r="O31" i="1"/>
  <c r="O23" i="1"/>
  <c r="O15" i="1"/>
  <c r="P259" i="1"/>
  <c r="P243" i="1"/>
  <c r="P235" i="1"/>
  <c r="P195" i="1"/>
  <c r="P179" i="1"/>
  <c r="D73" i="7"/>
  <c r="N283" i="1"/>
  <c r="Q10" i="3"/>
  <c r="R319" i="1"/>
  <c r="D68" i="7"/>
  <c r="D88" i="7"/>
  <c r="J79" i="7"/>
  <c r="L79" i="7"/>
  <c r="N269" i="13"/>
  <c r="O271" i="13"/>
  <c r="N273" i="13"/>
  <c r="S73" i="7"/>
  <c r="P263" i="6"/>
  <c r="P267" i="6"/>
  <c r="P275" i="6"/>
  <c r="I68" i="7"/>
  <c r="O71" i="7"/>
  <c r="S354" i="1"/>
  <c r="S355" i="1" s="1"/>
  <c r="T334" i="1"/>
  <c r="T306" i="1"/>
  <c r="T264" i="1"/>
  <c r="R222" i="1"/>
  <c r="T210" i="1"/>
  <c r="T140" i="1"/>
  <c r="Q109" i="1"/>
  <c r="T23" i="1"/>
  <c r="T7" i="1"/>
  <c r="S323" i="1"/>
  <c r="S324" i="1" s="1"/>
  <c r="S22" i="1"/>
  <c r="S23" i="1" s="1"/>
  <c r="T369" i="1"/>
  <c r="Q215" i="1"/>
  <c r="Q207" i="1"/>
  <c r="Q183" i="1"/>
  <c r="Q159" i="1"/>
  <c r="Q151" i="1"/>
  <c r="Q119" i="1"/>
  <c r="Q79" i="1"/>
  <c r="Q63" i="1"/>
  <c r="Q55" i="1"/>
  <c r="Q31" i="1"/>
  <c r="Q23" i="1"/>
  <c r="R108" i="1"/>
  <c r="R4" i="1"/>
  <c r="N265" i="1"/>
  <c r="N233" i="1"/>
  <c r="N225" i="1"/>
  <c r="N169" i="1"/>
  <c r="N145" i="1"/>
  <c r="N137" i="1"/>
  <c r="N129" i="1"/>
  <c r="N113" i="1"/>
  <c r="N105" i="1"/>
  <c r="N81" i="1"/>
  <c r="N57" i="1"/>
  <c r="N33" i="1"/>
  <c r="N25" i="1"/>
  <c r="N17" i="1"/>
  <c r="D71" i="7"/>
  <c r="P275" i="13"/>
  <c r="K69" i="7"/>
  <c r="Q72" i="7"/>
  <c r="I71" i="7"/>
  <c r="O68" i="7"/>
  <c r="N148" i="1"/>
  <c r="P264" i="11"/>
  <c r="P268" i="11"/>
  <c r="P272" i="12"/>
  <c r="I74" i="7"/>
  <c r="P272" i="9"/>
  <c r="P264" i="10"/>
  <c r="P268" i="10"/>
  <c r="P272" i="10"/>
  <c r="O273" i="11"/>
  <c r="N275" i="11"/>
  <c r="O269" i="12"/>
  <c r="N271" i="12"/>
  <c r="N275" i="12"/>
  <c r="P272" i="13"/>
  <c r="M71" i="7"/>
  <c r="P79" i="7"/>
  <c r="N79" i="7"/>
  <c r="P112" i="1"/>
  <c r="P104" i="1"/>
  <c r="P64" i="1"/>
  <c r="P56" i="1"/>
  <c r="P40" i="1"/>
  <c r="R129" i="1"/>
  <c r="R49" i="1"/>
  <c r="D74" i="7"/>
  <c r="S69" i="7"/>
  <c r="I72" i="7"/>
  <c r="D67" i="7"/>
  <c r="Q270" i="12"/>
  <c r="M69" i="7"/>
  <c r="O262" i="6"/>
  <c r="O266" i="6"/>
  <c r="N268" i="6"/>
  <c r="N272" i="6"/>
  <c r="I67" i="7"/>
  <c r="H79" i="7"/>
  <c r="R79" i="7"/>
  <c r="S75" i="7"/>
  <c r="N110" i="7"/>
  <c r="P110" i="7"/>
  <c r="D77" i="3"/>
  <c r="C15" i="17"/>
  <c r="S70" i="17"/>
  <c r="D25" i="3"/>
  <c r="D38" i="3"/>
  <c r="D42" i="7"/>
  <c r="D38" i="7"/>
  <c r="P74" i="1"/>
  <c r="M85" i="7"/>
  <c r="K53" i="7"/>
  <c r="Q24" i="3"/>
  <c r="R25" i="4"/>
  <c r="O61" i="33" s="1"/>
  <c r="N29" i="3"/>
  <c r="N62" i="3" s="1"/>
  <c r="M38" i="3"/>
  <c r="J59" i="4"/>
  <c r="J28" i="3"/>
  <c r="J61" i="3" s="1"/>
  <c r="N13" i="4"/>
  <c r="O70" i="3"/>
  <c r="P57" i="3"/>
  <c r="M53" i="7"/>
  <c r="Q86" i="7"/>
  <c r="D52" i="3"/>
  <c r="Q6" i="3"/>
  <c r="N257" i="1"/>
  <c r="L58" i="4"/>
  <c r="N389" i="10"/>
  <c r="P21" i="4"/>
  <c r="N8" i="4"/>
  <c r="I26" i="3"/>
  <c r="P6" i="4"/>
  <c r="O49" i="3"/>
  <c r="N217" i="1"/>
  <c r="Q237" i="1"/>
  <c r="N52" i="1"/>
  <c r="N44" i="1"/>
  <c r="N36" i="1"/>
  <c r="P273" i="1"/>
  <c r="N272" i="1"/>
  <c r="Q331" i="10"/>
  <c r="P263" i="9"/>
  <c r="P267" i="9"/>
  <c r="P271" i="9"/>
  <c r="P275" i="9"/>
  <c r="P263" i="10"/>
  <c r="P267" i="10"/>
  <c r="P271" i="10"/>
  <c r="P275" i="10"/>
  <c r="N270" i="11"/>
  <c r="O272" i="11"/>
  <c r="N274" i="11"/>
  <c r="N92" i="12"/>
  <c r="O252" i="12"/>
  <c r="O254" i="12"/>
  <c r="O258" i="12"/>
  <c r="O264" i="12"/>
  <c r="N266" i="12"/>
  <c r="O268" i="12"/>
  <c r="N274" i="12"/>
  <c r="P263" i="13"/>
  <c r="P267" i="13"/>
  <c r="P271" i="13"/>
  <c r="Q275" i="13"/>
  <c r="N270" i="9"/>
  <c r="N274" i="9"/>
  <c r="N258" i="10"/>
  <c r="O260" i="10"/>
  <c r="N262" i="10"/>
  <c r="O264" i="10"/>
  <c r="N266" i="10"/>
  <c r="N270" i="10"/>
  <c r="N274" i="10"/>
  <c r="P272" i="11"/>
  <c r="N270" i="6"/>
  <c r="N274" i="6"/>
  <c r="P248" i="1"/>
  <c r="O275" i="1"/>
  <c r="O267" i="1"/>
  <c r="N251" i="1"/>
  <c r="Q130" i="1"/>
  <c r="O106" i="1"/>
  <c r="O58" i="1"/>
  <c r="O50" i="1"/>
  <c r="O10" i="1"/>
  <c r="P271" i="1"/>
  <c r="P263" i="1"/>
  <c r="P247" i="1"/>
  <c r="P191" i="1"/>
  <c r="P183" i="1"/>
  <c r="Q132" i="1"/>
  <c r="Q84" i="1"/>
  <c r="R289" i="1"/>
  <c r="N270" i="1"/>
  <c r="R3" i="10"/>
  <c r="R87" i="10"/>
  <c r="R159" i="10"/>
  <c r="Q269" i="11"/>
  <c r="Q273" i="12"/>
  <c r="O236" i="1"/>
  <c r="O91" i="1"/>
  <c r="O83" i="1"/>
  <c r="N269" i="1"/>
  <c r="Q283" i="10"/>
  <c r="N263" i="9"/>
  <c r="N267" i="9"/>
  <c r="Q269" i="9"/>
  <c r="N271" i="9"/>
  <c r="N275" i="9"/>
  <c r="O131" i="10"/>
  <c r="Q220" i="10"/>
  <c r="Q241" i="10"/>
  <c r="N255" i="10"/>
  <c r="N259" i="10"/>
  <c r="N263" i="10"/>
  <c r="Q265" i="10"/>
  <c r="N267" i="10"/>
  <c r="O269" i="10"/>
  <c r="N271" i="10"/>
  <c r="O273" i="10"/>
  <c r="N275" i="10"/>
  <c r="P269" i="11"/>
  <c r="P273" i="11"/>
  <c r="P265" i="12"/>
  <c r="P269" i="12"/>
  <c r="P273" i="12"/>
  <c r="N263" i="13"/>
  <c r="N267" i="13"/>
  <c r="N271" i="13"/>
  <c r="O273" i="13"/>
  <c r="O269" i="6"/>
  <c r="N271" i="6"/>
  <c r="N275" i="6"/>
  <c r="Q161" i="1"/>
  <c r="O272" i="1"/>
  <c r="Q266" i="9"/>
  <c r="Q274" i="9"/>
  <c r="Q262" i="10"/>
  <c r="P270" i="11"/>
  <c r="P274" i="11"/>
  <c r="P262" i="12"/>
  <c r="P266" i="12"/>
  <c r="P270" i="12"/>
  <c r="P274" i="12"/>
  <c r="O262" i="13"/>
  <c r="N264" i="13"/>
  <c r="N268" i="13"/>
  <c r="N272" i="13"/>
  <c r="O274" i="13"/>
  <c r="Q274" i="6"/>
  <c r="R54" i="1"/>
  <c r="P275" i="1"/>
  <c r="P123" i="1"/>
  <c r="P43" i="1"/>
  <c r="Q248" i="1"/>
  <c r="Q208" i="1"/>
  <c r="N274" i="1"/>
  <c r="N266" i="1"/>
  <c r="N242" i="1"/>
  <c r="N210" i="1"/>
  <c r="N194" i="1"/>
  <c r="N170" i="1"/>
  <c r="N162" i="1"/>
  <c r="Q279" i="10"/>
  <c r="P262" i="9"/>
  <c r="P266" i="9"/>
  <c r="P270" i="9"/>
  <c r="P274" i="9"/>
  <c r="P270" i="10"/>
  <c r="P274" i="10"/>
  <c r="N269" i="11"/>
  <c r="O271" i="11"/>
  <c r="N273" i="11"/>
  <c r="O275" i="11"/>
  <c r="N265" i="12"/>
  <c r="N269" i="12"/>
  <c r="N273" i="12"/>
  <c r="P266" i="13"/>
  <c r="P270" i="13"/>
  <c r="P274" i="13"/>
  <c r="P262" i="6"/>
  <c r="P266" i="6"/>
  <c r="P270" i="6"/>
  <c r="P274" i="6"/>
  <c r="E32" i="25"/>
  <c r="M77" i="3"/>
  <c r="T70" i="17"/>
  <c r="S11" i="17"/>
  <c r="E10" i="25"/>
  <c r="E70" i="3"/>
  <c r="D49" i="3"/>
  <c r="T73" i="29" s="1"/>
  <c r="T74" i="29" s="1"/>
  <c r="V6" i="29" s="1"/>
  <c r="T9" i="1"/>
  <c r="D12" i="3"/>
  <c r="E76" i="3" s="1"/>
  <c r="O111" i="1"/>
  <c r="S340" i="1"/>
  <c r="S341" i="1" s="1"/>
  <c r="P338" i="1"/>
  <c r="R155" i="1"/>
  <c r="N155" i="1"/>
  <c r="T154" i="1"/>
  <c r="D24" i="3"/>
  <c r="E101" i="7" s="1"/>
  <c r="G385" i="1"/>
  <c r="D29" i="3"/>
  <c r="S149" i="1"/>
  <c r="P187" i="1"/>
  <c r="O160" i="1"/>
  <c r="O7" i="1"/>
  <c r="S233" i="1"/>
  <c r="P227" i="1"/>
  <c r="P219" i="1"/>
  <c r="E45" i="3"/>
  <c r="P171" i="1"/>
  <c r="S177" i="1"/>
  <c r="E40" i="3"/>
  <c r="D10" i="3"/>
  <c r="E74" i="3" s="1"/>
  <c r="D5" i="3"/>
  <c r="T364" i="1"/>
  <c r="T366" i="1"/>
  <c r="O366" i="1"/>
  <c r="T362" i="1"/>
  <c r="R366" i="1"/>
  <c r="S361" i="1"/>
  <c r="S362" i="1" s="1"/>
  <c r="Q366" i="1"/>
  <c r="O358" i="1"/>
  <c r="T357" i="1"/>
  <c r="Q358" i="1"/>
  <c r="T359" i="1"/>
  <c r="O350" i="1"/>
  <c r="T348" i="1"/>
  <c r="Q350" i="1"/>
  <c r="T350" i="1"/>
  <c r="R350" i="1"/>
  <c r="O342" i="1"/>
  <c r="T343" i="1"/>
  <c r="T345" i="1"/>
  <c r="Q334" i="1"/>
  <c r="R334" i="1"/>
  <c r="O334" i="1"/>
  <c r="R326" i="1"/>
  <c r="Q326" i="1"/>
  <c r="O326" i="1"/>
  <c r="T331" i="1"/>
  <c r="T327" i="1"/>
  <c r="S319" i="1"/>
  <c r="S320" i="1" s="1"/>
  <c r="Q318" i="1"/>
  <c r="T320" i="1"/>
  <c r="O318" i="1"/>
  <c r="Q310" i="1"/>
  <c r="R310" i="1"/>
  <c r="D15" i="4"/>
  <c r="S305" i="1"/>
  <c r="S306" i="1" s="1"/>
  <c r="T310" i="1"/>
  <c r="T301" i="1"/>
  <c r="T299" i="1"/>
  <c r="O302" i="1"/>
  <c r="S298" i="1"/>
  <c r="S299" i="1" s="1"/>
  <c r="T292" i="1"/>
  <c r="O294" i="1"/>
  <c r="T294" i="1"/>
  <c r="R294" i="1"/>
  <c r="S291" i="1"/>
  <c r="S292" i="1" s="1"/>
  <c r="Q294" i="1"/>
  <c r="T296" i="1"/>
  <c r="R286" i="1"/>
  <c r="S284" i="1"/>
  <c r="S285" i="1" s="1"/>
  <c r="T289" i="1"/>
  <c r="T285" i="1"/>
  <c r="R278" i="1"/>
  <c r="O278" i="1"/>
  <c r="T278" i="1"/>
  <c r="Q278" i="1"/>
  <c r="T280" i="1"/>
  <c r="O270" i="1"/>
  <c r="R270" i="1"/>
  <c r="Q270" i="1"/>
  <c r="T275" i="1"/>
  <c r="T273" i="1"/>
  <c r="N262" i="1"/>
  <c r="O262" i="1"/>
  <c r="Q262" i="1"/>
  <c r="R262" i="1"/>
  <c r="T266" i="1"/>
  <c r="T250" i="1"/>
  <c r="O254" i="1"/>
  <c r="Q254" i="1"/>
  <c r="T254" i="1"/>
  <c r="R254" i="1"/>
  <c r="N246" i="1"/>
  <c r="T243" i="1"/>
  <c r="Q246" i="1"/>
  <c r="T245" i="1"/>
  <c r="R246" i="1"/>
  <c r="O246" i="1"/>
  <c r="N238" i="1"/>
  <c r="S235" i="1"/>
  <c r="S236" i="1" s="1"/>
  <c r="Q238" i="1"/>
  <c r="O238" i="1"/>
  <c r="T236" i="1"/>
  <c r="T240" i="1"/>
  <c r="T229" i="1"/>
  <c r="O230" i="1"/>
  <c r="R230" i="1"/>
  <c r="T231" i="1"/>
  <c r="S228" i="1"/>
  <c r="S229" i="1" s="1"/>
  <c r="Q230" i="1"/>
  <c r="N222" i="1"/>
  <c r="T226" i="1"/>
  <c r="T224" i="1"/>
  <c r="T222" i="1"/>
  <c r="O222" i="1"/>
  <c r="Q222" i="1"/>
  <c r="S221" i="1"/>
  <c r="S222" i="1" s="1"/>
  <c r="N214" i="1"/>
  <c r="T217" i="1"/>
  <c r="O214" i="1"/>
  <c r="R214" i="1"/>
  <c r="T215" i="1"/>
  <c r="T219" i="1"/>
  <c r="S207" i="1"/>
  <c r="S208" i="1" s="1"/>
  <c r="Q206" i="1"/>
  <c r="Q198" i="1"/>
  <c r="O198" i="1"/>
  <c r="T194" i="1"/>
  <c r="T196" i="1"/>
  <c r="S193" i="1"/>
  <c r="S194" i="1" s="1"/>
  <c r="D27" i="3"/>
  <c r="N190" i="1"/>
  <c r="Q190" i="1"/>
  <c r="T191" i="1"/>
  <c r="S186" i="1"/>
  <c r="S187" i="1" s="1"/>
  <c r="R190" i="1"/>
  <c r="R182" i="1"/>
  <c r="N182" i="1"/>
  <c r="T184" i="1"/>
  <c r="S179" i="1"/>
  <c r="S180" i="1" s="1"/>
  <c r="T180" i="1"/>
  <c r="T182" i="1"/>
  <c r="S172" i="1"/>
  <c r="S173" i="1" s="1"/>
  <c r="Q174" i="1"/>
  <c r="R174" i="1"/>
  <c r="O174" i="1"/>
  <c r="Q166" i="1"/>
  <c r="T166" i="1"/>
  <c r="T168" i="1"/>
  <c r="R166" i="1"/>
  <c r="O166" i="1"/>
  <c r="S165" i="1"/>
  <c r="S166" i="1" s="1"/>
  <c r="T159" i="1"/>
  <c r="S158" i="1"/>
  <c r="S159" i="1" s="1"/>
  <c r="O158" i="1"/>
  <c r="Q158" i="1"/>
  <c r="T163" i="1"/>
  <c r="R158" i="1"/>
  <c r="N158" i="1"/>
  <c r="N149" i="1"/>
  <c r="T147" i="1"/>
  <c r="R149" i="1"/>
  <c r="Q149" i="1"/>
  <c r="T149" i="1"/>
  <c r="T145" i="1"/>
  <c r="S144" i="1"/>
  <c r="S145" i="1" s="1"/>
  <c r="Q141" i="1"/>
  <c r="N141" i="1"/>
  <c r="S137" i="1"/>
  <c r="S138" i="1" s="1"/>
  <c r="O141" i="1"/>
  <c r="S130" i="1"/>
  <c r="S131" i="1" s="1"/>
  <c r="O133" i="1"/>
  <c r="Q133" i="1"/>
  <c r="N133" i="1"/>
  <c r="T133" i="1"/>
  <c r="Q125" i="1"/>
  <c r="R125" i="1"/>
  <c r="S123" i="1"/>
  <c r="S124" i="1" s="1"/>
  <c r="T124" i="1"/>
  <c r="N117" i="1"/>
  <c r="T121" i="1"/>
  <c r="S116" i="1"/>
  <c r="S117" i="1" s="1"/>
  <c r="R117" i="1"/>
  <c r="T117" i="1"/>
  <c r="Q117" i="1"/>
  <c r="R109" i="1"/>
  <c r="O109" i="1"/>
  <c r="T112" i="1"/>
  <c r="S109" i="1"/>
  <c r="S110" i="1" s="1"/>
  <c r="O101" i="1"/>
  <c r="N101" i="1"/>
  <c r="T105" i="1"/>
  <c r="T107" i="1"/>
  <c r="R101" i="1"/>
  <c r="N93" i="1"/>
  <c r="R93" i="1"/>
  <c r="Q93" i="1"/>
  <c r="O93" i="1"/>
  <c r="T89" i="1"/>
  <c r="S88" i="1"/>
  <c r="S89" i="1" s="1"/>
  <c r="T93" i="1"/>
  <c r="T82" i="1"/>
  <c r="T84" i="1"/>
  <c r="N85" i="1"/>
  <c r="O85" i="1"/>
  <c r="Q85" i="1"/>
  <c r="T86" i="1"/>
  <c r="S81" i="1"/>
  <c r="S82" i="1" s="1"/>
  <c r="N77" i="1"/>
  <c r="Q77" i="1"/>
  <c r="T77" i="1"/>
  <c r="S74" i="1"/>
  <c r="S75" i="1" s="1"/>
  <c r="T79" i="1"/>
  <c r="T75" i="1"/>
  <c r="T70" i="1"/>
  <c r="T72" i="1"/>
  <c r="S67" i="1"/>
  <c r="S68" i="1" s="1"/>
  <c r="N69" i="1"/>
  <c r="Q69" i="1"/>
  <c r="O69" i="1"/>
  <c r="Q61" i="1"/>
  <c r="N61" i="1"/>
  <c r="T61" i="1"/>
  <c r="O61" i="1"/>
  <c r="T63" i="1"/>
  <c r="N53" i="1"/>
  <c r="R53" i="1"/>
  <c r="Q53" i="1"/>
  <c r="T54" i="1"/>
  <c r="Q45" i="1"/>
  <c r="R45" i="1"/>
  <c r="T47" i="1"/>
  <c r="S46" i="1"/>
  <c r="S47" i="1" s="1"/>
  <c r="T49" i="1"/>
  <c r="N45" i="1"/>
  <c r="O45" i="1"/>
  <c r="N37" i="1"/>
  <c r="O37" i="1"/>
  <c r="T37" i="1"/>
  <c r="R37" i="1"/>
  <c r="Q37" i="1"/>
  <c r="S32" i="1"/>
  <c r="S33" i="1" s="1"/>
  <c r="T33" i="1"/>
  <c r="N29" i="1"/>
  <c r="R29" i="1"/>
  <c r="T30" i="1"/>
  <c r="Q29" i="1"/>
  <c r="T28" i="1"/>
  <c r="O29" i="1"/>
  <c r="T26" i="1"/>
  <c r="N21" i="1"/>
  <c r="T19" i="1"/>
  <c r="Q21" i="1"/>
  <c r="R21" i="1"/>
  <c r="S18" i="1"/>
  <c r="S19" i="1" s="1"/>
  <c r="T21" i="1"/>
  <c r="R13" i="1"/>
  <c r="N13" i="1"/>
  <c r="O13" i="1"/>
  <c r="S11" i="1"/>
  <c r="S12" i="1" s="1"/>
  <c r="T16" i="1"/>
  <c r="T14" i="1"/>
  <c r="T12" i="1"/>
  <c r="Q13" i="1"/>
  <c r="R5" i="1"/>
  <c r="O5" i="1"/>
  <c r="P362" i="1"/>
  <c r="S365" i="1"/>
  <c r="S366" i="1" s="1"/>
  <c r="P354" i="1"/>
  <c r="P346" i="1"/>
  <c r="S330" i="1"/>
  <c r="S331" i="1" s="1"/>
  <c r="P330" i="1"/>
  <c r="S316" i="1"/>
  <c r="S317" i="1" s="1"/>
  <c r="P306" i="1"/>
  <c r="S309" i="1"/>
  <c r="S310" i="1" s="1"/>
  <c r="P298" i="1"/>
  <c r="S302" i="1"/>
  <c r="S303" i="1" s="1"/>
  <c r="S295" i="1"/>
  <c r="S296" i="1" s="1"/>
  <c r="S281" i="1"/>
  <c r="S282" i="1" s="1"/>
  <c r="D47" i="3"/>
  <c r="T53" i="29" s="1"/>
  <c r="P282" i="1"/>
  <c r="S274" i="1"/>
  <c r="S275" i="1" s="1"/>
  <c r="P266" i="1"/>
  <c r="P258" i="1"/>
  <c r="S260" i="1"/>
  <c r="S261" i="1" s="1"/>
  <c r="P250" i="1"/>
  <c r="S246" i="1"/>
  <c r="S247" i="1" s="1"/>
  <c r="P234" i="1"/>
  <c r="S225" i="1"/>
  <c r="S226" i="1" s="1"/>
  <c r="S204" i="1"/>
  <c r="S205" i="1" s="1"/>
  <c r="P202" i="1"/>
  <c r="S197" i="1"/>
  <c r="S198" i="1" s="1"/>
  <c r="S190" i="1"/>
  <c r="S191" i="1" s="1"/>
  <c r="P186" i="1"/>
  <c r="S183" i="1"/>
  <c r="S184" i="1" s="1"/>
  <c r="S169" i="1"/>
  <c r="S170" i="1" s="1"/>
  <c r="D43" i="3"/>
  <c r="F73" i="29" s="1"/>
  <c r="S162" i="1"/>
  <c r="S163" i="1" s="1"/>
  <c r="P154" i="1"/>
  <c r="S155" i="1"/>
  <c r="S156" i="1" s="1"/>
  <c r="P146" i="1"/>
  <c r="S141" i="1"/>
  <c r="S142" i="1" s="1"/>
  <c r="S134" i="1"/>
  <c r="S135" i="1" s="1"/>
  <c r="S127" i="1"/>
  <c r="S128" i="1" s="1"/>
  <c r="S113" i="1"/>
  <c r="S114" i="1" s="1"/>
  <c r="S99" i="1"/>
  <c r="S100" i="1" s="1"/>
  <c r="P98" i="1"/>
  <c r="S92" i="1"/>
  <c r="S93" i="1" s="1"/>
  <c r="S71" i="1"/>
  <c r="S72" i="1" s="1"/>
  <c r="P66" i="1"/>
  <c r="P58" i="1"/>
  <c r="S57" i="1"/>
  <c r="S58" i="1" s="1"/>
  <c r="P50" i="1"/>
  <c r="S43" i="1"/>
  <c r="S44" i="1" s="1"/>
  <c r="P42" i="1"/>
  <c r="S36" i="1"/>
  <c r="S37" i="1" s="1"/>
  <c r="P34" i="1"/>
  <c r="D39" i="3"/>
  <c r="F33" i="29" s="1"/>
  <c r="S29" i="1"/>
  <c r="S30" i="1" s="1"/>
  <c r="P26" i="1"/>
  <c r="S15" i="1"/>
  <c r="S16" i="1" s="1"/>
  <c r="T313" i="1"/>
  <c r="Q239" i="1"/>
  <c r="Q231" i="1"/>
  <c r="Q223" i="1"/>
  <c r="Q191" i="1"/>
  <c r="Q167" i="1"/>
  <c r="Q143" i="1"/>
  <c r="R77" i="1"/>
  <c r="D21" i="3"/>
  <c r="E98" i="7" s="1"/>
  <c r="F54" i="29"/>
  <c r="T238" i="1"/>
  <c r="Q101" i="1"/>
  <c r="S270" i="1"/>
  <c r="S271" i="1" s="1"/>
  <c r="D15" i="3"/>
  <c r="T173" i="1"/>
  <c r="S249" i="1"/>
  <c r="S250" i="1" s="1"/>
  <c r="S333" i="1"/>
  <c r="S334" i="1" s="1"/>
  <c r="S277" i="1"/>
  <c r="S278" i="1" s="1"/>
  <c r="R238" i="1"/>
  <c r="S60" i="1"/>
  <c r="S61" i="1" s="1"/>
  <c r="S345" i="1"/>
  <c r="T336" i="1"/>
  <c r="T175" i="1"/>
  <c r="S267" i="1"/>
  <c r="S268" i="1" s="1"/>
  <c r="O77" i="1"/>
  <c r="O248" i="1"/>
  <c r="R85" i="1"/>
  <c r="D23" i="4"/>
  <c r="S5" i="1"/>
  <c r="S54" i="1"/>
  <c r="D26" i="3"/>
  <c r="S347" i="1"/>
  <c r="S348" i="1" s="1"/>
  <c r="T131" i="1"/>
  <c r="T103" i="1"/>
  <c r="T271" i="1"/>
  <c r="S263" i="1"/>
  <c r="S264" i="1" s="1"/>
  <c r="T187" i="1"/>
  <c r="S289" i="1"/>
  <c r="T189" i="1"/>
  <c r="T208" i="1"/>
  <c r="R358" i="1"/>
  <c r="S214" i="1"/>
  <c r="S215" i="1" s="1"/>
  <c r="T91" i="1"/>
  <c r="T268" i="1"/>
  <c r="S358" i="1"/>
  <c r="S359" i="1" s="1"/>
  <c r="T135" i="1"/>
  <c r="T161" i="1"/>
  <c r="T119" i="1"/>
  <c r="R318" i="1"/>
  <c r="D13" i="4"/>
  <c r="O117" i="1"/>
  <c r="N166" i="1"/>
  <c r="S257" i="1"/>
  <c r="D12" i="4"/>
  <c r="T114" i="1"/>
  <c r="T247" i="1"/>
  <c r="T58" i="1"/>
  <c r="T68" i="1"/>
  <c r="T177" i="1"/>
  <c r="S40" i="1"/>
  <c r="O21" i="1"/>
  <c r="Q286" i="1"/>
  <c r="T198" i="1"/>
  <c r="S211" i="1"/>
  <c r="S212" i="1" s="1"/>
  <c r="D46" i="3"/>
  <c r="T43" i="29" s="1"/>
  <c r="O71" i="1"/>
  <c r="O125" i="1"/>
  <c r="S239" i="1"/>
  <c r="S240" i="1" s="1"/>
  <c r="N198" i="1"/>
  <c r="S201" i="1"/>
  <c r="T5" i="1"/>
  <c r="R3" i="14"/>
  <c r="R3" i="1"/>
  <c r="S313" i="1"/>
  <c r="R4" i="14"/>
  <c r="P267" i="1"/>
  <c r="P163" i="1"/>
  <c r="P131" i="1"/>
  <c r="P59" i="1"/>
  <c r="P51" i="1"/>
  <c r="P27" i="1"/>
  <c r="Q256" i="1"/>
  <c r="N362" i="1"/>
  <c r="N354" i="1"/>
  <c r="N322" i="1"/>
  <c r="N290" i="1"/>
  <c r="N282" i="1"/>
  <c r="N146" i="1"/>
  <c r="N66" i="1"/>
  <c r="N50" i="1"/>
  <c r="N18" i="1"/>
  <c r="S96" i="1"/>
  <c r="Q98" i="1"/>
  <c r="O98" i="1"/>
  <c r="R34" i="1"/>
  <c r="Q34" i="1"/>
  <c r="S50" i="1"/>
  <c r="S51" i="1" s="1"/>
  <c r="N70" i="1"/>
  <c r="O114" i="1"/>
  <c r="O34" i="1"/>
  <c r="R193" i="1"/>
  <c r="R39" i="1"/>
  <c r="R23" i="1"/>
  <c r="R15" i="1"/>
  <c r="N267" i="1"/>
  <c r="R132" i="1"/>
  <c r="O110" i="1"/>
  <c r="O94" i="1"/>
  <c r="O46" i="1"/>
  <c r="P242" i="1"/>
  <c r="P226" i="1"/>
  <c r="P218" i="1"/>
  <c r="P194" i="1"/>
  <c r="P178" i="1"/>
  <c r="P162" i="1"/>
  <c r="R317" i="1"/>
  <c r="R124" i="1"/>
  <c r="R100" i="1"/>
  <c r="Q92" i="1"/>
  <c r="R84" i="1"/>
  <c r="Q68" i="1"/>
  <c r="Q28" i="1"/>
  <c r="Q20" i="1"/>
  <c r="R12" i="1"/>
  <c r="Q4" i="1"/>
  <c r="P233" i="1"/>
  <c r="P201" i="1"/>
  <c r="P185" i="1"/>
  <c r="S85" i="1"/>
  <c r="S86" i="1" s="1"/>
  <c r="Q54" i="1"/>
  <c r="Q46" i="1"/>
  <c r="D8" i="4"/>
  <c r="N264" i="1"/>
  <c r="N216" i="1"/>
  <c r="N128" i="1"/>
  <c r="N263" i="1"/>
  <c r="I10" i="3"/>
  <c r="P6" i="6"/>
  <c r="P26" i="6"/>
  <c r="P64" i="6"/>
  <c r="P100" i="6"/>
  <c r="P116" i="6"/>
  <c r="P134" i="6"/>
  <c r="P140" i="6"/>
  <c r="P160" i="6"/>
  <c r="O173" i="6"/>
  <c r="P183" i="6"/>
  <c r="P257" i="6"/>
  <c r="P261" i="6"/>
  <c r="N21" i="6"/>
  <c r="N29" i="6"/>
  <c r="O47" i="6"/>
  <c r="O53" i="6"/>
  <c r="Q54" i="6"/>
  <c r="N103" i="6"/>
  <c r="O125" i="6"/>
  <c r="O135" i="6"/>
  <c r="O153" i="6"/>
  <c r="N161" i="6"/>
  <c r="P163" i="6"/>
  <c r="O182" i="6"/>
  <c r="O204" i="6"/>
  <c r="O238" i="6"/>
  <c r="N240" i="6"/>
  <c r="N256" i="6"/>
  <c r="O260" i="6"/>
  <c r="N262" i="6"/>
  <c r="N266" i="6"/>
  <c r="P153" i="6"/>
  <c r="P192" i="6"/>
  <c r="P256" i="6"/>
  <c r="P260" i="6"/>
  <c r="P264" i="6"/>
  <c r="P268" i="6"/>
  <c r="N259" i="6"/>
  <c r="O265" i="6"/>
  <c r="N267" i="6"/>
  <c r="M389" i="11"/>
  <c r="E40" i="25"/>
  <c r="L28" i="3"/>
  <c r="M28" i="3" s="1"/>
  <c r="E11" i="25"/>
  <c r="R21" i="3"/>
  <c r="H389" i="11"/>
  <c r="M73" i="3"/>
  <c r="M43" i="25"/>
  <c r="O39" i="25"/>
  <c r="R27" i="4"/>
  <c r="O45" i="25"/>
  <c r="P52" i="3"/>
  <c r="M9" i="3"/>
  <c r="M44" i="3"/>
  <c r="R283" i="1"/>
  <c r="O245" i="1"/>
  <c r="P170" i="1"/>
  <c r="N181" i="1"/>
  <c r="R181" i="1"/>
  <c r="N68" i="1"/>
  <c r="R68" i="1"/>
  <c r="N352" i="1"/>
  <c r="N280" i="1"/>
  <c r="D37" i="7"/>
  <c r="D36" i="7"/>
  <c r="O365" i="1"/>
  <c r="R28" i="1"/>
  <c r="Q269" i="1"/>
  <c r="N4" i="1"/>
  <c r="I12" i="4"/>
  <c r="D52" i="7"/>
  <c r="O11" i="3"/>
  <c r="N5" i="4"/>
  <c r="R197" i="1"/>
  <c r="R349" i="1"/>
  <c r="R365" i="1"/>
  <c r="N40" i="1"/>
  <c r="N253" i="1"/>
  <c r="R60" i="1"/>
  <c r="I21" i="3"/>
  <c r="D58" i="7"/>
  <c r="H20" i="4"/>
  <c r="P249" i="1"/>
  <c r="P241" i="1"/>
  <c r="P225" i="1"/>
  <c r="P217" i="1"/>
  <c r="P209" i="1"/>
  <c r="P193" i="1"/>
  <c r="P177" i="1"/>
  <c r="P169" i="1"/>
  <c r="P161" i="1"/>
  <c r="Q253" i="1"/>
  <c r="N273" i="1"/>
  <c r="N185" i="1"/>
  <c r="R136" i="1"/>
  <c r="N60" i="1"/>
  <c r="N28" i="1"/>
  <c r="N20" i="1"/>
  <c r="D87" i="7"/>
  <c r="Q110" i="1"/>
  <c r="Q70" i="1"/>
  <c r="Q22" i="1"/>
  <c r="D56" i="7"/>
  <c r="Q28" i="12"/>
  <c r="Q36" i="12"/>
  <c r="Q127" i="12"/>
  <c r="R140" i="12"/>
  <c r="R152" i="12"/>
  <c r="S200" i="12"/>
  <c r="S201" i="12" s="1"/>
  <c r="Q260" i="12"/>
  <c r="Q164" i="6"/>
  <c r="R203" i="1"/>
  <c r="Q148" i="1"/>
  <c r="N254" i="1"/>
  <c r="N22" i="1"/>
  <c r="O263" i="9"/>
  <c r="N265" i="9"/>
  <c r="O267" i="9"/>
  <c r="P265" i="10"/>
  <c r="R335" i="10"/>
  <c r="R359" i="10"/>
  <c r="R43" i="11"/>
  <c r="Q217" i="11"/>
  <c r="Q237" i="11"/>
  <c r="Q245" i="11"/>
  <c r="Q261" i="11"/>
  <c r="N263" i="11"/>
  <c r="N267" i="11"/>
  <c r="P264" i="12"/>
  <c r="P268" i="12"/>
  <c r="N262" i="13"/>
  <c r="O264" i="13"/>
  <c r="N266" i="13"/>
  <c r="Q268" i="13"/>
  <c r="N264" i="10"/>
  <c r="N268" i="10"/>
  <c r="P265" i="11"/>
  <c r="N263" i="12"/>
  <c r="N267" i="12"/>
  <c r="P264" i="13"/>
  <c r="P268" i="13"/>
  <c r="N262" i="9"/>
  <c r="Q264" i="9"/>
  <c r="N266" i="9"/>
  <c r="P266" i="10"/>
  <c r="R288" i="1"/>
  <c r="R200" i="1"/>
  <c r="R63" i="1"/>
  <c r="P264" i="9"/>
  <c r="P268" i="9"/>
  <c r="O263" i="10"/>
  <c r="N265" i="10"/>
  <c r="O267" i="10"/>
  <c r="P262" i="11"/>
  <c r="P266" i="11"/>
  <c r="N264" i="12"/>
  <c r="O266" i="12"/>
  <c r="N268" i="12"/>
  <c r="R314" i="12"/>
  <c r="P257" i="13"/>
  <c r="P265" i="13"/>
  <c r="R161" i="12"/>
  <c r="S169" i="12"/>
  <c r="S170" i="12" s="1"/>
  <c r="R229" i="12"/>
  <c r="R253" i="12"/>
  <c r="R257" i="12"/>
  <c r="P265" i="9"/>
  <c r="Q268" i="10"/>
  <c r="N262" i="11"/>
  <c r="O264" i="11"/>
  <c r="N266" i="11"/>
  <c r="O268" i="11"/>
  <c r="P263" i="12"/>
  <c r="P267" i="12"/>
  <c r="Q263" i="13"/>
  <c r="N265" i="13"/>
  <c r="J24" i="4"/>
  <c r="J55" i="4"/>
  <c r="R25" i="3"/>
  <c r="S25" i="3" s="1"/>
  <c r="Q46" i="3"/>
  <c r="P21" i="3"/>
  <c r="Q98" i="7" s="1"/>
  <c r="M42" i="25"/>
  <c r="J54" i="4"/>
  <c r="R26" i="4"/>
  <c r="P5" i="4"/>
  <c r="N28" i="3"/>
  <c r="O42" i="7" s="1"/>
  <c r="M8" i="3"/>
  <c r="M86" i="7"/>
  <c r="O52" i="7"/>
  <c r="K37" i="7"/>
  <c r="M72" i="3"/>
  <c r="P12" i="4"/>
  <c r="P29" i="4"/>
  <c r="N71" i="1"/>
  <c r="N47" i="1"/>
  <c r="N31" i="1"/>
  <c r="D90" i="7"/>
  <c r="P389" i="11"/>
  <c r="R79" i="1"/>
  <c r="M5" i="3"/>
  <c r="N203" i="1"/>
  <c r="D55" i="7"/>
  <c r="Q255" i="1"/>
  <c r="R94" i="1"/>
  <c r="Q351" i="12"/>
  <c r="R200" i="12"/>
  <c r="S295" i="12"/>
  <c r="S296" i="12" s="1"/>
  <c r="P258" i="9"/>
  <c r="R106" i="10"/>
  <c r="Q254" i="10"/>
  <c r="Q139" i="11"/>
  <c r="O219" i="11"/>
  <c r="O6" i="12"/>
  <c r="N10" i="12"/>
  <c r="O12" i="12"/>
  <c r="O18" i="12"/>
  <c r="N20" i="12"/>
  <c r="O26" i="12"/>
  <c r="Q37" i="12"/>
  <c r="O60" i="12"/>
  <c r="O82" i="12"/>
  <c r="Q85" i="12"/>
  <c r="N86" i="12"/>
  <c r="O90" i="12"/>
  <c r="O118" i="12"/>
  <c r="N136" i="12"/>
  <c r="N150" i="12"/>
  <c r="R170" i="12"/>
  <c r="O196" i="12"/>
  <c r="R222" i="12"/>
  <c r="O230" i="12"/>
  <c r="O238" i="12"/>
  <c r="O244" i="12"/>
  <c r="S256" i="12"/>
  <c r="S257" i="12" s="1"/>
  <c r="R262" i="12"/>
  <c r="Q39" i="6"/>
  <c r="Q139" i="6"/>
  <c r="R92" i="1"/>
  <c r="R52" i="1"/>
  <c r="N256" i="1"/>
  <c r="R355" i="10"/>
  <c r="Q290" i="12"/>
  <c r="Q103" i="12"/>
  <c r="Q187" i="12"/>
  <c r="Q207" i="12"/>
  <c r="Q261" i="13"/>
  <c r="R113" i="1"/>
  <c r="Q304" i="11"/>
  <c r="Q257" i="9"/>
  <c r="Q261" i="9"/>
  <c r="P252" i="12"/>
  <c r="P256" i="12"/>
  <c r="R366" i="12"/>
  <c r="P261" i="13"/>
  <c r="Q327" i="10"/>
  <c r="P257" i="10"/>
  <c r="N258" i="13"/>
  <c r="Q88" i="7"/>
  <c r="R24" i="3"/>
  <c r="D20" i="4"/>
  <c r="G377" i="1"/>
  <c r="R26" i="3"/>
  <c r="I24" i="29"/>
  <c r="K9" i="29" s="1"/>
  <c r="J51" i="4"/>
  <c r="I42" i="3"/>
  <c r="H55" i="4"/>
  <c r="S45" i="25"/>
  <c r="L6" i="4"/>
  <c r="L22" i="3"/>
  <c r="M99" i="7" s="1"/>
  <c r="I58" i="7"/>
  <c r="K85" i="7"/>
  <c r="R8" i="4"/>
  <c r="L22" i="4"/>
  <c r="H17" i="3"/>
  <c r="P47" i="7"/>
  <c r="D40" i="7"/>
  <c r="D39" i="7"/>
  <c r="N14" i="1"/>
  <c r="R299" i="10"/>
  <c r="J13" i="4"/>
  <c r="D31" i="3"/>
  <c r="J7" i="4"/>
  <c r="K7" i="4" s="1"/>
  <c r="N258" i="1"/>
  <c r="H62" i="4"/>
  <c r="I49" i="3"/>
  <c r="N255" i="1"/>
  <c r="R133" i="1"/>
  <c r="E7" i="3"/>
  <c r="P14" i="1"/>
  <c r="P6" i="1"/>
  <c r="R165" i="1"/>
  <c r="Q76" i="1"/>
  <c r="N72" i="1"/>
  <c r="N64" i="1"/>
  <c r="H29" i="3"/>
  <c r="P27" i="4"/>
  <c r="R284" i="1"/>
  <c r="Q252" i="10"/>
  <c r="N251" i="12"/>
  <c r="Q261" i="12"/>
  <c r="N254" i="13"/>
  <c r="N256" i="13"/>
  <c r="R22" i="6"/>
  <c r="P249" i="12"/>
  <c r="P259" i="12"/>
  <c r="P258" i="13"/>
  <c r="O163" i="6"/>
  <c r="R321" i="11"/>
  <c r="P255" i="13"/>
  <c r="N253" i="9"/>
  <c r="O255" i="9"/>
  <c r="N257" i="9"/>
  <c r="O259" i="9"/>
  <c r="N261" i="9"/>
  <c r="O350" i="11"/>
  <c r="R18" i="9"/>
  <c r="R22" i="9"/>
  <c r="R54" i="9"/>
  <c r="R58" i="9"/>
  <c r="R98" i="9"/>
  <c r="R146" i="9"/>
  <c r="P255" i="9"/>
  <c r="P259" i="9"/>
  <c r="P258" i="10"/>
  <c r="Q256" i="9"/>
  <c r="N258" i="9"/>
  <c r="O260" i="9"/>
  <c r="R51" i="10"/>
  <c r="R91" i="10"/>
  <c r="R103" i="10"/>
  <c r="R115" i="10"/>
  <c r="R195" i="10"/>
  <c r="R235" i="10"/>
  <c r="O115" i="11"/>
  <c r="Q125" i="11"/>
  <c r="O155" i="11"/>
  <c r="Q185" i="11"/>
  <c r="Q205" i="11"/>
  <c r="O251" i="11"/>
  <c r="N255" i="13"/>
  <c r="N259" i="13"/>
  <c r="O86" i="1"/>
  <c r="P153" i="1"/>
  <c r="P145" i="1"/>
  <c r="P81" i="1"/>
  <c r="P25" i="1"/>
  <c r="P17" i="1"/>
  <c r="R192" i="1"/>
  <c r="S365" i="12"/>
  <c r="S366" i="12" s="1"/>
  <c r="Q258" i="12"/>
  <c r="O270" i="12"/>
  <c r="P255" i="10"/>
  <c r="R127" i="12"/>
  <c r="M77" i="25"/>
  <c r="I41" i="25"/>
  <c r="N96" i="3"/>
  <c r="K77" i="3"/>
  <c r="J389" i="11"/>
  <c r="R20" i="4"/>
  <c r="L389" i="11"/>
  <c r="I54" i="29"/>
  <c r="N389" i="11"/>
  <c r="P17" i="3"/>
  <c r="Q8" i="4"/>
  <c r="AA11" i="33"/>
  <c r="R59" i="4"/>
  <c r="L52" i="3"/>
  <c r="D45" i="7"/>
  <c r="R59" i="1"/>
  <c r="R11" i="1"/>
  <c r="O4" i="14"/>
  <c r="N232" i="1"/>
  <c r="N208" i="1"/>
  <c r="N200" i="1"/>
  <c r="N176" i="1"/>
  <c r="N160" i="1"/>
  <c r="Q40" i="3"/>
  <c r="P3" i="14"/>
  <c r="P142" i="1"/>
  <c r="P86" i="1"/>
  <c r="P78" i="1"/>
  <c r="P70" i="1"/>
  <c r="P62" i="1"/>
  <c r="P54" i="1"/>
  <c r="P46" i="1"/>
  <c r="P38" i="1"/>
  <c r="P22" i="1"/>
  <c r="P257" i="9"/>
  <c r="P261" i="9"/>
  <c r="Q58" i="10"/>
  <c r="N260" i="10"/>
  <c r="P261" i="10"/>
  <c r="Q117" i="11"/>
  <c r="O258" i="13"/>
  <c r="N260" i="13"/>
  <c r="N254" i="6"/>
  <c r="O258" i="6"/>
  <c r="N260" i="6"/>
  <c r="E91" i="25"/>
  <c r="R307" i="1"/>
  <c r="O269" i="11"/>
  <c r="Q255" i="10"/>
  <c r="Q5" i="12"/>
  <c r="R10" i="12"/>
  <c r="Q13" i="12"/>
  <c r="Q25" i="12"/>
  <c r="Q29" i="12"/>
  <c r="Q41" i="12"/>
  <c r="Q81" i="12"/>
  <c r="T114" i="12"/>
  <c r="Q122" i="12"/>
  <c r="Q145" i="12"/>
  <c r="R166" i="12"/>
  <c r="Q177" i="12"/>
  <c r="Q181" i="12"/>
  <c r="Q182" i="12"/>
  <c r="R194" i="12"/>
  <c r="Q226" i="12"/>
  <c r="R234" i="12"/>
  <c r="R302" i="12"/>
  <c r="P121" i="6"/>
  <c r="P202" i="6"/>
  <c r="P210" i="6"/>
  <c r="P222" i="6"/>
  <c r="P252" i="6"/>
  <c r="P258" i="6"/>
  <c r="R368" i="1"/>
  <c r="N130" i="1"/>
  <c r="Q199" i="1"/>
  <c r="N260" i="1"/>
  <c r="O343" i="10"/>
  <c r="Q235" i="10"/>
  <c r="O292" i="11"/>
  <c r="P256" i="9"/>
  <c r="P260" i="9"/>
  <c r="O102" i="10"/>
  <c r="N248" i="10"/>
  <c r="N250" i="10"/>
  <c r="R254" i="10"/>
  <c r="N257" i="10"/>
  <c r="Q259" i="10"/>
  <c r="O215" i="11"/>
  <c r="N253" i="11"/>
  <c r="Q254" i="11"/>
  <c r="O255" i="11"/>
  <c r="N257" i="11"/>
  <c r="Q258" i="11"/>
  <c r="O261" i="11"/>
  <c r="N261" i="11"/>
  <c r="N257" i="13"/>
  <c r="O30" i="6"/>
  <c r="O199" i="6"/>
  <c r="O203" i="6"/>
  <c r="O227" i="6"/>
  <c r="O255" i="6"/>
  <c r="N257" i="6"/>
  <c r="O259" i="6"/>
  <c r="N261" i="6"/>
  <c r="P255" i="1"/>
  <c r="N259" i="1"/>
  <c r="Q273" i="10"/>
  <c r="N255" i="9"/>
  <c r="N259" i="9"/>
  <c r="P259" i="10"/>
  <c r="N261" i="10"/>
  <c r="R352" i="10"/>
  <c r="P255" i="11"/>
  <c r="P259" i="11"/>
  <c r="O330" i="11"/>
  <c r="N257" i="12"/>
  <c r="R261" i="12"/>
  <c r="P259" i="13"/>
  <c r="P193" i="6"/>
  <c r="P211" i="6"/>
  <c r="P227" i="6"/>
  <c r="P231" i="6"/>
  <c r="P255" i="6"/>
  <c r="P259" i="6"/>
  <c r="O168" i="11"/>
  <c r="O186" i="11"/>
  <c r="Q212" i="11"/>
  <c r="O248" i="11"/>
  <c r="O252" i="11"/>
  <c r="N258" i="11"/>
  <c r="P255" i="12"/>
  <c r="N261" i="12"/>
  <c r="N261" i="13"/>
  <c r="Q256" i="6"/>
  <c r="O77" i="25"/>
  <c r="N248" i="9"/>
  <c r="N256" i="9"/>
  <c r="Q258" i="9"/>
  <c r="N260" i="9"/>
  <c r="P260" i="10"/>
  <c r="P248" i="11"/>
  <c r="P252" i="11"/>
  <c r="P256" i="11"/>
  <c r="P260" i="11"/>
  <c r="R48" i="12"/>
  <c r="P256" i="13"/>
  <c r="P260" i="13"/>
  <c r="S107" i="25"/>
  <c r="S40" i="25"/>
  <c r="R7" i="4"/>
  <c r="I87" i="7"/>
  <c r="R6" i="4"/>
  <c r="L24" i="4"/>
  <c r="N60" i="4"/>
  <c r="O47" i="3"/>
  <c r="M24" i="3"/>
  <c r="P50" i="3"/>
  <c r="L54" i="29"/>
  <c r="Q41" i="3"/>
  <c r="M87" i="7"/>
  <c r="P61" i="4"/>
  <c r="H59" i="3"/>
  <c r="R22" i="4"/>
  <c r="Q25" i="4"/>
  <c r="M75" i="3"/>
  <c r="M45" i="25"/>
  <c r="I13" i="3"/>
  <c r="I77" i="3"/>
  <c r="I47" i="25"/>
  <c r="S41" i="7"/>
  <c r="O44" i="25"/>
  <c r="O74" i="3"/>
  <c r="I28" i="3"/>
  <c r="O22" i="3"/>
  <c r="I25" i="3"/>
  <c r="Q56" i="7"/>
  <c r="R5" i="4"/>
  <c r="R21" i="4"/>
  <c r="N27" i="4"/>
  <c r="L58" i="3"/>
  <c r="H58" i="3"/>
  <c r="Q40" i="7"/>
  <c r="Y40" i="33" s="1"/>
  <c r="R52" i="4"/>
  <c r="Q389" i="10"/>
  <c r="O84" i="7"/>
  <c r="Q26" i="3"/>
  <c r="R22" i="3"/>
  <c r="S99" i="7" s="1"/>
  <c r="L9" i="4"/>
  <c r="Q4" i="14"/>
  <c r="J21" i="4"/>
  <c r="P138" i="1"/>
  <c r="P114" i="1"/>
  <c r="P106" i="1"/>
  <c r="P90" i="1"/>
  <c r="P82" i="1"/>
  <c r="P18" i="1"/>
  <c r="R212" i="1"/>
  <c r="K40" i="3"/>
  <c r="T110" i="12"/>
  <c r="Q298" i="12"/>
  <c r="O298" i="12"/>
  <c r="T301" i="12"/>
  <c r="Q11" i="3"/>
  <c r="Q140" i="1"/>
  <c r="N92" i="1"/>
  <c r="N249" i="1"/>
  <c r="P120" i="1"/>
  <c r="P72" i="1"/>
  <c r="O353" i="9"/>
  <c r="Q354" i="10"/>
  <c r="O255" i="12"/>
  <c r="N255" i="12"/>
  <c r="O321" i="12"/>
  <c r="Q321" i="12"/>
  <c r="O357" i="12"/>
  <c r="R357" i="12"/>
  <c r="O361" i="12"/>
  <c r="R361" i="12"/>
  <c r="T362" i="12"/>
  <c r="O365" i="12"/>
  <c r="Q365" i="12"/>
  <c r="P54" i="4"/>
  <c r="N184" i="1"/>
  <c r="R121" i="1"/>
  <c r="P102" i="1"/>
  <c r="S337" i="12"/>
  <c r="S338" i="12" s="1"/>
  <c r="R86" i="12"/>
  <c r="Q334" i="11"/>
  <c r="O334" i="11"/>
  <c r="R342" i="11"/>
  <c r="O342" i="11"/>
  <c r="J20" i="4"/>
  <c r="Q44" i="1"/>
  <c r="D44" i="7"/>
  <c r="Q309" i="10"/>
  <c r="O309" i="10"/>
  <c r="P252" i="1"/>
  <c r="R291" i="1"/>
  <c r="R243" i="1"/>
  <c r="O261" i="10"/>
  <c r="Q261" i="10"/>
  <c r="O329" i="12"/>
  <c r="Q329" i="12"/>
  <c r="Q41" i="10"/>
  <c r="Q173" i="10"/>
  <c r="P258" i="11"/>
  <c r="Q39" i="12"/>
  <c r="Q44" i="12"/>
  <c r="Q100" i="12"/>
  <c r="P258" i="12"/>
  <c r="N260" i="12"/>
  <c r="T329" i="12"/>
  <c r="P11" i="13"/>
  <c r="O39" i="6"/>
  <c r="Q40" i="6"/>
  <c r="O45" i="6"/>
  <c r="Q53" i="6"/>
  <c r="O81" i="6"/>
  <c r="N97" i="6"/>
  <c r="N101" i="6"/>
  <c r="O109" i="6"/>
  <c r="Q117" i="6"/>
  <c r="N123" i="6"/>
  <c r="O137" i="6"/>
  <c r="P249" i="6"/>
  <c r="P253" i="6"/>
  <c r="E107" i="25"/>
  <c r="O117" i="10"/>
  <c r="Q171" i="10"/>
  <c r="O247" i="10"/>
  <c r="N249" i="10"/>
  <c r="O251" i="10"/>
  <c r="P254" i="10"/>
  <c r="Q26" i="6"/>
  <c r="P251" i="10"/>
  <c r="O253" i="10"/>
  <c r="N253" i="10"/>
  <c r="Q57" i="11"/>
  <c r="Q176" i="11"/>
  <c r="Q260" i="11"/>
  <c r="R164" i="12"/>
  <c r="Q267" i="10"/>
  <c r="O257" i="11"/>
  <c r="N259" i="11"/>
  <c r="O257" i="12"/>
  <c r="P260" i="12"/>
  <c r="P250" i="13"/>
  <c r="O168" i="6"/>
  <c r="N174" i="6"/>
  <c r="P188" i="6"/>
  <c r="N198" i="6"/>
  <c r="P257" i="11"/>
  <c r="P261" i="11"/>
  <c r="O135" i="12"/>
  <c r="R252" i="12"/>
  <c r="P257" i="12"/>
  <c r="N259" i="12"/>
  <c r="N249" i="13"/>
  <c r="N128" i="6"/>
  <c r="O160" i="6"/>
  <c r="E58" i="25"/>
  <c r="Q291" i="9"/>
  <c r="Q251" i="10"/>
  <c r="N256" i="11"/>
  <c r="N260" i="11"/>
  <c r="R367" i="11"/>
  <c r="R38" i="12"/>
  <c r="N256" i="12"/>
  <c r="P261" i="12"/>
  <c r="O11" i="13"/>
  <c r="P12" i="6"/>
  <c r="P16" i="6"/>
  <c r="P52" i="6"/>
  <c r="P60" i="6"/>
  <c r="P76" i="6"/>
  <c r="P84" i="6"/>
  <c r="P104" i="6"/>
  <c r="P128" i="6"/>
  <c r="P142" i="6"/>
  <c r="P156" i="6"/>
  <c r="N51" i="4"/>
  <c r="S57" i="7"/>
  <c r="R57" i="4"/>
  <c r="R10" i="3"/>
  <c r="S74" i="3" s="1"/>
  <c r="R43" i="3"/>
  <c r="M73" i="29" s="1"/>
  <c r="R60" i="3"/>
  <c r="O38" i="3"/>
  <c r="N50" i="3"/>
  <c r="R12" i="4"/>
  <c r="S89" i="7"/>
  <c r="R23" i="4"/>
  <c r="R37" i="7"/>
  <c r="R47" i="7" s="1"/>
  <c r="L21" i="4"/>
  <c r="N9" i="4"/>
  <c r="O9" i="4" s="1"/>
  <c r="K389" i="11"/>
  <c r="Z9" i="33" s="1"/>
  <c r="H54" i="29"/>
  <c r="H54" i="4"/>
  <c r="K42" i="3"/>
  <c r="R10" i="4"/>
  <c r="K389" i="10"/>
  <c r="Z8" i="33" s="1"/>
  <c r="Q70" i="3"/>
  <c r="I38" i="3"/>
  <c r="H51" i="4"/>
  <c r="Q311" i="10"/>
  <c r="O311" i="10"/>
  <c r="R74" i="1"/>
  <c r="P136" i="1"/>
  <c r="P128" i="1"/>
  <c r="P251" i="1"/>
  <c r="P51" i="4"/>
  <c r="R42" i="1"/>
  <c r="P144" i="1"/>
  <c r="I7" i="3"/>
  <c r="P110" i="1"/>
  <c r="P80" i="1"/>
  <c r="P48" i="1"/>
  <c r="P9" i="1"/>
  <c r="N245" i="1"/>
  <c r="Q269" i="10"/>
  <c r="O326" i="11"/>
  <c r="O249" i="9"/>
  <c r="N251" i="9"/>
  <c r="P312" i="1"/>
  <c r="R44" i="1"/>
  <c r="R168" i="1"/>
  <c r="Q158" i="10"/>
  <c r="N12" i="1"/>
  <c r="Q269" i="12"/>
  <c r="Q152" i="11"/>
  <c r="Q156" i="11"/>
  <c r="R164" i="11"/>
  <c r="Q188" i="6"/>
  <c r="R91" i="1"/>
  <c r="R83" i="1"/>
  <c r="R75" i="1"/>
  <c r="O8" i="12"/>
  <c r="N30" i="12"/>
  <c r="O36" i="12"/>
  <c r="O38" i="12"/>
  <c r="O46" i="12"/>
  <c r="N46" i="12"/>
  <c r="O54" i="12"/>
  <c r="O56" i="12"/>
  <c r="N254" i="11"/>
  <c r="R344" i="1"/>
  <c r="Q12" i="1"/>
  <c r="S312" i="12"/>
  <c r="S313" i="12" s="1"/>
  <c r="O124" i="11"/>
  <c r="P221" i="6"/>
  <c r="O254" i="9"/>
  <c r="O202" i="11"/>
  <c r="P254" i="13"/>
  <c r="Q32" i="6"/>
  <c r="O38" i="6"/>
  <c r="O147" i="6"/>
  <c r="N157" i="6"/>
  <c r="O167" i="6"/>
  <c r="O171" i="6"/>
  <c r="N173" i="6"/>
  <c r="P249" i="9"/>
  <c r="P248" i="10"/>
  <c r="N250" i="13"/>
  <c r="I56" i="25"/>
  <c r="S77" i="25"/>
  <c r="P250" i="9"/>
  <c r="R294" i="9"/>
  <c r="P3" i="10"/>
  <c r="P247" i="10"/>
  <c r="R146" i="6"/>
  <c r="M90" i="25"/>
  <c r="E76" i="25"/>
  <c r="K56" i="25"/>
  <c r="P245" i="6"/>
  <c r="G91" i="25"/>
  <c r="E62" i="25"/>
  <c r="T92" i="25"/>
  <c r="N249" i="11"/>
  <c r="N102" i="12"/>
  <c r="N253" i="13"/>
  <c r="R42" i="6"/>
  <c r="O48" i="6"/>
  <c r="R58" i="6"/>
  <c r="R102" i="6"/>
  <c r="N197" i="6"/>
  <c r="G90" i="25"/>
  <c r="E90" i="25"/>
  <c r="O159" i="11"/>
  <c r="N210" i="11"/>
  <c r="R224" i="11"/>
  <c r="R232" i="11"/>
  <c r="P251" i="13"/>
  <c r="P50" i="6"/>
  <c r="P248" i="6"/>
  <c r="G88" i="25"/>
  <c r="K32" i="25"/>
  <c r="T17" i="25"/>
  <c r="U32" i="25" s="1"/>
  <c r="G32" i="25"/>
  <c r="X44" i="29"/>
  <c r="S10" i="29" s="1"/>
  <c r="M46" i="3"/>
  <c r="L59" i="4"/>
  <c r="M47" i="3"/>
  <c r="L60" i="4"/>
  <c r="M40" i="25"/>
  <c r="M42" i="3"/>
  <c r="L50" i="3"/>
  <c r="M43" i="3"/>
  <c r="J389" i="10"/>
  <c r="M6" i="3"/>
  <c r="M70" i="3"/>
  <c r="Q248" i="10"/>
  <c r="P250" i="10"/>
  <c r="N252" i="10"/>
  <c r="L7" i="4"/>
  <c r="M7" i="4" s="1"/>
  <c r="L11" i="4"/>
  <c r="O389" i="10"/>
  <c r="L27" i="4"/>
  <c r="P389" i="10"/>
  <c r="L8" i="4"/>
  <c r="M8" i="4" s="1"/>
  <c r="M25" i="3"/>
  <c r="N251" i="10"/>
  <c r="P252" i="10"/>
  <c r="N254" i="10"/>
  <c r="R303" i="10"/>
  <c r="L55" i="4"/>
  <c r="R63" i="10"/>
  <c r="Q250" i="10"/>
  <c r="Y94" i="5"/>
  <c r="R54" i="4"/>
  <c r="O45" i="3"/>
  <c r="R13" i="4"/>
  <c r="L38" i="7"/>
  <c r="AA44" i="29"/>
  <c r="S13" i="29" s="1"/>
  <c r="J24" i="29"/>
  <c r="K10" i="29" s="1"/>
  <c r="O76" i="3"/>
  <c r="O12" i="3"/>
  <c r="Z11" i="33"/>
  <c r="I22" i="3"/>
  <c r="I52" i="7"/>
  <c r="J50" i="3"/>
  <c r="I389" i="10"/>
  <c r="AA8" i="33" s="1"/>
  <c r="L23" i="4"/>
  <c r="J22" i="4"/>
  <c r="O389" i="9"/>
  <c r="J47" i="7"/>
  <c r="K39" i="3"/>
  <c r="K43" i="3"/>
  <c r="N52" i="4"/>
  <c r="R11" i="4"/>
  <c r="I46" i="3"/>
  <c r="V44" i="29"/>
  <c r="S8" i="29" s="1"/>
  <c r="N250" i="1"/>
  <c r="R110" i="1"/>
  <c r="R320" i="1"/>
  <c r="P122" i="1"/>
  <c r="Q189" i="1"/>
  <c r="Q116" i="1"/>
  <c r="R51" i="1"/>
  <c r="R27" i="1"/>
  <c r="Q250" i="9"/>
  <c r="N250" i="9"/>
  <c r="O249" i="1"/>
  <c r="R164" i="1"/>
  <c r="R38" i="1"/>
  <c r="Q291" i="10"/>
  <c r="P139" i="10"/>
  <c r="P130" i="1"/>
  <c r="O300" i="9"/>
  <c r="R291" i="10"/>
  <c r="O355" i="10"/>
  <c r="R100" i="10"/>
  <c r="O347" i="10"/>
  <c r="Q40" i="12"/>
  <c r="K58" i="25"/>
  <c r="T77" i="6"/>
  <c r="I60" i="25"/>
  <c r="N249" i="9"/>
  <c r="T212" i="11"/>
  <c r="P251" i="11"/>
  <c r="O34" i="12"/>
  <c r="P52" i="12"/>
  <c r="R150" i="10"/>
  <c r="P179" i="10"/>
  <c r="N125" i="11"/>
  <c r="N250" i="11"/>
  <c r="O42" i="12"/>
  <c r="O96" i="12"/>
  <c r="N98" i="12"/>
  <c r="P177" i="6"/>
  <c r="G85" i="25"/>
  <c r="M60" i="25"/>
  <c r="P251" i="9"/>
  <c r="P253" i="9"/>
  <c r="P254" i="9"/>
  <c r="R119" i="10"/>
  <c r="Q227" i="11"/>
  <c r="O228" i="11"/>
  <c r="Q12" i="12"/>
  <c r="O22" i="12"/>
  <c r="N24" i="12"/>
  <c r="N26" i="12"/>
  <c r="Q76" i="12"/>
  <c r="O112" i="12"/>
  <c r="Q116" i="12"/>
  <c r="Q160" i="12"/>
  <c r="N162" i="12"/>
  <c r="N252" i="12"/>
  <c r="Q248" i="13"/>
  <c r="N252" i="9"/>
  <c r="N234" i="11"/>
  <c r="O52" i="12"/>
  <c r="Q168" i="12"/>
  <c r="N23" i="6"/>
  <c r="N65" i="6"/>
  <c r="N113" i="6"/>
  <c r="O141" i="6"/>
  <c r="N251" i="6"/>
  <c r="O179" i="6"/>
  <c r="R66" i="6"/>
  <c r="P98" i="6"/>
  <c r="N233" i="6"/>
  <c r="K55" i="25"/>
  <c r="K90" i="25"/>
  <c r="O120" i="25"/>
  <c r="G106" i="25"/>
  <c r="I77" i="25"/>
  <c r="Q77" i="25"/>
  <c r="O107" i="25"/>
  <c r="P37" i="6"/>
  <c r="O114" i="6"/>
  <c r="O118" i="6"/>
  <c r="R18" i="6"/>
  <c r="Q34" i="6"/>
  <c r="T84" i="6"/>
  <c r="N86" i="6"/>
  <c r="N148" i="6"/>
  <c r="N224" i="6"/>
  <c r="K61" i="25"/>
  <c r="I58" i="25"/>
  <c r="M85" i="25"/>
  <c r="K105" i="25"/>
  <c r="T62" i="25"/>
  <c r="T77" i="25"/>
  <c r="G107" i="25"/>
  <c r="K107" i="25"/>
  <c r="I107" i="25"/>
  <c r="M122" i="25"/>
  <c r="M389" i="9"/>
  <c r="J31" i="4"/>
  <c r="Q389" i="9"/>
  <c r="J6" i="4"/>
  <c r="J27" i="3"/>
  <c r="J21" i="3"/>
  <c r="K98" i="7" s="1"/>
  <c r="J22" i="3"/>
  <c r="K99" i="7" s="1"/>
  <c r="J6" i="3"/>
  <c r="J23" i="4"/>
  <c r="J53" i="4"/>
  <c r="J32" i="3"/>
  <c r="K75" i="3"/>
  <c r="K45" i="25"/>
  <c r="K72" i="3"/>
  <c r="K8" i="3"/>
  <c r="K389" i="9"/>
  <c r="Z7" i="33" s="1"/>
  <c r="J58" i="4"/>
  <c r="K69" i="3"/>
  <c r="K9" i="25"/>
  <c r="J11" i="4"/>
  <c r="O251" i="9"/>
  <c r="Q160" i="9"/>
  <c r="O248" i="9"/>
  <c r="N254" i="9"/>
  <c r="S43" i="7"/>
  <c r="M45" i="3"/>
  <c r="K38" i="3"/>
  <c r="K74" i="29"/>
  <c r="P11" i="29" s="1"/>
  <c r="E80" i="33" s="1"/>
  <c r="N56" i="4"/>
  <c r="O100" i="33" s="1"/>
  <c r="Q100" i="33" s="1"/>
  <c r="O43" i="3"/>
  <c r="S59" i="7"/>
  <c r="S53" i="7"/>
  <c r="L57" i="3"/>
  <c r="S85" i="7"/>
  <c r="M55" i="7"/>
  <c r="M37" i="7"/>
  <c r="O77" i="3"/>
  <c r="O47" i="25"/>
  <c r="R62" i="3"/>
  <c r="O36" i="7"/>
  <c r="M39" i="7"/>
  <c r="O42" i="25"/>
  <c r="O8" i="3"/>
  <c r="R38" i="3"/>
  <c r="S38" i="3" s="1"/>
  <c r="M389" i="10"/>
  <c r="O72" i="3"/>
  <c r="R28" i="4"/>
  <c r="Y11" i="33"/>
  <c r="N45" i="7"/>
  <c r="Q389" i="11"/>
  <c r="K41" i="25"/>
  <c r="K389" i="1"/>
  <c r="Z4" i="33" s="1"/>
  <c r="M41" i="25"/>
  <c r="M7" i="3"/>
  <c r="Q39" i="25"/>
  <c r="Q69" i="3"/>
  <c r="Q44" i="3"/>
  <c r="P55" i="4"/>
  <c r="P23" i="4"/>
  <c r="I41" i="3"/>
  <c r="R323" i="1"/>
  <c r="R193" i="10"/>
  <c r="R330" i="10"/>
  <c r="Q254" i="12"/>
  <c r="N18" i="12"/>
  <c r="O86" i="12"/>
  <c r="O140" i="12"/>
  <c r="Q156" i="12"/>
  <c r="O171" i="11"/>
  <c r="P253" i="12"/>
  <c r="N167" i="6"/>
  <c r="Q206" i="6"/>
  <c r="P241" i="6"/>
  <c r="R90" i="6"/>
  <c r="S36" i="6"/>
  <c r="S37" i="6" s="1"/>
  <c r="P164" i="6"/>
  <c r="P190" i="6"/>
  <c r="O248" i="6"/>
  <c r="O59" i="6"/>
  <c r="N231" i="6"/>
  <c r="N243" i="6"/>
  <c r="T47" i="25"/>
  <c r="K62" i="25"/>
  <c r="O122" i="25"/>
  <c r="G77" i="25"/>
  <c r="Q107" i="25"/>
  <c r="E77" i="25"/>
  <c r="T122" i="25"/>
  <c r="K77" i="25"/>
  <c r="N20" i="34" l="1"/>
  <c r="S24" i="3"/>
  <c r="S101" i="7"/>
  <c r="K110" i="7"/>
  <c r="E98" i="33" s="1"/>
  <c r="M110" i="7"/>
  <c r="E99" i="33" s="1"/>
  <c r="O67" i="7"/>
  <c r="O98" i="7"/>
  <c r="I85" i="7"/>
  <c r="I100" i="7"/>
  <c r="Q84" i="7"/>
  <c r="Q99" i="7"/>
  <c r="Q110" i="7" s="1"/>
  <c r="E101" i="33" s="1"/>
  <c r="O37" i="7"/>
  <c r="O100" i="7"/>
  <c r="S21" i="3"/>
  <c r="S98" i="7"/>
  <c r="S110" i="7" s="1"/>
  <c r="E102" i="33" s="1"/>
  <c r="Q23" i="4"/>
  <c r="V74" i="29"/>
  <c r="V8" i="29" s="1"/>
  <c r="R19" i="22" s="1"/>
  <c r="C9" i="29" a="1"/>
  <c r="C9" i="29" s="1"/>
  <c r="T24" i="29"/>
  <c r="Q6" i="29" s="1"/>
  <c r="M17" i="22" s="1"/>
  <c r="W24" i="29"/>
  <c r="Q9" i="29" s="1"/>
  <c r="M20" i="22" s="1"/>
  <c r="D9" i="29"/>
  <c r="V24" i="29"/>
  <c r="Q8" i="29" s="1"/>
  <c r="M19" i="22" s="1"/>
  <c r="D8" i="29"/>
  <c r="K24" i="29"/>
  <c r="K11" i="29" s="1"/>
  <c r="G22" i="22" s="1"/>
  <c r="B11" i="29"/>
  <c r="E11" i="29" s="1"/>
  <c r="B9" i="29"/>
  <c r="E9" i="29" s="1"/>
  <c r="B10" i="29"/>
  <c r="E10" i="29" s="1"/>
  <c r="B12" i="29"/>
  <c r="E12" i="29" s="1"/>
  <c r="N8" i="29"/>
  <c r="N11" i="29"/>
  <c r="N9" i="29"/>
  <c r="N10" i="29"/>
  <c r="N6" i="29"/>
  <c r="N13" i="29"/>
  <c r="N12" i="29"/>
  <c r="Z13" i="33"/>
  <c r="I24" i="22"/>
  <c r="M22" i="4"/>
  <c r="K22" i="4"/>
  <c r="L36" i="8"/>
  <c r="F36" i="8"/>
  <c r="H22" i="22"/>
  <c r="H24" i="22"/>
  <c r="H23" i="22"/>
  <c r="H21" i="22"/>
  <c r="H20" i="22"/>
  <c r="G45" i="33" a="1"/>
  <c r="G45" i="33" s="1"/>
  <c r="K45" i="33" s="1"/>
  <c r="G46" i="33" a="1"/>
  <c r="G46" i="33" s="1"/>
  <c r="K46" i="33" s="1"/>
  <c r="G51" i="33" a="1"/>
  <c r="G51" i="33" s="1"/>
  <c r="G47" i="33" a="1"/>
  <c r="G47" i="33" s="1"/>
  <c r="G48" i="33" a="1"/>
  <c r="G48" i="33" s="1"/>
  <c r="G50" i="33" a="1"/>
  <c r="G50" i="33" s="1"/>
  <c r="G49" i="33" a="1"/>
  <c r="G49" i="33" s="1"/>
  <c r="Y7" i="33"/>
  <c r="AC7" i="33" s="1"/>
  <c r="X389" i="9"/>
  <c r="I40" i="22"/>
  <c r="V389" i="6"/>
  <c r="Y389" i="11"/>
  <c r="Y9" i="33"/>
  <c r="AD9" i="33" s="1"/>
  <c r="AI9" i="33" s="1"/>
  <c r="X389" i="11"/>
  <c r="O40" i="22"/>
  <c r="W389" i="11"/>
  <c r="V389" i="11"/>
  <c r="Y389" i="10"/>
  <c r="M40" i="22"/>
  <c r="W389" i="10"/>
  <c r="V389" i="10"/>
  <c r="Y8" i="33"/>
  <c r="AC8" i="33" s="1"/>
  <c r="X389" i="10"/>
  <c r="K40" i="22"/>
  <c r="W389" i="9"/>
  <c r="V389" i="9"/>
  <c r="Y389" i="9"/>
  <c r="S22" i="3"/>
  <c r="I44" i="33"/>
  <c r="J44" i="33" s="1"/>
  <c r="R111" i="3"/>
  <c r="AD11" i="33"/>
  <c r="AI11" i="33" s="1"/>
  <c r="G21" i="22"/>
  <c r="G20" i="22"/>
  <c r="M23" i="29"/>
  <c r="B13" i="29" s="1"/>
  <c r="E13" i="29" s="1"/>
  <c r="R23" i="22"/>
  <c r="E86" i="4"/>
  <c r="D87" i="4"/>
  <c r="E87" i="4" s="1"/>
  <c r="R21" i="22"/>
  <c r="R20" i="22"/>
  <c r="Q62" i="7"/>
  <c r="Q78" i="7"/>
  <c r="P65" i="3"/>
  <c r="I62" i="7"/>
  <c r="I78" i="7"/>
  <c r="H65" i="3"/>
  <c r="K62" i="7"/>
  <c r="K78" i="7"/>
  <c r="J65" i="3"/>
  <c r="O62" i="7"/>
  <c r="O78" i="7"/>
  <c r="N65" i="3"/>
  <c r="R22" i="22"/>
  <c r="Q94" i="7"/>
  <c r="Q46" i="7"/>
  <c r="R17" i="22"/>
  <c r="I94" i="7"/>
  <c r="I46" i="7"/>
  <c r="O94" i="7"/>
  <c r="O46" i="7"/>
  <c r="K94" i="7"/>
  <c r="K46" i="7"/>
  <c r="O88" i="7"/>
  <c r="O40" i="7"/>
  <c r="Y39" i="33" s="1"/>
  <c r="N59" i="3"/>
  <c r="I44" i="7"/>
  <c r="Q19" i="22"/>
  <c r="Q21" i="22"/>
  <c r="M93" i="7"/>
  <c r="Q23" i="22"/>
  <c r="Q93" i="7"/>
  <c r="Q91" i="7"/>
  <c r="Q20" i="22"/>
  <c r="Q22" i="22"/>
  <c r="O93" i="7"/>
  <c r="S45" i="7"/>
  <c r="R64" i="3"/>
  <c r="S30" i="4"/>
  <c r="E93" i="7"/>
  <c r="Q89" i="7"/>
  <c r="Q90" i="7"/>
  <c r="I93" i="7"/>
  <c r="O89" i="7"/>
  <c r="P62" i="3"/>
  <c r="M43" i="7"/>
  <c r="Q42" i="7"/>
  <c r="P23" i="22"/>
  <c r="P19" i="22"/>
  <c r="P22" i="22"/>
  <c r="P21" i="22"/>
  <c r="D81" i="3"/>
  <c r="D107" i="3"/>
  <c r="E9" i="25"/>
  <c r="O20" i="22"/>
  <c r="O22" i="22"/>
  <c r="O23" i="22"/>
  <c r="M41" i="7"/>
  <c r="L60" i="3"/>
  <c r="O24" i="22"/>
  <c r="O21" i="22"/>
  <c r="O19" i="22"/>
  <c r="K91" i="7"/>
  <c r="O43" i="7"/>
  <c r="Q43" i="7"/>
  <c r="K13" i="4"/>
  <c r="M13" i="4"/>
  <c r="S15" i="4"/>
  <c r="O28" i="4"/>
  <c r="O13" i="4"/>
  <c r="Q12" i="4"/>
  <c r="AB24" i="8"/>
  <c r="N22" i="22"/>
  <c r="N17" i="22"/>
  <c r="N19" i="22"/>
  <c r="I73" i="7"/>
  <c r="I27" i="4"/>
  <c r="K26" i="3"/>
  <c r="N20" i="22"/>
  <c r="N24" i="22"/>
  <c r="S56" i="7"/>
  <c r="S90" i="7"/>
  <c r="M27" i="3"/>
  <c r="N21" i="22"/>
  <c r="M40" i="7"/>
  <c r="Y38" i="33" s="1"/>
  <c r="Q41" i="7"/>
  <c r="N23" i="22"/>
  <c r="Q27" i="4"/>
  <c r="S27" i="4"/>
  <c r="M42" i="7"/>
  <c r="S42" i="7"/>
  <c r="S12" i="4"/>
  <c r="N61" i="3"/>
  <c r="R61" i="3"/>
  <c r="L61" i="3"/>
  <c r="P61" i="3"/>
  <c r="I41" i="7"/>
  <c r="N13" i="32"/>
  <c r="M13" i="32" s="1"/>
  <c r="N10" i="32"/>
  <c r="M10" i="32" s="1"/>
  <c r="N7" i="32"/>
  <c r="M7" i="32" s="1"/>
  <c r="N12" i="32"/>
  <c r="M12" i="32" s="1"/>
  <c r="N9" i="32"/>
  <c r="M9" i="32" s="1"/>
  <c r="N6" i="32"/>
  <c r="M6" i="32" s="1"/>
  <c r="N11" i="32"/>
  <c r="M11" i="32" s="1"/>
  <c r="N8" i="32"/>
  <c r="M8" i="32" s="1"/>
  <c r="H60" i="3"/>
  <c r="M22" i="22"/>
  <c r="M24" i="22"/>
  <c r="M21" i="22"/>
  <c r="M88" i="7"/>
  <c r="Q26" i="4"/>
  <c r="S26" i="4"/>
  <c r="I26" i="4"/>
  <c r="N60" i="3"/>
  <c r="O41" i="7"/>
  <c r="O26" i="4"/>
  <c r="Q25" i="3"/>
  <c r="Q87" i="7"/>
  <c r="P58" i="3"/>
  <c r="Q55" i="7"/>
  <c r="Y95" i="5"/>
  <c r="H57" i="33"/>
  <c r="H55" i="33"/>
  <c r="H56" i="33"/>
  <c r="H58" i="33"/>
  <c r="H59" i="33"/>
  <c r="H60" i="33"/>
  <c r="H61" i="33"/>
  <c r="H54" i="33"/>
  <c r="L20" i="22"/>
  <c r="L19" i="22"/>
  <c r="L23" i="22"/>
  <c r="L21" i="22"/>
  <c r="L22" i="22"/>
  <c r="I25" i="4"/>
  <c r="O10" i="4"/>
  <c r="M10" i="4"/>
  <c r="K10" i="4"/>
  <c r="S40" i="7"/>
  <c r="Y41" i="33" s="1"/>
  <c r="K40" i="7"/>
  <c r="Y37" i="33" s="1"/>
  <c r="J59" i="3"/>
  <c r="M25" i="4"/>
  <c r="AC11" i="33"/>
  <c r="K21" i="22"/>
  <c r="K23" i="22"/>
  <c r="K19" i="22"/>
  <c r="K24" i="22"/>
  <c r="S70" i="7"/>
  <c r="K64" i="29"/>
  <c r="O11" i="29" s="1"/>
  <c r="O54" i="7"/>
  <c r="D57" i="3"/>
  <c r="I64" i="29"/>
  <c r="O9" i="29" s="1"/>
  <c r="K70" i="7"/>
  <c r="O38" i="7"/>
  <c r="O24" i="3"/>
  <c r="O24" i="4"/>
  <c r="Q9" i="4"/>
  <c r="J58" i="3"/>
  <c r="J57" i="3"/>
  <c r="K39" i="7"/>
  <c r="K24" i="4"/>
  <c r="M56" i="7"/>
  <c r="S24" i="8"/>
  <c r="I21" i="25"/>
  <c r="M21" i="25"/>
  <c r="Q22" i="4"/>
  <c r="E86" i="7"/>
  <c r="O8" i="4"/>
  <c r="O86" i="7"/>
  <c r="N56" i="3"/>
  <c r="H56" i="3"/>
  <c r="O70" i="7"/>
  <c r="P56" i="3"/>
  <c r="E70" i="7"/>
  <c r="E38" i="7"/>
  <c r="M5" i="4"/>
  <c r="M21" i="3"/>
  <c r="K55" i="7"/>
  <c r="K25" i="3"/>
  <c r="L51" i="3"/>
  <c r="L36" i="3" s="1"/>
  <c r="I7" i="4"/>
  <c r="Q22" i="3"/>
  <c r="O85" i="7"/>
  <c r="M26" i="3"/>
  <c r="M51" i="7"/>
  <c r="Q37" i="7"/>
  <c r="Q59" i="7"/>
  <c r="I22" i="4"/>
  <c r="L54" i="3"/>
  <c r="Q7" i="4"/>
  <c r="I23" i="3"/>
  <c r="Q85" i="7"/>
  <c r="Q23" i="3"/>
  <c r="O23" i="3"/>
  <c r="O22" i="4"/>
  <c r="Q57" i="7"/>
  <c r="E36" i="25"/>
  <c r="Q36" i="7"/>
  <c r="Y91" i="5"/>
  <c r="U107" i="25"/>
  <c r="E5" i="3"/>
  <c r="M17" i="3"/>
  <c r="Y8" i="3" s="1"/>
  <c r="O57" i="7"/>
  <c r="N54" i="3"/>
  <c r="O27" i="3"/>
  <c r="O53" i="7"/>
  <c r="O83" i="7"/>
  <c r="M59" i="7"/>
  <c r="M20" i="4"/>
  <c r="M81" i="3"/>
  <c r="O56" i="7"/>
  <c r="I53" i="7"/>
  <c r="O26" i="3"/>
  <c r="E83" i="7"/>
  <c r="Q52" i="7"/>
  <c r="M57" i="7"/>
  <c r="Q27" i="3"/>
  <c r="M29" i="3"/>
  <c r="T77" i="3"/>
  <c r="T107" i="3" s="1"/>
  <c r="U107" i="3" s="1"/>
  <c r="S83" i="7"/>
  <c r="Q29" i="3"/>
  <c r="E77" i="7"/>
  <c r="J24" i="8"/>
  <c r="N63" i="4"/>
  <c r="S77" i="7"/>
  <c r="S61" i="7"/>
  <c r="M44" i="7"/>
  <c r="M76" i="7"/>
  <c r="M83" i="7"/>
  <c r="M35" i="7"/>
  <c r="M77" i="7"/>
  <c r="I32" i="3"/>
  <c r="I76" i="7"/>
  <c r="I61" i="7"/>
  <c r="I77" i="7"/>
  <c r="K56" i="7"/>
  <c r="K75" i="7"/>
  <c r="K32" i="3"/>
  <c r="K59" i="7"/>
  <c r="K29" i="3"/>
  <c r="J63" i="3"/>
  <c r="K76" i="7"/>
  <c r="Q58" i="7"/>
  <c r="Q32" i="3"/>
  <c r="Q77" i="7"/>
  <c r="Q71" i="7"/>
  <c r="O76" i="7"/>
  <c r="O35" i="7"/>
  <c r="O51" i="7"/>
  <c r="O32" i="3"/>
  <c r="O72" i="7"/>
  <c r="O61" i="7"/>
  <c r="O77" i="7"/>
  <c r="U105" i="25"/>
  <c r="R57" i="3"/>
  <c r="S44" i="25"/>
  <c r="S14" i="25"/>
  <c r="U106" i="25"/>
  <c r="K38" i="7"/>
  <c r="U84" i="4"/>
  <c r="K36" i="25"/>
  <c r="U84" i="25"/>
  <c r="G36" i="25"/>
  <c r="U60" i="25"/>
  <c r="T96" i="25"/>
  <c r="S96" i="3"/>
  <c r="Y90" i="3" s="1"/>
  <c r="D51" i="4"/>
  <c r="F23" i="29"/>
  <c r="Q74" i="7"/>
  <c r="Q69" i="7"/>
  <c r="Q28" i="3"/>
  <c r="L18" i="3"/>
  <c r="J51" i="3"/>
  <c r="J36" i="3" s="1"/>
  <c r="M67" i="7"/>
  <c r="I29" i="4"/>
  <c r="S126" i="25"/>
  <c r="E29" i="3"/>
  <c r="E54" i="7"/>
  <c r="J389" i="1"/>
  <c r="E38" i="3"/>
  <c r="D54" i="3"/>
  <c r="O59" i="7"/>
  <c r="N64" i="7"/>
  <c r="I69" i="7"/>
  <c r="M61" i="7"/>
  <c r="Q28" i="4"/>
  <c r="Q31" i="4"/>
  <c r="Q73" i="7"/>
  <c r="K16" i="4"/>
  <c r="K31" i="4"/>
  <c r="O31" i="4"/>
  <c r="O16" i="4"/>
  <c r="Q16" i="4"/>
  <c r="Q24" i="4"/>
  <c r="D62" i="4"/>
  <c r="D16" i="4"/>
  <c r="M31" i="4"/>
  <c r="K9" i="4"/>
  <c r="I16" i="4"/>
  <c r="I31" i="4"/>
  <c r="H63" i="3"/>
  <c r="M14" i="4"/>
  <c r="I6" i="4"/>
  <c r="L63" i="3"/>
  <c r="I37" i="7"/>
  <c r="K87" i="7"/>
  <c r="K29" i="4"/>
  <c r="O11" i="4"/>
  <c r="K27" i="4"/>
  <c r="Q11" i="4"/>
  <c r="M72" i="7"/>
  <c r="Q53" i="7"/>
  <c r="K44" i="7"/>
  <c r="I60" i="7"/>
  <c r="U89" i="25"/>
  <c r="G66" i="25"/>
  <c r="O73" i="7"/>
  <c r="M45" i="7"/>
  <c r="L64" i="3"/>
  <c r="M31" i="3"/>
  <c r="M30" i="4"/>
  <c r="K71" i="7"/>
  <c r="P63" i="4"/>
  <c r="Q68" i="7"/>
  <c r="M52" i="7"/>
  <c r="G126" i="25"/>
  <c r="T13" i="17"/>
  <c r="F94" i="3"/>
  <c r="M60" i="7"/>
  <c r="I14" i="4"/>
  <c r="I30" i="3"/>
  <c r="M30" i="3"/>
  <c r="K60" i="7"/>
  <c r="K30" i="3"/>
  <c r="I24" i="4"/>
  <c r="M15" i="4"/>
  <c r="L63" i="4"/>
  <c r="O30" i="4"/>
  <c r="E45" i="7"/>
  <c r="Q31" i="3"/>
  <c r="E31" i="3"/>
  <c r="Q61" i="7"/>
  <c r="K50" i="3"/>
  <c r="J63" i="4"/>
  <c r="E79" i="3"/>
  <c r="E49" i="25"/>
  <c r="E19" i="25"/>
  <c r="E15" i="3"/>
  <c r="O31" i="3"/>
  <c r="O7" i="4"/>
  <c r="I31" i="3"/>
  <c r="E61" i="7"/>
  <c r="F15" i="17"/>
  <c r="T74" i="3"/>
  <c r="T104" i="3" s="1"/>
  <c r="U104" i="3" s="1"/>
  <c r="F79" i="3"/>
  <c r="S13" i="17"/>
  <c r="S15" i="17" s="1"/>
  <c r="E126" i="25"/>
  <c r="P64" i="3"/>
  <c r="N64" i="3"/>
  <c r="H64" i="3"/>
  <c r="K25" i="4"/>
  <c r="O25" i="4"/>
  <c r="K8" i="4"/>
  <c r="K30" i="4"/>
  <c r="K28" i="4"/>
  <c r="K12" i="4"/>
  <c r="K15" i="4"/>
  <c r="Q30" i="4"/>
  <c r="Q15" i="4"/>
  <c r="Q45" i="7"/>
  <c r="M29" i="4"/>
  <c r="M28" i="4"/>
  <c r="I30" i="4"/>
  <c r="I15" i="4"/>
  <c r="I45" i="7"/>
  <c r="O23" i="4"/>
  <c r="O5" i="3"/>
  <c r="O20" i="4"/>
  <c r="N33" i="3"/>
  <c r="O33" i="3" s="1"/>
  <c r="O29" i="3"/>
  <c r="O69" i="7"/>
  <c r="O15" i="4"/>
  <c r="O69" i="3"/>
  <c r="O6" i="4"/>
  <c r="D53" i="4"/>
  <c r="D28" i="4"/>
  <c r="D57" i="4"/>
  <c r="D58" i="4"/>
  <c r="K86" i="4"/>
  <c r="M86" i="4"/>
  <c r="G85" i="4"/>
  <c r="F86" i="4"/>
  <c r="F87" i="4" s="1"/>
  <c r="G87" i="4" s="1"/>
  <c r="Q14" i="4"/>
  <c r="T86" i="4"/>
  <c r="T87" i="4" s="1"/>
  <c r="U87" i="4" s="1"/>
  <c r="U85" i="4"/>
  <c r="J88" i="4"/>
  <c r="N86" i="4"/>
  <c r="N87" i="4" s="1"/>
  <c r="O87" i="4" s="1"/>
  <c r="O85" i="4"/>
  <c r="I86" i="4"/>
  <c r="S86" i="4"/>
  <c r="Q86" i="4"/>
  <c r="O126" i="25"/>
  <c r="AK24" i="8"/>
  <c r="U59" i="25"/>
  <c r="U120" i="25"/>
  <c r="J62" i="3"/>
  <c r="Q29" i="4"/>
  <c r="Q6" i="4"/>
  <c r="I20" i="4"/>
  <c r="G389" i="11"/>
  <c r="O21" i="4"/>
  <c r="U74" i="25"/>
  <c r="O28" i="3"/>
  <c r="E96" i="25"/>
  <c r="M126" i="25"/>
  <c r="D24" i="4"/>
  <c r="D9" i="4"/>
  <c r="D21" i="4"/>
  <c r="O90" i="7"/>
  <c r="K14" i="4"/>
  <c r="U54" i="25"/>
  <c r="D59" i="3"/>
  <c r="E23" i="4"/>
  <c r="T54" i="29"/>
  <c r="T6" i="29" s="1"/>
  <c r="Q96" i="25"/>
  <c r="U87" i="25"/>
  <c r="U76" i="25"/>
  <c r="E66" i="25"/>
  <c r="G96" i="25"/>
  <c r="U58" i="25"/>
  <c r="S88" i="7"/>
  <c r="R59" i="3"/>
  <c r="P32" i="4"/>
  <c r="S72" i="7"/>
  <c r="O91" i="7"/>
  <c r="N57" i="3"/>
  <c r="O66" i="25"/>
  <c r="S54" i="7"/>
  <c r="M89" i="7"/>
  <c r="U75" i="25"/>
  <c r="U61" i="25"/>
  <c r="O58" i="7"/>
  <c r="M58" i="7"/>
  <c r="U55" i="25"/>
  <c r="I96" i="25"/>
  <c r="I43" i="7"/>
  <c r="O21" i="3"/>
  <c r="K51" i="7"/>
  <c r="S39" i="7"/>
  <c r="K68" i="7"/>
  <c r="K73" i="7"/>
  <c r="M68" i="7"/>
  <c r="S51" i="7"/>
  <c r="O44" i="7"/>
  <c r="K54" i="7"/>
  <c r="P55" i="3"/>
  <c r="S84" i="7"/>
  <c r="I89" i="7"/>
  <c r="M91" i="7"/>
  <c r="E75" i="7"/>
  <c r="E41" i="3"/>
  <c r="E51" i="7"/>
  <c r="E72" i="7"/>
  <c r="P51" i="3"/>
  <c r="P36" i="3" s="1"/>
  <c r="U85" i="25"/>
  <c r="U71" i="25"/>
  <c r="U86" i="25"/>
  <c r="O30" i="3"/>
  <c r="O60" i="7"/>
  <c r="M81" i="25"/>
  <c r="U88" i="25"/>
  <c r="O96" i="25"/>
  <c r="M96" i="25"/>
  <c r="S66" i="25"/>
  <c r="S96" i="25"/>
  <c r="K96" i="25"/>
  <c r="K126" i="25"/>
  <c r="I126" i="25"/>
  <c r="U91" i="25"/>
  <c r="Q126" i="25"/>
  <c r="U121" i="25"/>
  <c r="U57" i="25"/>
  <c r="T66" i="25"/>
  <c r="U72" i="25"/>
  <c r="Q66" i="25"/>
  <c r="I66" i="25"/>
  <c r="K66" i="25"/>
  <c r="U56" i="25"/>
  <c r="T126" i="25"/>
  <c r="U90" i="25"/>
  <c r="U70" i="25"/>
  <c r="U69" i="25"/>
  <c r="U73" i="25"/>
  <c r="M51" i="25"/>
  <c r="M66" i="25"/>
  <c r="Q51" i="25"/>
  <c r="M73" i="7"/>
  <c r="G379" i="1"/>
  <c r="D14" i="4"/>
  <c r="R33" i="3"/>
  <c r="E47" i="3"/>
  <c r="N63" i="3"/>
  <c r="N32" i="4"/>
  <c r="G381" i="1"/>
  <c r="Q21" i="4"/>
  <c r="L55" i="3"/>
  <c r="K24" i="3"/>
  <c r="I57" i="7"/>
  <c r="I11" i="4"/>
  <c r="I27" i="3"/>
  <c r="D6" i="4"/>
  <c r="D25" i="4"/>
  <c r="O54" i="33" s="1"/>
  <c r="D10" i="4"/>
  <c r="E88" i="7"/>
  <c r="E49" i="3"/>
  <c r="P33" i="3"/>
  <c r="P54" i="3"/>
  <c r="S5" i="4"/>
  <c r="K72" i="7"/>
  <c r="O29" i="4"/>
  <c r="O14" i="4"/>
  <c r="S25" i="4"/>
  <c r="K86" i="7"/>
  <c r="N17" i="4"/>
  <c r="S86" i="7"/>
  <c r="O5" i="4"/>
  <c r="S38" i="7"/>
  <c r="O27" i="4"/>
  <c r="S10" i="4"/>
  <c r="D23" i="3"/>
  <c r="E100" i="7" s="1"/>
  <c r="D52" i="4"/>
  <c r="M12" i="4"/>
  <c r="D28" i="3"/>
  <c r="E39" i="7"/>
  <c r="E55" i="7"/>
  <c r="E87" i="7"/>
  <c r="G383" i="1"/>
  <c r="S36" i="7"/>
  <c r="O12" i="4"/>
  <c r="Q21" i="25"/>
  <c r="J32" i="4"/>
  <c r="P64" i="7"/>
  <c r="L33" i="3"/>
  <c r="Q17" i="3"/>
  <c r="Y10" i="3" s="1"/>
  <c r="I81" i="3"/>
  <c r="S35" i="7"/>
  <c r="D31" i="4"/>
  <c r="E8" i="4"/>
  <c r="Q81" i="25"/>
  <c r="Q81" i="3"/>
  <c r="N17" i="3"/>
  <c r="E26" i="3"/>
  <c r="N51" i="3"/>
  <c r="N36" i="3" s="1"/>
  <c r="G384" i="1"/>
  <c r="I389" i="1"/>
  <c r="AA4" i="33" s="1"/>
  <c r="S8" i="4"/>
  <c r="S23" i="4"/>
  <c r="E20" i="4"/>
  <c r="Q35" i="7"/>
  <c r="M75" i="7"/>
  <c r="O50" i="3"/>
  <c r="E24" i="3"/>
  <c r="K58" i="7"/>
  <c r="K28" i="3"/>
  <c r="K42" i="7"/>
  <c r="K90" i="7"/>
  <c r="S24" i="4"/>
  <c r="R51" i="3"/>
  <c r="S7" i="4"/>
  <c r="S9" i="4"/>
  <c r="S74" i="7"/>
  <c r="O75" i="7"/>
  <c r="N80" i="7"/>
  <c r="P18" i="3"/>
  <c r="E5" i="4"/>
  <c r="M389" i="1"/>
  <c r="E40" i="7"/>
  <c r="Y34" i="33" s="1"/>
  <c r="D60" i="4"/>
  <c r="E21" i="3"/>
  <c r="L389" i="1"/>
  <c r="E13" i="4"/>
  <c r="E56" i="7"/>
  <c r="Q3" i="14"/>
  <c r="M36" i="7"/>
  <c r="M90" i="7"/>
  <c r="G389" i="10"/>
  <c r="P17" i="4"/>
  <c r="M84" i="7"/>
  <c r="Q5" i="4"/>
  <c r="Q13" i="4"/>
  <c r="Q83" i="7"/>
  <c r="Q50" i="3"/>
  <c r="Q21" i="3"/>
  <c r="M6" i="4"/>
  <c r="Q20" i="4"/>
  <c r="Q51" i="7"/>
  <c r="M74" i="7"/>
  <c r="I75" i="7"/>
  <c r="P80" i="7"/>
  <c r="E71" i="7"/>
  <c r="M9" i="4"/>
  <c r="R80" i="7"/>
  <c r="Q67" i="7"/>
  <c r="L80" i="7"/>
  <c r="E73" i="7"/>
  <c r="S67" i="7"/>
  <c r="S71" i="7"/>
  <c r="S68" i="7"/>
  <c r="N389" i="1"/>
  <c r="E25" i="3"/>
  <c r="K67" i="7"/>
  <c r="O74" i="7"/>
  <c r="J80" i="7"/>
  <c r="O3" i="14"/>
  <c r="E67" i="7"/>
  <c r="D79" i="7"/>
  <c r="D11" i="4"/>
  <c r="K74" i="7"/>
  <c r="S37" i="7"/>
  <c r="D43" i="7"/>
  <c r="E43" i="7" s="1"/>
  <c r="D30" i="3"/>
  <c r="D29" i="4"/>
  <c r="G386" i="1"/>
  <c r="D13" i="3"/>
  <c r="E39" i="3"/>
  <c r="E39" i="25"/>
  <c r="E69" i="3"/>
  <c r="D11" i="3"/>
  <c r="D48" i="3"/>
  <c r="T63" i="29" s="1"/>
  <c r="D6" i="29" s="1"/>
  <c r="E44" i="3"/>
  <c r="E91" i="7"/>
  <c r="E59" i="7"/>
  <c r="D22" i="4"/>
  <c r="D56" i="4"/>
  <c r="O95" i="33" s="1"/>
  <c r="F74" i="29"/>
  <c r="P6" i="29" s="1"/>
  <c r="E75" i="33" s="1"/>
  <c r="E43" i="3"/>
  <c r="G387" i="1"/>
  <c r="D30" i="4"/>
  <c r="D8" i="3"/>
  <c r="D9" i="3"/>
  <c r="E9" i="3" s="1"/>
  <c r="E46" i="25"/>
  <c r="E16" i="25"/>
  <c r="D63" i="7"/>
  <c r="O389" i="1"/>
  <c r="E14" i="25"/>
  <c r="E44" i="25"/>
  <c r="D95" i="7"/>
  <c r="D27" i="4"/>
  <c r="D32" i="3"/>
  <c r="G388" i="1"/>
  <c r="D14" i="3"/>
  <c r="E78" i="3" s="1"/>
  <c r="T44" i="29"/>
  <c r="S6" i="29" s="1"/>
  <c r="D59" i="4"/>
  <c r="E46" i="3"/>
  <c r="D62" i="3"/>
  <c r="G378" i="1"/>
  <c r="D22" i="3"/>
  <c r="E99" i="7" s="1"/>
  <c r="E57" i="7"/>
  <c r="D60" i="3"/>
  <c r="E27" i="3"/>
  <c r="E89" i="7"/>
  <c r="D26" i="4"/>
  <c r="D42" i="3"/>
  <c r="I51" i="25"/>
  <c r="D7" i="4"/>
  <c r="P389" i="1"/>
  <c r="S20" i="4"/>
  <c r="H24" i="3"/>
  <c r="I101" i="7" s="1"/>
  <c r="G389" i="6"/>
  <c r="H8" i="4"/>
  <c r="M389" i="6"/>
  <c r="X389" i="6" s="1"/>
  <c r="S52" i="7"/>
  <c r="R55" i="3"/>
  <c r="S28" i="4"/>
  <c r="O389" i="6"/>
  <c r="H21" i="4"/>
  <c r="M11" i="4"/>
  <c r="S22" i="4"/>
  <c r="S21" i="4"/>
  <c r="S87" i="7"/>
  <c r="S55" i="7"/>
  <c r="H23" i="4"/>
  <c r="D35" i="7"/>
  <c r="E35" i="7" s="1"/>
  <c r="I81" i="25"/>
  <c r="R58" i="3"/>
  <c r="E12" i="3"/>
  <c r="I59" i="7"/>
  <c r="I91" i="7"/>
  <c r="H62" i="3"/>
  <c r="P48" i="7"/>
  <c r="I29" i="3"/>
  <c r="M21" i="4"/>
  <c r="I28" i="4"/>
  <c r="R17" i="3"/>
  <c r="R18" i="3" s="1"/>
  <c r="I13" i="4"/>
  <c r="M22" i="3"/>
  <c r="T21" i="25"/>
  <c r="U36" i="25" s="1"/>
  <c r="E6" i="3"/>
  <c r="U92" i="25"/>
  <c r="M27" i="4"/>
  <c r="K83" i="7"/>
  <c r="E10" i="3"/>
  <c r="O73" i="3"/>
  <c r="O43" i="25"/>
  <c r="O9" i="3"/>
  <c r="M24" i="4"/>
  <c r="D41" i="7"/>
  <c r="Q389" i="1"/>
  <c r="S6" i="4"/>
  <c r="J33" i="3"/>
  <c r="J34" i="3" s="1"/>
  <c r="J3" i="3" s="1"/>
  <c r="Z10" i="29"/>
  <c r="W10" i="29" s="1"/>
  <c r="K11" i="4"/>
  <c r="J17" i="4"/>
  <c r="H40" i="7"/>
  <c r="Q389" i="6"/>
  <c r="R48" i="7"/>
  <c r="M74" i="29"/>
  <c r="P13" i="29" s="1"/>
  <c r="E82" i="33" s="1"/>
  <c r="R56" i="4"/>
  <c r="O102" i="33" s="1"/>
  <c r="Q102" i="33" s="1"/>
  <c r="J48" i="7"/>
  <c r="K5" i="4"/>
  <c r="G389" i="9"/>
  <c r="M50" i="3"/>
  <c r="Z9" i="29"/>
  <c r="W9" i="29" s="1"/>
  <c r="Z11" i="29"/>
  <c r="W11" i="29" s="1"/>
  <c r="H389" i="6"/>
  <c r="W389" i="6" s="1"/>
  <c r="I8" i="3"/>
  <c r="T81" i="25"/>
  <c r="K23" i="4"/>
  <c r="N52" i="3"/>
  <c r="M38" i="7"/>
  <c r="L47" i="7"/>
  <c r="L48" i="7" s="1"/>
  <c r="L24" i="29"/>
  <c r="K12" i="29" s="1"/>
  <c r="Z12" i="29"/>
  <c r="W12" i="29" s="1"/>
  <c r="K35" i="7"/>
  <c r="J64" i="7"/>
  <c r="K21" i="3"/>
  <c r="K40" i="25"/>
  <c r="K6" i="3"/>
  <c r="J17" i="3"/>
  <c r="K70" i="3"/>
  <c r="K10" i="25"/>
  <c r="K84" i="7"/>
  <c r="K36" i="7"/>
  <c r="K22" i="3"/>
  <c r="J55" i="3"/>
  <c r="K52" i="7"/>
  <c r="K20" i="4"/>
  <c r="K27" i="3"/>
  <c r="K57" i="7"/>
  <c r="K89" i="7"/>
  <c r="J60" i="3"/>
  <c r="K41" i="7"/>
  <c r="K21" i="4"/>
  <c r="J54" i="3"/>
  <c r="K26" i="4"/>
  <c r="K6" i="4"/>
  <c r="L17" i="4"/>
  <c r="L64" i="7"/>
  <c r="L32" i="4"/>
  <c r="U77" i="25"/>
  <c r="U62" i="25"/>
  <c r="S11" i="4"/>
  <c r="M23" i="4"/>
  <c r="H39" i="3"/>
  <c r="H33" i="29" s="1"/>
  <c r="B8" i="29" s="1"/>
  <c r="E8" i="29" s="1"/>
  <c r="N389" i="6"/>
  <c r="S13" i="4"/>
  <c r="F34" i="29"/>
  <c r="L6" i="29" s="1"/>
  <c r="R64" i="7"/>
  <c r="R32" i="4"/>
  <c r="R17" i="4"/>
  <c r="U122" i="25"/>
  <c r="O45" i="7"/>
  <c r="N47" i="7"/>
  <c r="N48" i="7" s="1"/>
  <c r="T51" i="25"/>
  <c r="T111" i="25"/>
  <c r="H389" i="1"/>
  <c r="R50" i="3"/>
  <c r="R54" i="3"/>
  <c r="R51" i="4"/>
  <c r="Z24" i="29"/>
  <c r="Q12" i="29" s="1"/>
  <c r="O20" i="34" l="1"/>
  <c r="X58" i="33" s="1"/>
  <c r="I110" i="7"/>
  <c r="E97" i="33" s="1"/>
  <c r="K47" i="33"/>
  <c r="K48" i="33"/>
  <c r="K49" i="33"/>
  <c r="K50" i="33"/>
  <c r="K51" i="33"/>
  <c r="O110" i="7"/>
  <c r="E100" i="33" s="1"/>
  <c r="I49" i="33"/>
  <c r="J49" i="33" s="1"/>
  <c r="I50" i="33"/>
  <c r="J50" i="33" s="1"/>
  <c r="I48" i="33"/>
  <c r="J48" i="33" s="1"/>
  <c r="I47" i="33"/>
  <c r="J47" i="33" s="1"/>
  <c r="I51" i="33"/>
  <c r="J51" i="33" s="1"/>
  <c r="I46" i="33"/>
  <c r="J46" i="33" s="1"/>
  <c r="I45" i="33"/>
  <c r="J45" i="33" s="1"/>
  <c r="E110" i="7"/>
  <c r="E95" i="33" s="1"/>
  <c r="J20" i="22"/>
  <c r="J21" i="22"/>
  <c r="J22" i="22"/>
  <c r="J19" i="22"/>
  <c r="Y98" i="33"/>
  <c r="AA98" i="33" s="1"/>
  <c r="Y99" i="33"/>
  <c r="AA99" i="33" s="1"/>
  <c r="Y100" i="33"/>
  <c r="AA100" i="33" s="1"/>
  <c r="Y101" i="33"/>
  <c r="AA101" i="33" s="1"/>
  <c r="F24" i="29"/>
  <c r="K6" i="29" s="1"/>
  <c r="G17" i="22" s="1"/>
  <c r="J17" i="22"/>
  <c r="J24" i="22"/>
  <c r="J23" i="22"/>
  <c r="AD7" i="33"/>
  <c r="AI7" i="33" s="1"/>
  <c r="D88" i="4"/>
  <c r="G60" i="33" a="1"/>
  <c r="G60" i="33" s="1"/>
  <c r="G58" i="33" a="1"/>
  <c r="G58" i="33" s="1"/>
  <c r="G56" i="33" a="1"/>
  <c r="G56" i="33" s="1"/>
  <c r="G55" i="33" a="1"/>
  <c r="G55" i="33" s="1"/>
  <c r="G57" i="33" a="1"/>
  <c r="G57" i="33" s="1"/>
  <c r="G54" i="33" a="1"/>
  <c r="G54" i="33" s="1"/>
  <c r="G61" i="33" a="1"/>
  <c r="G61" i="33" s="1"/>
  <c r="G59" i="33" a="1"/>
  <c r="G59" i="33" s="1"/>
  <c r="AD8" i="33"/>
  <c r="AI8" i="33" s="1"/>
  <c r="Y389" i="1"/>
  <c r="I21" i="4"/>
  <c r="AC9" i="33"/>
  <c r="H17" i="22"/>
  <c r="W389" i="1"/>
  <c r="V389" i="1"/>
  <c r="E40" i="22" s="1"/>
  <c r="Y4" i="33"/>
  <c r="X389" i="1"/>
  <c r="H51" i="3"/>
  <c r="Y389" i="6"/>
  <c r="E92" i="7"/>
  <c r="D61" i="3"/>
  <c r="R63" i="4"/>
  <c r="S50" i="3"/>
  <c r="AE11" i="33" s="1"/>
  <c r="G23" i="22"/>
  <c r="D111" i="3"/>
  <c r="E107" i="3"/>
  <c r="F96" i="3"/>
  <c r="E62" i="7"/>
  <c r="E94" i="7"/>
  <c r="E78" i="7"/>
  <c r="E46" i="7"/>
  <c r="F109" i="3"/>
  <c r="E6" i="33"/>
  <c r="G6" i="33" s="1"/>
  <c r="S22" i="22"/>
  <c r="O80" i="33"/>
  <c r="S21" i="22"/>
  <c r="O79" i="33"/>
  <c r="S23" i="22"/>
  <c r="O81" i="33"/>
  <c r="S20" i="22"/>
  <c r="O78" i="33"/>
  <c r="P17" i="22"/>
  <c r="E36" i="22"/>
  <c r="O17" i="22"/>
  <c r="Y104" i="7"/>
  <c r="E28" i="4"/>
  <c r="M23" i="22"/>
  <c r="L24" i="22"/>
  <c r="L17" i="22"/>
  <c r="Y40" i="3"/>
  <c r="AE7" i="33"/>
  <c r="Y42" i="3"/>
  <c r="AE9" i="33"/>
  <c r="Y43" i="3"/>
  <c r="AE10" i="33"/>
  <c r="Y41" i="3"/>
  <c r="AE8" i="33"/>
  <c r="K22" i="22"/>
  <c r="K20" i="22"/>
  <c r="I70" i="7"/>
  <c r="F63" i="29"/>
  <c r="B6" i="29" s="1"/>
  <c r="E6" i="29" s="1"/>
  <c r="H80" i="7"/>
  <c r="Y6" i="33"/>
  <c r="N18" i="3"/>
  <c r="S81" i="25"/>
  <c r="D56" i="3"/>
  <c r="E23" i="3"/>
  <c r="Y103" i="7"/>
  <c r="Y100" i="7"/>
  <c r="Y101" i="7"/>
  <c r="O111" i="25"/>
  <c r="O95" i="7"/>
  <c r="E76" i="7"/>
  <c r="R35" i="3"/>
  <c r="R19" i="3" s="1"/>
  <c r="U96" i="25"/>
  <c r="N34" i="3"/>
  <c r="N3" i="3" s="1"/>
  <c r="D51" i="3"/>
  <c r="Q33" i="3"/>
  <c r="P34" i="3"/>
  <c r="P3" i="3" s="1"/>
  <c r="N35" i="3"/>
  <c r="N19" i="3" s="1"/>
  <c r="N66" i="3"/>
  <c r="E32" i="3"/>
  <c r="E31" i="4"/>
  <c r="D65" i="3"/>
  <c r="E16" i="4"/>
  <c r="Q95" i="7"/>
  <c r="T64" i="29"/>
  <c r="U6" i="29" s="1"/>
  <c r="T94" i="3"/>
  <c r="T15" i="17"/>
  <c r="T79" i="3"/>
  <c r="P35" i="3"/>
  <c r="P19" i="3" s="1"/>
  <c r="O21" i="25"/>
  <c r="O51" i="25"/>
  <c r="O17" i="3"/>
  <c r="Y9" i="3" s="1"/>
  <c r="O32" i="4"/>
  <c r="F81" i="3"/>
  <c r="E30" i="4"/>
  <c r="E15" i="4"/>
  <c r="O17" i="4"/>
  <c r="G86" i="4"/>
  <c r="L88" i="4"/>
  <c r="E88" i="4"/>
  <c r="D89" i="4"/>
  <c r="D90" i="4" s="1"/>
  <c r="E90" i="4" s="1"/>
  <c r="R88" i="4"/>
  <c r="K88" i="4"/>
  <c r="J89" i="4"/>
  <c r="J90" i="4" s="1"/>
  <c r="K90" i="4" s="1"/>
  <c r="P88" i="4"/>
  <c r="O86" i="4"/>
  <c r="U86" i="4"/>
  <c r="H88" i="4"/>
  <c r="E25" i="4"/>
  <c r="M111" i="25"/>
  <c r="M33" i="3"/>
  <c r="O81" i="25"/>
  <c r="O81" i="3"/>
  <c r="M95" i="7"/>
  <c r="L66" i="3"/>
  <c r="E24" i="4"/>
  <c r="L34" i="3"/>
  <c r="L3" i="3" s="1"/>
  <c r="E7" i="4"/>
  <c r="M32" i="4"/>
  <c r="E22" i="4"/>
  <c r="L35" i="3"/>
  <c r="L19" i="3" s="1"/>
  <c r="E26" i="4"/>
  <c r="E11" i="4"/>
  <c r="E52" i="7"/>
  <c r="E14" i="3"/>
  <c r="E48" i="25"/>
  <c r="E18" i="25"/>
  <c r="E30" i="3"/>
  <c r="E60" i="7"/>
  <c r="E44" i="7"/>
  <c r="D63" i="3"/>
  <c r="R34" i="3"/>
  <c r="R3" i="3" s="1"/>
  <c r="S111" i="25"/>
  <c r="S95" i="7"/>
  <c r="R66" i="3"/>
  <c r="E14" i="4"/>
  <c r="E29" i="4"/>
  <c r="Q32" i="4"/>
  <c r="Q111" i="25"/>
  <c r="P66" i="3"/>
  <c r="E90" i="7"/>
  <c r="E9" i="4"/>
  <c r="E10" i="4"/>
  <c r="E27" i="4"/>
  <c r="E28" i="3"/>
  <c r="E42" i="7"/>
  <c r="E58" i="7"/>
  <c r="E74" i="7"/>
  <c r="Q17" i="4"/>
  <c r="E69" i="7"/>
  <c r="E53" i="7"/>
  <c r="E85" i="7"/>
  <c r="E37" i="7"/>
  <c r="D17" i="4"/>
  <c r="D80" i="7"/>
  <c r="D32" i="4"/>
  <c r="S51" i="25"/>
  <c r="D64" i="7"/>
  <c r="Y11" i="3"/>
  <c r="M17" i="4"/>
  <c r="E68" i="7"/>
  <c r="K17" i="4"/>
  <c r="I5" i="25"/>
  <c r="E75" i="3"/>
  <c r="E45" i="25"/>
  <c r="E15" i="25"/>
  <c r="E42" i="25"/>
  <c r="E12" i="25"/>
  <c r="D17" i="3"/>
  <c r="D18" i="3" s="1"/>
  <c r="E72" i="3"/>
  <c r="E8" i="3"/>
  <c r="E48" i="3"/>
  <c r="D64" i="3"/>
  <c r="D61" i="4"/>
  <c r="E12" i="4"/>
  <c r="E47" i="25"/>
  <c r="E77" i="3"/>
  <c r="E13" i="3"/>
  <c r="E17" i="25"/>
  <c r="D55" i="4"/>
  <c r="Q95" i="33" s="1"/>
  <c r="D58" i="3"/>
  <c r="D50" i="3"/>
  <c r="D63" i="4" s="1"/>
  <c r="Y95" i="33" s="1"/>
  <c r="AA95" i="33" s="1"/>
  <c r="E42" i="3"/>
  <c r="G389" i="1"/>
  <c r="E11" i="3"/>
  <c r="E36" i="7"/>
  <c r="E84" i="7"/>
  <c r="E21" i="4"/>
  <c r="E22" i="3"/>
  <c r="E6" i="4"/>
  <c r="D33" i="3"/>
  <c r="D55" i="3"/>
  <c r="E13" i="25"/>
  <c r="E43" i="25"/>
  <c r="E73" i="3"/>
  <c r="I54" i="7"/>
  <c r="H57" i="3"/>
  <c r="I38" i="7"/>
  <c r="I86" i="7"/>
  <c r="I24" i="3"/>
  <c r="H33" i="3"/>
  <c r="H64" i="7"/>
  <c r="H32" i="4"/>
  <c r="H17" i="4"/>
  <c r="I23" i="4"/>
  <c r="I8" i="4"/>
  <c r="I17" i="4" s="1"/>
  <c r="K95" i="7"/>
  <c r="K111" i="25"/>
  <c r="S81" i="3"/>
  <c r="S21" i="25"/>
  <c r="D47" i="7"/>
  <c r="D48" i="7" s="1"/>
  <c r="E41" i="7"/>
  <c r="K32" i="4"/>
  <c r="I40" i="7"/>
  <c r="Y36" i="33" s="1"/>
  <c r="H47" i="7"/>
  <c r="H48" i="7" s="1"/>
  <c r="J35" i="3"/>
  <c r="J19" i="3" s="1"/>
  <c r="J66" i="3"/>
  <c r="K33" i="3"/>
  <c r="I17" i="3"/>
  <c r="Y6" i="3" s="1"/>
  <c r="H18" i="3"/>
  <c r="S17" i="4"/>
  <c r="M24" i="29"/>
  <c r="K13" i="29" s="1"/>
  <c r="Z13" i="29"/>
  <c r="W13" i="29" s="1"/>
  <c r="K81" i="3"/>
  <c r="K51" i="25"/>
  <c r="K81" i="25"/>
  <c r="K21" i="25"/>
  <c r="K17" i="3"/>
  <c r="Y7" i="3" s="1"/>
  <c r="J18" i="3"/>
  <c r="U126" i="25"/>
  <c r="K5" i="25"/>
  <c r="U66" i="25"/>
  <c r="J5" i="25"/>
  <c r="Z8" i="29"/>
  <c r="W8" i="29" s="1"/>
  <c r="O77" i="33" s="1"/>
  <c r="H52" i="4"/>
  <c r="I39" i="3"/>
  <c r="H50" i="3"/>
  <c r="H63" i="4" s="1"/>
  <c r="H55" i="3"/>
  <c r="R36" i="3"/>
  <c r="S32" i="4"/>
  <c r="Y99" i="7" l="1"/>
  <c r="Y102" i="7"/>
  <c r="I55" i="33"/>
  <c r="J55" i="33" s="1"/>
  <c r="K55" i="33"/>
  <c r="I54" i="33"/>
  <c r="J54" i="33" s="1"/>
  <c r="K54" i="33"/>
  <c r="I60" i="33"/>
  <c r="J60" i="33" s="1"/>
  <c r="K60" i="33"/>
  <c r="I56" i="33"/>
  <c r="J56" i="33" s="1"/>
  <c r="K56" i="33"/>
  <c r="I59" i="33"/>
  <c r="J59" i="33" s="1"/>
  <c r="K59" i="33"/>
  <c r="I57" i="33"/>
  <c r="J57" i="33" s="1"/>
  <c r="K57" i="33"/>
  <c r="I58" i="33"/>
  <c r="J58" i="33" s="1"/>
  <c r="K58" i="33"/>
  <c r="I61" i="33"/>
  <c r="J61" i="33" s="1"/>
  <c r="K61" i="33"/>
  <c r="Y102" i="33"/>
  <c r="AA102" i="33" s="1"/>
  <c r="Y97" i="33"/>
  <c r="AA97" i="33" s="1"/>
  <c r="AD6" i="33"/>
  <c r="AC4" i="33"/>
  <c r="Y13" i="33"/>
  <c r="AD4" i="33"/>
  <c r="Y44" i="3"/>
  <c r="G24" i="22"/>
  <c r="Q17" i="22"/>
  <c r="E7" i="33"/>
  <c r="G7" i="33" s="1"/>
  <c r="E8" i="33"/>
  <c r="G8" i="33" s="1"/>
  <c r="E9" i="33"/>
  <c r="G9" i="33" s="1"/>
  <c r="S24" i="22"/>
  <c r="O82" i="33"/>
  <c r="S19" i="22"/>
  <c r="AC6" i="33"/>
  <c r="Y60" i="3"/>
  <c r="T96" i="3"/>
  <c r="U96" i="3"/>
  <c r="T81" i="3"/>
  <c r="T109" i="3"/>
  <c r="U109" i="3" s="1"/>
  <c r="M88" i="4"/>
  <c r="L89" i="4"/>
  <c r="L90" i="4" s="1"/>
  <c r="M90" i="4" s="1"/>
  <c r="F88" i="4"/>
  <c r="K89" i="4"/>
  <c r="S88" i="4"/>
  <c r="R89" i="4"/>
  <c r="R90" i="4" s="1"/>
  <c r="S90" i="4" s="1"/>
  <c r="T88" i="4"/>
  <c r="N88" i="4"/>
  <c r="E89" i="4"/>
  <c r="H89" i="4"/>
  <c r="H90" i="4" s="1"/>
  <c r="I90" i="4" s="1"/>
  <c r="I88" i="4"/>
  <c r="Q88" i="4"/>
  <c r="P89" i="4"/>
  <c r="P90" i="4" s="1"/>
  <c r="Q90" i="4" s="1"/>
  <c r="E17" i="3"/>
  <c r="Y4" i="3" s="1"/>
  <c r="E17" i="4"/>
  <c r="D36" i="3"/>
  <c r="E50" i="3"/>
  <c r="E111" i="25"/>
  <c r="D66" i="3"/>
  <c r="E33" i="3"/>
  <c r="E95" i="7"/>
  <c r="E32" i="4"/>
  <c r="D34" i="3"/>
  <c r="D3" i="3" s="1"/>
  <c r="D35" i="3"/>
  <c r="D19" i="3" s="1"/>
  <c r="F64" i="29"/>
  <c r="O6" i="29" s="1"/>
  <c r="Z6" i="29"/>
  <c r="W6" i="29" s="1"/>
  <c r="E51" i="25"/>
  <c r="E81" i="3"/>
  <c r="E81" i="25"/>
  <c r="E21" i="25"/>
  <c r="I32" i="4"/>
  <c r="I95" i="7"/>
  <c r="H34" i="3"/>
  <c r="H3" i="3" s="1"/>
  <c r="I33" i="3"/>
  <c r="H35" i="3"/>
  <c r="H19" i="3" s="1"/>
  <c r="I111" i="25"/>
  <c r="L5" i="25"/>
  <c r="I50" i="3"/>
  <c r="H36" i="3"/>
  <c r="H66" i="3"/>
  <c r="H34" i="29"/>
  <c r="L8" i="29" s="1"/>
  <c r="O75" i="33" l="1"/>
  <c r="AI6" i="33"/>
  <c r="AD13" i="33"/>
  <c r="AI4" i="33"/>
  <c r="H19" i="22"/>
  <c r="T111" i="3"/>
  <c r="Y37" i="3"/>
  <c r="AE4" i="33"/>
  <c r="Y39" i="3"/>
  <c r="AE6" i="33"/>
  <c r="K17" i="22"/>
  <c r="S17" i="22"/>
  <c r="U111" i="3"/>
  <c r="F89" i="4"/>
  <c r="F90" i="4" s="1"/>
  <c r="G90" i="4" s="1"/>
  <c r="G88" i="4"/>
  <c r="M89" i="4"/>
  <c r="I89" i="4"/>
  <c r="S89" i="4"/>
  <c r="Q89" i="4"/>
  <c r="T89" i="4"/>
  <c r="T90" i="4" s="1"/>
  <c r="U90" i="4" s="1"/>
  <c r="U88" i="4"/>
  <c r="D91" i="4"/>
  <c r="O88" i="4"/>
  <c r="N89" i="4"/>
  <c r="N90" i="4" s="1"/>
  <c r="O90" i="4" s="1"/>
  <c r="J91" i="4"/>
  <c r="O34" i="37" l="1"/>
  <c r="O13" i="37"/>
  <c r="AF16" i="33"/>
  <c r="E5" i="33"/>
  <c r="G5" i="33" s="1"/>
  <c r="L91" i="4"/>
  <c r="G89" i="4"/>
  <c r="H91" i="4"/>
  <c r="U89" i="4"/>
  <c r="R91" i="4"/>
  <c r="R92" i="4" s="1"/>
  <c r="E91" i="4"/>
  <c r="D92" i="4"/>
  <c r="D93" i="4" s="1"/>
  <c r="P91" i="4"/>
  <c r="O89" i="4"/>
  <c r="J92" i="4"/>
  <c r="J93" i="4" s="1"/>
  <c r="K91" i="4"/>
  <c r="O51" i="37" l="1"/>
  <c r="K93" i="4"/>
  <c r="J94" i="4"/>
  <c r="K94" i="4" s="1"/>
  <c r="E93" i="4"/>
  <c r="D94" i="4"/>
  <c r="E94" i="4" s="1"/>
  <c r="S92" i="4"/>
  <c r="R93" i="4"/>
  <c r="F91" i="4"/>
  <c r="L92" i="4"/>
  <c r="L93" i="4" s="1"/>
  <c r="M91" i="4"/>
  <c r="N91" i="4"/>
  <c r="E92" i="4"/>
  <c r="S91" i="4"/>
  <c r="R95" i="4"/>
  <c r="T91" i="4"/>
  <c r="K92" i="4"/>
  <c r="Q91" i="4"/>
  <c r="P92" i="4"/>
  <c r="P93" i="4" s="1"/>
  <c r="I91" i="4"/>
  <c r="H92" i="4"/>
  <c r="H93" i="4" s="1"/>
  <c r="O52" i="37" l="1"/>
  <c r="O55" i="37"/>
  <c r="S95" i="4"/>
  <c r="Y112" i="33" s="1"/>
  <c r="Y92" i="33"/>
  <c r="Q93" i="4"/>
  <c r="P94" i="4"/>
  <c r="Q94" i="4" s="1"/>
  <c r="M93" i="4"/>
  <c r="L94" i="4"/>
  <c r="M94" i="4" s="1"/>
  <c r="I93" i="4"/>
  <c r="H94" i="4"/>
  <c r="I94" i="4" s="1"/>
  <c r="S93" i="4"/>
  <c r="R94" i="4"/>
  <c r="S94" i="4" s="1"/>
  <c r="M92" i="4"/>
  <c r="F92" i="4"/>
  <c r="F93" i="4" s="1"/>
  <c r="G91" i="4"/>
  <c r="Q92" i="4"/>
  <c r="T92" i="4"/>
  <c r="T93" i="4" s="1"/>
  <c r="U91" i="4"/>
  <c r="I92" i="4"/>
  <c r="O91" i="4"/>
  <c r="N92" i="4"/>
  <c r="N93" i="4" s="1"/>
  <c r="O57" i="37" l="1"/>
  <c r="O93" i="4"/>
  <c r="N94" i="4"/>
  <c r="O94" i="4" s="1"/>
  <c r="G93" i="4"/>
  <c r="F94" i="4"/>
  <c r="G94" i="4" s="1"/>
  <c r="U93" i="4"/>
  <c r="T94" i="4"/>
  <c r="U94" i="4" s="1"/>
  <c r="G92" i="4"/>
  <c r="O92" i="4"/>
  <c r="U92" i="4"/>
  <c r="J95" i="4"/>
  <c r="D95" i="4"/>
  <c r="O58" i="37" l="1"/>
  <c r="K95" i="4"/>
  <c r="Y108" i="33" s="1"/>
  <c r="Y88" i="33"/>
  <c r="E95" i="4"/>
  <c r="Y105" i="33" s="1"/>
  <c r="Y85" i="33"/>
  <c r="L95" i="4"/>
  <c r="P95" i="4"/>
  <c r="H95" i="4"/>
  <c r="N12" i="34" l="1"/>
  <c r="Q95" i="4"/>
  <c r="Y111" i="33" s="1"/>
  <c r="Y91" i="33"/>
  <c r="M95" i="4"/>
  <c r="Y109" i="33" s="1"/>
  <c r="Y89" i="33"/>
  <c r="I95" i="4"/>
  <c r="Y107" i="33" s="1"/>
  <c r="Y87" i="33"/>
  <c r="F95" i="4"/>
  <c r="N95" i="4"/>
  <c r="T95" i="4"/>
  <c r="U95" i="4" s="1"/>
  <c r="Z12" i="34" l="1"/>
  <c r="O12" i="34"/>
  <c r="O13" i="34"/>
  <c r="X48" i="33" s="1"/>
  <c r="N13" i="34"/>
  <c r="O95" i="4"/>
  <c r="Y110" i="33" s="1"/>
  <c r="Y90" i="33"/>
  <c r="G95" i="4"/>
  <c r="Y106" i="33" s="1"/>
  <c r="AB107" i="33" s="1"/>
  <c r="Y86" i="33"/>
  <c r="K338" i="14"/>
  <c r="L338" i="14"/>
  <c r="K308" i="14"/>
  <c r="L308" i="14"/>
  <c r="K277" i="14"/>
  <c r="L277" i="14"/>
  <c r="K247" i="14"/>
  <c r="L247" i="14"/>
  <c r="K216" i="14"/>
  <c r="L216" i="14"/>
  <c r="K185" i="14"/>
  <c r="L185" i="14"/>
  <c r="K155" i="14"/>
  <c r="L155" i="14"/>
  <c r="K124" i="14"/>
  <c r="L124" i="14"/>
  <c r="L94" i="14"/>
  <c r="K94" i="14"/>
  <c r="K63" i="14"/>
  <c r="L63" i="14"/>
  <c r="K34" i="14"/>
  <c r="L34" i="14"/>
  <c r="K35" i="14"/>
  <c r="L35" i="14"/>
  <c r="N34" i="34" l="1"/>
  <c r="O34" i="34"/>
  <c r="O51" i="34"/>
  <c r="N51" i="34"/>
  <c r="AB111" i="33"/>
  <c r="AB112" i="33"/>
  <c r="AB106" i="33"/>
  <c r="AB105" i="33"/>
  <c r="AA105" i="33" s="1" a="1"/>
  <c r="AA105" i="33" s="1"/>
  <c r="AC105" i="33" s="1"/>
  <c r="AD105" i="33" s="1"/>
  <c r="AB109" i="33"/>
  <c r="AB110" i="33"/>
  <c r="AB108" i="33"/>
  <c r="AA108" i="33" s="1" a="1"/>
  <c r="AA108" i="33" s="1"/>
  <c r="AC108" i="33" s="1"/>
  <c r="AD108" i="33" s="1"/>
  <c r="AB92" i="33"/>
  <c r="AB89" i="33"/>
  <c r="AB87" i="33"/>
  <c r="AB91" i="33"/>
  <c r="AB88" i="33"/>
  <c r="AB85" i="33"/>
  <c r="AA85" i="33" s="1" a="1"/>
  <c r="AA85" i="33" s="1"/>
  <c r="AB86" i="33"/>
  <c r="AB90" i="33"/>
  <c r="AA106" i="33" a="1"/>
  <c r="AA106" i="33" s="1"/>
  <c r="AC106" i="33" s="1"/>
  <c r="AD106" i="33" s="1"/>
  <c r="N34" i="2"/>
  <c r="M34" i="14"/>
  <c r="P94" i="2"/>
  <c r="J94" i="14"/>
  <c r="P124" i="2"/>
  <c r="J124" i="14"/>
  <c r="O155" i="2"/>
  <c r="R155" i="2"/>
  <c r="I155" i="14"/>
  <c r="Q155" i="2"/>
  <c r="P338" i="2"/>
  <c r="J338" i="14"/>
  <c r="P338" i="14" s="1"/>
  <c r="P308" i="2"/>
  <c r="J308" i="14"/>
  <c r="P308" i="14" s="1"/>
  <c r="O338" i="2"/>
  <c r="R338" i="2"/>
  <c r="Q338" i="2"/>
  <c r="I338" i="14"/>
  <c r="O338" i="14" s="1"/>
  <c r="N35" i="2"/>
  <c r="M35" i="14"/>
  <c r="P63" i="2"/>
  <c r="J63" i="14"/>
  <c r="N216" i="2"/>
  <c r="M216" i="14"/>
  <c r="P277" i="2"/>
  <c r="J277" i="14"/>
  <c r="P277" i="14" s="1"/>
  <c r="O308" i="2"/>
  <c r="Q308" i="2"/>
  <c r="R308" i="2"/>
  <c r="I308" i="14"/>
  <c r="O308" i="14" s="1"/>
  <c r="J34" i="14"/>
  <c r="O63" i="2"/>
  <c r="I63" i="14"/>
  <c r="R63" i="2"/>
  <c r="Q63" i="2"/>
  <c r="N94" i="2"/>
  <c r="M94" i="14"/>
  <c r="M185" i="14"/>
  <c r="N185" i="2"/>
  <c r="P247" i="2"/>
  <c r="J247" i="14"/>
  <c r="P247" i="14" s="1"/>
  <c r="O277" i="2"/>
  <c r="Q277" i="2"/>
  <c r="R277" i="2"/>
  <c r="I277" i="14"/>
  <c r="O277" i="14" s="1"/>
  <c r="O124" i="2"/>
  <c r="I124" i="14"/>
  <c r="R124" i="2"/>
  <c r="Q124" i="2"/>
  <c r="J35" i="14"/>
  <c r="Q34" i="2"/>
  <c r="R34" i="2"/>
  <c r="I34" i="14"/>
  <c r="N155" i="2"/>
  <c r="M155" i="14"/>
  <c r="O247" i="2"/>
  <c r="R247" i="2"/>
  <c r="Q247" i="2"/>
  <c r="I247" i="14"/>
  <c r="O247" i="14" s="1"/>
  <c r="P216" i="2"/>
  <c r="J216" i="14"/>
  <c r="P216" i="14" s="1"/>
  <c r="N338" i="2"/>
  <c r="M338" i="14"/>
  <c r="O216" i="2"/>
  <c r="Q216" i="2"/>
  <c r="R216" i="2"/>
  <c r="I216" i="14"/>
  <c r="O216" i="14" s="1"/>
  <c r="N308" i="2"/>
  <c r="M308" i="14"/>
  <c r="R35" i="2"/>
  <c r="I35" i="14"/>
  <c r="Q35" i="2"/>
  <c r="M124" i="14"/>
  <c r="N124" i="2"/>
  <c r="P185" i="2"/>
  <c r="J185" i="14"/>
  <c r="M63" i="14"/>
  <c r="N63" i="2"/>
  <c r="O94" i="2"/>
  <c r="Q94" i="2"/>
  <c r="I94" i="14"/>
  <c r="R94" i="2"/>
  <c r="P155" i="2"/>
  <c r="J155" i="14"/>
  <c r="O185" i="2"/>
  <c r="R185" i="2"/>
  <c r="Q185" i="2"/>
  <c r="I185" i="14"/>
  <c r="M277" i="14"/>
  <c r="N277" i="2"/>
  <c r="O55" i="34" l="1"/>
  <c r="N55" i="34"/>
  <c r="O52" i="34"/>
  <c r="N52" i="34"/>
  <c r="Q60" i="3"/>
  <c r="K64" i="3"/>
  <c r="M59" i="3"/>
  <c r="Q63" i="3"/>
  <c r="O62" i="3"/>
  <c r="K61" i="3"/>
  <c r="Q57" i="3"/>
  <c r="K55" i="4"/>
  <c r="S59" i="4"/>
  <c r="I59" i="3"/>
  <c r="M58" i="3"/>
  <c r="I58" i="3"/>
  <c r="S52" i="4"/>
  <c r="M57" i="3"/>
  <c r="I54" i="3"/>
  <c r="S58" i="4"/>
  <c r="S53" i="4"/>
  <c r="O58" i="3"/>
  <c r="M55" i="4"/>
  <c r="Q59" i="3"/>
  <c r="M62" i="3"/>
  <c r="O55" i="4"/>
  <c r="S57" i="4"/>
  <c r="I55" i="4"/>
  <c r="Q55" i="4"/>
  <c r="E54" i="4"/>
  <c r="E55" i="4"/>
  <c r="S55" i="4"/>
  <c r="S54" i="4"/>
  <c r="AA107" i="33" a="1"/>
  <c r="AA107" i="33" s="1"/>
  <c r="AC107" i="33" s="1"/>
  <c r="AD107" i="33" s="1"/>
  <c r="AA109" i="33" a="1"/>
  <c r="AA109" i="33" s="1"/>
  <c r="AC109" i="33" s="1"/>
  <c r="AD109" i="33" s="1"/>
  <c r="AA110" i="33" a="1"/>
  <c r="AA110" i="33" s="1"/>
  <c r="AC110" i="33" s="1"/>
  <c r="AD110" i="33" s="1"/>
  <c r="AA112" i="33" a="1"/>
  <c r="AA112" i="33" s="1"/>
  <c r="AC112" i="33" s="1"/>
  <c r="AD112" i="33" s="1"/>
  <c r="AA111" i="33" a="1"/>
  <c r="AA111" i="33" s="1"/>
  <c r="AC111" i="33" s="1"/>
  <c r="AD111" i="33" s="1"/>
  <c r="AA86" i="33" a="1"/>
  <c r="AA86" i="33" s="1"/>
  <c r="AA90" i="33" a="1"/>
  <c r="AA90" i="33" s="1"/>
  <c r="AA91" i="33" a="1"/>
  <c r="AA91" i="33" s="1"/>
  <c r="AA87" i="33" a="1"/>
  <c r="AA87" i="33" s="1"/>
  <c r="AA88" i="33" a="1"/>
  <c r="AA88" i="33" s="1"/>
  <c r="AA89" i="33" a="1"/>
  <c r="AA89" i="33" s="1"/>
  <c r="AA92" i="33" a="1"/>
  <c r="AA92" i="33" s="1"/>
  <c r="O185" i="14"/>
  <c r="P185" i="14"/>
  <c r="N338" i="14"/>
  <c r="N308" i="14"/>
  <c r="N277" i="14"/>
  <c r="N216" i="14"/>
  <c r="R185" i="14"/>
  <c r="N155" i="14"/>
  <c r="N63" i="14"/>
  <c r="N124" i="14"/>
  <c r="N35" i="14"/>
  <c r="Q34" i="14"/>
  <c r="R34" i="14"/>
  <c r="F155" i="14"/>
  <c r="G124" i="14"/>
  <c r="R124" i="14"/>
  <c r="E124" i="14"/>
  <c r="Q124" i="14"/>
  <c r="F308" i="14"/>
  <c r="R35" i="14"/>
  <c r="Q35" i="14"/>
  <c r="G94" i="14"/>
  <c r="Q94" i="14"/>
  <c r="E94" i="14"/>
  <c r="Q216" i="14"/>
  <c r="G216" i="14"/>
  <c r="C216" i="14" s="1"/>
  <c r="E216" i="14"/>
  <c r="R216" i="14"/>
  <c r="F216" i="14"/>
  <c r="E308" i="14"/>
  <c r="G308" i="14"/>
  <c r="C308" i="14" s="1"/>
  <c r="R308" i="14"/>
  <c r="F63" i="14"/>
  <c r="Q308" i="14"/>
  <c r="D216" i="14"/>
  <c r="N247" i="2"/>
  <c r="M247" i="14"/>
  <c r="F247" i="14"/>
  <c r="D124" i="14"/>
  <c r="D185" i="14"/>
  <c r="F94" i="14"/>
  <c r="N94" i="14"/>
  <c r="F124" i="14"/>
  <c r="G185" i="14"/>
  <c r="C185" i="14" s="1"/>
  <c r="Q185" i="14"/>
  <c r="E185" i="14"/>
  <c r="D277" i="14"/>
  <c r="D308" i="14"/>
  <c r="D94" i="14"/>
  <c r="D155" i="14"/>
  <c r="F277" i="14"/>
  <c r="R94" i="14"/>
  <c r="F185" i="14"/>
  <c r="D247" i="14"/>
  <c r="G247" i="14"/>
  <c r="C247" i="14" s="1"/>
  <c r="E247" i="14"/>
  <c r="Q247" i="14"/>
  <c r="R247" i="14"/>
  <c r="E277" i="14"/>
  <c r="G277" i="14"/>
  <c r="C277" i="14" s="1"/>
  <c r="R277" i="14"/>
  <c r="Q277" i="14"/>
  <c r="N185" i="14"/>
  <c r="Q63" i="14"/>
  <c r="R63" i="14"/>
  <c r="G63" i="14"/>
  <c r="E63" i="14"/>
  <c r="D338" i="14"/>
  <c r="R338" i="14"/>
  <c r="E338" i="14"/>
  <c r="Q338" i="14"/>
  <c r="G338" i="14"/>
  <c r="C338" i="14" s="1"/>
  <c r="F338" i="14"/>
  <c r="Q155" i="14"/>
  <c r="E155" i="14"/>
  <c r="R155" i="14"/>
  <c r="G155" i="14"/>
  <c r="N34" i="14"/>
  <c r="D63" i="14"/>
  <c r="P34" i="2"/>
  <c r="P35" i="2"/>
  <c r="O34" i="2"/>
  <c r="O35" i="2"/>
  <c r="D34" i="14"/>
  <c r="D35" i="14"/>
  <c r="O57" i="34" l="1"/>
  <c r="N57" i="34"/>
  <c r="M65" i="3"/>
  <c r="S59" i="3"/>
  <c r="S56" i="3"/>
  <c r="O55" i="3"/>
  <c r="M56" i="3"/>
  <c r="K56" i="3"/>
  <c r="I61" i="3"/>
  <c r="M60" i="3"/>
  <c r="O61" i="3"/>
  <c r="M61" i="3"/>
  <c r="Q61" i="3"/>
  <c r="I60" i="3"/>
  <c r="O60" i="3"/>
  <c r="Q58" i="3"/>
  <c r="K59" i="3"/>
  <c r="E53" i="4"/>
  <c r="E57" i="4"/>
  <c r="E58" i="4"/>
  <c r="K62" i="3"/>
  <c r="E59" i="3"/>
  <c r="O57" i="3"/>
  <c r="Q55" i="3"/>
  <c r="K55" i="3"/>
  <c r="K60" i="3"/>
  <c r="K54" i="3"/>
  <c r="S63" i="4"/>
  <c r="S54" i="3"/>
  <c r="S51" i="4"/>
  <c r="P155" i="14"/>
  <c r="O155" i="14"/>
  <c r="C155" i="14"/>
  <c r="C124" i="14"/>
  <c r="O124" i="14"/>
  <c r="P124" i="14"/>
  <c r="P94" i="14"/>
  <c r="O94" i="14"/>
  <c r="C94" i="14"/>
  <c r="O63" i="14"/>
  <c r="P63" i="14"/>
  <c r="C63" i="14"/>
  <c r="N247" i="14"/>
  <c r="F35" i="14"/>
  <c r="F34" i="14"/>
  <c r="E35" i="14"/>
  <c r="E34" i="14"/>
  <c r="O58" i="34" l="1"/>
  <c r="N58" i="34"/>
  <c r="Q65" i="3"/>
  <c r="I65" i="3"/>
  <c r="K65" i="3"/>
  <c r="O65" i="3"/>
  <c r="O59" i="3"/>
  <c r="Q62" i="3"/>
  <c r="E57" i="3"/>
  <c r="K58" i="3"/>
  <c r="K57" i="3"/>
  <c r="O56" i="3"/>
  <c r="I56" i="3"/>
  <c r="Q56" i="3"/>
  <c r="M54" i="3"/>
  <c r="O54" i="3"/>
  <c r="K63" i="3"/>
  <c r="S57" i="3"/>
  <c r="E51" i="4"/>
  <c r="E62" i="4"/>
  <c r="I63" i="3"/>
  <c r="M63" i="3"/>
  <c r="M64" i="3"/>
  <c r="Q64" i="3"/>
  <c r="O64" i="3"/>
  <c r="I64" i="3"/>
  <c r="O63" i="3"/>
  <c r="M55" i="3"/>
  <c r="Q54" i="3"/>
  <c r="E52" i="4"/>
  <c r="E61" i="3"/>
  <c r="E60" i="4"/>
  <c r="E56" i="4"/>
  <c r="E59" i="4"/>
  <c r="E62" i="3"/>
  <c r="E60" i="3"/>
  <c r="S55" i="3"/>
  <c r="S58" i="3"/>
  <c r="I62" i="3"/>
  <c r="S56" i="4"/>
  <c r="E54" i="3"/>
  <c r="I66" i="3"/>
  <c r="Y55" i="3" s="1"/>
  <c r="E66" i="3"/>
  <c r="Y53" i="3" s="1"/>
  <c r="Q66" i="3"/>
  <c r="Y59" i="3" s="1"/>
  <c r="K66" i="3"/>
  <c r="Y56" i="3" s="1"/>
  <c r="M66" i="3"/>
  <c r="Y57" i="3" s="1"/>
  <c r="O66" i="3"/>
  <c r="Y58" i="3" s="1"/>
  <c r="I55" i="3"/>
  <c r="E56" i="3"/>
  <c r="E64" i="3"/>
  <c r="E61" i="4"/>
  <c r="E58" i="3"/>
  <c r="E63" i="4"/>
  <c r="E55" i="3"/>
  <c r="I57" i="3"/>
  <c r="O34" i="14"/>
  <c r="P34" i="14"/>
  <c r="O35" i="14"/>
  <c r="P35" i="14"/>
  <c r="T59" i="7"/>
  <c r="F59" i="7"/>
  <c r="F73" i="7"/>
  <c r="T73" i="7"/>
  <c r="F87" i="7"/>
  <c r="T87" i="7"/>
  <c r="F60" i="7"/>
  <c r="T60" i="7"/>
  <c r="F74" i="7"/>
  <c r="T74" i="7"/>
  <c r="F88" i="7"/>
  <c r="T88" i="7"/>
  <c r="F61" i="7"/>
  <c r="T61" i="7"/>
  <c r="T75" i="7"/>
  <c r="F75" i="7"/>
  <c r="F89" i="7"/>
  <c r="T89" i="7"/>
  <c r="F90" i="7"/>
  <c r="T90" i="7"/>
  <c r="F53" i="7"/>
  <c r="T53" i="7"/>
  <c r="T54" i="7"/>
  <c r="F54" i="7"/>
  <c r="T62" i="7"/>
  <c r="F76" i="7"/>
  <c r="T76" i="7"/>
  <c r="F55" i="7"/>
  <c r="T55" i="7"/>
  <c r="T69" i="7"/>
  <c r="F69" i="7"/>
  <c r="F77" i="7"/>
  <c r="T77" i="7"/>
  <c r="F91" i="7"/>
  <c r="T91" i="7"/>
  <c r="F56" i="7"/>
  <c r="T56" i="7"/>
  <c r="F70" i="7"/>
  <c r="T70" i="7"/>
  <c r="F92" i="7"/>
  <c r="T92" i="7"/>
  <c r="F57" i="7"/>
  <c r="T57" i="7"/>
  <c r="F71" i="7"/>
  <c r="T71" i="7"/>
  <c r="F85" i="7"/>
  <c r="T85" i="7"/>
  <c r="F93" i="7"/>
  <c r="T93" i="7"/>
  <c r="F78" i="7"/>
  <c r="T78" i="7"/>
  <c r="F58" i="7"/>
  <c r="T58" i="7"/>
  <c r="F72" i="7"/>
  <c r="T72" i="7"/>
  <c r="F86" i="7"/>
  <c r="T86" i="7"/>
  <c r="F94" i="7"/>
  <c r="T94" i="7"/>
  <c r="E65" i="3" l="1"/>
  <c r="E63" i="3"/>
  <c r="G34" i="14"/>
  <c r="G35" i="14"/>
  <c r="B18" i="34" l="1"/>
  <c r="C35" i="14"/>
  <c r="C34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N32" i="35" s="1"/>
  <c r="L162" i="14"/>
  <c r="N31" i="35" s="1"/>
  <c r="L161" i="14"/>
  <c r="N30" i="35" s="1"/>
  <c r="L160" i="14"/>
  <c r="N29" i="35" s="1"/>
  <c r="L159" i="14"/>
  <c r="N28" i="35" s="1"/>
  <c r="L158" i="14"/>
  <c r="N27" i="35" s="1"/>
  <c r="L157" i="14"/>
  <c r="N26" i="35" s="1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K368" i="14"/>
  <c r="K367" i="14"/>
  <c r="K366" i="14"/>
  <c r="K365" i="14"/>
  <c r="K364" i="14"/>
  <c r="K363" i="14"/>
  <c r="K362" i="14"/>
  <c r="K361" i="14"/>
  <c r="K360" i="14"/>
  <c r="K359" i="14"/>
  <c r="K358" i="14"/>
  <c r="K357" i="14"/>
  <c r="K356" i="14"/>
  <c r="K355" i="14"/>
  <c r="K354" i="14"/>
  <c r="K353" i="14"/>
  <c r="K352" i="14"/>
  <c r="K351" i="14"/>
  <c r="K350" i="14"/>
  <c r="K349" i="14"/>
  <c r="K348" i="14"/>
  <c r="K347" i="14"/>
  <c r="K346" i="14"/>
  <c r="K345" i="14"/>
  <c r="K344" i="14"/>
  <c r="K343" i="14"/>
  <c r="K342" i="14"/>
  <c r="K341" i="14"/>
  <c r="K340" i="14"/>
  <c r="K337" i="14"/>
  <c r="K336" i="14"/>
  <c r="K335" i="14"/>
  <c r="K334" i="14"/>
  <c r="K333" i="14"/>
  <c r="K332" i="14"/>
  <c r="K331" i="14"/>
  <c r="K330" i="14"/>
  <c r="K329" i="14"/>
  <c r="K328" i="14"/>
  <c r="K327" i="14"/>
  <c r="K326" i="14"/>
  <c r="K325" i="14"/>
  <c r="K324" i="14"/>
  <c r="K323" i="14"/>
  <c r="K322" i="14"/>
  <c r="K321" i="14"/>
  <c r="K320" i="14"/>
  <c r="K319" i="14"/>
  <c r="K318" i="14"/>
  <c r="K317" i="14"/>
  <c r="K316" i="14"/>
  <c r="K315" i="14"/>
  <c r="K314" i="14"/>
  <c r="K313" i="14"/>
  <c r="K312" i="14"/>
  <c r="K311" i="14"/>
  <c r="K310" i="14"/>
  <c r="K307" i="14"/>
  <c r="K306" i="14"/>
  <c r="K305" i="14"/>
  <c r="K304" i="14"/>
  <c r="K303" i="14"/>
  <c r="K302" i="14"/>
  <c r="K301" i="14"/>
  <c r="K300" i="14"/>
  <c r="K299" i="14"/>
  <c r="K298" i="14"/>
  <c r="K297" i="14"/>
  <c r="K296" i="14"/>
  <c r="K295" i="14"/>
  <c r="K294" i="14"/>
  <c r="K293" i="14"/>
  <c r="K292" i="14"/>
  <c r="K291" i="14"/>
  <c r="K290" i="14"/>
  <c r="K289" i="14"/>
  <c r="K288" i="14"/>
  <c r="K287" i="14"/>
  <c r="K286" i="14"/>
  <c r="K285" i="14"/>
  <c r="K284" i="14"/>
  <c r="K283" i="14"/>
  <c r="K282" i="14"/>
  <c r="K281" i="14"/>
  <c r="K280" i="14"/>
  <c r="K279" i="14"/>
  <c r="K276" i="14"/>
  <c r="K275" i="14"/>
  <c r="K274" i="14"/>
  <c r="K273" i="14"/>
  <c r="K272" i="14"/>
  <c r="K271" i="14"/>
  <c r="K270" i="14"/>
  <c r="K269" i="14"/>
  <c r="K268" i="14"/>
  <c r="K267" i="14"/>
  <c r="K266" i="14"/>
  <c r="K265" i="14"/>
  <c r="K264" i="14"/>
  <c r="K263" i="14"/>
  <c r="K262" i="14"/>
  <c r="K261" i="14"/>
  <c r="K260" i="14"/>
  <c r="K259" i="14"/>
  <c r="K258" i="14"/>
  <c r="K257" i="14"/>
  <c r="K256" i="14"/>
  <c r="K255" i="14"/>
  <c r="K254" i="14"/>
  <c r="K253" i="14"/>
  <c r="K252" i="14"/>
  <c r="K251" i="14"/>
  <c r="K250" i="14"/>
  <c r="K249" i="14"/>
  <c r="K246" i="14"/>
  <c r="K245" i="14"/>
  <c r="K244" i="14"/>
  <c r="K243" i="14"/>
  <c r="K242" i="14"/>
  <c r="K241" i="14"/>
  <c r="K240" i="14"/>
  <c r="K239" i="14"/>
  <c r="K238" i="14"/>
  <c r="K237" i="14"/>
  <c r="K236" i="14"/>
  <c r="K235" i="14"/>
  <c r="K234" i="14"/>
  <c r="K233" i="14"/>
  <c r="K232" i="14"/>
  <c r="K231" i="14"/>
  <c r="K230" i="14"/>
  <c r="K229" i="14"/>
  <c r="K228" i="14"/>
  <c r="K227" i="14"/>
  <c r="K226" i="14"/>
  <c r="K225" i="14"/>
  <c r="K224" i="14"/>
  <c r="K223" i="14"/>
  <c r="K222" i="14"/>
  <c r="K221" i="14"/>
  <c r="K220" i="14"/>
  <c r="K219" i="14"/>
  <c r="K218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K197" i="14"/>
  <c r="K196" i="14"/>
  <c r="K195" i="14"/>
  <c r="K194" i="14"/>
  <c r="K193" i="14"/>
  <c r="K192" i="14"/>
  <c r="K191" i="14"/>
  <c r="K190" i="14"/>
  <c r="K189" i="14"/>
  <c r="K188" i="14"/>
  <c r="K187" i="14"/>
  <c r="K184" i="14"/>
  <c r="K183" i="14"/>
  <c r="K182" i="14"/>
  <c r="K181" i="14"/>
  <c r="K180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M32" i="35" s="1"/>
  <c r="K162" i="14"/>
  <c r="M31" i="35" s="1"/>
  <c r="K161" i="14"/>
  <c r="M30" i="35" s="1"/>
  <c r="K160" i="14"/>
  <c r="M29" i="35" s="1"/>
  <c r="K159" i="14"/>
  <c r="M28" i="35" s="1"/>
  <c r="K158" i="14"/>
  <c r="M27" i="35" s="1"/>
  <c r="K157" i="14"/>
  <c r="M26" i="35" s="1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3" i="14"/>
  <c r="K122" i="14"/>
  <c r="K121" i="14"/>
  <c r="K120" i="14"/>
  <c r="K119" i="14"/>
  <c r="K118" i="14"/>
  <c r="K117" i="14"/>
  <c r="K116" i="14"/>
  <c r="K115" i="14"/>
  <c r="K114" i="14"/>
  <c r="K113" i="14"/>
  <c r="K112" i="14"/>
  <c r="K111" i="14"/>
  <c r="K110" i="14"/>
  <c r="K109" i="14"/>
  <c r="K108" i="14"/>
  <c r="K107" i="14"/>
  <c r="K106" i="14"/>
  <c r="K105" i="14"/>
  <c r="K104" i="14"/>
  <c r="K103" i="14"/>
  <c r="K102" i="14"/>
  <c r="K101" i="14"/>
  <c r="K100" i="14"/>
  <c r="K99" i="14"/>
  <c r="K98" i="14"/>
  <c r="K97" i="14"/>
  <c r="K96" i="14"/>
  <c r="K93" i="14"/>
  <c r="K92" i="14"/>
  <c r="K91" i="14"/>
  <c r="K90" i="14"/>
  <c r="K89" i="14"/>
  <c r="K88" i="14"/>
  <c r="K87" i="14"/>
  <c r="K86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7" i="14"/>
  <c r="K66" i="14"/>
  <c r="K65" i="14"/>
  <c r="K62" i="14"/>
  <c r="K61" i="14"/>
  <c r="K60" i="14"/>
  <c r="K59" i="14"/>
  <c r="K58" i="14"/>
  <c r="K57" i="14"/>
  <c r="K56" i="14"/>
  <c r="K55" i="14"/>
  <c r="K54" i="14"/>
  <c r="K53" i="14"/>
  <c r="K52" i="14"/>
  <c r="K51" i="14"/>
  <c r="K50" i="14"/>
  <c r="K49" i="14"/>
  <c r="K48" i="14"/>
  <c r="K47" i="14"/>
  <c r="K46" i="14"/>
  <c r="K45" i="14"/>
  <c r="K44" i="14"/>
  <c r="K43" i="14"/>
  <c r="K42" i="14"/>
  <c r="K41" i="14"/>
  <c r="K40" i="14"/>
  <c r="K39" i="14"/>
  <c r="K38" i="14"/>
  <c r="K37" i="14"/>
  <c r="K33" i="14"/>
  <c r="K32" i="14"/>
  <c r="K31" i="14"/>
  <c r="K30" i="14"/>
  <c r="K29" i="14"/>
  <c r="K28" i="14"/>
  <c r="K27" i="14"/>
  <c r="K26" i="14"/>
  <c r="K25" i="14"/>
  <c r="K24" i="14"/>
  <c r="K23" i="14"/>
  <c r="K22" i="14"/>
  <c r="K21" i="14"/>
  <c r="K20" i="14"/>
  <c r="K19" i="14"/>
  <c r="K18" i="14"/>
  <c r="K17" i="14"/>
  <c r="K16" i="14"/>
  <c r="K15" i="14"/>
  <c r="K14" i="14"/>
  <c r="K13" i="14"/>
  <c r="K12" i="14"/>
  <c r="K11" i="14"/>
  <c r="K9" i="14"/>
  <c r="K8" i="14"/>
  <c r="K7" i="14"/>
  <c r="K6" i="14"/>
  <c r="Z18" i="34" l="1"/>
  <c r="O388" i="14"/>
  <c r="P388" i="14"/>
  <c r="Q7" i="2"/>
  <c r="I7" i="14"/>
  <c r="R7" i="2"/>
  <c r="R15" i="2"/>
  <c r="I15" i="14"/>
  <c r="Q15" i="2"/>
  <c r="R23" i="2"/>
  <c r="I23" i="14"/>
  <c r="Q23" i="2"/>
  <c r="Q31" i="2"/>
  <c r="R31" i="2"/>
  <c r="I31" i="14"/>
  <c r="S32" i="2"/>
  <c r="K68" i="14"/>
  <c r="N362" i="2"/>
  <c r="M362" i="14"/>
  <c r="N354" i="2"/>
  <c r="M354" i="14"/>
  <c r="N346" i="2"/>
  <c r="M346" i="14"/>
  <c r="N337" i="2"/>
  <c r="M337" i="14"/>
  <c r="M329" i="14"/>
  <c r="N329" i="2"/>
  <c r="M321" i="14"/>
  <c r="N321" i="2"/>
  <c r="M313" i="14"/>
  <c r="N313" i="2"/>
  <c r="N271" i="2"/>
  <c r="M271" i="14"/>
  <c r="M222" i="14"/>
  <c r="N222" i="2"/>
  <c r="M213" i="14"/>
  <c r="N213" i="2"/>
  <c r="M205" i="14"/>
  <c r="N205" i="2"/>
  <c r="M197" i="14"/>
  <c r="N197" i="2"/>
  <c r="M189" i="14"/>
  <c r="N189" i="2"/>
  <c r="M180" i="14"/>
  <c r="N180" i="2"/>
  <c r="M172" i="14"/>
  <c r="N172" i="2"/>
  <c r="M164" i="14"/>
  <c r="N164" i="2"/>
  <c r="M147" i="14"/>
  <c r="N147" i="2"/>
  <c r="M139" i="14"/>
  <c r="N139" i="2"/>
  <c r="M131" i="14"/>
  <c r="N131" i="2"/>
  <c r="N122" i="2"/>
  <c r="M122" i="14"/>
  <c r="N114" i="2"/>
  <c r="M114" i="14"/>
  <c r="M106" i="14"/>
  <c r="N106" i="2"/>
  <c r="M98" i="14"/>
  <c r="N98" i="2"/>
  <c r="M89" i="14"/>
  <c r="N89" i="2"/>
  <c r="M81" i="14"/>
  <c r="N81" i="2"/>
  <c r="N73" i="2"/>
  <c r="M73" i="14"/>
  <c r="M65" i="14"/>
  <c r="N65" i="2"/>
  <c r="M56" i="14"/>
  <c r="N56" i="2"/>
  <c r="N40" i="2"/>
  <c r="M40" i="14"/>
  <c r="M30" i="14"/>
  <c r="N30" i="2"/>
  <c r="M22" i="14"/>
  <c r="N22" i="2"/>
  <c r="N14" i="2"/>
  <c r="M14" i="14"/>
  <c r="N6" i="2"/>
  <c r="M6" i="14"/>
  <c r="S4" i="2"/>
  <c r="T5" i="2"/>
  <c r="Q5" i="2"/>
  <c r="Q21" i="2"/>
  <c r="R21" i="2"/>
  <c r="I21" i="14"/>
  <c r="I8" i="14"/>
  <c r="Q8" i="2"/>
  <c r="R8" i="2"/>
  <c r="R16" i="2"/>
  <c r="I16" i="14"/>
  <c r="Q16" i="2"/>
  <c r="R24" i="2"/>
  <c r="T28" i="2"/>
  <c r="I24" i="14"/>
  <c r="Q24" i="2"/>
  <c r="T26" i="2"/>
  <c r="S25" i="2"/>
  <c r="Q32" i="2"/>
  <c r="I32" i="14"/>
  <c r="R32" i="2"/>
  <c r="K10" i="14"/>
  <c r="T33" i="2"/>
  <c r="M361" i="14"/>
  <c r="N361" i="2"/>
  <c r="N353" i="2"/>
  <c r="M353" i="14"/>
  <c r="N345" i="2"/>
  <c r="M345" i="14"/>
  <c r="N320" i="2"/>
  <c r="M320" i="14"/>
  <c r="N303" i="2"/>
  <c r="M303" i="14"/>
  <c r="N295" i="2"/>
  <c r="M295" i="14"/>
  <c r="N287" i="2"/>
  <c r="M287" i="14"/>
  <c r="N279" i="2"/>
  <c r="M279" i="14"/>
  <c r="M270" i="14"/>
  <c r="N270" i="2"/>
  <c r="M262" i="14"/>
  <c r="N262" i="2"/>
  <c r="M254" i="14"/>
  <c r="N254" i="2"/>
  <c r="N245" i="2"/>
  <c r="M245" i="14"/>
  <c r="M237" i="14"/>
  <c r="N237" i="2"/>
  <c r="M229" i="14"/>
  <c r="N229" i="2"/>
  <c r="M221" i="14"/>
  <c r="N221" i="2"/>
  <c r="N212" i="2"/>
  <c r="M212" i="14"/>
  <c r="M204" i="14"/>
  <c r="N204" i="2"/>
  <c r="M196" i="14"/>
  <c r="N196" i="2"/>
  <c r="M188" i="14"/>
  <c r="N188" i="2"/>
  <c r="N179" i="2"/>
  <c r="M179" i="14"/>
  <c r="N171" i="2"/>
  <c r="M171" i="14"/>
  <c r="M163" i="14"/>
  <c r="O32" i="35" s="1"/>
  <c r="N163" i="2"/>
  <c r="N154" i="2"/>
  <c r="M154" i="14"/>
  <c r="N146" i="2"/>
  <c r="M146" i="14"/>
  <c r="M138" i="14"/>
  <c r="N138" i="2"/>
  <c r="M130" i="14"/>
  <c r="N130" i="2"/>
  <c r="M121" i="14"/>
  <c r="N121" i="2"/>
  <c r="M113" i="14"/>
  <c r="N113" i="2"/>
  <c r="N105" i="2"/>
  <c r="M105" i="14"/>
  <c r="M97" i="14"/>
  <c r="N97" i="2"/>
  <c r="N88" i="2"/>
  <c r="M88" i="14"/>
  <c r="N80" i="2"/>
  <c r="M80" i="14"/>
  <c r="M55" i="14"/>
  <c r="N55" i="2"/>
  <c r="M13" i="14"/>
  <c r="N13" i="2"/>
  <c r="N5" i="2"/>
  <c r="M335" i="14"/>
  <c r="N335" i="2"/>
  <c r="M327" i="14"/>
  <c r="N327" i="2"/>
  <c r="N319" i="2"/>
  <c r="M319" i="14"/>
  <c r="M311" i="14"/>
  <c r="N311" i="2"/>
  <c r="N302" i="2"/>
  <c r="M302" i="14"/>
  <c r="N294" i="2"/>
  <c r="M294" i="14"/>
  <c r="M269" i="14"/>
  <c r="N269" i="2"/>
  <c r="M261" i="14"/>
  <c r="N261" i="2"/>
  <c r="M253" i="14"/>
  <c r="N253" i="2"/>
  <c r="M244" i="14"/>
  <c r="N244" i="2"/>
  <c r="N236" i="2"/>
  <c r="M236" i="14"/>
  <c r="M228" i="14"/>
  <c r="N228" i="2"/>
  <c r="M220" i="14"/>
  <c r="N220" i="2"/>
  <c r="M211" i="14"/>
  <c r="N211" i="2"/>
  <c r="N203" i="2"/>
  <c r="M203" i="14"/>
  <c r="M195" i="14"/>
  <c r="N195" i="2"/>
  <c r="M187" i="14"/>
  <c r="N187" i="2"/>
  <c r="M178" i="14"/>
  <c r="N178" i="2"/>
  <c r="N170" i="2"/>
  <c r="M170" i="14"/>
  <c r="M162" i="14"/>
  <c r="O31" i="35" s="1"/>
  <c r="N162" i="2"/>
  <c r="N153" i="2"/>
  <c r="M153" i="14"/>
  <c r="M145" i="14"/>
  <c r="N145" i="2"/>
  <c r="N137" i="2"/>
  <c r="M137" i="14"/>
  <c r="M129" i="14"/>
  <c r="N129" i="2"/>
  <c r="N87" i="2"/>
  <c r="M87" i="14"/>
  <c r="M79" i="14"/>
  <c r="N79" i="2"/>
  <c r="N71" i="2"/>
  <c r="M71" i="14"/>
  <c r="M62" i="14"/>
  <c r="N62" i="2"/>
  <c r="M54" i="14"/>
  <c r="N54" i="2"/>
  <c r="N46" i="2"/>
  <c r="M46" i="14"/>
  <c r="M28" i="14"/>
  <c r="N28" i="2"/>
  <c r="M12" i="14"/>
  <c r="N12" i="2"/>
  <c r="R25" i="2"/>
  <c r="Q25" i="2"/>
  <c r="I25" i="14"/>
  <c r="R10" i="2"/>
  <c r="T14" i="2"/>
  <c r="S11" i="2"/>
  <c r="I10" i="14"/>
  <c r="R26" i="2"/>
  <c r="Q26" i="2"/>
  <c r="I26" i="14"/>
  <c r="R36" i="2"/>
  <c r="M310" i="14"/>
  <c r="N310" i="2"/>
  <c r="N293" i="2"/>
  <c r="M293" i="14"/>
  <c r="N285" i="2"/>
  <c r="M285" i="14"/>
  <c r="M276" i="14"/>
  <c r="N276" i="2"/>
  <c r="N268" i="2"/>
  <c r="M268" i="14"/>
  <c r="M260" i="14"/>
  <c r="N260" i="2"/>
  <c r="N252" i="2"/>
  <c r="M252" i="14"/>
  <c r="N243" i="2"/>
  <c r="M243" i="14"/>
  <c r="N235" i="2"/>
  <c r="M235" i="14"/>
  <c r="M227" i="14"/>
  <c r="N227" i="2"/>
  <c r="M219" i="14"/>
  <c r="N219" i="2"/>
  <c r="M210" i="14"/>
  <c r="N210" i="2"/>
  <c r="N202" i="2"/>
  <c r="M202" i="14"/>
  <c r="M194" i="14"/>
  <c r="N194" i="2"/>
  <c r="M177" i="14"/>
  <c r="N177" i="2"/>
  <c r="N169" i="2"/>
  <c r="M169" i="14"/>
  <c r="N161" i="2"/>
  <c r="M161" i="14"/>
  <c r="O30" i="35" s="1"/>
  <c r="N152" i="2"/>
  <c r="M152" i="14"/>
  <c r="N144" i="2"/>
  <c r="M144" i="14"/>
  <c r="N128" i="2"/>
  <c r="M128" i="14"/>
  <c r="M111" i="14"/>
  <c r="N111" i="2"/>
  <c r="N86" i="2"/>
  <c r="M86" i="14"/>
  <c r="N78" i="2"/>
  <c r="M78" i="14"/>
  <c r="N70" i="2"/>
  <c r="M70" i="14"/>
  <c r="M61" i="14"/>
  <c r="N61" i="2"/>
  <c r="M53" i="14"/>
  <c r="N53" i="2"/>
  <c r="M45" i="14"/>
  <c r="N45" i="2"/>
  <c r="M37" i="14"/>
  <c r="N37" i="2"/>
  <c r="M11" i="14"/>
  <c r="N11" i="2"/>
  <c r="R11" i="2"/>
  <c r="I11" i="14"/>
  <c r="Q11" i="2"/>
  <c r="I19" i="14"/>
  <c r="R19" i="2"/>
  <c r="Q19" i="2"/>
  <c r="R27" i="2"/>
  <c r="I27" i="14"/>
  <c r="Q27" i="2"/>
  <c r="I36" i="14"/>
  <c r="N44" i="2"/>
  <c r="N366" i="2"/>
  <c r="M366" i="14"/>
  <c r="N358" i="2"/>
  <c r="M358" i="14"/>
  <c r="N333" i="2"/>
  <c r="M333" i="14"/>
  <c r="N300" i="2"/>
  <c r="M300" i="14"/>
  <c r="N292" i="2"/>
  <c r="M292" i="14"/>
  <c r="M284" i="14"/>
  <c r="N284" i="2"/>
  <c r="N275" i="2"/>
  <c r="M275" i="14"/>
  <c r="M267" i="14"/>
  <c r="N267" i="2"/>
  <c r="M259" i="14"/>
  <c r="N259" i="2"/>
  <c r="M251" i="14"/>
  <c r="N251" i="2"/>
  <c r="M242" i="14"/>
  <c r="N242" i="2"/>
  <c r="N234" i="2"/>
  <c r="M234" i="14"/>
  <c r="M226" i="14"/>
  <c r="N226" i="2"/>
  <c r="N218" i="2"/>
  <c r="M218" i="14"/>
  <c r="N209" i="2"/>
  <c r="M209" i="14"/>
  <c r="M201" i="14"/>
  <c r="N201" i="2"/>
  <c r="M193" i="14"/>
  <c r="N193" i="2"/>
  <c r="N151" i="2"/>
  <c r="M151" i="14"/>
  <c r="M143" i="14"/>
  <c r="N143" i="2"/>
  <c r="N135" i="2"/>
  <c r="M135" i="14"/>
  <c r="N127" i="2"/>
  <c r="M127" i="14"/>
  <c r="M110" i="14"/>
  <c r="N110" i="2"/>
  <c r="M93" i="14"/>
  <c r="N93" i="2"/>
  <c r="M85" i="14"/>
  <c r="N85" i="2"/>
  <c r="N77" i="2"/>
  <c r="M77" i="14"/>
  <c r="N69" i="2"/>
  <c r="M69" i="14"/>
  <c r="M60" i="14"/>
  <c r="N60" i="2"/>
  <c r="N52" i="2"/>
  <c r="M52" i="14"/>
  <c r="M44" i="14"/>
  <c r="N36" i="2"/>
  <c r="M36" i="14"/>
  <c r="M26" i="14"/>
  <c r="N26" i="2"/>
  <c r="N18" i="2"/>
  <c r="M18" i="14"/>
  <c r="M10" i="14"/>
  <c r="N10" i="2"/>
  <c r="I9" i="14"/>
  <c r="R9" i="2"/>
  <c r="Q9" i="2"/>
  <c r="S18" i="2"/>
  <c r="T19" i="2"/>
  <c r="R17" i="2"/>
  <c r="Q17" i="2"/>
  <c r="T21" i="2"/>
  <c r="I17" i="14"/>
  <c r="Q33" i="2"/>
  <c r="I33" i="14"/>
  <c r="R33" i="2"/>
  <c r="R18" i="2"/>
  <c r="Q18" i="2"/>
  <c r="I18" i="14"/>
  <c r="R12" i="2"/>
  <c r="Q12" i="2"/>
  <c r="I12" i="14"/>
  <c r="Q20" i="2"/>
  <c r="I20" i="14"/>
  <c r="R20" i="2"/>
  <c r="I28" i="14"/>
  <c r="Q28" i="2"/>
  <c r="R28" i="2"/>
  <c r="Q37" i="2"/>
  <c r="R37" i="2"/>
  <c r="I37" i="14"/>
  <c r="N332" i="2"/>
  <c r="M332" i="14"/>
  <c r="N324" i="2"/>
  <c r="M324" i="14"/>
  <c r="N316" i="2"/>
  <c r="M316" i="14"/>
  <c r="N307" i="2"/>
  <c r="M307" i="14"/>
  <c r="N299" i="2"/>
  <c r="M299" i="14"/>
  <c r="N291" i="2"/>
  <c r="M291" i="14"/>
  <c r="N283" i="2"/>
  <c r="M283" i="14"/>
  <c r="M274" i="14"/>
  <c r="N274" i="2"/>
  <c r="M266" i="14"/>
  <c r="N266" i="2"/>
  <c r="M258" i="14"/>
  <c r="N258" i="2"/>
  <c r="M250" i="14"/>
  <c r="N250" i="2"/>
  <c r="N241" i="2"/>
  <c r="M241" i="14"/>
  <c r="M233" i="14"/>
  <c r="N233" i="2"/>
  <c r="N208" i="2"/>
  <c r="M208" i="14"/>
  <c r="M183" i="14"/>
  <c r="N183" i="2"/>
  <c r="M175" i="14"/>
  <c r="N175" i="2"/>
  <c r="N150" i="2"/>
  <c r="M150" i="14"/>
  <c r="N142" i="2"/>
  <c r="M142" i="14"/>
  <c r="N134" i="2"/>
  <c r="M134" i="14"/>
  <c r="N117" i="2"/>
  <c r="M117" i="14"/>
  <c r="N109" i="2"/>
  <c r="M109" i="14"/>
  <c r="M101" i="14"/>
  <c r="N101" i="2"/>
  <c r="M92" i="14"/>
  <c r="N92" i="2"/>
  <c r="M84" i="14"/>
  <c r="N84" i="2"/>
  <c r="M76" i="14"/>
  <c r="N76" i="2"/>
  <c r="M68" i="14"/>
  <c r="N68" i="2"/>
  <c r="N59" i="2"/>
  <c r="M59" i="14"/>
  <c r="N51" i="2"/>
  <c r="M51" i="14"/>
  <c r="M43" i="14"/>
  <c r="N43" i="2"/>
  <c r="M33" i="14"/>
  <c r="N33" i="2"/>
  <c r="M25" i="14"/>
  <c r="N25" i="2"/>
  <c r="N17" i="2"/>
  <c r="M17" i="14"/>
  <c r="Q13" i="2"/>
  <c r="R13" i="2"/>
  <c r="I13" i="14"/>
  <c r="I29" i="14"/>
  <c r="R29" i="2"/>
  <c r="Q29" i="2"/>
  <c r="J9" i="14"/>
  <c r="M364" i="14"/>
  <c r="N364" i="2"/>
  <c r="N356" i="2"/>
  <c r="M356" i="14"/>
  <c r="N348" i="2"/>
  <c r="M348" i="14"/>
  <c r="N340" i="2"/>
  <c r="M340" i="14"/>
  <c r="M331" i="14"/>
  <c r="N331" i="2"/>
  <c r="M323" i="14"/>
  <c r="N323" i="2"/>
  <c r="N315" i="2"/>
  <c r="M315" i="14"/>
  <c r="N306" i="2"/>
  <c r="M306" i="14"/>
  <c r="M298" i="14"/>
  <c r="N298" i="2"/>
  <c r="N290" i="2"/>
  <c r="M290" i="14"/>
  <c r="N282" i="2"/>
  <c r="M282" i="14"/>
  <c r="M273" i="14"/>
  <c r="N273" i="2"/>
  <c r="N265" i="2"/>
  <c r="M265" i="14"/>
  <c r="M257" i="14"/>
  <c r="N257" i="2"/>
  <c r="M249" i="14"/>
  <c r="N249" i="2"/>
  <c r="M224" i="14"/>
  <c r="N224" i="2"/>
  <c r="N215" i="2"/>
  <c r="M215" i="14"/>
  <c r="M207" i="14"/>
  <c r="N207" i="2"/>
  <c r="M199" i="14"/>
  <c r="N199" i="2"/>
  <c r="N191" i="2"/>
  <c r="M191" i="14"/>
  <c r="M182" i="14"/>
  <c r="N182" i="2"/>
  <c r="N174" i="2"/>
  <c r="M174" i="14"/>
  <c r="M166" i="14"/>
  <c r="N166" i="2"/>
  <c r="M149" i="14"/>
  <c r="N149" i="2"/>
  <c r="N141" i="2"/>
  <c r="M141" i="14"/>
  <c r="M116" i="14"/>
  <c r="N116" i="2"/>
  <c r="N108" i="2"/>
  <c r="M108" i="14"/>
  <c r="M91" i="14"/>
  <c r="N91" i="2"/>
  <c r="M83" i="14"/>
  <c r="N83" i="2"/>
  <c r="M75" i="14"/>
  <c r="N75" i="2"/>
  <c r="M67" i="14"/>
  <c r="N67" i="2"/>
  <c r="M58" i="14"/>
  <c r="N58" i="2"/>
  <c r="M50" i="14"/>
  <c r="N50" i="2"/>
  <c r="N42" i="2"/>
  <c r="M42" i="14"/>
  <c r="M32" i="14"/>
  <c r="N32" i="2"/>
  <c r="T16" i="2"/>
  <c r="M8" i="14"/>
  <c r="N8" i="2"/>
  <c r="Q6" i="2"/>
  <c r="R6" i="2"/>
  <c r="I6" i="14"/>
  <c r="R14" i="2"/>
  <c r="I14" i="14"/>
  <c r="Q14" i="2"/>
  <c r="R22" i="2"/>
  <c r="Q22" i="2"/>
  <c r="I22" i="14"/>
  <c r="Q30" i="2"/>
  <c r="R30" i="2"/>
  <c r="I30" i="14"/>
  <c r="J36" i="14"/>
  <c r="N363" i="2"/>
  <c r="M363" i="14"/>
  <c r="N355" i="2"/>
  <c r="M355" i="14"/>
  <c r="M347" i="14"/>
  <c r="N347" i="2"/>
  <c r="N330" i="2"/>
  <c r="M330" i="14"/>
  <c r="N322" i="2"/>
  <c r="M322" i="14"/>
  <c r="N314" i="2"/>
  <c r="M314" i="14"/>
  <c r="N305" i="2"/>
  <c r="M305" i="14"/>
  <c r="N297" i="2"/>
  <c r="M297" i="14"/>
  <c r="N289" i="2"/>
  <c r="M289" i="14"/>
  <c r="N281" i="2"/>
  <c r="M281" i="14"/>
  <c r="N272" i="2"/>
  <c r="M272" i="14"/>
  <c r="N231" i="2"/>
  <c r="M231" i="14"/>
  <c r="M223" i="14"/>
  <c r="N223" i="2"/>
  <c r="N206" i="2"/>
  <c r="M206" i="14"/>
  <c r="N198" i="2"/>
  <c r="M198" i="14"/>
  <c r="N190" i="2"/>
  <c r="M190" i="14"/>
  <c r="M181" i="14"/>
  <c r="N181" i="2"/>
  <c r="M173" i="14"/>
  <c r="N173" i="2"/>
  <c r="N165" i="2"/>
  <c r="M165" i="14"/>
  <c r="M157" i="14"/>
  <c r="O26" i="35" s="1"/>
  <c r="N157" i="2"/>
  <c r="M148" i="14"/>
  <c r="N148" i="2"/>
  <c r="M132" i="14"/>
  <c r="N132" i="2"/>
  <c r="M123" i="14"/>
  <c r="N123" i="2"/>
  <c r="M115" i="14"/>
  <c r="N115" i="2"/>
  <c r="M107" i="14"/>
  <c r="N107" i="2"/>
  <c r="M99" i="14"/>
  <c r="N99" i="2"/>
  <c r="N90" i="2"/>
  <c r="M90" i="14"/>
  <c r="N82" i="2"/>
  <c r="M82" i="14"/>
  <c r="N74" i="2"/>
  <c r="M74" i="14"/>
  <c r="N66" i="2"/>
  <c r="M66" i="14"/>
  <c r="M57" i="14"/>
  <c r="N57" i="2"/>
  <c r="M49" i="14"/>
  <c r="N49" i="2"/>
  <c r="N31" i="2"/>
  <c r="M31" i="14"/>
  <c r="T37" i="2"/>
  <c r="M23" i="14"/>
  <c r="N23" i="2"/>
  <c r="N15" i="2"/>
  <c r="M15" i="14"/>
  <c r="N7" i="2"/>
  <c r="M7" i="14"/>
  <c r="O33" i="2"/>
  <c r="O32" i="2"/>
  <c r="O30" i="2"/>
  <c r="O29" i="2"/>
  <c r="O27" i="2"/>
  <c r="O23" i="2"/>
  <c r="O22" i="2"/>
  <c r="O20" i="2"/>
  <c r="O15" i="2"/>
  <c r="O13" i="2"/>
  <c r="O6" i="2"/>
  <c r="O7" i="2"/>
  <c r="O9" i="2"/>
  <c r="O5" i="2"/>
  <c r="M377" i="14" l="1"/>
  <c r="R23" i="14"/>
  <c r="S25" i="14"/>
  <c r="W25" i="14" s="1"/>
  <c r="S32" i="14"/>
  <c r="W32" i="14" s="1"/>
  <c r="R19" i="14"/>
  <c r="R17" i="14"/>
  <c r="S18" i="14"/>
  <c r="W18" i="14" s="1"/>
  <c r="R29" i="14"/>
  <c r="R27" i="14"/>
  <c r="R14" i="14"/>
  <c r="N23" i="14"/>
  <c r="N15" i="14"/>
  <c r="T212" i="2"/>
  <c r="T23" i="2"/>
  <c r="O31" i="2"/>
  <c r="N7" i="14"/>
  <c r="T107" i="2"/>
  <c r="T93" i="2"/>
  <c r="N32" i="14"/>
  <c r="T163" i="2"/>
  <c r="T72" i="2"/>
  <c r="T170" i="2"/>
  <c r="T205" i="2"/>
  <c r="T121" i="2"/>
  <c r="N36" i="14"/>
  <c r="T65" i="2"/>
  <c r="T268" i="2"/>
  <c r="T86" i="2"/>
  <c r="N8" i="14"/>
  <c r="T128" i="2"/>
  <c r="T233" i="2"/>
  <c r="T289" i="2"/>
  <c r="Q36" i="2"/>
  <c r="T135" i="2"/>
  <c r="T317" i="2"/>
  <c r="F22" i="3"/>
  <c r="G99" i="7" s="1"/>
  <c r="T177" i="2"/>
  <c r="Q10" i="2"/>
  <c r="N26" i="14"/>
  <c r="T12" i="2"/>
  <c r="T79" i="2"/>
  <c r="N25" i="14"/>
  <c r="N33" i="14"/>
  <c r="F51" i="7"/>
  <c r="R389" i="2"/>
  <c r="F68" i="7"/>
  <c r="T68" i="7"/>
  <c r="F83" i="7"/>
  <c r="T389" i="2"/>
  <c r="O11" i="2"/>
  <c r="N31" i="14"/>
  <c r="T37" i="14"/>
  <c r="N214" i="2"/>
  <c r="M214" i="14"/>
  <c r="P305" i="2"/>
  <c r="J305" i="14"/>
  <c r="P305" i="14" s="1"/>
  <c r="P250" i="2"/>
  <c r="J250" i="14"/>
  <c r="P250" i="14" s="1"/>
  <c r="P167" i="2"/>
  <c r="J167" i="14"/>
  <c r="P167" i="14" s="1"/>
  <c r="P134" i="2"/>
  <c r="J134" i="14"/>
  <c r="P101" i="2"/>
  <c r="S106" i="2"/>
  <c r="S107" i="2" s="1"/>
  <c r="J101" i="14"/>
  <c r="P68" i="2"/>
  <c r="J68" i="14"/>
  <c r="O352" i="2"/>
  <c r="Q352" i="2"/>
  <c r="R352" i="2"/>
  <c r="I352" i="14"/>
  <c r="O352" i="14" s="1"/>
  <c r="O294" i="2"/>
  <c r="R294" i="2"/>
  <c r="Q294" i="2"/>
  <c r="I294" i="14"/>
  <c r="O294" i="14" s="1"/>
  <c r="O253" i="2"/>
  <c r="Q253" i="2"/>
  <c r="R253" i="2"/>
  <c r="I253" i="14"/>
  <c r="O188" i="2"/>
  <c r="Q188" i="2"/>
  <c r="R188" i="2"/>
  <c r="I188" i="14"/>
  <c r="O188" i="14" s="1"/>
  <c r="O121" i="2"/>
  <c r="R121" i="2"/>
  <c r="I121" i="14"/>
  <c r="Q121" i="2"/>
  <c r="T7" i="14"/>
  <c r="P365" i="2"/>
  <c r="J365" i="14"/>
  <c r="P365" i="14" s="1"/>
  <c r="P265" i="2"/>
  <c r="J265" i="14"/>
  <c r="P265" i="14" s="1"/>
  <c r="P232" i="2"/>
  <c r="J232" i="14"/>
  <c r="P232" i="14" s="1"/>
  <c r="P199" i="2"/>
  <c r="S204" i="2"/>
  <c r="S205" i="2" s="1"/>
  <c r="J199" i="14"/>
  <c r="P166" i="2"/>
  <c r="J166" i="14"/>
  <c r="P166" i="14" s="1"/>
  <c r="P133" i="2"/>
  <c r="J133" i="14"/>
  <c r="P25" i="2"/>
  <c r="J25" i="14"/>
  <c r="O343" i="2"/>
  <c r="I343" i="14"/>
  <c r="O343" i="14" s="1"/>
  <c r="Q343" i="2"/>
  <c r="R343" i="2"/>
  <c r="O260" i="2"/>
  <c r="R260" i="2"/>
  <c r="Q260" i="2"/>
  <c r="I260" i="14"/>
  <c r="O260" i="14" s="1"/>
  <c r="O195" i="2"/>
  <c r="Q195" i="2"/>
  <c r="R195" i="2"/>
  <c r="I195" i="14"/>
  <c r="O195" i="14" s="1"/>
  <c r="O129" i="2"/>
  <c r="R129" i="2"/>
  <c r="T131" i="2"/>
  <c r="S130" i="2"/>
  <c r="S131" i="2" s="1"/>
  <c r="I129" i="14"/>
  <c r="T133" i="2"/>
  <c r="Q129" i="2"/>
  <c r="P354" i="2"/>
  <c r="J354" i="14"/>
  <c r="P354" i="14" s="1"/>
  <c r="N9" i="2"/>
  <c r="M9" i="14"/>
  <c r="M159" i="14"/>
  <c r="O28" i="35" s="1"/>
  <c r="N159" i="2"/>
  <c r="N192" i="2"/>
  <c r="T198" i="2"/>
  <c r="M192" i="14"/>
  <c r="N225" i="2"/>
  <c r="M225" i="14"/>
  <c r="P350" i="2"/>
  <c r="J350" i="14"/>
  <c r="P350" i="14" s="1"/>
  <c r="P303" i="2"/>
  <c r="J303" i="14"/>
  <c r="P303" i="14" s="1"/>
  <c r="P256" i="2"/>
  <c r="J256" i="14"/>
  <c r="P256" i="14" s="1"/>
  <c r="P231" i="2"/>
  <c r="J231" i="14"/>
  <c r="P231" i="14" s="1"/>
  <c r="P32" i="2"/>
  <c r="J32" i="14"/>
  <c r="O350" i="2"/>
  <c r="Q350" i="2"/>
  <c r="R350" i="2"/>
  <c r="I350" i="14"/>
  <c r="O350" i="14" s="1"/>
  <c r="O309" i="2"/>
  <c r="Q309" i="2"/>
  <c r="R309" i="2"/>
  <c r="I309" i="14"/>
  <c r="O309" i="14" s="1"/>
  <c r="O242" i="2"/>
  <c r="Q242" i="2"/>
  <c r="R242" i="2"/>
  <c r="I242" i="14"/>
  <c r="O242" i="14" s="1"/>
  <c r="O119" i="2"/>
  <c r="R119" i="2"/>
  <c r="Q119" i="2"/>
  <c r="I119" i="14"/>
  <c r="O103" i="2"/>
  <c r="R103" i="2"/>
  <c r="Q103" i="2"/>
  <c r="I103" i="14"/>
  <c r="O86" i="2"/>
  <c r="R86" i="2"/>
  <c r="Q86" i="2"/>
  <c r="I86" i="14"/>
  <c r="O45" i="2"/>
  <c r="R45" i="2"/>
  <c r="T49" i="2"/>
  <c r="S46" i="2"/>
  <c r="S47" i="2" s="1"/>
  <c r="Q45" i="2"/>
  <c r="T47" i="2"/>
  <c r="I45" i="14"/>
  <c r="P307" i="2"/>
  <c r="J307" i="14"/>
  <c r="P307" i="14" s="1"/>
  <c r="P229" i="2"/>
  <c r="J229" i="14"/>
  <c r="P229" i="14" s="1"/>
  <c r="P179" i="2"/>
  <c r="J179" i="14"/>
  <c r="P179" i="14" s="1"/>
  <c r="P130" i="2"/>
  <c r="J130" i="14"/>
  <c r="P72" i="2"/>
  <c r="J72" i="14"/>
  <c r="O265" i="2"/>
  <c r="I265" i="14"/>
  <c r="O265" i="14" s="1"/>
  <c r="Q265" i="2"/>
  <c r="R265" i="2"/>
  <c r="O117" i="2"/>
  <c r="R117" i="2"/>
  <c r="Q117" i="2"/>
  <c r="I117" i="14"/>
  <c r="P361" i="2"/>
  <c r="J361" i="14"/>
  <c r="P361" i="14" s="1"/>
  <c r="P21" i="2"/>
  <c r="J21" i="14"/>
  <c r="O264" i="2"/>
  <c r="R264" i="2"/>
  <c r="I264" i="14"/>
  <c r="O264" i="14" s="1"/>
  <c r="Q264" i="2"/>
  <c r="O174" i="2"/>
  <c r="R174" i="2"/>
  <c r="Q174" i="2"/>
  <c r="I174" i="14"/>
  <c r="O174" i="14" s="1"/>
  <c r="O83" i="2"/>
  <c r="I83" i="14"/>
  <c r="Q83" i="2"/>
  <c r="R83" i="2"/>
  <c r="G9" i="14"/>
  <c r="C9" i="14" s="1"/>
  <c r="E9" i="14"/>
  <c r="O9" i="14" s="1"/>
  <c r="Q9" i="14"/>
  <c r="M184" i="14"/>
  <c r="N184" i="2"/>
  <c r="N309" i="2"/>
  <c r="M309" i="14"/>
  <c r="P295" i="2"/>
  <c r="J295" i="14"/>
  <c r="P295" i="14" s="1"/>
  <c r="P164" i="2"/>
  <c r="S169" i="2"/>
  <c r="S170" i="2" s="1"/>
  <c r="J164" i="14"/>
  <c r="P31" i="2"/>
  <c r="S36" i="2"/>
  <c r="J31" i="14"/>
  <c r="O349" i="2"/>
  <c r="R349" i="2"/>
  <c r="Q349" i="2"/>
  <c r="I349" i="14"/>
  <c r="O349" i="14" s="1"/>
  <c r="O283" i="2"/>
  <c r="I283" i="14"/>
  <c r="Q283" i="2"/>
  <c r="T285" i="2"/>
  <c r="S284" i="2"/>
  <c r="S285" i="2" s="1"/>
  <c r="T287" i="2"/>
  <c r="R283" i="2"/>
  <c r="O201" i="2"/>
  <c r="Q201" i="2"/>
  <c r="I201" i="14"/>
  <c r="O201" i="14" s="1"/>
  <c r="R201" i="2"/>
  <c r="O160" i="2"/>
  <c r="Q160" i="2"/>
  <c r="I160" i="14"/>
  <c r="K29" i="35" s="1"/>
  <c r="R160" i="2"/>
  <c r="O77" i="2"/>
  <c r="R77" i="2"/>
  <c r="Q77" i="2"/>
  <c r="I77" i="14"/>
  <c r="O36" i="2"/>
  <c r="Q19" i="14"/>
  <c r="G19" i="14"/>
  <c r="D19" i="14"/>
  <c r="N27" i="2"/>
  <c r="M27" i="14"/>
  <c r="N27" i="14" s="1"/>
  <c r="N186" i="2"/>
  <c r="M186" i="14"/>
  <c r="T191" i="2"/>
  <c r="L309" i="14"/>
  <c r="P386" i="14" s="1"/>
  <c r="P348" i="2"/>
  <c r="J348" i="14"/>
  <c r="P348" i="14" s="1"/>
  <c r="P146" i="2"/>
  <c r="J146" i="14"/>
  <c r="O331" i="2"/>
  <c r="I331" i="14"/>
  <c r="O331" i="14" s="1"/>
  <c r="Q331" i="2"/>
  <c r="R331" i="2"/>
  <c r="O224" i="2"/>
  <c r="R224" i="2"/>
  <c r="I224" i="14"/>
  <c r="O224" i="14" s="1"/>
  <c r="Q224" i="2"/>
  <c r="O200" i="2"/>
  <c r="I200" i="14"/>
  <c r="O200" i="14" s="1"/>
  <c r="R200" i="2"/>
  <c r="Q200" i="2"/>
  <c r="P253" i="2"/>
  <c r="J253" i="14"/>
  <c r="P253" i="14" s="1"/>
  <c r="P220" i="2"/>
  <c r="S225" i="2"/>
  <c r="S226" i="2" s="1"/>
  <c r="J220" i="14"/>
  <c r="P187" i="2"/>
  <c r="J187" i="14"/>
  <c r="P13" i="2"/>
  <c r="J13" i="14"/>
  <c r="O347" i="2"/>
  <c r="R347" i="2"/>
  <c r="I347" i="14"/>
  <c r="O347" i="14" s="1"/>
  <c r="Q347" i="2"/>
  <c r="O199" i="2"/>
  <c r="Q199" i="2"/>
  <c r="R199" i="2"/>
  <c r="T203" i="2"/>
  <c r="T201" i="2"/>
  <c r="S200" i="2"/>
  <c r="S201" i="2" s="1"/>
  <c r="I199" i="14"/>
  <c r="O116" i="2"/>
  <c r="R116" i="2"/>
  <c r="I116" i="14"/>
  <c r="Q116" i="2"/>
  <c r="N38" i="2"/>
  <c r="M38" i="14"/>
  <c r="T44" i="2"/>
  <c r="N278" i="2"/>
  <c r="M278" i="14"/>
  <c r="P96" i="2"/>
  <c r="J96" i="14"/>
  <c r="N328" i="2"/>
  <c r="M328" i="14"/>
  <c r="K309" i="14"/>
  <c r="O386" i="14" s="1"/>
  <c r="P321" i="2"/>
  <c r="J321" i="14"/>
  <c r="P321" i="14" s="1"/>
  <c r="P300" i="2"/>
  <c r="J300" i="14"/>
  <c r="P300" i="14" s="1"/>
  <c r="P219" i="2"/>
  <c r="J219" i="14"/>
  <c r="P219" i="14" s="1"/>
  <c r="P161" i="2"/>
  <c r="J161" i="14"/>
  <c r="L30" i="35" s="1"/>
  <c r="P70" i="2"/>
  <c r="J70" i="14"/>
  <c r="P38" i="2"/>
  <c r="J38" i="14"/>
  <c r="S43" i="2"/>
  <c r="S44" i="2" s="1"/>
  <c r="O321" i="2"/>
  <c r="Q321" i="2"/>
  <c r="R321" i="2"/>
  <c r="I321" i="14"/>
  <c r="O321" i="14" s="1"/>
  <c r="O280" i="2"/>
  <c r="I280" i="14"/>
  <c r="O280" i="14" s="1"/>
  <c r="Q280" i="2"/>
  <c r="R280" i="2"/>
  <c r="O238" i="2"/>
  <c r="Q238" i="2"/>
  <c r="R238" i="2"/>
  <c r="I238" i="14"/>
  <c r="O238" i="14" s="1"/>
  <c r="O157" i="2"/>
  <c r="Q157" i="2"/>
  <c r="R157" i="2"/>
  <c r="I157" i="14"/>
  <c r="K26" i="35" s="1"/>
  <c r="S158" i="2"/>
  <c r="S159" i="2" s="1"/>
  <c r="T159" i="2"/>
  <c r="T161" i="2"/>
  <c r="O90" i="2"/>
  <c r="Q90" i="2"/>
  <c r="R90" i="2"/>
  <c r="I90" i="14"/>
  <c r="D14" i="14"/>
  <c r="T7" i="2"/>
  <c r="N30" i="14"/>
  <c r="M156" i="14"/>
  <c r="N156" i="2"/>
  <c r="L339" i="14"/>
  <c r="P387" i="14" s="1"/>
  <c r="P299" i="2"/>
  <c r="J299" i="14"/>
  <c r="P299" i="14" s="1"/>
  <c r="P275" i="2"/>
  <c r="J275" i="14"/>
  <c r="P275" i="14" s="1"/>
  <c r="P242" i="2"/>
  <c r="J242" i="14"/>
  <c r="P242" i="14" s="1"/>
  <c r="P184" i="2"/>
  <c r="J184" i="14"/>
  <c r="P184" i="14" s="1"/>
  <c r="P151" i="2"/>
  <c r="J151" i="14"/>
  <c r="P118" i="2"/>
  <c r="J118" i="14"/>
  <c r="P85" i="2"/>
  <c r="J85" i="14"/>
  <c r="P53" i="2"/>
  <c r="J53" i="14"/>
  <c r="O353" i="2"/>
  <c r="I353" i="14"/>
  <c r="Q353" i="2"/>
  <c r="S354" i="2"/>
  <c r="S355" i="2" s="1"/>
  <c r="R353" i="2"/>
  <c r="T357" i="2"/>
  <c r="T355" i="2"/>
  <c r="O312" i="2"/>
  <c r="R312" i="2"/>
  <c r="Q312" i="2"/>
  <c r="I312" i="14"/>
  <c r="O312" i="14" s="1"/>
  <c r="O270" i="2"/>
  <c r="I270" i="14"/>
  <c r="O270" i="14" s="1"/>
  <c r="Q270" i="2"/>
  <c r="R270" i="2"/>
  <c r="O229" i="2"/>
  <c r="R229" i="2"/>
  <c r="Q229" i="2"/>
  <c r="I229" i="14"/>
  <c r="O229" i="14" s="1"/>
  <c r="O164" i="2"/>
  <c r="I164" i="14"/>
  <c r="R164" i="2"/>
  <c r="S165" i="2"/>
  <c r="S166" i="2" s="1"/>
  <c r="Q164" i="2"/>
  <c r="T166" i="2"/>
  <c r="T168" i="2"/>
  <c r="O122" i="2"/>
  <c r="R122" i="2"/>
  <c r="I122" i="14"/>
  <c r="T124" i="2"/>
  <c r="S123" i="2"/>
  <c r="Q122" i="2"/>
  <c r="T126" i="2"/>
  <c r="O56" i="2"/>
  <c r="R56" i="2"/>
  <c r="Q56" i="2"/>
  <c r="I56" i="14"/>
  <c r="M248" i="14"/>
  <c r="T254" i="2"/>
  <c r="N248" i="2"/>
  <c r="M339" i="14"/>
  <c r="N339" i="2"/>
  <c r="T345" i="2"/>
  <c r="P327" i="2"/>
  <c r="J327" i="14"/>
  <c r="P327" i="14" s="1"/>
  <c r="P192" i="2"/>
  <c r="S197" i="2"/>
  <c r="S198" i="2" s="1"/>
  <c r="J192" i="14"/>
  <c r="O368" i="2"/>
  <c r="Q368" i="2"/>
  <c r="R368" i="2"/>
  <c r="I368" i="14"/>
  <c r="O368" i="14" s="1"/>
  <c r="O311" i="2"/>
  <c r="T315" i="2"/>
  <c r="T313" i="2"/>
  <c r="Q311" i="2"/>
  <c r="R311" i="2"/>
  <c r="S312" i="2"/>
  <c r="S313" i="2" s="1"/>
  <c r="I311" i="14"/>
  <c r="O228" i="2"/>
  <c r="I228" i="14"/>
  <c r="O228" i="14" s="1"/>
  <c r="Q228" i="2"/>
  <c r="R228" i="2"/>
  <c r="O163" i="2"/>
  <c r="R163" i="2"/>
  <c r="Q163" i="2"/>
  <c r="I163" i="14"/>
  <c r="K32" i="35" s="1"/>
  <c r="O97" i="2"/>
  <c r="I97" i="14"/>
  <c r="Q97" i="2"/>
  <c r="R97" i="2"/>
  <c r="O39" i="2"/>
  <c r="I39" i="14"/>
  <c r="Q39" i="2"/>
  <c r="R39" i="2"/>
  <c r="M24" i="14"/>
  <c r="N24" i="2"/>
  <c r="T30" i="2"/>
  <c r="P343" i="2"/>
  <c r="J343" i="14"/>
  <c r="P343" i="14" s="1"/>
  <c r="P289" i="2"/>
  <c r="J289" i="14"/>
  <c r="P289" i="14" s="1"/>
  <c r="P100" i="2"/>
  <c r="J100" i="14"/>
  <c r="P67" i="2"/>
  <c r="J67" i="14"/>
  <c r="O301" i="2"/>
  <c r="I301" i="14"/>
  <c r="O301" i="14" s="1"/>
  <c r="Q301" i="2"/>
  <c r="R301" i="2"/>
  <c r="O235" i="2"/>
  <c r="R235" i="2"/>
  <c r="Q235" i="2"/>
  <c r="I235" i="14"/>
  <c r="O235" i="14" s="1"/>
  <c r="O170" i="2"/>
  <c r="Q170" i="2"/>
  <c r="R170" i="2"/>
  <c r="I170" i="14"/>
  <c r="O170" i="14" s="1"/>
  <c r="O104" i="2"/>
  <c r="I104" i="14"/>
  <c r="Q104" i="2"/>
  <c r="R104" i="2"/>
  <c r="O46" i="2"/>
  <c r="I46" i="14"/>
  <c r="R46" i="2"/>
  <c r="Q46" i="2"/>
  <c r="E13" i="14"/>
  <c r="O13" i="14" s="1"/>
  <c r="G13" i="14"/>
  <c r="R13" i="14"/>
  <c r="Q13" i="14"/>
  <c r="N349" i="2"/>
  <c r="M349" i="14"/>
  <c r="P325" i="2"/>
  <c r="S330" i="2"/>
  <c r="S331" i="2" s="1"/>
  <c r="J325" i="14"/>
  <c r="P280" i="2"/>
  <c r="J280" i="14"/>
  <c r="P280" i="14" s="1"/>
  <c r="P198" i="2"/>
  <c r="J198" i="14"/>
  <c r="P198" i="14" s="1"/>
  <c r="P165" i="2"/>
  <c r="J165" i="14"/>
  <c r="P165" i="14" s="1"/>
  <c r="P132" i="2"/>
  <c r="J132" i="14"/>
  <c r="P99" i="2"/>
  <c r="J99" i="14"/>
  <c r="P66" i="2"/>
  <c r="S71" i="2"/>
  <c r="S72" i="2" s="1"/>
  <c r="J66" i="14"/>
  <c r="O325" i="2"/>
  <c r="T327" i="2"/>
  <c r="S326" i="2"/>
  <c r="S327" i="2" s="1"/>
  <c r="R325" i="2"/>
  <c r="Q325" i="2"/>
  <c r="T329" i="2"/>
  <c r="I325" i="14"/>
  <c r="O284" i="2"/>
  <c r="Q284" i="2"/>
  <c r="R284" i="2"/>
  <c r="I284" i="14"/>
  <c r="O284" i="14" s="1"/>
  <c r="O218" i="2"/>
  <c r="I218" i="14"/>
  <c r="Q218" i="2"/>
  <c r="R218" i="2"/>
  <c r="O177" i="2"/>
  <c r="R177" i="2"/>
  <c r="Q177" i="2"/>
  <c r="I177" i="14"/>
  <c r="O177" i="14" s="1"/>
  <c r="O136" i="2"/>
  <c r="R136" i="2"/>
  <c r="I136" i="14"/>
  <c r="T138" i="2"/>
  <c r="Q136" i="2"/>
  <c r="S137" i="2"/>
  <c r="S138" i="2" s="1"/>
  <c r="T140" i="2"/>
  <c r="R37" i="14"/>
  <c r="G37" i="14"/>
  <c r="Q37" i="14"/>
  <c r="D10" i="14"/>
  <c r="P355" i="2"/>
  <c r="J355" i="14"/>
  <c r="P355" i="14" s="1"/>
  <c r="O364" i="2"/>
  <c r="Q364" i="2"/>
  <c r="R364" i="2"/>
  <c r="I364" i="14"/>
  <c r="O159" i="2"/>
  <c r="R159" i="2"/>
  <c r="Q159" i="2"/>
  <c r="I159" i="14"/>
  <c r="K28" i="35" s="1"/>
  <c r="O68" i="2"/>
  <c r="R68" i="2"/>
  <c r="I68" i="14"/>
  <c r="Q68" i="2"/>
  <c r="O322" i="2"/>
  <c r="R322" i="2"/>
  <c r="Q322" i="2"/>
  <c r="I322" i="14"/>
  <c r="O322" i="14" s="1"/>
  <c r="M317" i="14"/>
  <c r="N317" i="2"/>
  <c r="N350" i="2"/>
  <c r="M350" i="14"/>
  <c r="L95" i="14"/>
  <c r="P356" i="2"/>
  <c r="J356" i="14"/>
  <c r="P356" i="14" s="1"/>
  <c r="P332" i="2"/>
  <c r="S337" i="2"/>
  <c r="S338" i="2" s="1"/>
  <c r="J332" i="14"/>
  <c r="P255" i="2"/>
  <c r="J255" i="14"/>
  <c r="S260" i="2"/>
  <c r="S261" i="2" s="1"/>
  <c r="P222" i="2"/>
  <c r="J222" i="14"/>
  <c r="P222" i="14" s="1"/>
  <c r="P189" i="2"/>
  <c r="J189" i="14"/>
  <c r="P189" i="14" s="1"/>
  <c r="P131" i="2"/>
  <c r="J131" i="14"/>
  <c r="P98" i="2"/>
  <c r="J98" i="14"/>
  <c r="P65" i="2"/>
  <c r="J65" i="14"/>
  <c r="O324" i="2"/>
  <c r="I324" i="14"/>
  <c r="O324" i="14" s="1"/>
  <c r="Q324" i="2"/>
  <c r="R324" i="2"/>
  <c r="O258" i="2"/>
  <c r="Q258" i="2"/>
  <c r="R258" i="2"/>
  <c r="I258" i="14"/>
  <c r="O258" i="14" s="1"/>
  <c r="O217" i="2"/>
  <c r="R217" i="2"/>
  <c r="I217" i="14"/>
  <c r="O217" i="14" s="1"/>
  <c r="Q217" i="2"/>
  <c r="O135" i="2"/>
  <c r="Q135" i="2"/>
  <c r="R135" i="2"/>
  <c r="I135" i="14"/>
  <c r="O52" i="2"/>
  <c r="S53" i="2"/>
  <c r="S54" i="2" s="1"/>
  <c r="T56" i="2"/>
  <c r="I52" i="14"/>
  <c r="T54" i="2"/>
  <c r="R52" i="2"/>
  <c r="Q52" i="2"/>
  <c r="O348" i="2"/>
  <c r="Q348" i="2"/>
  <c r="R348" i="2"/>
  <c r="I348" i="14"/>
  <c r="O348" i="14" s="1"/>
  <c r="N318" i="2"/>
  <c r="T324" i="2"/>
  <c r="M318" i="14"/>
  <c r="M351" i="14"/>
  <c r="N351" i="2"/>
  <c r="P212" i="2"/>
  <c r="J212" i="14"/>
  <c r="P212" i="14" s="1"/>
  <c r="P64" i="2"/>
  <c r="J64" i="14"/>
  <c r="P6" i="2"/>
  <c r="J6" i="14"/>
  <c r="O290" i="2"/>
  <c r="T292" i="2"/>
  <c r="R290" i="2"/>
  <c r="Q290" i="2"/>
  <c r="T294" i="2"/>
  <c r="S291" i="2"/>
  <c r="S292" i="2" s="1"/>
  <c r="I290" i="14"/>
  <c r="O109" i="2"/>
  <c r="Q109" i="2"/>
  <c r="R109" i="2"/>
  <c r="I109" i="14"/>
  <c r="P339" i="2"/>
  <c r="J339" i="14"/>
  <c r="S344" i="2"/>
  <c r="S345" i="2" s="1"/>
  <c r="P278" i="2"/>
  <c r="J278" i="14"/>
  <c r="P278" i="14" s="1"/>
  <c r="P153" i="2"/>
  <c r="J153" i="14"/>
  <c r="P112" i="2"/>
  <c r="J112" i="14"/>
  <c r="P62" i="2"/>
  <c r="J62" i="14"/>
  <c r="O58" i="2"/>
  <c r="Q58" i="2"/>
  <c r="R58" i="2"/>
  <c r="I58" i="14"/>
  <c r="M104" i="14"/>
  <c r="N104" i="2"/>
  <c r="N344" i="2"/>
  <c r="M344" i="14"/>
  <c r="M47" i="14"/>
  <c r="N47" i="2"/>
  <c r="P346" i="2"/>
  <c r="S351" i="2"/>
  <c r="S352" i="2" s="1"/>
  <c r="J346" i="14"/>
  <c r="P276" i="2"/>
  <c r="S281" i="2"/>
  <c r="S282" i="2" s="1"/>
  <c r="J276" i="14"/>
  <c r="P243" i="2"/>
  <c r="J243" i="14"/>
  <c r="P243" i="14" s="1"/>
  <c r="P186" i="2"/>
  <c r="J186" i="14"/>
  <c r="S190" i="2"/>
  <c r="P128" i="2"/>
  <c r="J128" i="14"/>
  <c r="P28" i="2"/>
  <c r="J28" i="14"/>
  <c r="O362" i="2"/>
  <c r="I362" i="14"/>
  <c r="R362" i="2"/>
  <c r="Q362" i="2"/>
  <c r="O198" i="2"/>
  <c r="R198" i="2"/>
  <c r="I198" i="14"/>
  <c r="O198" i="14" s="1"/>
  <c r="Q198" i="2"/>
  <c r="O132" i="2"/>
  <c r="I132" i="14"/>
  <c r="Q132" i="2"/>
  <c r="R132" i="2"/>
  <c r="O66" i="2"/>
  <c r="S67" i="2"/>
  <c r="S68" i="2" s="1"/>
  <c r="T70" i="2"/>
  <c r="T68" i="2"/>
  <c r="R66" i="2"/>
  <c r="I66" i="14"/>
  <c r="Q66" i="2"/>
  <c r="D17" i="14"/>
  <c r="N6" i="14"/>
  <c r="T261" i="2"/>
  <c r="M255" i="14"/>
  <c r="N255" i="2"/>
  <c r="N288" i="2"/>
  <c r="M288" i="14"/>
  <c r="P345" i="2"/>
  <c r="J345" i="14"/>
  <c r="P345" i="14" s="1"/>
  <c r="P209" i="2"/>
  <c r="J209" i="14"/>
  <c r="P209" i="14" s="1"/>
  <c r="P11" i="2"/>
  <c r="J11" i="14"/>
  <c r="O205" i="2"/>
  <c r="Q205" i="2"/>
  <c r="I205" i="14"/>
  <c r="O205" i="14" s="1"/>
  <c r="R205" i="2"/>
  <c r="O98" i="2"/>
  <c r="R98" i="2"/>
  <c r="Q98" i="2"/>
  <c r="I98" i="14"/>
  <c r="F84" i="7"/>
  <c r="T84" i="7"/>
  <c r="O19" i="2"/>
  <c r="O26" i="2"/>
  <c r="O8" i="2"/>
  <c r="O12" i="2"/>
  <c r="M41" i="14"/>
  <c r="N41" i="2"/>
  <c r="P298" i="2"/>
  <c r="J298" i="14"/>
  <c r="P298" i="14" s="1"/>
  <c r="P274" i="2"/>
  <c r="J274" i="14"/>
  <c r="P274" i="14" s="1"/>
  <c r="P241" i="2"/>
  <c r="S246" i="2"/>
  <c r="S247" i="2" s="1"/>
  <c r="J241" i="14"/>
  <c r="P217" i="2"/>
  <c r="J217" i="14"/>
  <c r="P217" i="14" s="1"/>
  <c r="P159" i="2"/>
  <c r="J159" i="14"/>
  <c r="L28" i="35" s="1"/>
  <c r="P126" i="2"/>
  <c r="J126" i="14"/>
  <c r="P92" i="2"/>
  <c r="J92" i="14"/>
  <c r="P59" i="2"/>
  <c r="S64" i="2"/>
  <c r="J59" i="14"/>
  <c r="P26" i="2"/>
  <c r="J26" i="14"/>
  <c r="O327" i="2"/>
  <c r="R327" i="2"/>
  <c r="I327" i="14"/>
  <c r="O327" i="14" s="1"/>
  <c r="Q327" i="2"/>
  <c r="O269" i="2"/>
  <c r="R269" i="2"/>
  <c r="S270" i="2"/>
  <c r="S271" i="2" s="1"/>
  <c r="Q269" i="2"/>
  <c r="T273" i="2"/>
  <c r="I269" i="14"/>
  <c r="T271" i="2"/>
  <c r="O204" i="2"/>
  <c r="Q204" i="2"/>
  <c r="I204" i="14"/>
  <c r="O204" i="14" s="1"/>
  <c r="R204" i="2"/>
  <c r="O138" i="2"/>
  <c r="I138" i="14"/>
  <c r="R138" i="2"/>
  <c r="Q138" i="2"/>
  <c r="O72" i="2"/>
  <c r="I72" i="14"/>
  <c r="R72" i="2"/>
  <c r="Q72" i="2"/>
  <c r="O55" i="2"/>
  <c r="I55" i="14"/>
  <c r="R55" i="2"/>
  <c r="Q55" i="2"/>
  <c r="N158" i="2"/>
  <c r="M158" i="14"/>
  <c r="O27" i="35" s="1"/>
  <c r="P311" i="2"/>
  <c r="S316" i="2"/>
  <c r="S317" i="2" s="1"/>
  <c r="J311" i="14"/>
  <c r="P257" i="2"/>
  <c r="J257" i="14"/>
  <c r="P257" i="14" s="1"/>
  <c r="P224" i="2"/>
  <c r="J224" i="14"/>
  <c r="P224" i="14" s="1"/>
  <c r="P191" i="2"/>
  <c r="J191" i="14"/>
  <c r="P191" i="14" s="1"/>
  <c r="P158" i="2"/>
  <c r="J158" i="14"/>
  <c r="L27" i="35" s="1"/>
  <c r="P17" i="2"/>
  <c r="S22" i="2"/>
  <c r="S23" i="2" s="1"/>
  <c r="J17" i="14"/>
  <c r="O359" i="2"/>
  <c r="R359" i="2"/>
  <c r="Q359" i="2"/>
  <c r="I359" i="14"/>
  <c r="O359" i="14" s="1"/>
  <c r="O318" i="2"/>
  <c r="S319" i="2"/>
  <c r="S320" i="2" s="1"/>
  <c r="T320" i="2"/>
  <c r="R318" i="2"/>
  <c r="Q318" i="2"/>
  <c r="T322" i="2"/>
  <c r="I318" i="14"/>
  <c r="O276" i="2"/>
  <c r="Q276" i="2"/>
  <c r="R276" i="2"/>
  <c r="S277" i="2"/>
  <c r="T278" i="2"/>
  <c r="T280" i="2"/>
  <c r="I276" i="14"/>
  <c r="O211" i="2"/>
  <c r="R211" i="2"/>
  <c r="Q211" i="2"/>
  <c r="I211" i="14"/>
  <c r="O211" i="14" s="1"/>
  <c r="O145" i="2"/>
  <c r="R145" i="2"/>
  <c r="I145" i="14"/>
  <c r="Q145" i="2"/>
  <c r="O79" i="2"/>
  <c r="R79" i="2"/>
  <c r="Q79" i="2"/>
  <c r="I79" i="14"/>
  <c r="O62" i="2"/>
  <c r="R62" i="2"/>
  <c r="Q62" i="2"/>
  <c r="I62" i="14"/>
  <c r="D29" i="14"/>
  <c r="M167" i="14"/>
  <c r="N167" i="2"/>
  <c r="M200" i="14"/>
  <c r="N200" i="2"/>
  <c r="P364" i="2"/>
  <c r="J364" i="14"/>
  <c r="P364" i="14" s="1"/>
  <c r="P223" i="2"/>
  <c r="J223" i="14"/>
  <c r="P223" i="14" s="1"/>
  <c r="P24" i="2"/>
  <c r="S29" i="2"/>
  <c r="S30" i="2" s="1"/>
  <c r="J24" i="14"/>
  <c r="O366" i="2"/>
  <c r="R366" i="2"/>
  <c r="Q366" i="2"/>
  <c r="I366" i="14"/>
  <c r="O259" i="2"/>
  <c r="R259" i="2"/>
  <c r="Q259" i="2"/>
  <c r="I259" i="14"/>
  <c r="O259" i="14" s="1"/>
  <c r="O194" i="2"/>
  <c r="Q194" i="2"/>
  <c r="R194" i="2"/>
  <c r="I194" i="14"/>
  <c r="O194" i="14" s="1"/>
  <c r="O61" i="2"/>
  <c r="Q61" i="2"/>
  <c r="R61" i="2"/>
  <c r="I61" i="14"/>
  <c r="G20" i="14"/>
  <c r="E20" i="14"/>
  <c r="Q20" i="14"/>
  <c r="R20" i="14"/>
  <c r="P323" i="2"/>
  <c r="J323" i="14"/>
  <c r="P323" i="14" s="1"/>
  <c r="P294" i="2"/>
  <c r="J294" i="14"/>
  <c r="P294" i="14" s="1"/>
  <c r="P270" i="2"/>
  <c r="J270" i="14"/>
  <c r="P270" i="14" s="1"/>
  <c r="P221" i="2"/>
  <c r="J221" i="14"/>
  <c r="P221" i="14" s="1"/>
  <c r="P171" i="2"/>
  <c r="J171" i="14"/>
  <c r="S176" i="2"/>
  <c r="S177" i="2" s="1"/>
  <c r="P113" i="2"/>
  <c r="J113" i="14"/>
  <c r="P56" i="2"/>
  <c r="J56" i="14"/>
  <c r="O298" i="2"/>
  <c r="Q298" i="2"/>
  <c r="R298" i="2"/>
  <c r="I298" i="14"/>
  <c r="O298" i="14" s="1"/>
  <c r="O289" i="2"/>
  <c r="R289" i="2"/>
  <c r="Q289" i="2"/>
  <c r="I289" i="14"/>
  <c r="O289" i="14" s="1"/>
  <c r="O207" i="2"/>
  <c r="R207" i="2"/>
  <c r="I207" i="14"/>
  <c r="O207" i="14" s="1"/>
  <c r="Q207" i="2"/>
  <c r="O125" i="2"/>
  <c r="R125" i="2"/>
  <c r="Q125" i="2"/>
  <c r="I125" i="14"/>
  <c r="O42" i="2"/>
  <c r="Q42" i="2"/>
  <c r="I42" i="14"/>
  <c r="R42" i="2"/>
  <c r="M160" i="14"/>
  <c r="O29" i="35" s="1"/>
  <c r="N160" i="2"/>
  <c r="K64" i="14"/>
  <c r="P309" i="2"/>
  <c r="J309" i="14"/>
  <c r="P309" i="14" s="1"/>
  <c r="P23" i="2"/>
  <c r="J23" i="14"/>
  <c r="O365" i="2"/>
  <c r="R365" i="2"/>
  <c r="I365" i="14"/>
  <c r="O365" i="14" s="1"/>
  <c r="Q365" i="2"/>
  <c r="O299" i="2"/>
  <c r="R299" i="2"/>
  <c r="I299" i="14"/>
  <c r="O299" i="14" s="1"/>
  <c r="Q299" i="2"/>
  <c r="O233" i="2"/>
  <c r="Q233" i="2"/>
  <c r="R233" i="2"/>
  <c r="I233" i="14"/>
  <c r="O233" i="14" s="1"/>
  <c r="O176" i="2"/>
  <c r="R176" i="2"/>
  <c r="I176" i="14"/>
  <c r="O176" i="14" s="1"/>
  <c r="Q176" i="2"/>
  <c r="O110" i="2"/>
  <c r="R110" i="2"/>
  <c r="I110" i="14"/>
  <c r="Q110" i="2"/>
  <c r="O93" i="2"/>
  <c r="Q93" i="2"/>
  <c r="R93" i="2"/>
  <c r="I93" i="14"/>
  <c r="D27" i="14"/>
  <c r="D13" i="14"/>
  <c r="N95" i="2"/>
  <c r="M95" i="14"/>
  <c r="T100" i="2"/>
  <c r="P121" i="2"/>
  <c r="J121" i="14"/>
  <c r="O249" i="2"/>
  <c r="Q249" i="2"/>
  <c r="R249" i="2"/>
  <c r="I249" i="14"/>
  <c r="O142" i="2"/>
  <c r="Q142" i="2"/>
  <c r="R142" i="2"/>
  <c r="I142" i="14"/>
  <c r="O59" i="2"/>
  <c r="T61" i="2"/>
  <c r="R59" i="2"/>
  <c r="I59" i="14"/>
  <c r="Q59" i="2"/>
  <c r="T63" i="2"/>
  <c r="S60" i="2"/>
  <c r="S11" i="14"/>
  <c r="W11" i="14" s="1"/>
  <c r="T12" i="14"/>
  <c r="T14" i="14"/>
  <c r="Q10" i="14"/>
  <c r="R10" i="14"/>
  <c r="G10" i="14"/>
  <c r="P293" i="2"/>
  <c r="J293" i="14"/>
  <c r="P293" i="14" s="1"/>
  <c r="P244" i="2"/>
  <c r="J244" i="14"/>
  <c r="P244" i="14" s="1"/>
  <c r="P211" i="2"/>
  <c r="J211" i="14"/>
  <c r="P211" i="14" s="1"/>
  <c r="P178" i="2"/>
  <c r="S183" i="2"/>
  <c r="S184" i="2" s="1"/>
  <c r="J178" i="14"/>
  <c r="O248" i="2"/>
  <c r="I248" i="14"/>
  <c r="R248" i="2"/>
  <c r="Q248" i="2"/>
  <c r="S249" i="2"/>
  <c r="S250" i="2" s="1"/>
  <c r="T250" i="2"/>
  <c r="T252" i="2"/>
  <c r="O158" i="2"/>
  <c r="Q158" i="2"/>
  <c r="R158" i="2"/>
  <c r="I158" i="14"/>
  <c r="K27" i="35" s="1"/>
  <c r="N286" i="2"/>
  <c r="M286" i="14"/>
  <c r="N13" i="14"/>
  <c r="N336" i="2"/>
  <c r="M336" i="14"/>
  <c r="L125" i="14"/>
  <c r="P368" i="2"/>
  <c r="J368" i="14"/>
  <c r="P368" i="14" s="1"/>
  <c r="P210" i="2"/>
  <c r="J210" i="14"/>
  <c r="P210" i="14" s="1"/>
  <c r="P152" i="2"/>
  <c r="J152" i="14"/>
  <c r="P95" i="2"/>
  <c r="J95" i="14"/>
  <c r="S99" i="2"/>
  <c r="S100" i="2" s="1"/>
  <c r="P61" i="2"/>
  <c r="J61" i="14"/>
  <c r="O337" i="2"/>
  <c r="R337" i="2"/>
  <c r="I337" i="14"/>
  <c r="O337" i="14" s="1"/>
  <c r="Q337" i="2"/>
  <c r="O296" i="2"/>
  <c r="R296" i="2"/>
  <c r="Q296" i="2"/>
  <c r="I296" i="14"/>
  <c r="O296" i="14" s="1"/>
  <c r="O255" i="2"/>
  <c r="I255" i="14"/>
  <c r="R255" i="2"/>
  <c r="T259" i="2"/>
  <c r="T257" i="2"/>
  <c r="S256" i="2"/>
  <c r="S257" i="2" s="1"/>
  <c r="Q255" i="2"/>
  <c r="O214" i="2"/>
  <c r="R214" i="2"/>
  <c r="Q214" i="2"/>
  <c r="I214" i="14"/>
  <c r="O214" i="14" s="1"/>
  <c r="O173" i="2"/>
  <c r="Q173" i="2"/>
  <c r="I173" i="14"/>
  <c r="O173" i="14" s="1"/>
  <c r="R173" i="2"/>
  <c r="O107" i="2"/>
  <c r="R107" i="2"/>
  <c r="Q107" i="2"/>
  <c r="I107" i="14"/>
  <c r="O41" i="2"/>
  <c r="R41" i="2"/>
  <c r="Q41" i="2"/>
  <c r="I41" i="14"/>
  <c r="E24" i="14"/>
  <c r="O24" i="14" s="1"/>
  <c r="G24" i="14"/>
  <c r="C24" i="14" s="1"/>
  <c r="Q24" i="14"/>
  <c r="R24" i="14"/>
  <c r="T28" i="14"/>
  <c r="T26" i="14"/>
  <c r="D22" i="14"/>
  <c r="P320" i="2"/>
  <c r="J320" i="14"/>
  <c r="P320" i="14" s="1"/>
  <c r="P267" i="2"/>
  <c r="J267" i="14"/>
  <c r="P267" i="14" s="1"/>
  <c r="P234" i="2"/>
  <c r="S239" i="2"/>
  <c r="S240" i="2" s="1"/>
  <c r="J234" i="14"/>
  <c r="P176" i="2"/>
  <c r="J176" i="14"/>
  <c r="P176" i="14" s="1"/>
  <c r="P143" i="2"/>
  <c r="S148" i="2"/>
  <c r="S149" i="2" s="1"/>
  <c r="J143" i="14"/>
  <c r="P110" i="2"/>
  <c r="J110" i="14"/>
  <c r="P77" i="2"/>
  <c r="J77" i="14"/>
  <c r="P45" i="2"/>
  <c r="S50" i="2"/>
  <c r="S51" i="2" s="1"/>
  <c r="J45" i="14"/>
  <c r="O328" i="2"/>
  <c r="R328" i="2"/>
  <c r="Q328" i="2"/>
  <c r="I328" i="14"/>
  <c r="O328" i="14" s="1"/>
  <c r="O287" i="2"/>
  <c r="Q287" i="2"/>
  <c r="R287" i="2"/>
  <c r="I287" i="14"/>
  <c r="O287" i="14" s="1"/>
  <c r="O245" i="2"/>
  <c r="Q245" i="2"/>
  <c r="R245" i="2"/>
  <c r="I245" i="14"/>
  <c r="O245" i="14" s="1"/>
  <c r="O180" i="2"/>
  <c r="I180" i="14"/>
  <c r="O180" i="14" s="1"/>
  <c r="Q180" i="2"/>
  <c r="R180" i="2"/>
  <c r="O139" i="2"/>
  <c r="Q139" i="2"/>
  <c r="R139" i="2"/>
  <c r="I139" i="14"/>
  <c r="O73" i="2"/>
  <c r="R73" i="2"/>
  <c r="S74" i="2"/>
  <c r="S75" i="2" s="1"/>
  <c r="Q73" i="2"/>
  <c r="I73" i="14"/>
  <c r="T75" i="2"/>
  <c r="T77" i="2"/>
  <c r="E31" i="14"/>
  <c r="G31" i="14"/>
  <c r="R31" i="14"/>
  <c r="Q31" i="14"/>
  <c r="F52" i="7"/>
  <c r="T52" i="7"/>
  <c r="M256" i="14"/>
  <c r="N256" i="2"/>
  <c r="P183" i="2"/>
  <c r="J183" i="14"/>
  <c r="P183" i="14" s="1"/>
  <c r="O286" i="2"/>
  <c r="Q286" i="2"/>
  <c r="R286" i="2"/>
  <c r="I286" i="14"/>
  <c r="O286" i="14" s="1"/>
  <c r="O244" i="2"/>
  <c r="Q244" i="2"/>
  <c r="R244" i="2"/>
  <c r="I244" i="14"/>
  <c r="O244" i="14" s="1"/>
  <c r="O113" i="2"/>
  <c r="R113" i="2"/>
  <c r="Q113" i="2"/>
  <c r="I113" i="14"/>
  <c r="Q30" i="14"/>
  <c r="E30" i="14"/>
  <c r="O30" i="14" s="1"/>
  <c r="R30" i="14"/>
  <c r="G30" i="14"/>
  <c r="C30" i="14" s="1"/>
  <c r="N100" i="2"/>
  <c r="M100" i="14"/>
  <c r="M125" i="14"/>
  <c r="N125" i="2"/>
  <c r="K339" i="14"/>
  <c r="O387" i="14" s="1"/>
  <c r="P358" i="2"/>
  <c r="J358" i="14"/>
  <c r="P358" i="14" s="1"/>
  <c r="P125" i="2"/>
  <c r="J125" i="14"/>
  <c r="P91" i="2"/>
  <c r="J91" i="14"/>
  <c r="P51" i="2"/>
  <c r="J51" i="14"/>
  <c r="O334" i="2"/>
  <c r="Q334" i="2"/>
  <c r="R334" i="2"/>
  <c r="I334" i="14"/>
  <c r="O334" i="14" s="1"/>
  <c r="O252" i="2"/>
  <c r="Q252" i="2"/>
  <c r="R252" i="2"/>
  <c r="I252" i="14"/>
  <c r="O187" i="2"/>
  <c r="R187" i="2"/>
  <c r="I187" i="14"/>
  <c r="Q187" i="2"/>
  <c r="O120" i="2"/>
  <c r="Q120" i="2"/>
  <c r="R120" i="2"/>
  <c r="I120" i="14"/>
  <c r="N17" i="14"/>
  <c r="N357" i="2"/>
  <c r="M357" i="14"/>
  <c r="P342" i="2"/>
  <c r="J342" i="14"/>
  <c r="P342" i="14" s="1"/>
  <c r="P318" i="2"/>
  <c r="S323" i="2"/>
  <c r="S324" i="2" s="1"/>
  <c r="J318" i="14"/>
  <c r="P296" i="2"/>
  <c r="J296" i="14"/>
  <c r="P296" i="14" s="1"/>
  <c r="P272" i="2"/>
  <c r="J272" i="14"/>
  <c r="P272" i="14" s="1"/>
  <c r="P248" i="2"/>
  <c r="J248" i="14"/>
  <c r="S253" i="2"/>
  <c r="P190" i="2"/>
  <c r="J190" i="14"/>
  <c r="P190" i="14" s="1"/>
  <c r="P157" i="2"/>
  <c r="S162" i="2"/>
  <c r="S163" i="2" s="1"/>
  <c r="J157" i="14"/>
  <c r="L26" i="35" s="1"/>
  <c r="P123" i="2"/>
  <c r="J123" i="14"/>
  <c r="P90" i="2"/>
  <c r="J90" i="14"/>
  <c r="P58" i="2"/>
  <c r="J58" i="14"/>
  <c r="O342" i="2"/>
  <c r="R342" i="2"/>
  <c r="Q342" i="2"/>
  <c r="I342" i="14"/>
  <c r="O342" i="14" s="1"/>
  <c r="O300" i="2"/>
  <c r="R300" i="2"/>
  <c r="I300" i="14"/>
  <c r="O300" i="14" s="1"/>
  <c r="Q300" i="2"/>
  <c r="O234" i="2"/>
  <c r="T238" i="2"/>
  <c r="S235" i="2"/>
  <c r="S236" i="2" s="1"/>
  <c r="Q234" i="2"/>
  <c r="R234" i="2"/>
  <c r="T236" i="2"/>
  <c r="I234" i="14"/>
  <c r="O152" i="2"/>
  <c r="I152" i="14"/>
  <c r="Q152" i="2"/>
  <c r="R152" i="2"/>
  <c r="O78" i="2"/>
  <c r="Q78" i="2"/>
  <c r="R78" i="2"/>
  <c r="I78" i="14"/>
  <c r="D18" i="14"/>
  <c r="O240" i="2"/>
  <c r="Q240" i="2"/>
  <c r="R240" i="2"/>
  <c r="I240" i="14"/>
  <c r="O240" i="14" s="1"/>
  <c r="O101" i="2"/>
  <c r="R101" i="2"/>
  <c r="T105" i="2"/>
  <c r="Q101" i="2"/>
  <c r="T103" i="2"/>
  <c r="S102" i="2"/>
  <c r="S103" i="2" s="1"/>
  <c r="I101" i="14"/>
  <c r="P137" i="2"/>
  <c r="J137" i="14"/>
  <c r="O339" i="2"/>
  <c r="I339" i="14"/>
  <c r="Q339" i="2"/>
  <c r="R339" i="2"/>
  <c r="S340" i="2"/>
  <c r="T341" i="2"/>
  <c r="T343" i="2"/>
  <c r="O256" i="2"/>
  <c r="Q256" i="2"/>
  <c r="R256" i="2"/>
  <c r="I256" i="14"/>
  <c r="O256" i="14" s="1"/>
  <c r="O231" i="2"/>
  <c r="Q231" i="2"/>
  <c r="I231" i="14"/>
  <c r="O231" i="14" s="1"/>
  <c r="R231" i="2"/>
  <c r="O149" i="2"/>
  <c r="Q149" i="2"/>
  <c r="R149" i="2"/>
  <c r="I149" i="14"/>
  <c r="O67" i="2"/>
  <c r="R67" i="2"/>
  <c r="Q67" i="2"/>
  <c r="I67" i="14"/>
  <c r="N10" i="14"/>
  <c r="N102" i="2"/>
  <c r="M102" i="14"/>
  <c r="M325" i="14"/>
  <c r="N325" i="2"/>
  <c r="T331" i="2"/>
  <c r="P349" i="2"/>
  <c r="J349" i="14"/>
  <c r="P349" i="14" s="1"/>
  <c r="P324" i="2"/>
  <c r="J324" i="14"/>
  <c r="P324" i="14" s="1"/>
  <c r="P287" i="2"/>
  <c r="J287" i="14"/>
  <c r="P287" i="14" s="1"/>
  <c r="P246" i="2"/>
  <c r="J246" i="14"/>
  <c r="P246" i="14" s="1"/>
  <c r="P213" i="2"/>
  <c r="S218" i="2"/>
  <c r="S219" i="2" s="1"/>
  <c r="J213" i="14"/>
  <c r="P180" i="2"/>
  <c r="J180" i="14"/>
  <c r="P180" i="14" s="1"/>
  <c r="P156" i="2"/>
  <c r="J156" i="14"/>
  <c r="P122" i="2"/>
  <c r="S127" i="2"/>
  <c r="J122" i="14"/>
  <c r="P89" i="2"/>
  <c r="J89" i="14"/>
  <c r="P57" i="2"/>
  <c r="J57" i="14"/>
  <c r="O341" i="2"/>
  <c r="Q341" i="2"/>
  <c r="I341" i="14"/>
  <c r="O341" i="14" s="1"/>
  <c r="R341" i="2"/>
  <c r="O274" i="2"/>
  <c r="R274" i="2"/>
  <c r="Q274" i="2"/>
  <c r="I274" i="14"/>
  <c r="O274" i="14" s="1"/>
  <c r="O193" i="2"/>
  <c r="R193" i="2"/>
  <c r="I193" i="14"/>
  <c r="O193" i="14" s="1"/>
  <c r="Q193" i="2"/>
  <c r="O151" i="2"/>
  <c r="R151" i="2"/>
  <c r="Q151" i="2"/>
  <c r="I151" i="14"/>
  <c r="O69" i="2"/>
  <c r="R69" i="2"/>
  <c r="Q69" i="2"/>
  <c r="I69" i="14"/>
  <c r="G27" i="14"/>
  <c r="C27" i="14" s="1"/>
  <c r="Q27" i="14"/>
  <c r="E27" i="14"/>
  <c r="O27" i="14" s="1"/>
  <c r="R11" i="14"/>
  <c r="G11" i="14"/>
  <c r="E11" i="14"/>
  <c r="O11" i="14" s="1"/>
  <c r="Q11" i="14"/>
  <c r="N37" i="14"/>
  <c r="N103" i="2"/>
  <c r="M103" i="14"/>
  <c r="M136" i="14"/>
  <c r="T142" i="2"/>
  <c r="N136" i="2"/>
  <c r="N326" i="2"/>
  <c r="M326" i="14"/>
  <c r="N359" i="2"/>
  <c r="M359" i="14"/>
  <c r="N359" i="14" s="1"/>
  <c r="P301" i="2"/>
  <c r="J301" i="14"/>
  <c r="P301" i="14" s="1"/>
  <c r="P48" i="2"/>
  <c r="J48" i="14"/>
  <c r="O315" i="2"/>
  <c r="Q315" i="2"/>
  <c r="R315" i="2"/>
  <c r="I315" i="14"/>
  <c r="O315" i="14" s="1"/>
  <c r="O167" i="2"/>
  <c r="R167" i="2"/>
  <c r="Q167" i="2"/>
  <c r="I167" i="14"/>
  <c r="O167" i="14" s="1"/>
  <c r="P330" i="2"/>
  <c r="J330" i="14"/>
  <c r="P330" i="14" s="1"/>
  <c r="P145" i="2"/>
  <c r="J145" i="14"/>
  <c r="P104" i="2"/>
  <c r="J104" i="14"/>
  <c r="P55" i="2"/>
  <c r="J55" i="14"/>
  <c r="S8" i="2"/>
  <c r="O305" i="2"/>
  <c r="Q305" i="2"/>
  <c r="R305" i="2"/>
  <c r="I305" i="14"/>
  <c r="O305" i="14" s="1"/>
  <c r="O100" i="2"/>
  <c r="Q100" i="2"/>
  <c r="R100" i="2"/>
  <c r="I100" i="14"/>
  <c r="Q25" i="14"/>
  <c r="G25" i="14"/>
  <c r="C25" i="14" s="1"/>
  <c r="N12" i="14"/>
  <c r="M112" i="14"/>
  <c r="N112" i="2"/>
  <c r="N352" i="2"/>
  <c r="M352" i="14"/>
  <c r="L217" i="14"/>
  <c r="P383" i="14" s="1"/>
  <c r="O91" i="2"/>
  <c r="I91" i="14"/>
  <c r="R91" i="2"/>
  <c r="Q91" i="2"/>
  <c r="M21" i="14"/>
  <c r="N21" i="2"/>
  <c r="P337" i="2"/>
  <c r="J337" i="14"/>
  <c r="P337" i="14" s="1"/>
  <c r="P314" i="2"/>
  <c r="J314" i="14"/>
  <c r="P314" i="14" s="1"/>
  <c r="P292" i="2"/>
  <c r="J292" i="14"/>
  <c r="P292" i="14" s="1"/>
  <c r="P268" i="2"/>
  <c r="J268" i="14"/>
  <c r="P268" i="14" s="1"/>
  <c r="P119" i="2"/>
  <c r="J119" i="14"/>
  <c r="P20" i="2"/>
  <c r="J20" i="14"/>
  <c r="O313" i="2"/>
  <c r="R313" i="2"/>
  <c r="Q313" i="2"/>
  <c r="I313" i="14"/>
  <c r="O313" i="14" s="1"/>
  <c r="O230" i="2"/>
  <c r="Q230" i="2"/>
  <c r="R230" i="2"/>
  <c r="I230" i="14"/>
  <c r="O230" i="14" s="1"/>
  <c r="O148" i="2"/>
  <c r="R148" i="2"/>
  <c r="I148" i="14"/>
  <c r="Q148" i="2"/>
  <c r="O82" i="2"/>
  <c r="Q82" i="2"/>
  <c r="R82" i="2"/>
  <c r="I82" i="14"/>
  <c r="Q21" i="14"/>
  <c r="G21" i="14"/>
  <c r="R21" i="14"/>
  <c r="D25" i="14"/>
  <c r="N14" i="14"/>
  <c r="N48" i="2"/>
  <c r="M48" i="14"/>
  <c r="M230" i="14"/>
  <c r="N230" i="2"/>
  <c r="M263" i="14"/>
  <c r="N263" i="2"/>
  <c r="N296" i="2"/>
  <c r="M296" i="14"/>
  <c r="L248" i="14"/>
  <c r="P384" i="14" s="1"/>
  <c r="P367" i="2"/>
  <c r="S372" i="2"/>
  <c r="S373" i="2" s="1"/>
  <c r="J367" i="14"/>
  <c r="P291" i="2"/>
  <c r="J291" i="14"/>
  <c r="P291" i="14" s="1"/>
  <c r="P201" i="2"/>
  <c r="J201" i="14"/>
  <c r="P201" i="14" s="1"/>
  <c r="P37" i="2"/>
  <c r="J37" i="14"/>
  <c r="O345" i="2"/>
  <c r="Q345" i="2"/>
  <c r="R345" i="2"/>
  <c r="I345" i="14"/>
  <c r="O345" i="14" s="1"/>
  <c r="O303" i="2"/>
  <c r="Q303" i="2"/>
  <c r="I303" i="14"/>
  <c r="O303" i="14" s="1"/>
  <c r="R303" i="2"/>
  <c r="O221" i="2"/>
  <c r="I221" i="14"/>
  <c r="O221" i="14" s="1"/>
  <c r="R221" i="2"/>
  <c r="Q221" i="2"/>
  <c r="O114" i="2"/>
  <c r="R114" i="2"/>
  <c r="Q114" i="2"/>
  <c r="I114" i="14"/>
  <c r="O48" i="2"/>
  <c r="I48" i="14"/>
  <c r="R48" i="2"/>
  <c r="Q48" i="2"/>
  <c r="E15" i="14"/>
  <c r="O15" i="14" s="1"/>
  <c r="R15" i="14"/>
  <c r="G15" i="14"/>
  <c r="Q15" i="14"/>
  <c r="L156" i="14"/>
  <c r="P344" i="2"/>
  <c r="J344" i="14"/>
  <c r="P344" i="14" s="1"/>
  <c r="P5" i="14"/>
  <c r="F36" i="14"/>
  <c r="M140" i="14"/>
  <c r="N140" i="2"/>
  <c r="K125" i="14"/>
  <c r="P319" i="2"/>
  <c r="J319" i="14"/>
  <c r="P319" i="14" s="1"/>
  <c r="P266" i="2"/>
  <c r="J266" i="14"/>
  <c r="P266" i="14" s="1"/>
  <c r="P233" i="2"/>
  <c r="J233" i="14"/>
  <c r="P233" i="14" s="1"/>
  <c r="P208" i="2"/>
  <c r="J208" i="14"/>
  <c r="P208" i="14" s="1"/>
  <c r="P150" i="2"/>
  <c r="S155" i="2"/>
  <c r="J150" i="14"/>
  <c r="P117" i="2"/>
  <c r="J117" i="14"/>
  <c r="P84" i="2"/>
  <c r="J84" i="14"/>
  <c r="P52" i="2"/>
  <c r="J52" i="14"/>
  <c r="S57" i="2"/>
  <c r="S58" i="2" s="1"/>
  <c r="P18" i="2"/>
  <c r="J18" i="14"/>
  <c r="O302" i="2"/>
  <c r="R302" i="2"/>
  <c r="Q302" i="2"/>
  <c r="I302" i="14"/>
  <c r="O302" i="14" s="1"/>
  <c r="O220" i="2"/>
  <c r="T222" i="2"/>
  <c r="S221" i="2"/>
  <c r="S222" i="2" s="1"/>
  <c r="T224" i="2"/>
  <c r="I220" i="14"/>
  <c r="R220" i="2"/>
  <c r="Q220" i="2"/>
  <c r="O154" i="2"/>
  <c r="Q154" i="2"/>
  <c r="R154" i="2"/>
  <c r="I154" i="14"/>
  <c r="O88" i="2"/>
  <c r="I88" i="14"/>
  <c r="R88" i="2"/>
  <c r="Q88" i="2"/>
  <c r="Q14" i="14"/>
  <c r="G14" i="14"/>
  <c r="M133" i="14"/>
  <c r="N133" i="2"/>
  <c r="P334" i="2"/>
  <c r="J334" i="14"/>
  <c r="P334" i="14" s="1"/>
  <c r="P281" i="2"/>
  <c r="J281" i="14"/>
  <c r="P281" i="14" s="1"/>
  <c r="P249" i="2"/>
  <c r="J249" i="14"/>
  <c r="P215" i="2"/>
  <c r="J215" i="14"/>
  <c r="P215" i="14" s="1"/>
  <c r="P182" i="2"/>
  <c r="J182" i="14"/>
  <c r="P182" i="14" s="1"/>
  <c r="P149" i="2"/>
  <c r="J149" i="14"/>
  <c r="O293" i="2"/>
  <c r="I293" i="14"/>
  <c r="O293" i="14" s="1"/>
  <c r="Q293" i="2"/>
  <c r="R293" i="2"/>
  <c r="O227" i="2"/>
  <c r="R227" i="2"/>
  <c r="S228" i="2"/>
  <c r="S229" i="2" s="1"/>
  <c r="T231" i="2"/>
  <c r="Q227" i="2"/>
  <c r="T229" i="2"/>
  <c r="I227" i="14"/>
  <c r="O162" i="2"/>
  <c r="R162" i="2"/>
  <c r="Q162" i="2"/>
  <c r="I162" i="14"/>
  <c r="K31" i="35" s="1"/>
  <c r="O96" i="2"/>
  <c r="R96" i="2"/>
  <c r="Q96" i="2"/>
  <c r="I96" i="14"/>
  <c r="O38" i="2"/>
  <c r="Q38" i="2"/>
  <c r="T42" i="2"/>
  <c r="T40" i="2"/>
  <c r="S39" i="2"/>
  <c r="S40" i="2" s="1"/>
  <c r="I38" i="14"/>
  <c r="R38" i="2"/>
  <c r="L278" i="14"/>
  <c r="P385" i="14" s="1"/>
  <c r="P214" i="2"/>
  <c r="J214" i="14"/>
  <c r="P214" i="14" s="1"/>
  <c r="P16" i="2"/>
  <c r="J16" i="14"/>
  <c r="O317" i="2"/>
  <c r="Q317" i="2"/>
  <c r="R317" i="2"/>
  <c r="I317" i="14"/>
  <c r="O317" i="14" s="1"/>
  <c r="O275" i="2"/>
  <c r="I275" i="14"/>
  <c r="O275" i="14" s="1"/>
  <c r="Q275" i="2"/>
  <c r="R275" i="2"/>
  <c r="O210" i="2"/>
  <c r="R210" i="2"/>
  <c r="Q210" i="2"/>
  <c r="I210" i="14"/>
  <c r="O210" i="14" s="1"/>
  <c r="O169" i="2"/>
  <c r="I169" i="14"/>
  <c r="O169" i="14" s="1"/>
  <c r="Q169" i="2"/>
  <c r="R169" i="2"/>
  <c r="O128" i="2"/>
  <c r="I128" i="14"/>
  <c r="R128" i="2"/>
  <c r="Q128" i="2"/>
  <c r="O111" i="2"/>
  <c r="R111" i="2"/>
  <c r="I111" i="14"/>
  <c r="Q111" i="2"/>
  <c r="O95" i="2"/>
  <c r="R95" i="2"/>
  <c r="I95" i="14"/>
  <c r="Q95" i="2"/>
  <c r="S95" i="2"/>
  <c r="S96" i="2" s="1"/>
  <c r="T96" i="2"/>
  <c r="T98" i="2"/>
  <c r="P340" i="2"/>
  <c r="J340" i="14"/>
  <c r="P286" i="2"/>
  <c r="J286" i="14"/>
  <c r="P286" i="14" s="1"/>
  <c r="P254" i="2"/>
  <c r="J254" i="14"/>
  <c r="P254" i="14" s="1"/>
  <c r="P204" i="2"/>
  <c r="J204" i="14"/>
  <c r="P204" i="14" s="1"/>
  <c r="P154" i="2"/>
  <c r="J154" i="14"/>
  <c r="P97" i="2"/>
  <c r="J97" i="14"/>
  <c r="P40" i="2"/>
  <c r="J40" i="14"/>
  <c r="O340" i="2"/>
  <c r="Q340" i="2"/>
  <c r="R340" i="2"/>
  <c r="I340" i="14"/>
  <c r="O134" i="2"/>
  <c r="R134" i="2"/>
  <c r="I134" i="14"/>
  <c r="Q134" i="2"/>
  <c r="O51" i="2"/>
  <c r="R51" i="2"/>
  <c r="Q51" i="2"/>
  <c r="I51" i="14"/>
  <c r="O363" i="2"/>
  <c r="Q363" i="2"/>
  <c r="R363" i="2"/>
  <c r="I363" i="14"/>
  <c r="O314" i="2"/>
  <c r="Q314" i="2"/>
  <c r="R314" i="2"/>
  <c r="I314" i="14"/>
  <c r="O314" i="14" s="1"/>
  <c r="G33" i="14"/>
  <c r="E33" i="14"/>
  <c r="Q33" i="14"/>
  <c r="N168" i="2"/>
  <c r="M168" i="14"/>
  <c r="P15" i="2"/>
  <c r="J15" i="14"/>
  <c r="O316" i="2"/>
  <c r="R316" i="2"/>
  <c r="Q316" i="2"/>
  <c r="I316" i="14"/>
  <c r="O316" i="14" s="1"/>
  <c r="O250" i="2"/>
  <c r="R250" i="2"/>
  <c r="Q250" i="2"/>
  <c r="I250" i="14"/>
  <c r="O250" i="14" s="1"/>
  <c r="O127" i="2"/>
  <c r="R127" i="2"/>
  <c r="Q127" i="2"/>
  <c r="I127" i="14"/>
  <c r="O44" i="2"/>
  <c r="R44" i="2"/>
  <c r="Q44" i="2"/>
  <c r="I44" i="14"/>
  <c r="T51" i="2"/>
  <c r="K278" i="14"/>
  <c r="O385" i="14" s="1"/>
  <c r="P188" i="2"/>
  <c r="J188" i="14"/>
  <c r="P188" i="14" s="1"/>
  <c r="P105" i="2"/>
  <c r="J105" i="14"/>
  <c r="O273" i="2"/>
  <c r="Q273" i="2"/>
  <c r="R273" i="2"/>
  <c r="I273" i="14"/>
  <c r="O273" i="14" s="1"/>
  <c r="O208" i="2"/>
  <c r="Q208" i="2"/>
  <c r="R208" i="2"/>
  <c r="I208" i="14"/>
  <c r="O208" i="14" s="1"/>
  <c r="O192" i="2"/>
  <c r="R192" i="2"/>
  <c r="I192" i="14"/>
  <c r="T194" i="2"/>
  <c r="S193" i="2"/>
  <c r="S194" i="2" s="1"/>
  <c r="Q192" i="2"/>
  <c r="T196" i="2"/>
  <c r="O92" i="2"/>
  <c r="I92" i="14"/>
  <c r="R92" i="2"/>
  <c r="Q92" i="2"/>
  <c r="P269" i="2"/>
  <c r="S274" i="2"/>
  <c r="S275" i="2" s="1"/>
  <c r="J269" i="14"/>
  <c r="P236" i="2"/>
  <c r="J236" i="14"/>
  <c r="P236" i="14" s="1"/>
  <c r="P203" i="2"/>
  <c r="J203" i="14"/>
  <c r="P203" i="14" s="1"/>
  <c r="P5" i="2"/>
  <c r="O182" i="2"/>
  <c r="Q182" i="2"/>
  <c r="R182" i="2"/>
  <c r="I182" i="14"/>
  <c r="N20" i="2"/>
  <c r="M20" i="14"/>
  <c r="T184" i="2"/>
  <c r="R33" i="14"/>
  <c r="K186" i="14"/>
  <c r="O382" i="14" s="1"/>
  <c r="N312" i="2"/>
  <c r="M312" i="14"/>
  <c r="P235" i="2"/>
  <c r="J235" i="14"/>
  <c r="P235" i="14" s="1"/>
  <c r="P202" i="2"/>
  <c r="J202" i="14"/>
  <c r="P202" i="14" s="1"/>
  <c r="P177" i="2"/>
  <c r="J177" i="14"/>
  <c r="P177" i="14" s="1"/>
  <c r="P144" i="2"/>
  <c r="J144" i="14"/>
  <c r="P86" i="2"/>
  <c r="J86" i="14"/>
  <c r="P54" i="2"/>
  <c r="J54" i="14"/>
  <c r="O354" i="2"/>
  <c r="I354" i="14"/>
  <c r="R354" i="2"/>
  <c r="Q354" i="2"/>
  <c r="O271" i="2"/>
  <c r="R271" i="2"/>
  <c r="Q271" i="2"/>
  <c r="I271" i="14"/>
  <c r="O271" i="14" s="1"/>
  <c r="O190" i="2"/>
  <c r="Q190" i="2"/>
  <c r="R190" i="2"/>
  <c r="I190" i="14"/>
  <c r="O190" i="14" s="1"/>
  <c r="O123" i="2"/>
  <c r="R123" i="2"/>
  <c r="Q123" i="2"/>
  <c r="I123" i="14"/>
  <c r="O57" i="2"/>
  <c r="Q57" i="2"/>
  <c r="I57" i="14"/>
  <c r="R57" i="2"/>
  <c r="G32" i="14"/>
  <c r="Q32" i="14"/>
  <c r="E32" i="14"/>
  <c r="R32" i="14"/>
  <c r="R8" i="14"/>
  <c r="Q8" i="14"/>
  <c r="G8" i="14"/>
  <c r="C8" i="14" s="1"/>
  <c r="D30" i="14"/>
  <c r="R5" i="2"/>
  <c r="K217" i="14"/>
  <c r="O383" i="14" s="1"/>
  <c r="P336" i="2"/>
  <c r="J336" i="14"/>
  <c r="P336" i="14" s="1"/>
  <c r="P259" i="2"/>
  <c r="J259" i="14"/>
  <c r="P259" i="14" s="1"/>
  <c r="P168" i="2"/>
  <c r="J168" i="14"/>
  <c r="P168" i="14" s="1"/>
  <c r="P135" i="2"/>
  <c r="J135" i="14"/>
  <c r="P102" i="2"/>
  <c r="J102" i="14"/>
  <c r="P69" i="2"/>
  <c r="J69" i="14"/>
  <c r="O262" i="2"/>
  <c r="T264" i="2"/>
  <c r="Q262" i="2"/>
  <c r="R262" i="2"/>
  <c r="T266" i="2"/>
  <c r="S263" i="2"/>
  <c r="S264" i="2" s="1"/>
  <c r="I262" i="14"/>
  <c r="O197" i="2"/>
  <c r="I197" i="14"/>
  <c r="O197" i="14" s="1"/>
  <c r="Q197" i="2"/>
  <c r="R197" i="2"/>
  <c r="O156" i="2"/>
  <c r="R156" i="2"/>
  <c r="I156" i="14"/>
  <c r="Q156" i="2"/>
  <c r="O89" i="2"/>
  <c r="I89" i="14"/>
  <c r="R89" i="2"/>
  <c r="Q89" i="2"/>
  <c r="D15" i="14"/>
  <c r="P9" i="2"/>
  <c r="O16" i="2"/>
  <c r="N264" i="2"/>
  <c r="M264" i="14"/>
  <c r="P290" i="2"/>
  <c r="S295" i="2"/>
  <c r="S296" i="2" s="1"/>
  <c r="J290" i="14"/>
  <c r="P175" i="2"/>
  <c r="J175" i="14"/>
  <c r="P175" i="14" s="1"/>
  <c r="O360" i="2"/>
  <c r="Q360" i="2"/>
  <c r="R360" i="2"/>
  <c r="T364" i="2"/>
  <c r="T362" i="2"/>
  <c r="S361" i="2"/>
  <c r="S362" i="2" s="1"/>
  <c r="I360" i="14"/>
  <c r="O319" i="2"/>
  <c r="R319" i="2"/>
  <c r="I319" i="14"/>
  <c r="O319" i="14" s="1"/>
  <c r="Q319" i="2"/>
  <c r="O261" i="2"/>
  <c r="I261" i="14"/>
  <c r="O261" i="14" s="1"/>
  <c r="Q261" i="2"/>
  <c r="R261" i="2"/>
  <c r="O196" i="2"/>
  <c r="R196" i="2"/>
  <c r="Q196" i="2"/>
  <c r="I196" i="14"/>
  <c r="O196" i="14" s="1"/>
  <c r="O130" i="2"/>
  <c r="I130" i="14"/>
  <c r="R130" i="2"/>
  <c r="Q130" i="2"/>
  <c r="O47" i="2"/>
  <c r="Q47" i="2"/>
  <c r="I47" i="14"/>
  <c r="R47" i="2"/>
  <c r="M232" i="14"/>
  <c r="N232" i="2"/>
  <c r="T296" i="2"/>
  <c r="K248" i="14"/>
  <c r="O384" i="14" s="1"/>
  <c r="P304" i="2"/>
  <c r="J304" i="14"/>
  <c r="S309" i="2"/>
  <c r="S310" i="2" s="1"/>
  <c r="P116" i="2"/>
  <c r="J116" i="14"/>
  <c r="P83" i="2"/>
  <c r="J83" i="14"/>
  <c r="P43" i="2"/>
  <c r="J43" i="14"/>
  <c r="O351" i="2"/>
  <c r="R351" i="2"/>
  <c r="Q351" i="2"/>
  <c r="I351" i="14"/>
  <c r="O351" i="14" s="1"/>
  <c r="O310" i="2"/>
  <c r="I310" i="14"/>
  <c r="R310" i="2"/>
  <c r="Q310" i="2"/>
  <c r="O268" i="2"/>
  <c r="Q268" i="2"/>
  <c r="R268" i="2"/>
  <c r="I268" i="14"/>
  <c r="O268" i="14" s="1"/>
  <c r="O203" i="2"/>
  <c r="R203" i="2"/>
  <c r="I203" i="14"/>
  <c r="O203" i="14" s="1"/>
  <c r="Q203" i="2"/>
  <c r="O137" i="2"/>
  <c r="I137" i="14"/>
  <c r="R137" i="2"/>
  <c r="Q137" i="2"/>
  <c r="O54" i="2"/>
  <c r="I54" i="14"/>
  <c r="Q54" i="2"/>
  <c r="R54" i="2"/>
  <c r="T156" i="2"/>
  <c r="T338" i="2"/>
  <c r="N365" i="2"/>
  <c r="M365" i="14"/>
  <c r="N365" i="14" s="1"/>
  <c r="P357" i="2"/>
  <c r="J357" i="14"/>
  <c r="P357" i="14" s="1"/>
  <c r="P310" i="2"/>
  <c r="J310" i="14"/>
  <c r="P264" i="2"/>
  <c r="J264" i="14"/>
  <c r="P264" i="14" s="1"/>
  <c r="P239" i="2"/>
  <c r="J239" i="14"/>
  <c r="P239" i="14" s="1"/>
  <c r="P181" i="2"/>
  <c r="J181" i="14"/>
  <c r="P181" i="14" s="1"/>
  <c r="P148" i="2"/>
  <c r="J148" i="14"/>
  <c r="P115" i="2"/>
  <c r="S120" i="2"/>
  <c r="S121" i="2" s="1"/>
  <c r="J115" i="14"/>
  <c r="P82" i="2"/>
  <c r="J82" i="14"/>
  <c r="P50" i="2"/>
  <c r="J50" i="14"/>
  <c r="O358" i="2"/>
  <c r="R358" i="2"/>
  <c r="Q358" i="2"/>
  <c r="I358" i="14"/>
  <c r="O251" i="2"/>
  <c r="Q251" i="2"/>
  <c r="R251" i="2"/>
  <c r="I251" i="14"/>
  <c r="O251" i="14" s="1"/>
  <c r="O53" i="2"/>
  <c r="Q53" i="2"/>
  <c r="R53" i="2"/>
  <c r="I53" i="14"/>
  <c r="E12" i="14"/>
  <c r="O12" i="14" s="1"/>
  <c r="R12" i="14"/>
  <c r="G12" i="14"/>
  <c r="Q12" i="14"/>
  <c r="D26" i="14"/>
  <c r="P316" i="2"/>
  <c r="J316" i="14"/>
  <c r="P316" i="14" s="1"/>
  <c r="P22" i="2"/>
  <c r="J22" i="14"/>
  <c r="O282" i="2"/>
  <c r="Q282" i="2"/>
  <c r="R282" i="2"/>
  <c r="I282" i="14"/>
  <c r="O282" i="14" s="1"/>
  <c r="G18" i="14"/>
  <c r="Q18" i="14"/>
  <c r="R18" i="14"/>
  <c r="P79" i="2"/>
  <c r="J79" i="14"/>
  <c r="O281" i="2"/>
  <c r="R281" i="2"/>
  <c r="Q281" i="2"/>
  <c r="I281" i="14"/>
  <c r="O281" i="14" s="1"/>
  <c r="O191" i="2"/>
  <c r="R191" i="2"/>
  <c r="Q191" i="2"/>
  <c r="I191" i="14"/>
  <c r="O191" i="14" s="1"/>
  <c r="O108" i="2"/>
  <c r="S109" i="2"/>
  <c r="S110" i="2" s="1"/>
  <c r="T112" i="2"/>
  <c r="Q108" i="2"/>
  <c r="R108" i="2"/>
  <c r="I108" i="14"/>
  <c r="T110" i="2"/>
  <c r="O17" i="2"/>
  <c r="N18" i="14"/>
  <c r="L186" i="14"/>
  <c r="P382" i="14" s="1"/>
  <c r="P302" i="2"/>
  <c r="J302" i="14"/>
  <c r="P302" i="14" s="1"/>
  <c r="P271" i="2"/>
  <c r="J271" i="14"/>
  <c r="P271" i="14" s="1"/>
  <c r="P238" i="2"/>
  <c r="J238" i="14"/>
  <c r="P238" i="14" s="1"/>
  <c r="P205" i="2"/>
  <c r="J205" i="14"/>
  <c r="P205" i="14" s="1"/>
  <c r="P172" i="2"/>
  <c r="J172" i="14"/>
  <c r="P172" i="14" s="1"/>
  <c r="P147" i="2"/>
  <c r="J147" i="14"/>
  <c r="P114" i="2"/>
  <c r="J114" i="14"/>
  <c r="P81" i="2"/>
  <c r="J81" i="14"/>
  <c r="P49" i="2"/>
  <c r="J49" i="14"/>
  <c r="O357" i="2"/>
  <c r="Q357" i="2"/>
  <c r="R357" i="2"/>
  <c r="I357" i="14"/>
  <c r="O357" i="14" s="1"/>
  <c r="O291" i="2"/>
  <c r="I291" i="14"/>
  <c r="O291" i="14" s="1"/>
  <c r="R291" i="2"/>
  <c r="Q291" i="2"/>
  <c r="O225" i="2"/>
  <c r="Q225" i="2"/>
  <c r="I225" i="14"/>
  <c r="O225" i="14" s="1"/>
  <c r="R225" i="2"/>
  <c r="O209" i="2"/>
  <c r="I209" i="14"/>
  <c r="O209" i="14" s="1"/>
  <c r="Q209" i="2"/>
  <c r="R209" i="2"/>
  <c r="O168" i="2"/>
  <c r="R168" i="2"/>
  <c r="I168" i="14"/>
  <c r="O168" i="14" s="1"/>
  <c r="Q168" i="2"/>
  <c r="O85" i="2"/>
  <c r="R85" i="2"/>
  <c r="Q85" i="2"/>
  <c r="I85" i="14"/>
  <c r="N11" i="14"/>
  <c r="N301" i="2"/>
  <c r="M301" i="14"/>
  <c r="N334" i="2"/>
  <c r="M334" i="14"/>
  <c r="T373" i="2"/>
  <c r="N367" i="2"/>
  <c r="M367" i="14"/>
  <c r="P262" i="2"/>
  <c r="S267" i="2"/>
  <c r="S268" i="2" s="1"/>
  <c r="J262" i="14"/>
  <c r="P30" i="2"/>
  <c r="J30" i="14"/>
  <c r="O356" i="2"/>
  <c r="R356" i="2"/>
  <c r="Q356" i="2"/>
  <c r="I356" i="14"/>
  <c r="O232" i="2"/>
  <c r="Q232" i="2"/>
  <c r="R232" i="2"/>
  <c r="I232" i="14"/>
  <c r="O232" i="14" s="1"/>
  <c r="O43" i="2"/>
  <c r="R43" i="2"/>
  <c r="Q43" i="2"/>
  <c r="I43" i="14"/>
  <c r="P322" i="2"/>
  <c r="J322" i="14"/>
  <c r="P322" i="14" s="1"/>
  <c r="P285" i="2"/>
  <c r="J285" i="14"/>
  <c r="P285" i="14" s="1"/>
  <c r="P170" i="2"/>
  <c r="J170" i="14"/>
  <c r="P170" i="14" s="1"/>
  <c r="P129" i="2"/>
  <c r="J129" i="14"/>
  <c r="S134" i="2"/>
  <c r="S135" i="2" s="1"/>
  <c r="P87" i="2"/>
  <c r="S92" i="2"/>
  <c r="S93" i="2" s="1"/>
  <c r="J87" i="14"/>
  <c r="P39" i="2"/>
  <c r="J39" i="14"/>
  <c r="O223" i="2"/>
  <c r="Q223" i="2"/>
  <c r="I223" i="14"/>
  <c r="O223" i="14" s="1"/>
  <c r="R223" i="2"/>
  <c r="O141" i="2"/>
  <c r="Q141" i="2"/>
  <c r="R141" i="2"/>
  <c r="I141" i="14"/>
  <c r="M120" i="14"/>
  <c r="N120" i="2"/>
  <c r="T275" i="2"/>
  <c r="M360" i="14"/>
  <c r="N360" i="2"/>
  <c r="T366" i="2"/>
  <c r="R25" i="14"/>
  <c r="T9" i="2"/>
  <c r="M29" i="14"/>
  <c r="N29" i="14" s="1"/>
  <c r="N29" i="2"/>
  <c r="K36" i="14"/>
  <c r="O377" i="14" s="1"/>
  <c r="P360" i="2"/>
  <c r="S365" i="2"/>
  <c r="S366" i="2" s="1"/>
  <c r="J360" i="14"/>
  <c r="P329" i="2"/>
  <c r="J329" i="14"/>
  <c r="P329" i="14" s="1"/>
  <c r="P260" i="2"/>
  <c r="J260" i="14"/>
  <c r="P260" i="14" s="1"/>
  <c r="P111" i="2"/>
  <c r="J111" i="14"/>
  <c r="P12" i="2"/>
  <c r="J12" i="14"/>
  <c r="O329" i="2"/>
  <c r="Q329" i="2"/>
  <c r="R329" i="2"/>
  <c r="I329" i="14"/>
  <c r="O329" i="14" s="1"/>
  <c r="O288" i="2"/>
  <c r="Q288" i="2"/>
  <c r="R288" i="2"/>
  <c r="I288" i="14"/>
  <c r="O288" i="14" s="1"/>
  <c r="O246" i="2"/>
  <c r="R246" i="2"/>
  <c r="Q246" i="2"/>
  <c r="I246" i="14"/>
  <c r="O246" i="14" s="1"/>
  <c r="O206" i="2"/>
  <c r="R206" i="2"/>
  <c r="Q206" i="2"/>
  <c r="S207" i="2"/>
  <c r="S208" i="2" s="1"/>
  <c r="T210" i="2"/>
  <c r="T208" i="2"/>
  <c r="I206" i="14"/>
  <c r="O165" i="2"/>
  <c r="R165" i="2"/>
  <c r="I165" i="14"/>
  <c r="O165" i="14" s="1"/>
  <c r="Q165" i="2"/>
  <c r="O99" i="2"/>
  <c r="I99" i="14"/>
  <c r="R99" i="2"/>
  <c r="Q99" i="2"/>
  <c r="O24" i="2"/>
  <c r="N238" i="2"/>
  <c r="M238" i="14"/>
  <c r="N304" i="2"/>
  <c r="M304" i="14"/>
  <c r="T310" i="2"/>
  <c r="P359" i="2"/>
  <c r="J359" i="14"/>
  <c r="P359" i="14" s="1"/>
  <c r="P313" i="2"/>
  <c r="J313" i="14"/>
  <c r="P313" i="14" s="1"/>
  <c r="P226" i="2"/>
  <c r="J226" i="14"/>
  <c r="P226" i="14" s="1"/>
  <c r="P193" i="2"/>
  <c r="J193" i="14"/>
  <c r="P193" i="14" s="1"/>
  <c r="P27" i="2"/>
  <c r="J27" i="14"/>
  <c r="O361" i="2"/>
  <c r="Q361" i="2"/>
  <c r="R361" i="2"/>
  <c r="I361" i="14"/>
  <c r="O320" i="2"/>
  <c r="R320" i="2"/>
  <c r="Q320" i="2"/>
  <c r="I320" i="14"/>
  <c r="O320" i="14" s="1"/>
  <c r="O279" i="2"/>
  <c r="Q279" i="2"/>
  <c r="R279" i="2"/>
  <c r="I279" i="14"/>
  <c r="O237" i="2"/>
  <c r="R237" i="2"/>
  <c r="I237" i="14"/>
  <c r="O237" i="14" s="1"/>
  <c r="Q237" i="2"/>
  <c r="O172" i="2"/>
  <c r="I172" i="14"/>
  <c r="O172" i="14" s="1"/>
  <c r="R172" i="2"/>
  <c r="Q172" i="2"/>
  <c r="O131" i="2"/>
  <c r="R131" i="2"/>
  <c r="Q131" i="2"/>
  <c r="I131" i="14"/>
  <c r="O65" i="2"/>
  <c r="I65" i="14"/>
  <c r="Q65" i="2"/>
  <c r="R65" i="2"/>
  <c r="O344" i="2"/>
  <c r="Q344" i="2"/>
  <c r="I344" i="14"/>
  <c r="O344" i="14" s="1"/>
  <c r="R344" i="2"/>
  <c r="O179" i="2"/>
  <c r="R179" i="2"/>
  <c r="Q179" i="2"/>
  <c r="I179" i="14"/>
  <c r="O179" i="14" s="1"/>
  <c r="O21" i="2"/>
  <c r="O28" i="2"/>
  <c r="O37" i="2"/>
  <c r="N239" i="2"/>
  <c r="M239" i="14"/>
  <c r="T303" i="2"/>
  <c r="P366" i="2"/>
  <c r="J366" i="14"/>
  <c r="P366" i="14" s="1"/>
  <c r="P335" i="2"/>
  <c r="J335" i="14"/>
  <c r="P335" i="14" s="1"/>
  <c r="P312" i="2"/>
  <c r="J312" i="14"/>
  <c r="P312" i="14" s="1"/>
  <c r="P258" i="2"/>
  <c r="J258" i="14"/>
  <c r="P258" i="14" s="1"/>
  <c r="P200" i="2"/>
  <c r="J200" i="14"/>
  <c r="P200" i="14" s="1"/>
  <c r="P142" i="2"/>
  <c r="J142" i="14"/>
  <c r="P109" i="2"/>
  <c r="J109" i="14"/>
  <c r="P76" i="2"/>
  <c r="J76" i="14"/>
  <c r="P44" i="2"/>
  <c r="J44" i="14"/>
  <c r="P10" i="2"/>
  <c r="S15" i="2"/>
  <c r="S16" i="2" s="1"/>
  <c r="J10" i="14"/>
  <c r="O236" i="2"/>
  <c r="Q236" i="2"/>
  <c r="R236" i="2"/>
  <c r="I236" i="14"/>
  <c r="O236" i="14" s="1"/>
  <c r="O171" i="2"/>
  <c r="R171" i="2"/>
  <c r="T173" i="2"/>
  <c r="Q171" i="2"/>
  <c r="T175" i="2"/>
  <c r="S172" i="2"/>
  <c r="S173" i="2" s="1"/>
  <c r="I171" i="14"/>
  <c r="O105" i="2"/>
  <c r="I105" i="14"/>
  <c r="Q105" i="2"/>
  <c r="R105" i="2"/>
  <c r="P347" i="2"/>
  <c r="J347" i="14"/>
  <c r="P347" i="14" s="1"/>
  <c r="L64" i="14"/>
  <c r="P351" i="2"/>
  <c r="J351" i="14"/>
  <c r="P351" i="14" s="1"/>
  <c r="P273" i="2"/>
  <c r="J273" i="14"/>
  <c r="P273" i="14" s="1"/>
  <c r="P240" i="2"/>
  <c r="J240" i="14"/>
  <c r="P240" i="14" s="1"/>
  <c r="P207" i="2"/>
  <c r="J207" i="14"/>
  <c r="P207" i="14" s="1"/>
  <c r="P174" i="2"/>
  <c r="J174" i="14"/>
  <c r="P174" i="14" s="1"/>
  <c r="P141" i="2"/>
  <c r="J141" i="14"/>
  <c r="P33" i="2"/>
  <c r="J33" i="14"/>
  <c r="O243" i="2"/>
  <c r="Q243" i="2"/>
  <c r="I243" i="14"/>
  <c r="O243" i="14" s="1"/>
  <c r="R243" i="2"/>
  <c r="O178" i="2"/>
  <c r="Q178" i="2"/>
  <c r="R178" i="2"/>
  <c r="S179" i="2"/>
  <c r="S180" i="2" s="1"/>
  <c r="T182" i="2"/>
  <c r="T180" i="2"/>
  <c r="I178" i="14"/>
  <c r="O112" i="2"/>
  <c r="I112" i="14"/>
  <c r="Q112" i="2"/>
  <c r="R112" i="2"/>
  <c r="O71" i="2"/>
  <c r="R71" i="2"/>
  <c r="I71" i="14"/>
  <c r="Q71" i="2"/>
  <c r="T247" i="2"/>
  <c r="P333" i="2"/>
  <c r="J333" i="14"/>
  <c r="P333" i="14" s="1"/>
  <c r="P288" i="2"/>
  <c r="J288" i="14"/>
  <c r="P288" i="14" s="1"/>
  <c r="P206" i="2"/>
  <c r="S211" i="2"/>
  <c r="S212" i="2" s="1"/>
  <c r="J206" i="14"/>
  <c r="P8" i="2"/>
  <c r="J8" i="14"/>
  <c r="O333" i="2"/>
  <c r="Q333" i="2"/>
  <c r="R333" i="2"/>
  <c r="I333" i="14"/>
  <c r="O333" i="14" s="1"/>
  <c r="O292" i="2"/>
  <c r="Q292" i="2"/>
  <c r="I292" i="14"/>
  <c r="O292" i="14" s="1"/>
  <c r="R292" i="2"/>
  <c r="O226" i="2"/>
  <c r="R226" i="2"/>
  <c r="Q226" i="2"/>
  <c r="I226" i="14"/>
  <c r="O226" i="14" s="1"/>
  <c r="O186" i="2"/>
  <c r="Q186" i="2"/>
  <c r="R186" i="2"/>
  <c r="I186" i="14"/>
  <c r="T189" i="2"/>
  <c r="S186" i="2"/>
  <c r="T187" i="2"/>
  <c r="O144" i="2"/>
  <c r="R144" i="2"/>
  <c r="Q144" i="2"/>
  <c r="I144" i="14"/>
  <c r="O70" i="2"/>
  <c r="R70" i="2"/>
  <c r="Q70" i="2"/>
  <c r="I70" i="14"/>
  <c r="P362" i="2"/>
  <c r="J362" i="14"/>
  <c r="P362" i="14" s="1"/>
  <c r="P245" i="2"/>
  <c r="J245" i="14"/>
  <c r="P245" i="14" s="1"/>
  <c r="P196" i="2"/>
  <c r="J196" i="14"/>
  <c r="P196" i="14" s="1"/>
  <c r="P138" i="2"/>
  <c r="J138" i="14"/>
  <c r="P88" i="2"/>
  <c r="J88" i="14"/>
  <c r="O183" i="2"/>
  <c r="R183" i="2"/>
  <c r="Q183" i="2"/>
  <c r="I183" i="14"/>
  <c r="O84" i="2"/>
  <c r="Q84" i="2"/>
  <c r="R84" i="2"/>
  <c r="I84" i="14"/>
  <c r="O330" i="2"/>
  <c r="Q330" i="2"/>
  <c r="R330" i="2"/>
  <c r="I330" i="14"/>
  <c r="O330" i="14" s="1"/>
  <c r="O133" i="2"/>
  <c r="R133" i="2"/>
  <c r="Q133" i="2"/>
  <c r="I133" i="14"/>
  <c r="O50" i="2"/>
  <c r="I50" i="14"/>
  <c r="Q50" i="2"/>
  <c r="R50" i="2"/>
  <c r="T58" i="2"/>
  <c r="M176" i="14"/>
  <c r="N176" i="2"/>
  <c r="T240" i="2"/>
  <c r="P363" i="2"/>
  <c r="J363" i="14"/>
  <c r="P363" i="14" s="1"/>
  <c r="P341" i="2"/>
  <c r="J341" i="14"/>
  <c r="P341" i="14" s="1"/>
  <c r="P317" i="2"/>
  <c r="J317" i="14"/>
  <c r="P317" i="14" s="1"/>
  <c r="P7" i="2"/>
  <c r="J7" i="14"/>
  <c r="O332" i="2"/>
  <c r="I332" i="14"/>
  <c r="T336" i="2"/>
  <c r="Q332" i="2"/>
  <c r="S333" i="2"/>
  <c r="S334" i="2" s="1"/>
  <c r="R332" i="2"/>
  <c r="T334" i="2"/>
  <c r="O266" i="2"/>
  <c r="R266" i="2"/>
  <c r="Q266" i="2"/>
  <c r="I266" i="14"/>
  <c r="O266" i="14" s="1"/>
  <c r="O184" i="2"/>
  <c r="R184" i="2"/>
  <c r="Q184" i="2"/>
  <c r="I184" i="14"/>
  <c r="O184" i="14" s="1"/>
  <c r="O143" i="2"/>
  <c r="R143" i="2"/>
  <c r="T145" i="2"/>
  <c r="T147" i="2"/>
  <c r="Q143" i="2"/>
  <c r="S144" i="2"/>
  <c r="S145" i="2" s="1"/>
  <c r="I143" i="14"/>
  <c r="O102" i="2"/>
  <c r="R102" i="2"/>
  <c r="Q102" i="2"/>
  <c r="I102" i="14"/>
  <c r="O60" i="2"/>
  <c r="R60" i="2"/>
  <c r="Q60" i="2"/>
  <c r="I60" i="14"/>
  <c r="E36" i="14"/>
  <c r="G36" i="14"/>
  <c r="D11" i="14"/>
  <c r="M19" i="14"/>
  <c r="N19" i="2"/>
  <c r="T282" i="2"/>
  <c r="P163" i="2"/>
  <c r="J163" i="14"/>
  <c r="L32" i="35" s="1"/>
  <c r="P80" i="2"/>
  <c r="S85" i="2"/>
  <c r="S86" i="2" s="1"/>
  <c r="J80" i="14"/>
  <c r="O306" i="2"/>
  <c r="Q306" i="2"/>
  <c r="R306" i="2"/>
  <c r="I306" i="14"/>
  <c r="O306" i="14" s="1"/>
  <c r="O150" i="2"/>
  <c r="R150" i="2"/>
  <c r="S151" i="2"/>
  <c r="S152" i="2" s="1"/>
  <c r="T152" i="2"/>
  <c r="T154" i="2"/>
  <c r="Q150" i="2"/>
  <c r="I150" i="14"/>
  <c r="O126" i="2"/>
  <c r="I126" i="14"/>
  <c r="R126" i="2"/>
  <c r="Q126" i="2"/>
  <c r="R26" i="14"/>
  <c r="G26" i="14"/>
  <c r="C26" i="14" s="1"/>
  <c r="Q26" i="14"/>
  <c r="E26" i="14"/>
  <c r="O26" i="14" s="1"/>
  <c r="P261" i="2"/>
  <c r="J261" i="14"/>
  <c r="P261" i="14" s="1"/>
  <c r="P228" i="2"/>
  <c r="J228" i="14"/>
  <c r="P228" i="14" s="1"/>
  <c r="P195" i="2"/>
  <c r="J195" i="14"/>
  <c r="P195" i="14" s="1"/>
  <c r="P29" i="2"/>
  <c r="J29" i="14"/>
  <c r="O272" i="2"/>
  <c r="R272" i="2"/>
  <c r="I272" i="14"/>
  <c r="O272" i="14" s="1"/>
  <c r="Q272" i="2"/>
  <c r="O75" i="2"/>
  <c r="R75" i="2"/>
  <c r="Q75" i="2"/>
  <c r="I75" i="14"/>
  <c r="K95" i="14"/>
  <c r="N64" i="2"/>
  <c r="M64" i="14"/>
  <c r="N353" i="14"/>
  <c r="P306" i="2"/>
  <c r="J306" i="14"/>
  <c r="P306" i="14" s="1"/>
  <c r="P284" i="2"/>
  <c r="J284" i="14"/>
  <c r="P284" i="14" s="1"/>
  <c r="P227" i="2"/>
  <c r="J227" i="14"/>
  <c r="S232" i="2"/>
  <c r="S233" i="2" s="1"/>
  <c r="P194" i="2"/>
  <c r="J194" i="14"/>
  <c r="P194" i="14" s="1"/>
  <c r="P169" i="2"/>
  <c r="J169" i="14"/>
  <c r="P169" i="14" s="1"/>
  <c r="P136" i="2"/>
  <c r="S141" i="2"/>
  <c r="S142" i="2" s="1"/>
  <c r="J136" i="14"/>
  <c r="P78" i="2"/>
  <c r="J78" i="14"/>
  <c r="P46" i="2"/>
  <c r="J46" i="14"/>
  <c r="O304" i="2"/>
  <c r="Q304" i="2"/>
  <c r="S305" i="2"/>
  <c r="T306" i="2"/>
  <c r="T308" i="2"/>
  <c r="I304" i="14"/>
  <c r="R304" i="2"/>
  <c r="O222" i="2"/>
  <c r="R222" i="2"/>
  <c r="Q222" i="2"/>
  <c r="I222" i="14"/>
  <c r="O222" i="14" s="1"/>
  <c r="O140" i="2"/>
  <c r="R140" i="2"/>
  <c r="I140" i="14"/>
  <c r="Q140" i="2"/>
  <c r="O74" i="2"/>
  <c r="R74" i="2"/>
  <c r="Q74" i="2"/>
  <c r="I74" i="14"/>
  <c r="F21" i="3"/>
  <c r="G98" i="7" s="1"/>
  <c r="F20" i="4"/>
  <c r="N22" i="14"/>
  <c r="T219" i="2"/>
  <c r="P283" i="2"/>
  <c r="J283" i="14"/>
  <c r="S288" i="2"/>
  <c r="S289" i="2" s="1"/>
  <c r="P251" i="2"/>
  <c r="J251" i="14"/>
  <c r="P251" i="14" s="1"/>
  <c r="P160" i="2"/>
  <c r="J160" i="14"/>
  <c r="L29" i="35" s="1"/>
  <c r="P127" i="2"/>
  <c r="J127" i="14"/>
  <c r="P93" i="2"/>
  <c r="J93" i="14"/>
  <c r="P60" i="2"/>
  <c r="J60" i="14"/>
  <c r="O336" i="2"/>
  <c r="R336" i="2"/>
  <c r="Q336" i="2"/>
  <c r="I336" i="14"/>
  <c r="O336" i="14" s="1"/>
  <c r="O295" i="2"/>
  <c r="R295" i="2"/>
  <c r="I295" i="14"/>
  <c r="O295" i="14" s="1"/>
  <c r="Q295" i="2"/>
  <c r="O213" i="2"/>
  <c r="S214" i="2"/>
  <c r="T215" i="2"/>
  <c r="Q213" i="2"/>
  <c r="T217" i="2"/>
  <c r="I213" i="14"/>
  <c r="R213" i="2"/>
  <c r="O106" i="2"/>
  <c r="R106" i="2"/>
  <c r="Q106" i="2"/>
  <c r="I106" i="14"/>
  <c r="O40" i="2"/>
  <c r="R40" i="2"/>
  <c r="Q40" i="2"/>
  <c r="I40" i="14"/>
  <c r="D23" i="14"/>
  <c r="O5" i="14"/>
  <c r="O14" i="2"/>
  <c r="O18" i="2"/>
  <c r="O25" i="2"/>
  <c r="P282" i="2"/>
  <c r="J282" i="14"/>
  <c r="P282" i="14" s="1"/>
  <c r="P225" i="2"/>
  <c r="J225" i="14"/>
  <c r="P225" i="14" s="1"/>
  <c r="O335" i="2"/>
  <c r="I335" i="14"/>
  <c r="O335" i="14" s="1"/>
  <c r="Q335" i="2"/>
  <c r="R335" i="2"/>
  <c r="O278" i="2"/>
  <c r="Q278" i="2"/>
  <c r="R278" i="2"/>
  <c r="I278" i="14"/>
  <c r="O278" i="14" s="1"/>
  <c r="O212" i="2"/>
  <c r="I212" i="14"/>
  <c r="O212" i="14" s="1"/>
  <c r="Q212" i="2"/>
  <c r="R212" i="2"/>
  <c r="O146" i="2"/>
  <c r="Q146" i="2"/>
  <c r="R146" i="2"/>
  <c r="I146" i="14"/>
  <c r="O80" i="2"/>
  <c r="Q80" i="2"/>
  <c r="I80" i="14"/>
  <c r="T82" i="2"/>
  <c r="S81" i="2"/>
  <c r="S82" i="2" s="1"/>
  <c r="T84" i="2"/>
  <c r="R80" i="2"/>
  <c r="O64" i="2"/>
  <c r="R64" i="2"/>
  <c r="I64" i="14"/>
  <c r="Q64" i="2"/>
  <c r="Q22" i="14"/>
  <c r="G22" i="14"/>
  <c r="E22" i="14"/>
  <c r="R22" i="14"/>
  <c r="R6" i="14"/>
  <c r="E6" i="14"/>
  <c r="Q6" i="14"/>
  <c r="G6" i="14"/>
  <c r="M16" i="14"/>
  <c r="N16" i="2"/>
  <c r="T114" i="2"/>
  <c r="M240" i="14"/>
  <c r="N240" i="2"/>
  <c r="P326" i="2"/>
  <c r="J326" i="14"/>
  <c r="P326" i="14" s="1"/>
  <c r="P297" i="2"/>
  <c r="S302" i="2"/>
  <c r="S303" i="2" s="1"/>
  <c r="J297" i="14"/>
  <c r="P108" i="2"/>
  <c r="J108" i="14"/>
  <c r="S113" i="2"/>
  <c r="S114" i="2" s="1"/>
  <c r="P75" i="2"/>
  <c r="J75" i="14"/>
  <c r="O367" i="2"/>
  <c r="R367" i="2"/>
  <c r="Q367" i="2"/>
  <c r="T371" i="2"/>
  <c r="I367" i="14"/>
  <c r="T369" i="2"/>
  <c r="S368" i="2"/>
  <c r="S369" i="2" s="1"/>
  <c r="O326" i="2"/>
  <c r="Q326" i="2"/>
  <c r="R326" i="2"/>
  <c r="I326" i="14"/>
  <c r="O326" i="14" s="1"/>
  <c r="O285" i="2"/>
  <c r="Q285" i="2"/>
  <c r="I285" i="14"/>
  <c r="O285" i="14" s="1"/>
  <c r="R285" i="2"/>
  <c r="O219" i="2"/>
  <c r="R219" i="2"/>
  <c r="Q219" i="2"/>
  <c r="I219" i="14"/>
  <c r="O219" i="14" s="1"/>
  <c r="O153" i="2"/>
  <c r="R153" i="2"/>
  <c r="Q153" i="2"/>
  <c r="I153" i="14"/>
  <c r="O87" i="2"/>
  <c r="I87" i="14"/>
  <c r="Q87" i="2"/>
  <c r="R87" i="2"/>
  <c r="T91" i="2"/>
  <c r="T89" i="2"/>
  <c r="S88" i="2"/>
  <c r="S89" i="2" s="1"/>
  <c r="G29" i="14"/>
  <c r="C29" i="14" s="1"/>
  <c r="Q29" i="14"/>
  <c r="E29" i="14"/>
  <c r="O29" i="14" s="1"/>
  <c r="N126" i="2"/>
  <c r="M126" i="14"/>
  <c r="M217" i="14"/>
  <c r="N217" i="2"/>
  <c r="M341" i="14"/>
  <c r="N341" i="2"/>
  <c r="K156" i="14"/>
  <c r="P173" i="2"/>
  <c r="J173" i="14"/>
  <c r="P173" i="14" s="1"/>
  <c r="P140" i="2"/>
  <c r="J140" i="14"/>
  <c r="P107" i="2"/>
  <c r="J107" i="14"/>
  <c r="P74" i="2"/>
  <c r="J74" i="14"/>
  <c r="P42" i="2"/>
  <c r="J42" i="14"/>
  <c r="O267" i="2"/>
  <c r="R267" i="2"/>
  <c r="Q267" i="2"/>
  <c r="I267" i="14"/>
  <c r="O267" i="14" s="1"/>
  <c r="O202" i="2"/>
  <c r="R202" i="2"/>
  <c r="Q202" i="2"/>
  <c r="I202" i="14"/>
  <c r="O202" i="14" s="1"/>
  <c r="O161" i="2"/>
  <c r="R161" i="2"/>
  <c r="Q161" i="2"/>
  <c r="I161" i="14"/>
  <c r="K30" i="35" s="1"/>
  <c r="R28" i="14"/>
  <c r="E28" i="14"/>
  <c r="O28" i="14" s="1"/>
  <c r="G28" i="14"/>
  <c r="C28" i="14" s="1"/>
  <c r="Q28" i="14"/>
  <c r="P331" i="2"/>
  <c r="J331" i="14"/>
  <c r="P331" i="14" s="1"/>
  <c r="P279" i="2"/>
  <c r="J279" i="14"/>
  <c r="O323" i="2"/>
  <c r="Q323" i="2"/>
  <c r="R323" i="2"/>
  <c r="I323" i="14"/>
  <c r="O323" i="14" s="1"/>
  <c r="P47" i="2"/>
  <c r="J47" i="14"/>
  <c r="O355" i="2"/>
  <c r="R355" i="2"/>
  <c r="Q355" i="2"/>
  <c r="I355" i="14"/>
  <c r="O297" i="2"/>
  <c r="R297" i="2"/>
  <c r="Q297" i="2"/>
  <c r="S298" i="2"/>
  <c r="S299" i="2" s="1"/>
  <c r="T301" i="2"/>
  <c r="T299" i="2"/>
  <c r="I297" i="14"/>
  <c r="O239" i="2"/>
  <c r="Q239" i="2"/>
  <c r="I239" i="14"/>
  <c r="O239" i="14" s="1"/>
  <c r="R239" i="2"/>
  <c r="O215" i="2"/>
  <c r="R215" i="2"/>
  <c r="I215" i="14"/>
  <c r="O215" i="14" s="1"/>
  <c r="Q215" i="2"/>
  <c r="E17" i="14"/>
  <c r="G17" i="14"/>
  <c r="Q17" i="14"/>
  <c r="T19" i="14"/>
  <c r="T21" i="14"/>
  <c r="N118" i="2"/>
  <c r="M118" i="14"/>
  <c r="T149" i="2"/>
  <c r="M342" i="14"/>
  <c r="N342" i="2"/>
  <c r="P263" i="2"/>
  <c r="J263" i="14"/>
  <c r="P263" i="14" s="1"/>
  <c r="P230" i="2"/>
  <c r="J230" i="14"/>
  <c r="P230" i="14" s="1"/>
  <c r="P197" i="2"/>
  <c r="J197" i="14"/>
  <c r="P197" i="14" s="1"/>
  <c r="P139" i="2"/>
  <c r="J139" i="14"/>
  <c r="P106" i="2"/>
  <c r="J106" i="14"/>
  <c r="P73" i="2"/>
  <c r="J73" i="14"/>
  <c r="S78" i="2"/>
  <c r="S79" i="2" s="1"/>
  <c r="P41" i="2"/>
  <c r="J41" i="14"/>
  <c r="O307" i="2"/>
  <c r="R307" i="2"/>
  <c r="I307" i="14"/>
  <c r="O307" i="14" s="1"/>
  <c r="Q307" i="2"/>
  <c r="O241" i="2"/>
  <c r="Q241" i="2"/>
  <c r="R241" i="2"/>
  <c r="I241" i="14"/>
  <c r="T245" i="2"/>
  <c r="S242" i="2"/>
  <c r="S243" i="2" s="1"/>
  <c r="T243" i="2"/>
  <c r="O118" i="2"/>
  <c r="R118" i="2"/>
  <c r="I118" i="14"/>
  <c r="Q118" i="2"/>
  <c r="D36" i="14"/>
  <c r="N119" i="2"/>
  <c r="M119" i="14"/>
  <c r="M343" i="14"/>
  <c r="N343" i="2"/>
  <c r="L36" i="14"/>
  <c r="P237" i="2"/>
  <c r="J237" i="14"/>
  <c r="P237" i="14" s="1"/>
  <c r="P14" i="2"/>
  <c r="J14" i="14"/>
  <c r="O257" i="2"/>
  <c r="Q257" i="2"/>
  <c r="R257" i="2"/>
  <c r="I257" i="14"/>
  <c r="O257" i="14" s="1"/>
  <c r="O175" i="2"/>
  <c r="Q175" i="2"/>
  <c r="I175" i="14"/>
  <c r="O175" i="14" s="1"/>
  <c r="R175" i="2"/>
  <c r="O76" i="2"/>
  <c r="I76" i="14"/>
  <c r="Q76" i="2"/>
  <c r="R76" i="2"/>
  <c r="P315" i="2"/>
  <c r="J315" i="14"/>
  <c r="P315" i="14" s="1"/>
  <c r="P162" i="2"/>
  <c r="J162" i="14"/>
  <c r="L31" i="35" s="1"/>
  <c r="P120" i="2"/>
  <c r="J120" i="14"/>
  <c r="P71" i="2"/>
  <c r="J71" i="14"/>
  <c r="O166" i="2"/>
  <c r="R166" i="2"/>
  <c r="I166" i="14"/>
  <c r="O166" i="14" s="1"/>
  <c r="Q166" i="2"/>
  <c r="N28" i="14"/>
  <c r="M96" i="14"/>
  <c r="N96" i="2"/>
  <c r="T226" i="2"/>
  <c r="N368" i="2"/>
  <c r="M368" i="14"/>
  <c r="R9" i="14"/>
  <c r="N39" i="2"/>
  <c r="M39" i="14"/>
  <c r="M72" i="14"/>
  <c r="N72" i="2"/>
  <c r="T359" i="2"/>
  <c r="P353" i="2"/>
  <c r="S358" i="2"/>
  <c r="S359" i="2" s="1"/>
  <c r="J353" i="14"/>
  <c r="P252" i="2"/>
  <c r="J252" i="14"/>
  <c r="P252" i="14" s="1"/>
  <c r="P103" i="2"/>
  <c r="J103" i="14"/>
  <c r="O346" i="2"/>
  <c r="S347" i="2"/>
  <c r="S348" i="2" s="1"/>
  <c r="R346" i="2"/>
  <c r="Q346" i="2"/>
  <c r="T350" i="2"/>
  <c r="T348" i="2"/>
  <c r="I346" i="14"/>
  <c r="O263" i="2"/>
  <c r="R263" i="2"/>
  <c r="Q263" i="2"/>
  <c r="I263" i="14"/>
  <c r="O263" i="14" s="1"/>
  <c r="O181" i="2"/>
  <c r="Q181" i="2"/>
  <c r="R181" i="2"/>
  <c r="I181" i="14"/>
  <c r="O181" i="14" s="1"/>
  <c r="O115" i="2"/>
  <c r="R115" i="2"/>
  <c r="Q115" i="2"/>
  <c r="T117" i="2"/>
  <c r="I115" i="14"/>
  <c r="T119" i="2"/>
  <c r="S116" i="2"/>
  <c r="S117" i="2" s="1"/>
  <c r="O49" i="2"/>
  <c r="Q49" i="2"/>
  <c r="I49" i="14"/>
  <c r="R49" i="2"/>
  <c r="Q16" i="14"/>
  <c r="E16" i="14"/>
  <c r="O16" i="14" s="1"/>
  <c r="G16" i="14"/>
  <c r="R16" i="14"/>
  <c r="Q5" i="14"/>
  <c r="T5" i="14"/>
  <c r="S4" i="14"/>
  <c r="D21" i="14"/>
  <c r="M246" i="14"/>
  <c r="N246" i="2"/>
  <c r="N280" i="2"/>
  <c r="M280" i="14"/>
  <c r="T352" i="2"/>
  <c r="P352" i="2"/>
  <c r="J352" i="14"/>
  <c r="P352" i="14" s="1"/>
  <c r="P328" i="2"/>
  <c r="J328" i="14"/>
  <c r="P328" i="14" s="1"/>
  <c r="P218" i="2"/>
  <c r="J218" i="14"/>
  <c r="P19" i="2"/>
  <c r="J19" i="14"/>
  <c r="O254" i="2"/>
  <c r="Q254" i="2"/>
  <c r="R254" i="2"/>
  <c r="I254" i="14"/>
  <c r="O189" i="2"/>
  <c r="R189" i="2"/>
  <c r="I189" i="14"/>
  <c r="O189" i="14" s="1"/>
  <c r="Q189" i="2"/>
  <c r="O147" i="2"/>
  <c r="Q147" i="2"/>
  <c r="R147" i="2"/>
  <c r="I147" i="14"/>
  <c r="O81" i="2"/>
  <c r="Q81" i="2"/>
  <c r="I81" i="14"/>
  <c r="R81" i="2"/>
  <c r="T35" i="2"/>
  <c r="E23" i="14"/>
  <c r="Q23" i="14"/>
  <c r="G23" i="14"/>
  <c r="G7" i="14"/>
  <c r="C7" i="14" s="1"/>
  <c r="R7" i="14"/>
  <c r="E7" i="14"/>
  <c r="O7" i="14" s="1"/>
  <c r="Q7" i="14"/>
  <c r="P381" i="14" l="1"/>
  <c r="O381" i="14"/>
  <c r="S193" i="14"/>
  <c r="S200" i="14"/>
  <c r="S207" i="14"/>
  <c r="S151" i="14"/>
  <c r="S305" i="14"/>
  <c r="S256" i="14"/>
  <c r="S347" i="14"/>
  <c r="S284" i="14"/>
  <c r="S158" i="14"/>
  <c r="U27" i="35" s="1"/>
  <c r="S354" i="14"/>
  <c r="S165" i="14"/>
  <c r="S312" i="14"/>
  <c r="S326" i="14"/>
  <c r="S291" i="14"/>
  <c r="S249" i="14"/>
  <c r="S270" i="14"/>
  <c r="S319" i="14"/>
  <c r="S277" i="14"/>
  <c r="S235" i="14"/>
  <c r="S340" i="14"/>
  <c r="S228" i="14"/>
  <c r="S221" i="14"/>
  <c r="S263" i="14"/>
  <c r="S361" i="14"/>
  <c r="S172" i="14"/>
  <c r="S179" i="14"/>
  <c r="S186" i="14"/>
  <c r="S333" i="14"/>
  <c r="S214" i="14"/>
  <c r="S298" i="14"/>
  <c r="S242" i="14"/>
  <c r="S144" i="14"/>
  <c r="S137" i="14"/>
  <c r="O380" i="14"/>
  <c r="P380" i="14"/>
  <c r="N104" i="14"/>
  <c r="G377" i="14"/>
  <c r="O379" i="14"/>
  <c r="P379" i="14"/>
  <c r="O378" i="14"/>
  <c r="P378" i="14"/>
  <c r="Q379" i="14"/>
  <c r="T37" i="7" s="1"/>
  <c r="Q386" i="14"/>
  <c r="T44" i="7" s="1"/>
  <c r="Q378" i="14"/>
  <c r="T36" i="7" s="1"/>
  <c r="Q383" i="14"/>
  <c r="T41" i="7" s="1"/>
  <c r="N384" i="14"/>
  <c r="Q380" i="14"/>
  <c r="T38" i="7" s="1"/>
  <c r="Q381" i="14"/>
  <c r="T39" i="7" s="1"/>
  <c r="Q387" i="14"/>
  <c r="T45" i="7" s="1"/>
  <c r="Q377" i="14"/>
  <c r="Q384" i="14"/>
  <c r="T42" i="7" s="1"/>
  <c r="M378" i="14"/>
  <c r="Q388" i="14"/>
  <c r="T46" i="7" s="1"/>
  <c r="Q382" i="14"/>
  <c r="T40" i="7" s="1"/>
  <c r="Q385" i="14"/>
  <c r="T43" i="7" s="1"/>
  <c r="M381" i="14"/>
  <c r="N387" i="14"/>
  <c r="N377" i="14"/>
  <c r="M384" i="14"/>
  <c r="N386" i="14"/>
  <c r="P377" i="14"/>
  <c r="M387" i="14"/>
  <c r="M382" i="14"/>
  <c r="N380" i="14"/>
  <c r="N383" i="14"/>
  <c r="M380" i="14"/>
  <c r="M385" i="14"/>
  <c r="M386" i="14"/>
  <c r="N385" i="14"/>
  <c r="N381" i="14"/>
  <c r="M379" i="14"/>
  <c r="N378" i="14"/>
  <c r="K377" i="14"/>
  <c r="C6" i="14"/>
  <c r="M388" i="14"/>
  <c r="N388" i="14"/>
  <c r="N382" i="14"/>
  <c r="N379" i="14"/>
  <c r="M383" i="14"/>
  <c r="O6" i="14"/>
  <c r="C36" i="14"/>
  <c r="O33" i="14"/>
  <c r="O36" i="14"/>
  <c r="T33" i="14"/>
  <c r="C33" i="14"/>
  <c r="C31" i="14"/>
  <c r="O32" i="14"/>
  <c r="P36" i="14"/>
  <c r="O31" i="14"/>
  <c r="C37" i="14"/>
  <c r="C32" i="14"/>
  <c r="C23" i="14"/>
  <c r="C19" i="14"/>
  <c r="N21" i="14"/>
  <c r="C21" i="14"/>
  <c r="C22" i="14"/>
  <c r="C20" i="14"/>
  <c r="N19" i="14"/>
  <c r="O22" i="14"/>
  <c r="C18" i="14"/>
  <c r="N20" i="14"/>
  <c r="O20" i="14"/>
  <c r="C17" i="14"/>
  <c r="O17" i="14"/>
  <c r="O23" i="14"/>
  <c r="C13" i="14"/>
  <c r="C10" i="14"/>
  <c r="C14" i="14"/>
  <c r="C16" i="14"/>
  <c r="C15" i="14"/>
  <c r="C12" i="14"/>
  <c r="C11" i="14"/>
  <c r="S302" i="14"/>
  <c r="P297" i="14"/>
  <c r="S288" i="14"/>
  <c r="P283" i="14"/>
  <c r="O186" i="14"/>
  <c r="W186" i="14"/>
  <c r="N105" i="14"/>
  <c r="O279" i="14"/>
  <c r="N361" i="14"/>
  <c r="O361" i="14"/>
  <c r="S274" i="14"/>
  <c r="P269" i="14"/>
  <c r="N127" i="14"/>
  <c r="W228" i="14"/>
  <c r="O227" i="14"/>
  <c r="P367" i="14"/>
  <c r="S372" i="14"/>
  <c r="S218" i="14"/>
  <c r="P213" i="14"/>
  <c r="N113" i="14"/>
  <c r="N73" i="14"/>
  <c r="S74" i="14"/>
  <c r="S148" i="14"/>
  <c r="O255" i="14"/>
  <c r="N59" i="14"/>
  <c r="S60" i="14"/>
  <c r="O249" i="14"/>
  <c r="N110" i="14"/>
  <c r="N269" i="14"/>
  <c r="W270" i="14"/>
  <c r="O269" i="14"/>
  <c r="S344" i="14"/>
  <c r="P339" i="14"/>
  <c r="S337" i="14"/>
  <c r="P332" i="14"/>
  <c r="W354" i="14"/>
  <c r="Y354" i="14" s="1"/>
  <c r="O353" i="14"/>
  <c r="N90" i="14"/>
  <c r="S43" i="14"/>
  <c r="N77" i="14"/>
  <c r="N83" i="14"/>
  <c r="N45" i="14"/>
  <c r="S46" i="14"/>
  <c r="N121" i="14"/>
  <c r="P218" i="14"/>
  <c r="O332" i="14"/>
  <c r="W333" i="14"/>
  <c r="N50" i="14"/>
  <c r="P262" i="14"/>
  <c r="S267" i="14"/>
  <c r="F22" i="14"/>
  <c r="N89" i="14"/>
  <c r="N57" i="14"/>
  <c r="S95" i="14"/>
  <c r="P249" i="14"/>
  <c r="S57" i="14"/>
  <c r="N82" i="14"/>
  <c r="F20" i="14"/>
  <c r="N91" i="14"/>
  <c r="N69" i="14"/>
  <c r="S127" i="14"/>
  <c r="N67" i="14"/>
  <c r="P248" i="14"/>
  <c r="S253" i="14"/>
  <c r="S50" i="14"/>
  <c r="N61" i="14"/>
  <c r="S29" i="14"/>
  <c r="N79" i="14"/>
  <c r="N55" i="14"/>
  <c r="S225" i="14"/>
  <c r="P220" i="14"/>
  <c r="N283" i="14"/>
  <c r="W284" i="14"/>
  <c r="O283" i="14"/>
  <c r="P311" i="14"/>
  <c r="S316" i="14"/>
  <c r="F26" i="14"/>
  <c r="P26" i="14" s="1"/>
  <c r="S351" i="14"/>
  <c r="P346" i="14"/>
  <c r="N109" i="14"/>
  <c r="S71" i="14"/>
  <c r="N46" i="14"/>
  <c r="P192" i="14"/>
  <c r="S197" i="14"/>
  <c r="W200" i="14"/>
  <c r="O199" i="14"/>
  <c r="S169" i="14"/>
  <c r="P164" i="14"/>
  <c r="F21" i="14"/>
  <c r="S176" i="14"/>
  <c r="P171" i="14"/>
  <c r="P186" i="14"/>
  <c r="S190" i="14"/>
  <c r="N58" i="14"/>
  <c r="W326" i="14"/>
  <c r="O325" i="14"/>
  <c r="N115" i="14"/>
  <c r="S116" i="14"/>
  <c r="N87" i="14"/>
  <c r="S88" i="14"/>
  <c r="N80" i="14"/>
  <c r="S81" i="14"/>
  <c r="N106" i="14"/>
  <c r="S85" i="14"/>
  <c r="P206" i="14"/>
  <c r="S211" i="14"/>
  <c r="W179" i="14"/>
  <c r="O178" i="14"/>
  <c r="N108" i="14"/>
  <c r="S109" i="14"/>
  <c r="N358" i="14"/>
  <c r="O358" i="14"/>
  <c r="N128" i="14"/>
  <c r="F37" i="14"/>
  <c r="O304" i="14"/>
  <c r="W305" i="14"/>
  <c r="N71" i="14"/>
  <c r="S134" i="14"/>
  <c r="N51" i="14"/>
  <c r="P340" i="14"/>
  <c r="S162" i="14"/>
  <c r="U31" i="35" s="1"/>
  <c r="N85" i="14"/>
  <c r="O187" i="14"/>
  <c r="T35" i="14"/>
  <c r="S141" i="14"/>
  <c r="S232" i="14"/>
  <c r="P227" i="14"/>
  <c r="N60" i="14"/>
  <c r="W144" i="14"/>
  <c r="N70" i="14"/>
  <c r="F33" i="14"/>
  <c r="P310" i="14"/>
  <c r="N92" i="14"/>
  <c r="N111" i="14"/>
  <c r="N88" i="14"/>
  <c r="W221" i="14"/>
  <c r="O220" i="14"/>
  <c r="S239" i="14"/>
  <c r="P234" i="14"/>
  <c r="S99" i="14"/>
  <c r="N366" i="14"/>
  <c r="O366" i="14"/>
  <c r="N62" i="14"/>
  <c r="O276" i="14"/>
  <c r="W277" i="14"/>
  <c r="O218" i="14"/>
  <c r="N97" i="14"/>
  <c r="N56" i="14"/>
  <c r="N122" i="14"/>
  <c r="S123" i="14"/>
  <c r="N164" i="14"/>
  <c r="O164" i="14"/>
  <c r="P199" i="14"/>
  <c r="S204" i="14"/>
  <c r="S106" i="14"/>
  <c r="N81" i="14"/>
  <c r="N101" i="14"/>
  <c r="S102" i="14"/>
  <c r="G254" i="14"/>
  <c r="C254" i="14" s="1"/>
  <c r="O254" i="14"/>
  <c r="W242" i="14"/>
  <c r="O241" i="14"/>
  <c r="N355" i="14"/>
  <c r="O355" i="14"/>
  <c r="N84" i="14"/>
  <c r="N43" i="14"/>
  <c r="W193" i="14"/>
  <c r="O192" i="14"/>
  <c r="F27" i="14"/>
  <c r="P27" i="14" s="1"/>
  <c r="P304" i="14"/>
  <c r="S309" i="14"/>
  <c r="N123" i="14"/>
  <c r="N44" i="14"/>
  <c r="W249" i="14"/>
  <c r="O248" i="14"/>
  <c r="W319" i="14"/>
  <c r="O318" i="14"/>
  <c r="S64" i="14"/>
  <c r="S78" i="14"/>
  <c r="S368" i="14"/>
  <c r="W368" i="14" s="1"/>
  <c r="Y368" i="14" s="1"/>
  <c r="O367" i="14"/>
  <c r="S113" i="14"/>
  <c r="N40" i="14"/>
  <c r="N74" i="14"/>
  <c r="N99" i="14"/>
  <c r="W361" i="14"/>
  <c r="Y361" i="14" s="1"/>
  <c r="O360" i="14"/>
  <c r="F18" i="14"/>
  <c r="W340" i="14"/>
  <c r="O339" i="14"/>
  <c r="N78" i="14"/>
  <c r="W235" i="14"/>
  <c r="O234" i="14"/>
  <c r="S183" i="14"/>
  <c r="P178" i="14"/>
  <c r="N98" i="14"/>
  <c r="F28" i="14"/>
  <c r="P28" i="14" s="1"/>
  <c r="N290" i="14"/>
  <c r="W291" i="14"/>
  <c r="O290" i="14"/>
  <c r="P255" i="14"/>
  <c r="S260" i="14"/>
  <c r="N364" i="14"/>
  <c r="O364" i="14"/>
  <c r="N117" i="14"/>
  <c r="S130" i="14"/>
  <c r="S358" i="14"/>
  <c r="P353" i="14"/>
  <c r="W172" i="14"/>
  <c r="O171" i="14"/>
  <c r="N65" i="14"/>
  <c r="N53" i="14"/>
  <c r="S120" i="14"/>
  <c r="N354" i="14"/>
  <c r="O354" i="14"/>
  <c r="S39" i="14"/>
  <c r="N114" i="14"/>
  <c r="N356" i="14"/>
  <c r="O356" i="14"/>
  <c r="W263" i="14"/>
  <c r="O262" i="14"/>
  <c r="O340" i="14"/>
  <c r="N93" i="14"/>
  <c r="F23" i="14"/>
  <c r="N42" i="14"/>
  <c r="W298" i="14"/>
  <c r="O297" i="14"/>
  <c r="W207" i="14"/>
  <c r="O206" i="14"/>
  <c r="N66" i="14"/>
  <c r="S67" i="14"/>
  <c r="N362" i="14"/>
  <c r="O362" i="14"/>
  <c r="N49" i="14"/>
  <c r="P279" i="14"/>
  <c r="F19" i="14"/>
  <c r="W347" i="14"/>
  <c r="O346" i="14"/>
  <c r="N76" i="14"/>
  <c r="W214" i="14"/>
  <c r="O213" i="14"/>
  <c r="N75" i="14"/>
  <c r="F29" i="14"/>
  <c r="P29" i="14" s="1"/>
  <c r="W151" i="14"/>
  <c r="G183" i="14"/>
  <c r="C183" i="14" s="1"/>
  <c r="O183" i="14"/>
  <c r="P360" i="14"/>
  <c r="S365" i="14"/>
  <c r="S92" i="14"/>
  <c r="F30" i="14"/>
  <c r="P30" i="14" s="1"/>
  <c r="N54" i="14"/>
  <c r="O310" i="14"/>
  <c r="S295" i="14"/>
  <c r="P290" i="14"/>
  <c r="G182" i="14"/>
  <c r="C182" i="14" s="1"/>
  <c r="O182" i="14"/>
  <c r="N363" i="14"/>
  <c r="O363" i="14"/>
  <c r="S155" i="14"/>
  <c r="P318" i="14"/>
  <c r="S323" i="14"/>
  <c r="G252" i="14"/>
  <c r="C252" i="14" s="1"/>
  <c r="O252" i="14"/>
  <c r="N107" i="14"/>
  <c r="S22" i="14"/>
  <c r="P241" i="14"/>
  <c r="S246" i="14"/>
  <c r="S281" i="14"/>
  <c r="P276" i="14"/>
  <c r="N52" i="14"/>
  <c r="S53" i="14"/>
  <c r="N68" i="14"/>
  <c r="S330" i="14"/>
  <c r="P325" i="14"/>
  <c r="O311" i="14"/>
  <c r="N116" i="14"/>
  <c r="P187" i="14"/>
  <c r="S36" i="14"/>
  <c r="N86" i="14"/>
  <c r="F32" i="14"/>
  <c r="F25" i="14"/>
  <c r="P25" i="14" s="1"/>
  <c r="G253" i="14"/>
  <c r="C253" i="14" s="1"/>
  <c r="O253" i="14"/>
  <c r="F13" i="14"/>
  <c r="P13" i="14" s="1"/>
  <c r="F12" i="14"/>
  <c r="P12" i="14" s="1"/>
  <c r="F16" i="14"/>
  <c r="P16" i="14" s="1"/>
  <c r="F14" i="14"/>
  <c r="P14" i="14" s="1"/>
  <c r="F11" i="14"/>
  <c r="P11" i="14" s="1"/>
  <c r="N16" i="14"/>
  <c r="F15" i="14"/>
  <c r="P15" i="14" s="1"/>
  <c r="F7" i="14"/>
  <c r="P7" i="14" s="1"/>
  <c r="F8" i="14"/>
  <c r="P8" i="14" s="1"/>
  <c r="N9" i="14"/>
  <c r="F6" i="14"/>
  <c r="D9" i="14"/>
  <c r="N368" i="14"/>
  <c r="N357" i="14"/>
  <c r="N346" i="14"/>
  <c r="N348" i="14"/>
  <c r="N352" i="14"/>
  <c r="N347" i="14"/>
  <c r="N350" i="14"/>
  <c r="N351" i="14"/>
  <c r="N349" i="14"/>
  <c r="N342" i="14"/>
  <c r="N341" i="14"/>
  <c r="N344" i="14"/>
  <c r="N343" i="14"/>
  <c r="N340" i="14"/>
  <c r="N345" i="14"/>
  <c r="N333" i="14"/>
  <c r="N332" i="14"/>
  <c r="N335" i="14"/>
  <c r="N337" i="14"/>
  <c r="N334" i="14"/>
  <c r="N336" i="14"/>
  <c r="N327" i="14"/>
  <c r="N331" i="14"/>
  <c r="N329" i="14"/>
  <c r="N330" i="14"/>
  <c r="N328" i="14"/>
  <c r="N326" i="14"/>
  <c r="N322" i="14"/>
  <c r="N319" i="14"/>
  <c r="N324" i="14"/>
  <c r="N321" i="14"/>
  <c r="N323" i="14"/>
  <c r="N320" i="14"/>
  <c r="N314" i="14"/>
  <c r="N313" i="14"/>
  <c r="N315" i="14"/>
  <c r="N312" i="14"/>
  <c r="N311" i="14"/>
  <c r="N317" i="14"/>
  <c r="N316" i="14"/>
  <c r="N307" i="14"/>
  <c r="N306" i="14"/>
  <c r="N310" i="14"/>
  <c r="N305" i="14"/>
  <c r="N309" i="14"/>
  <c r="N299" i="14"/>
  <c r="N301" i="14"/>
  <c r="N303" i="14"/>
  <c r="N300" i="14"/>
  <c r="N297" i="14"/>
  <c r="N302" i="14"/>
  <c r="N298" i="14"/>
  <c r="N293" i="14"/>
  <c r="N291" i="14"/>
  <c r="N294" i="14"/>
  <c r="N295" i="14"/>
  <c r="N292" i="14"/>
  <c r="N296" i="14"/>
  <c r="N287" i="14"/>
  <c r="N284" i="14"/>
  <c r="N285" i="14"/>
  <c r="N289" i="14"/>
  <c r="N286" i="14"/>
  <c r="N288" i="14"/>
  <c r="N279" i="14"/>
  <c r="N276" i="14"/>
  <c r="N281" i="14"/>
  <c r="N280" i="14"/>
  <c r="N282" i="14"/>
  <c r="N278" i="14"/>
  <c r="N271" i="14"/>
  <c r="N273" i="14"/>
  <c r="N275" i="14"/>
  <c r="N274" i="14"/>
  <c r="N270" i="14"/>
  <c r="N272" i="14"/>
  <c r="N264" i="14"/>
  <c r="N265" i="14"/>
  <c r="N266" i="14"/>
  <c r="N268" i="14"/>
  <c r="N267" i="14"/>
  <c r="N262" i="14"/>
  <c r="N263" i="14"/>
  <c r="N261" i="14"/>
  <c r="N259" i="14"/>
  <c r="N260" i="14"/>
  <c r="N258" i="14"/>
  <c r="N257" i="14"/>
  <c r="T9" i="14"/>
  <c r="N256" i="14"/>
  <c r="N252" i="14"/>
  <c r="N250" i="14"/>
  <c r="N249" i="14"/>
  <c r="N253" i="14"/>
  <c r="N254" i="14"/>
  <c r="N251" i="14"/>
  <c r="N242" i="14"/>
  <c r="N241" i="14"/>
  <c r="N246" i="14"/>
  <c r="N244" i="14"/>
  <c r="N243" i="14"/>
  <c r="N245" i="14"/>
  <c r="N234" i="14"/>
  <c r="N235" i="14"/>
  <c r="N240" i="14"/>
  <c r="N236" i="14"/>
  <c r="N237" i="14"/>
  <c r="N238" i="14"/>
  <c r="N239" i="14"/>
  <c r="N233" i="14"/>
  <c r="N231" i="14"/>
  <c r="N229" i="14"/>
  <c r="N228" i="14"/>
  <c r="D227" i="14"/>
  <c r="N227" i="14"/>
  <c r="N226" i="14"/>
  <c r="N223" i="14"/>
  <c r="N224" i="14"/>
  <c r="N220" i="14"/>
  <c r="N221" i="14"/>
  <c r="N222" i="14"/>
  <c r="N232" i="14"/>
  <c r="N230" i="14"/>
  <c r="N225" i="14"/>
  <c r="N218" i="14"/>
  <c r="N219" i="14"/>
  <c r="N215" i="14"/>
  <c r="N217" i="14"/>
  <c r="N213" i="14"/>
  <c r="N214" i="14"/>
  <c r="N209" i="14"/>
  <c r="N210" i="14"/>
  <c r="N207" i="14"/>
  <c r="N211" i="14"/>
  <c r="N212" i="14"/>
  <c r="N206" i="14"/>
  <c r="N208" i="14"/>
  <c r="N201" i="14"/>
  <c r="N202" i="14"/>
  <c r="N200" i="14"/>
  <c r="N204" i="14"/>
  <c r="N205" i="14"/>
  <c r="N203" i="14"/>
  <c r="N199" i="14"/>
  <c r="N195" i="14"/>
  <c r="N198" i="14"/>
  <c r="N194" i="14"/>
  <c r="N197" i="14"/>
  <c r="N196" i="14"/>
  <c r="N193" i="14"/>
  <c r="N188" i="14"/>
  <c r="N191" i="14"/>
  <c r="N187" i="14"/>
  <c r="N189" i="14"/>
  <c r="N190" i="14"/>
  <c r="G184" i="14"/>
  <c r="C184" i="14" s="1"/>
  <c r="N181" i="14"/>
  <c r="N180" i="14"/>
  <c r="N182" i="14"/>
  <c r="N179" i="14"/>
  <c r="N183" i="14"/>
  <c r="N178" i="14"/>
  <c r="N184" i="14"/>
  <c r="N172" i="14"/>
  <c r="N177" i="14"/>
  <c r="N175" i="14"/>
  <c r="N174" i="14"/>
  <c r="N173" i="14"/>
  <c r="N171" i="14"/>
  <c r="N176" i="14"/>
  <c r="N168" i="14"/>
  <c r="N169" i="14"/>
  <c r="N167" i="14"/>
  <c r="N166" i="14"/>
  <c r="N170" i="14"/>
  <c r="N165" i="14"/>
  <c r="N163" i="14"/>
  <c r="P32" i="35" s="1"/>
  <c r="N161" i="14"/>
  <c r="P30" i="35" s="1"/>
  <c r="N160" i="14"/>
  <c r="P29" i="35" s="1"/>
  <c r="N162" i="14"/>
  <c r="P31" i="35" s="1"/>
  <c r="N157" i="14"/>
  <c r="P26" i="35" s="1"/>
  <c r="N159" i="14"/>
  <c r="P28" i="35" s="1"/>
  <c r="N119" i="14"/>
  <c r="N158" i="14"/>
  <c r="P27" i="35" s="1"/>
  <c r="N150" i="14"/>
  <c r="N153" i="14"/>
  <c r="N154" i="14"/>
  <c r="N156" i="14"/>
  <c r="N152" i="14"/>
  <c r="N151" i="14"/>
  <c r="N144" i="14"/>
  <c r="N149" i="14"/>
  <c r="N143" i="14"/>
  <c r="N148" i="14"/>
  <c r="N146" i="14"/>
  <c r="N145" i="14"/>
  <c r="N147" i="14"/>
  <c r="N141" i="14"/>
  <c r="N139" i="14"/>
  <c r="N142" i="14"/>
  <c r="N138" i="14"/>
  <c r="N137" i="14"/>
  <c r="N120" i="14"/>
  <c r="N140" i="14"/>
  <c r="N125" i="14"/>
  <c r="N130" i="14"/>
  <c r="N131" i="14"/>
  <c r="N135" i="14"/>
  <c r="N129" i="14"/>
  <c r="N132" i="14"/>
  <c r="N134" i="14"/>
  <c r="N96" i="14"/>
  <c r="N126" i="14"/>
  <c r="N133" i="14"/>
  <c r="N118" i="14"/>
  <c r="N112" i="14"/>
  <c r="N103" i="14"/>
  <c r="N102" i="14"/>
  <c r="N100" i="14"/>
  <c r="N72" i="14"/>
  <c r="F6" i="3"/>
  <c r="G40" i="25" s="1"/>
  <c r="N64" i="14"/>
  <c r="R5" i="14"/>
  <c r="Q125" i="14"/>
  <c r="N48" i="14"/>
  <c r="R217" i="14"/>
  <c r="N47" i="14"/>
  <c r="N39" i="14"/>
  <c r="S341" i="2"/>
  <c r="N41" i="14"/>
  <c r="S65" i="2"/>
  <c r="F39" i="3"/>
  <c r="G33" i="29" s="1"/>
  <c r="G34" i="29" s="1"/>
  <c r="L7" i="29" s="1"/>
  <c r="E8" i="14"/>
  <c r="O8" i="14" s="1"/>
  <c r="S26" i="2"/>
  <c r="S12" i="2"/>
  <c r="S187" i="2"/>
  <c r="S156" i="2"/>
  <c r="S215" i="2"/>
  <c r="S61" i="2"/>
  <c r="S5" i="2"/>
  <c r="S128" i="2"/>
  <c r="G52" i="7"/>
  <c r="G84" i="7"/>
  <c r="T275" i="14"/>
  <c r="G68" i="7"/>
  <c r="T156" i="14"/>
  <c r="T338" i="14"/>
  <c r="T58" i="14"/>
  <c r="T359" i="14"/>
  <c r="T184" i="14"/>
  <c r="T205" i="14"/>
  <c r="Q36" i="14"/>
  <c r="T86" i="14"/>
  <c r="T121" i="14"/>
  <c r="F6" i="4"/>
  <c r="G6" i="4" s="1"/>
  <c r="F331" i="14"/>
  <c r="R146" i="14"/>
  <c r="G146" i="14"/>
  <c r="Q146" i="14"/>
  <c r="E146" i="14"/>
  <c r="D6" i="14"/>
  <c r="D135" i="14"/>
  <c r="F363" i="14"/>
  <c r="D359" i="14"/>
  <c r="F352" i="14"/>
  <c r="F162" i="14"/>
  <c r="E239" i="14"/>
  <c r="G239" i="14"/>
  <c r="C239" i="14" s="1"/>
  <c r="Q239" i="14"/>
  <c r="R239" i="14"/>
  <c r="D61" i="14"/>
  <c r="D41" i="14"/>
  <c r="F93" i="14"/>
  <c r="F284" i="14"/>
  <c r="F73" i="14"/>
  <c r="D79" i="14"/>
  <c r="D67" i="14"/>
  <c r="Q336" i="14"/>
  <c r="R336" i="14"/>
  <c r="G336" i="14"/>
  <c r="C336" i="14" s="1"/>
  <c r="E336" i="14"/>
  <c r="F127" i="14"/>
  <c r="D55" i="14"/>
  <c r="D165" i="14"/>
  <c r="D278" i="14"/>
  <c r="F306" i="14"/>
  <c r="G272" i="14"/>
  <c r="C272" i="14" s="1"/>
  <c r="E272" i="14"/>
  <c r="R272" i="14"/>
  <c r="Q272" i="14"/>
  <c r="D142" i="14"/>
  <c r="G81" i="14"/>
  <c r="E81" i="14"/>
  <c r="Q81" i="14"/>
  <c r="R81" i="14"/>
  <c r="G189" i="14"/>
  <c r="C189" i="14" s="1"/>
  <c r="R189" i="14"/>
  <c r="E189" i="14"/>
  <c r="Q189" i="14"/>
  <c r="D289" i="14"/>
  <c r="F103" i="14"/>
  <c r="G297" i="14"/>
  <c r="C297" i="14" s="1"/>
  <c r="Q297" i="14"/>
  <c r="R297" i="14"/>
  <c r="E297" i="14"/>
  <c r="T301" i="14"/>
  <c r="T299" i="14"/>
  <c r="F279" i="14"/>
  <c r="D113" i="14"/>
  <c r="Q161" i="14"/>
  <c r="S30" i="35" s="1"/>
  <c r="E161" i="14"/>
  <c r="G161" i="14"/>
  <c r="R161" i="14"/>
  <c r="T30" i="35" s="1"/>
  <c r="R267" i="14"/>
  <c r="G267" i="14"/>
  <c r="C267" i="14" s="1"/>
  <c r="Q267" i="14"/>
  <c r="E267" i="14"/>
  <c r="F74" i="14"/>
  <c r="F42" i="7"/>
  <c r="G285" i="14"/>
  <c r="C285" i="14" s="1"/>
  <c r="Q285" i="14"/>
  <c r="E285" i="14"/>
  <c r="R285" i="14"/>
  <c r="G212" i="14"/>
  <c r="C212" i="14" s="1"/>
  <c r="E212" i="14"/>
  <c r="Q212" i="14"/>
  <c r="R212" i="14"/>
  <c r="D40" i="14"/>
  <c r="D210" i="14"/>
  <c r="Q106" i="14"/>
  <c r="R106" i="14"/>
  <c r="G106" i="14"/>
  <c r="E106" i="14"/>
  <c r="D112" i="14"/>
  <c r="D225" i="14"/>
  <c r="F14" i="3"/>
  <c r="F194" i="14"/>
  <c r="D257" i="14"/>
  <c r="F261" i="14"/>
  <c r="F341" i="14"/>
  <c r="D328" i="14"/>
  <c r="R183" i="14"/>
  <c r="Q183" i="14"/>
  <c r="E183" i="14"/>
  <c r="F196" i="14"/>
  <c r="D197" i="14"/>
  <c r="D310" i="14"/>
  <c r="F240" i="14"/>
  <c r="D268" i="14"/>
  <c r="D295" i="14"/>
  <c r="E65" i="14"/>
  <c r="G65" i="14"/>
  <c r="R65" i="14"/>
  <c r="Q65" i="14"/>
  <c r="Q172" i="14"/>
  <c r="E172" i="14"/>
  <c r="G172" i="14"/>
  <c r="C172" i="14" s="1"/>
  <c r="R172" i="14"/>
  <c r="F313" i="14"/>
  <c r="D33" i="14"/>
  <c r="F329" i="14"/>
  <c r="G232" i="14"/>
  <c r="C232" i="14" s="1"/>
  <c r="E232" i="14"/>
  <c r="R232" i="14"/>
  <c r="Q232" i="14"/>
  <c r="R108" i="14"/>
  <c r="G108" i="14"/>
  <c r="Q108" i="14"/>
  <c r="E108" i="14"/>
  <c r="T112" i="14"/>
  <c r="T110" i="14"/>
  <c r="D53" i="14"/>
  <c r="D191" i="14"/>
  <c r="R282" i="14"/>
  <c r="Q282" i="14"/>
  <c r="E282" i="14"/>
  <c r="G282" i="14"/>
  <c r="C282" i="14" s="1"/>
  <c r="D51" i="14"/>
  <c r="Q358" i="14"/>
  <c r="E358" i="14"/>
  <c r="G358" i="14"/>
  <c r="C358" i="14" s="1"/>
  <c r="R358" i="14"/>
  <c r="F115" i="14"/>
  <c r="D118" i="14"/>
  <c r="F102" i="14"/>
  <c r="F336" i="14"/>
  <c r="D104" i="14"/>
  <c r="D217" i="14"/>
  <c r="D73" i="14"/>
  <c r="D246" i="14"/>
  <c r="Q190" i="14"/>
  <c r="E190" i="14"/>
  <c r="R190" i="14"/>
  <c r="G190" i="14"/>
  <c r="C190" i="14" s="1"/>
  <c r="F144" i="14"/>
  <c r="R182" i="14"/>
  <c r="E182" i="14"/>
  <c r="Q182" i="14"/>
  <c r="G192" i="14"/>
  <c r="C192" i="14" s="1"/>
  <c r="E192" i="14"/>
  <c r="R192" i="14"/>
  <c r="Q192" i="14"/>
  <c r="T194" i="14"/>
  <c r="T196" i="14"/>
  <c r="D162" i="14"/>
  <c r="F31" i="35" s="1"/>
  <c r="D335" i="14"/>
  <c r="G127" i="14"/>
  <c r="E127" i="14"/>
  <c r="Q127" i="14"/>
  <c r="R127" i="14"/>
  <c r="Q316" i="14"/>
  <c r="R316" i="14"/>
  <c r="G316" i="14"/>
  <c r="C316" i="14" s="1"/>
  <c r="E316" i="14"/>
  <c r="Q314" i="14"/>
  <c r="E314" i="14"/>
  <c r="G314" i="14"/>
  <c r="C314" i="14" s="1"/>
  <c r="R314" i="14"/>
  <c r="D292" i="14"/>
  <c r="F40" i="14"/>
  <c r="F254" i="14"/>
  <c r="D189" i="14"/>
  <c r="D362" i="14"/>
  <c r="E128" i="14"/>
  <c r="R128" i="14"/>
  <c r="G128" i="14"/>
  <c r="Q128" i="14"/>
  <c r="F14" i="4"/>
  <c r="G162" i="14"/>
  <c r="E162" i="14"/>
  <c r="R162" i="14"/>
  <c r="T31" i="35" s="1"/>
  <c r="Q162" i="14"/>
  <c r="S31" i="35" s="1"/>
  <c r="F149" i="14"/>
  <c r="F281" i="14"/>
  <c r="D116" i="14"/>
  <c r="D203" i="14"/>
  <c r="D316" i="14"/>
  <c r="F233" i="14"/>
  <c r="D305" i="14"/>
  <c r="F145" i="14"/>
  <c r="G315" i="14"/>
  <c r="C315" i="14" s="1"/>
  <c r="E315" i="14"/>
  <c r="Q315" i="14"/>
  <c r="R315" i="14"/>
  <c r="N136" i="14"/>
  <c r="T142" i="14"/>
  <c r="F156" i="14"/>
  <c r="F246" i="14"/>
  <c r="E67" i="14"/>
  <c r="Q67" i="14"/>
  <c r="G67" i="14"/>
  <c r="R67" i="14"/>
  <c r="F137" i="14"/>
  <c r="D163" i="14"/>
  <c r="F32" i="35" s="1"/>
  <c r="T103" i="14"/>
  <c r="E101" i="14"/>
  <c r="G101" i="14"/>
  <c r="R101" i="14"/>
  <c r="T105" i="14"/>
  <c r="Q101" i="14"/>
  <c r="F90" i="14"/>
  <c r="T23" i="14"/>
  <c r="F42" i="3"/>
  <c r="D337" i="14"/>
  <c r="D111" i="14"/>
  <c r="G113" i="14"/>
  <c r="E113" i="14"/>
  <c r="R113" i="14"/>
  <c r="Q113" i="14"/>
  <c r="R286" i="14"/>
  <c r="Q286" i="14"/>
  <c r="E286" i="14"/>
  <c r="G286" i="14"/>
  <c r="C286" i="14" s="1"/>
  <c r="F320" i="14"/>
  <c r="D184" i="14"/>
  <c r="D39" i="14"/>
  <c r="D209" i="14"/>
  <c r="Q296" i="14"/>
  <c r="R296" i="14"/>
  <c r="E296" i="14"/>
  <c r="G296" i="14"/>
  <c r="C296" i="14" s="1"/>
  <c r="F61" i="14"/>
  <c r="F210" i="14"/>
  <c r="F293" i="14"/>
  <c r="D214" i="14"/>
  <c r="D327" i="14"/>
  <c r="F171" i="14"/>
  <c r="F323" i="14"/>
  <c r="D270" i="14"/>
  <c r="E145" i="14"/>
  <c r="Q145" i="14"/>
  <c r="G145" i="14"/>
  <c r="R145" i="14"/>
  <c r="F191" i="14"/>
  <c r="E269" i="14"/>
  <c r="Q269" i="14"/>
  <c r="G269" i="14"/>
  <c r="C269" i="14" s="1"/>
  <c r="T273" i="14"/>
  <c r="T271" i="14"/>
  <c r="R269" i="14"/>
  <c r="F241" i="14"/>
  <c r="D269" i="14"/>
  <c r="D322" i="14"/>
  <c r="R198" i="14"/>
  <c r="G198" i="14"/>
  <c r="C198" i="14" s="1"/>
  <c r="E198" i="14"/>
  <c r="Q198" i="14"/>
  <c r="F44" i="3"/>
  <c r="U23" i="29" s="1"/>
  <c r="F153" i="14"/>
  <c r="F49" i="3"/>
  <c r="R258" i="14"/>
  <c r="G258" i="14"/>
  <c r="C258" i="14" s="1"/>
  <c r="E258" i="14"/>
  <c r="Q258" i="14"/>
  <c r="F65" i="14"/>
  <c r="F222" i="14"/>
  <c r="D215" i="14"/>
  <c r="E364" i="14"/>
  <c r="Q364" i="14"/>
  <c r="R364" i="14"/>
  <c r="G364" i="14"/>
  <c r="C364" i="14" s="1"/>
  <c r="D121" i="14"/>
  <c r="Q104" i="14"/>
  <c r="G104" i="14"/>
  <c r="E104" i="14"/>
  <c r="R104" i="14"/>
  <c r="F100" i="14"/>
  <c r="H389" i="2"/>
  <c r="D32" i="14"/>
  <c r="Q97" i="14"/>
  <c r="E97" i="14"/>
  <c r="G97" i="14"/>
  <c r="R97" i="14"/>
  <c r="E228" i="14"/>
  <c r="Q228" i="14"/>
  <c r="G228" i="14"/>
  <c r="C228" i="14" s="1"/>
  <c r="R228" i="14"/>
  <c r="F11" i="3"/>
  <c r="D173" i="14"/>
  <c r="D286" i="14"/>
  <c r="F161" i="14"/>
  <c r="F321" i="14"/>
  <c r="F35" i="7"/>
  <c r="Q389" i="2"/>
  <c r="E224" i="14"/>
  <c r="G224" i="14"/>
  <c r="C224" i="14" s="1"/>
  <c r="Q224" i="14"/>
  <c r="R224" i="14"/>
  <c r="G201" i="14"/>
  <c r="C201" i="14" s="1"/>
  <c r="E201" i="14"/>
  <c r="R201" i="14"/>
  <c r="Q201" i="14"/>
  <c r="S37" i="2"/>
  <c r="D336" i="14"/>
  <c r="F179" i="14"/>
  <c r="D205" i="14"/>
  <c r="D318" i="14"/>
  <c r="R350" i="14"/>
  <c r="E350" i="14"/>
  <c r="Q350" i="14"/>
  <c r="G350" i="14"/>
  <c r="C350" i="14" s="1"/>
  <c r="F256" i="14"/>
  <c r="N192" i="14"/>
  <c r="T198" i="14"/>
  <c r="E195" i="14"/>
  <c r="Q195" i="14"/>
  <c r="R195" i="14"/>
  <c r="G195" i="14"/>
  <c r="C195" i="14" s="1"/>
  <c r="F166" i="14"/>
  <c r="F167" i="14"/>
  <c r="T83" i="7"/>
  <c r="T389" i="14"/>
  <c r="E367" i="14"/>
  <c r="G367" i="14"/>
  <c r="C367" i="14" s="1"/>
  <c r="Q367" i="14"/>
  <c r="T371" i="14"/>
  <c r="R367" i="14"/>
  <c r="T369" i="14"/>
  <c r="F108" i="14"/>
  <c r="D301" i="14"/>
  <c r="D95" i="14"/>
  <c r="G335" i="14"/>
  <c r="C335" i="14" s="1"/>
  <c r="E335" i="14"/>
  <c r="Q335" i="14"/>
  <c r="R335" i="14"/>
  <c r="F160" i="14"/>
  <c r="T128" i="14"/>
  <c r="D81" i="14"/>
  <c r="D193" i="14"/>
  <c r="E140" i="14"/>
  <c r="G140" i="14"/>
  <c r="R140" i="14"/>
  <c r="Q140" i="14"/>
  <c r="R304" i="14"/>
  <c r="G304" i="14"/>
  <c r="C304" i="14" s="1"/>
  <c r="T308" i="14"/>
  <c r="Q304" i="14"/>
  <c r="E304" i="14"/>
  <c r="T306" i="14"/>
  <c r="F78" i="14"/>
  <c r="F80" i="14"/>
  <c r="D170" i="14"/>
  <c r="D283" i="14"/>
  <c r="Q266" i="14"/>
  <c r="R266" i="14"/>
  <c r="E266" i="14"/>
  <c r="G266" i="14"/>
  <c r="C266" i="14" s="1"/>
  <c r="F27" i="3"/>
  <c r="F26" i="4"/>
  <c r="F206" i="14"/>
  <c r="F109" i="14"/>
  <c r="F312" i="14"/>
  <c r="R344" i="14"/>
  <c r="E344" i="14"/>
  <c r="Q344" i="14"/>
  <c r="G344" i="14"/>
  <c r="C344" i="14" s="1"/>
  <c r="D253" i="14"/>
  <c r="E99" i="14"/>
  <c r="G99" i="14"/>
  <c r="Q99" i="14"/>
  <c r="R99" i="14"/>
  <c r="D64" i="14"/>
  <c r="G223" i="14"/>
  <c r="C223" i="14" s="1"/>
  <c r="R223" i="14"/>
  <c r="E223" i="14"/>
  <c r="Q223" i="14"/>
  <c r="F322" i="14"/>
  <c r="G85" i="14"/>
  <c r="Q85" i="14"/>
  <c r="R85" i="14"/>
  <c r="E85" i="14"/>
  <c r="F49" i="14"/>
  <c r="F172" i="14"/>
  <c r="F302" i="14"/>
  <c r="F264" i="14"/>
  <c r="G268" i="14"/>
  <c r="C268" i="14" s="1"/>
  <c r="E268" i="14"/>
  <c r="R268" i="14"/>
  <c r="Q268" i="14"/>
  <c r="Q351" i="14"/>
  <c r="E351" i="14"/>
  <c r="G351" i="14"/>
  <c r="C351" i="14" s="1"/>
  <c r="R351" i="14"/>
  <c r="F116" i="14"/>
  <c r="D293" i="14"/>
  <c r="D16" i="14"/>
  <c r="F175" i="14"/>
  <c r="F12" i="3"/>
  <c r="E57" i="14"/>
  <c r="G57" i="14"/>
  <c r="Q57" i="14"/>
  <c r="R57" i="14"/>
  <c r="F269" i="14"/>
  <c r="T240" i="14"/>
  <c r="G134" i="14"/>
  <c r="E134" i="14"/>
  <c r="R134" i="14"/>
  <c r="Q134" i="14"/>
  <c r="F24" i="3"/>
  <c r="G101" i="7" s="1"/>
  <c r="F23" i="4"/>
  <c r="G88" i="14"/>
  <c r="Q88" i="14"/>
  <c r="E88" i="14"/>
  <c r="R88" i="14"/>
  <c r="G220" i="14"/>
  <c r="C220" i="14" s="1"/>
  <c r="E220" i="14"/>
  <c r="R220" i="14"/>
  <c r="Q220" i="14"/>
  <c r="T222" i="14"/>
  <c r="T224" i="14"/>
  <c r="F117" i="14"/>
  <c r="F344" i="14"/>
  <c r="D287" i="14"/>
  <c r="E303" i="14"/>
  <c r="Q303" i="14"/>
  <c r="G303" i="14"/>
  <c r="C303" i="14" s="1"/>
  <c r="R303" i="14"/>
  <c r="T170" i="14"/>
  <c r="E21" i="14"/>
  <c r="F119" i="14"/>
  <c r="F337" i="14"/>
  <c r="E25" i="14"/>
  <c r="G151" i="14"/>
  <c r="E151" i="14"/>
  <c r="R151" i="14"/>
  <c r="Q151" i="14"/>
  <c r="E274" i="14"/>
  <c r="Q274" i="14"/>
  <c r="G274" i="14"/>
  <c r="C274" i="14" s="1"/>
  <c r="R274" i="14"/>
  <c r="F57" i="14"/>
  <c r="G231" i="14"/>
  <c r="C231" i="14" s="1"/>
  <c r="R231" i="14"/>
  <c r="E231" i="14"/>
  <c r="Q231" i="14"/>
  <c r="D125" i="14"/>
  <c r="S254" i="2"/>
  <c r="F318" i="14"/>
  <c r="F358" i="14"/>
  <c r="D110" i="14"/>
  <c r="D7" i="14"/>
  <c r="R139" i="14"/>
  <c r="E139" i="14"/>
  <c r="Q139" i="14"/>
  <c r="G139" i="14"/>
  <c r="G180" i="14"/>
  <c r="C180" i="14" s="1"/>
  <c r="R180" i="14"/>
  <c r="Q180" i="14"/>
  <c r="E180" i="14"/>
  <c r="F176" i="14"/>
  <c r="E41" i="14"/>
  <c r="R41" i="14"/>
  <c r="Q41" i="14"/>
  <c r="G41" i="14"/>
  <c r="T317" i="14"/>
  <c r="D313" i="14"/>
  <c r="F178" i="14"/>
  <c r="F25" i="3"/>
  <c r="F24" i="4"/>
  <c r="F223" i="14"/>
  <c r="F17" i="14"/>
  <c r="D139" i="14"/>
  <c r="D252" i="14"/>
  <c r="Q55" i="14"/>
  <c r="G55" i="14"/>
  <c r="E55" i="14"/>
  <c r="R55" i="14"/>
  <c r="G138" i="14"/>
  <c r="E138" i="14"/>
  <c r="R138" i="14"/>
  <c r="Q138" i="14"/>
  <c r="F126" i="14"/>
  <c r="D223" i="14"/>
  <c r="S33" i="2"/>
  <c r="F243" i="14"/>
  <c r="T226" i="14"/>
  <c r="D37" i="14"/>
  <c r="T292" i="14"/>
  <c r="Q290" i="14"/>
  <c r="T294" i="14"/>
  <c r="G290" i="14"/>
  <c r="C290" i="14" s="1"/>
  <c r="E290" i="14"/>
  <c r="R290" i="14"/>
  <c r="N318" i="14"/>
  <c r="T324" i="14"/>
  <c r="G68" i="14"/>
  <c r="E68" i="14"/>
  <c r="Q68" i="14"/>
  <c r="R68" i="14"/>
  <c r="Q177" i="14"/>
  <c r="E177" i="14"/>
  <c r="G177" i="14"/>
  <c r="C177" i="14" s="1"/>
  <c r="R177" i="14"/>
  <c r="G284" i="14"/>
  <c r="C284" i="14" s="1"/>
  <c r="E284" i="14"/>
  <c r="Q284" i="14"/>
  <c r="R284" i="14"/>
  <c r="F132" i="14"/>
  <c r="F325" i="14"/>
  <c r="N24" i="14"/>
  <c r="T30" i="14"/>
  <c r="E368" i="14"/>
  <c r="G368" i="14"/>
  <c r="C368" i="14" s="1"/>
  <c r="Q368" i="14"/>
  <c r="R368" i="14"/>
  <c r="D102" i="14"/>
  <c r="F53" i="14"/>
  <c r="F184" i="14"/>
  <c r="R339" i="14"/>
  <c r="D176" i="14"/>
  <c r="F96" i="14"/>
  <c r="T44" i="14"/>
  <c r="N38" i="14"/>
  <c r="F253" i="14"/>
  <c r="D300" i="14"/>
  <c r="F146" i="14"/>
  <c r="D150" i="14"/>
  <c r="D263" i="14"/>
  <c r="G283" i="14"/>
  <c r="C283" i="14" s="1"/>
  <c r="E283" i="14"/>
  <c r="Q283" i="14"/>
  <c r="T287" i="14"/>
  <c r="T285" i="14"/>
  <c r="R283" i="14"/>
  <c r="F45" i="7"/>
  <c r="R83" i="14"/>
  <c r="E83" i="14"/>
  <c r="Q83" i="14"/>
  <c r="G83" i="14"/>
  <c r="E264" i="14"/>
  <c r="G264" i="14"/>
  <c r="C264" i="14" s="1"/>
  <c r="R264" i="14"/>
  <c r="Q264" i="14"/>
  <c r="F365" i="14"/>
  <c r="D156" i="14"/>
  <c r="D159" i="14"/>
  <c r="F28" i="35" s="1"/>
  <c r="D332" i="14"/>
  <c r="E188" i="14"/>
  <c r="R188" i="14"/>
  <c r="Q188" i="14"/>
  <c r="G188" i="14"/>
  <c r="C188" i="14" s="1"/>
  <c r="Q294" i="14"/>
  <c r="R294" i="14"/>
  <c r="E294" i="14"/>
  <c r="G294" i="14"/>
  <c r="C294" i="14" s="1"/>
  <c r="F68" i="14"/>
  <c r="T72" i="14"/>
  <c r="G83" i="7"/>
  <c r="F95" i="7"/>
  <c r="D317" i="14"/>
  <c r="F252" i="14"/>
  <c r="F107" i="14"/>
  <c r="R278" i="14"/>
  <c r="G278" i="14"/>
  <c r="C278" i="14" s="1"/>
  <c r="E278" i="14"/>
  <c r="Q278" i="14"/>
  <c r="Q75" i="14"/>
  <c r="G75" i="14"/>
  <c r="E75" i="14"/>
  <c r="R75" i="14"/>
  <c r="E332" i="14"/>
  <c r="G332" i="14"/>
  <c r="C332" i="14" s="1"/>
  <c r="T334" i="14"/>
  <c r="T336" i="14"/>
  <c r="R332" i="14"/>
  <c r="Q332" i="14"/>
  <c r="D340" i="14"/>
  <c r="F245" i="14"/>
  <c r="G226" i="14"/>
  <c r="C226" i="14" s="1"/>
  <c r="Q226" i="14"/>
  <c r="R226" i="14"/>
  <c r="E226" i="14"/>
  <c r="F273" i="14"/>
  <c r="Q131" i="14"/>
  <c r="R131" i="14"/>
  <c r="E131" i="14"/>
  <c r="G131" i="14"/>
  <c r="G288" i="14"/>
  <c r="C288" i="14" s="1"/>
  <c r="E288" i="14"/>
  <c r="R288" i="14"/>
  <c r="Q288" i="14"/>
  <c r="T362" i="14"/>
  <c r="T364" i="14"/>
  <c r="Q360" i="14"/>
  <c r="G360" i="14"/>
  <c r="C360" i="14" s="1"/>
  <c r="R360" i="14"/>
  <c r="E360" i="14"/>
  <c r="D146" i="14"/>
  <c r="F26" i="3"/>
  <c r="F25" i="4"/>
  <c r="O55" i="33" s="1"/>
  <c r="F135" i="14"/>
  <c r="D132" i="14"/>
  <c r="D101" i="14"/>
  <c r="D274" i="14"/>
  <c r="G354" i="14"/>
  <c r="C354" i="14" s="1"/>
  <c r="Q354" i="14"/>
  <c r="E354" i="14"/>
  <c r="R354" i="14"/>
  <c r="F177" i="14"/>
  <c r="Q92" i="14"/>
  <c r="R92" i="14"/>
  <c r="G92" i="14"/>
  <c r="E92" i="14"/>
  <c r="D78" i="14"/>
  <c r="D190" i="14"/>
  <c r="D363" i="14"/>
  <c r="D312" i="14"/>
  <c r="F97" i="14"/>
  <c r="F286" i="14"/>
  <c r="D218" i="14"/>
  <c r="F182" i="14"/>
  <c r="F334" i="14"/>
  <c r="D128" i="14"/>
  <c r="D232" i="14"/>
  <c r="D344" i="14"/>
  <c r="F266" i="14"/>
  <c r="P36" i="2"/>
  <c r="F201" i="14"/>
  <c r="F13" i="4"/>
  <c r="D333" i="14"/>
  <c r="F12" i="4"/>
  <c r="F330" i="14"/>
  <c r="F43" i="3"/>
  <c r="G73" i="29" s="1"/>
  <c r="F287" i="14"/>
  <c r="T331" i="14"/>
  <c r="N325" i="14"/>
  <c r="D45" i="14"/>
  <c r="D244" i="14"/>
  <c r="F9" i="3"/>
  <c r="R342" i="14"/>
  <c r="Q342" i="14"/>
  <c r="G342" i="14"/>
  <c r="C342" i="14" s="1"/>
  <c r="E342" i="14"/>
  <c r="F123" i="14"/>
  <c r="F248" i="14"/>
  <c r="E120" i="14"/>
  <c r="G120" i="14"/>
  <c r="Q120" i="14"/>
  <c r="R120" i="14"/>
  <c r="E252" i="14"/>
  <c r="R252" i="14"/>
  <c r="Q252" i="14"/>
  <c r="F51" i="14"/>
  <c r="D357" i="14"/>
  <c r="D8" i="14"/>
  <c r="F77" i="14"/>
  <c r="D42" i="14"/>
  <c r="D212" i="14"/>
  <c r="D65" i="14"/>
  <c r="D238" i="14"/>
  <c r="Q173" i="14"/>
  <c r="R173" i="14"/>
  <c r="E173" i="14"/>
  <c r="G173" i="14"/>
  <c r="C173" i="14" s="1"/>
  <c r="F368" i="14"/>
  <c r="D228" i="14"/>
  <c r="E142" i="14"/>
  <c r="R142" i="14"/>
  <c r="G142" i="14"/>
  <c r="Q142" i="14"/>
  <c r="F121" i="14"/>
  <c r="D70" i="14"/>
  <c r="D243" i="14"/>
  <c r="D355" i="14"/>
  <c r="E233" i="14"/>
  <c r="G233" i="14"/>
  <c r="C233" i="14" s="1"/>
  <c r="Q233" i="14"/>
  <c r="R233" i="14"/>
  <c r="F309" i="14"/>
  <c r="E42" i="14"/>
  <c r="G42" i="14"/>
  <c r="Q42" i="14"/>
  <c r="R42" i="14"/>
  <c r="F221" i="14"/>
  <c r="D298" i="14"/>
  <c r="G194" i="14"/>
  <c r="C194" i="14" s="1"/>
  <c r="R194" i="14"/>
  <c r="E194" i="14"/>
  <c r="Q194" i="14"/>
  <c r="Q366" i="14"/>
  <c r="R366" i="14"/>
  <c r="G366" i="14"/>
  <c r="C366" i="14" s="1"/>
  <c r="E366" i="14"/>
  <c r="S278" i="2"/>
  <c r="F224" i="14"/>
  <c r="E98" i="14"/>
  <c r="R98" i="14"/>
  <c r="Q98" i="14"/>
  <c r="G98" i="14"/>
  <c r="D297" i="14"/>
  <c r="D350" i="14"/>
  <c r="T268" i="14"/>
  <c r="F278" i="14"/>
  <c r="F64" i="14"/>
  <c r="F98" i="14"/>
  <c r="F356" i="14"/>
  <c r="D87" i="14"/>
  <c r="D236" i="14"/>
  <c r="D149" i="14"/>
  <c r="R170" i="14"/>
  <c r="G170" i="14"/>
  <c r="C170" i="14" s="1"/>
  <c r="E170" i="14"/>
  <c r="Q170" i="14"/>
  <c r="F289" i="14"/>
  <c r="D237" i="14"/>
  <c r="D49" i="14"/>
  <c r="R163" i="14"/>
  <c r="T32" i="35" s="1"/>
  <c r="E163" i="14"/>
  <c r="G163" i="14"/>
  <c r="Q163" i="14"/>
  <c r="S32" i="35" s="1"/>
  <c r="E311" i="14"/>
  <c r="G311" i="14"/>
  <c r="C311" i="14" s="1"/>
  <c r="T313" i="14"/>
  <c r="T315" i="14"/>
  <c r="Q311" i="14"/>
  <c r="R311" i="14"/>
  <c r="F327" i="14"/>
  <c r="N248" i="14"/>
  <c r="T254" i="14"/>
  <c r="D31" i="14"/>
  <c r="S124" i="2"/>
  <c r="F16" i="4"/>
  <c r="D89" i="14"/>
  <c r="D201" i="14"/>
  <c r="R116" i="14"/>
  <c r="Q116" i="14"/>
  <c r="G116" i="14"/>
  <c r="E116" i="14"/>
  <c r="F41" i="7"/>
  <c r="F164" i="14"/>
  <c r="D356" i="14"/>
  <c r="G265" i="14"/>
  <c r="C265" i="14" s="1"/>
  <c r="E265" i="14"/>
  <c r="R265" i="14"/>
  <c r="Q265" i="14"/>
  <c r="F229" i="14"/>
  <c r="D234" i="14"/>
  <c r="D346" i="14"/>
  <c r="F303" i="14"/>
  <c r="Q343" i="14"/>
  <c r="G343" i="14"/>
  <c r="C343" i="14" s="1"/>
  <c r="E343" i="14"/>
  <c r="R343" i="14"/>
  <c r="F199" i="14"/>
  <c r="F10" i="3"/>
  <c r="F250" i="14"/>
  <c r="F13" i="3"/>
  <c r="F23" i="3"/>
  <c r="G100" i="7" s="1"/>
  <c r="F22" i="4"/>
  <c r="D66" i="14"/>
  <c r="D140" i="14"/>
  <c r="R330" i="14"/>
  <c r="Q330" i="14"/>
  <c r="E330" i="14"/>
  <c r="G330" i="14"/>
  <c r="C330" i="14" s="1"/>
  <c r="D226" i="14"/>
  <c r="D72" i="14"/>
  <c r="D296" i="14"/>
  <c r="K389" i="2"/>
  <c r="Z5" i="33" s="1"/>
  <c r="Z12" i="33" s="1"/>
  <c r="D272" i="14"/>
  <c r="D331" i="14"/>
  <c r="E254" i="14"/>
  <c r="Q254" i="14"/>
  <c r="R254" i="14"/>
  <c r="D88" i="14"/>
  <c r="D38" i="14"/>
  <c r="R219" i="14"/>
  <c r="E219" i="14"/>
  <c r="Q219" i="14"/>
  <c r="G219" i="14"/>
  <c r="C219" i="14" s="1"/>
  <c r="F297" i="14"/>
  <c r="D321" i="14"/>
  <c r="F60" i="14"/>
  <c r="D109" i="14"/>
  <c r="F136" i="14"/>
  <c r="F227" i="14"/>
  <c r="R36" i="14"/>
  <c r="R112" i="14"/>
  <c r="G112" i="14"/>
  <c r="Q112" i="14"/>
  <c r="E112" i="14"/>
  <c r="E105" i="14"/>
  <c r="G105" i="14"/>
  <c r="Q105" i="14"/>
  <c r="R105" i="14"/>
  <c r="F335" i="14"/>
  <c r="F129" i="14"/>
  <c r="G209" i="14"/>
  <c r="C209" i="14" s="1"/>
  <c r="E209" i="14"/>
  <c r="Q209" i="14"/>
  <c r="R209" i="14"/>
  <c r="R291" i="14"/>
  <c r="E291" i="14"/>
  <c r="G291" i="14"/>
  <c r="C291" i="14" s="1"/>
  <c r="Q291" i="14"/>
  <c r="F81" i="14"/>
  <c r="F205" i="14"/>
  <c r="F148" i="14"/>
  <c r="F310" i="14"/>
  <c r="D164" i="14"/>
  <c r="G137" i="14"/>
  <c r="E137" i="14"/>
  <c r="R137" i="14"/>
  <c r="Q137" i="14"/>
  <c r="T114" i="14"/>
  <c r="D365" i="14"/>
  <c r="E130" i="14"/>
  <c r="R130" i="14"/>
  <c r="G130" i="14"/>
  <c r="Q130" i="14"/>
  <c r="G261" i="14"/>
  <c r="C261" i="14" s="1"/>
  <c r="E261" i="14"/>
  <c r="R261" i="14"/>
  <c r="Q261" i="14"/>
  <c r="F290" i="14"/>
  <c r="T212" i="14"/>
  <c r="Q208" i="14"/>
  <c r="E208" i="14"/>
  <c r="R208" i="14"/>
  <c r="G208" i="14"/>
  <c r="C208" i="14" s="1"/>
  <c r="F105" i="14"/>
  <c r="R111" i="14"/>
  <c r="Q111" i="14"/>
  <c r="G111" i="14"/>
  <c r="E111" i="14"/>
  <c r="T247" i="14"/>
  <c r="G154" i="14"/>
  <c r="E154" i="14"/>
  <c r="Q154" i="14"/>
  <c r="R154" i="14"/>
  <c r="F150" i="14"/>
  <c r="D315" i="14"/>
  <c r="D330" i="14"/>
  <c r="R313" i="14"/>
  <c r="E313" i="14"/>
  <c r="Q313" i="14"/>
  <c r="G313" i="14"/>
  <c r="C313" i="14" s="1"/>
  <c r="F268" i="14"/>
  <c r="R100" i="14"/>
  <c r="E100" i="14"/>
  <c r="G100" i="14"/>
  <c r="Q100" i="14"/>
  <c r="S9" i="2"/>
  <c r="F89" i="14"/>
  <c r="F180" i="14"/>
  <c r="D43" i="14"/>
  <c r="D345" i="14"/>
  <c r="D138" i="14"/>
  <c r="R245" i="14"/>
  <c r="Q245" i="14"/>
  <c r="G245" i="14"/>
  <c r="C245" i="14" s="1"/>
  <c r="E245" i="14"/>
  <c r="Q328" i="14"/>
  <c r="R328" i="14"/>
  <c r="E328" i="14"/>
  <c r="G328" i="14"/>
  <c r="C328" i="14" s="1"/>
  <c r="F234" i="14"/>
  <c r="F95" i="14"/>
  <c r="R158" i="14"/>
  <c r="T27" i="35" s="1"/>
  <c r="G158" i="14"/>
  <c r="Q158" i="14"/>
  <c r="S27" i="35" s="1"/>
  <c r="E158" i="14"/>
  <c r="Q110" i="14"/>
  <c r="R110" i="14"/>
  <c r="G110" i="14"/>
  <c r="E110" i="14"/>
  <c r="E365" i="14"/>
  <c r="G365" i="14"/>
  <c r="C365" i="14" s="1"/>
  <c r="Q365" i="14"/>
  <c r="R365" i="14"/>
  <c r="E207" i="14"/>
  <c r="R207" i="14"/>
  <c r="Q207" i="14"/>
  <c r="G207" i="14"/>
  <c r="C207" i="14" s="1"/>
  <c r="D284" i="14"/>
  <c r="F56" i="14"/>
  <c r="T107" i="14"/>
  <c r="R79" i="14"/>
  <c r="E79" i="14"/>
  <c r="G79" i="14"/>
  <c r="Q79" i="14"/>
  <c r="G211" i="14"/>
  <c r="C211" i="14" s="1"/>
  <c r="E211" i="14"/>
  <c r="R211" i="14"/>
  <c r="Q211" i="14"/>
  <c r="D46" i="14"/>
  <c r="D167" i="14"/>
  <c r="D280" i="14"/>
  <c r="F159" i="14"/>
  <c r="F274" i="14"/>
  <c r="D251" i="14"/>
  <c r="N255" i="14"/>
  <c r="T261" i="14"/>
  <c r="F128" i="14"/>
  <c r="F276" i="14"/>
  <c r="D12" i="14"/>
  <c r="E52" i="14"/>
  <c r="R52" i="14"/>
  <c r="G52" i="14"/>
  <c r="Q52" i="14"/>
  <c r="T54" i="14"/>
  <c r="T56" i="14"/>
  <c r="F255" i="14"/>
  <c r="F165" i="14"/>
  <c r="F43" i="7"/>
  <c r="D130" i="14"/>
  <c r="F85" i="14"/>
  <c r="F242" i="14"/>
  <c r="T352" i="14"/>
  <c r="D92" i="14"/>
  <c r="D204" i="14"/>
  <c r="G157" i="14"/>
  <c r="I26" i="35" s="1"/>
  <c r="E157" i="14"/>
  <c r="G26" i="35" s="1"/>
  <c r="R157" i="14"/>
  <c r="T26" i="35" s="1"/>
  <c r="Q157" i="14"/>
  <c r="S26" i="35" s="1"/>
  <c r="T159" i="14"/>
  <c r="V28" i="35" s="1"/>
  <c r="T161" i="14"/>
  <c r="V30" i="35" s="1"/>
  <c r="D136" i="14"/>
  <c r="F348" i="14"/>
  <c r="N186" i="14"/>
  <c r="T191" i="14"/>
  <c r="D178" i="14"/>
  <c r="D291" i="14"/>
  <c r="Q349" i="14"/>
  <c r="G349" i="14"/>
  <c r="C349" i="14" s="1"/>
  <c r="R349" i="14"/>
  <c r="E349" i="14"/>
  <c r="G86" i="14"/>
  <c r="E86" i="14"/>
  <c r="R86" i="14"/>
  <c r="Q86" i="14"/>
  <c r="E119" i="14"/>
  <c r="Q119" i="14"/>
  <c r="G119" i="14"/>
  <c r="R119" i="14"/>
  <c r="E309" i="14"/>
  <c r="Q309" i="14"/>
  <c r="G309" i="14"/>
  <c r="C309" i="14" s="1"/>
  <c r="G129" i="14"/>
  <c r="Q129" i="14"/>
  <c r="E129" i="14"/>
  <c r="T133" i="14"/>
  <c r="T131" i="14"/>
  <c r="R129" i="14"/>
  <c r="D187" i="14"/>
  <c r="D360" i="14"/>
  <c r="F101" i="14"/>
  <c r="F21" i="4"/>
  <c r="F106" i="14"/>
  <c r="D248" i="14"/>
  <c r="F7" i="3"/>
  <c r="G71" i="3" s="1"/>
  <c r="D77" i="14"/>
  <c r="F120" i="14"/>
  <c r="D311" i="14"/>
  <c r="Q333" i="14"/>
  <c r="R333" i="14"/>
  <c r="G333" i="14"/>
  <c r="C333" i="14" s="1"/>
  <c r="E333" i="14"/>
  <c r="T65" i="14"/>
  <c r="F142" i="14"/>
  <c r="R237" i="14"/>
  <c r="E237" i="14"/>
  <c r="G237" i="14"/>
  <c r="C237" i="14" s="1"/>
  <c r="Q237" i="14"/>
  <c r="Q115" i="14"/>
  <c r="G115" i="14"/>
  <c r="E115" i="14"/>
  <c r="R115" i="14"/>
  <c r="T117" i="14"/>
  <c r="T119" i="14"/>
  <c r="F353" i="14"/>
  <c r="R118" i="14"/>
  <c r="Q118" i="14"/>
  <c r="E118" i="14"/>
  <c r="G118" i="14"/>
  <c r="Q241" i="14"/>
  <c r="E241" i="14"/>
  <c r="G241" i="14"/>
  <c r="C241" i="14" s="1"/>
  <c r="T243" i="14"/>
  <c r="T245" i="14"/>
  <c r="R241" i="14"/>
  <c r="F41" i="14"/>
  <c r="Q323" i="14"/>
  <c r="E323" i="14"/>
  <c r="G323" i="14"/>
  <c r="C323" i="14" s="1"/>
  <c r="R323" i="14"/>
  <c r="D59" i="14"/>
  <c r="R202" i="14"/>
  <c r="G202" i="14"/>
  <c r="C202" i="14" s="1"/>
  <c r="E202" i="14"/>
  <c r="Q202" i="14"/>
  <c r="F140" i="14"/>
  <c r="T289" i="14"/>
  <c r="D24" i="14"/>
  <c r="F225" i="14"/>
  <c r="D154" i="14"/>
  <c r="G40" i="14"/>
  <c r="R40" i="14"/>
  <c r="E40" i="14"/>
  <c r="Q40" i="14"/>
  <c r="G295" i="14"/>
  <c r="C295" i="14" s="1"/>
  <c r="E295" i="14"/>
  <c r="Q295" i="14"/>
  <c r="R295" i="14"/>
  <c r="D58" i="14"/>
  <c r="D168" i="14"/>
  <c r="G20" i="4"/>
  <c r="E74" i="14"/>
  <c r="G74" i="14"/>
  <c r="Q74" i="14"/>
  <c r="R74" i="14"/>
  <c r="E222" i="14"/>
  <c r="R222" i="14"/>
  <c r="G222" i="14"/>
  <c r="C222" i="14" s="1"/>
  <c r="Q222" i="14"/>
  <c r="S306" i="2"/>
  <c r="F195" i="14"/>
  <c r="D320" i="14"/>
  <c r="G126" i="14"/>
  <c r="E126" i="14"/>
  <c r="R126" i="14"/>
  <c r="Q126" i="14"/>
  <c r="F163" i="14"/>
  <c r="E50" i="14"/>
  <c r="Q50" i="14"/>
  <c r="G50" i="14"/>
  <c r="R50" i="14"/>
  <c r="Q84" i="14"/>
  <c r="G84" i="14"/>
  <c r="E84" i="14"/>
  <c r="R84" i="14"/>
  <c r="F88" i="14"/>
  <c r="F362" i="14"/>
  <c r="D254" i="14"/>
  <c r="F288" i="14"/>
  <c r="F174" i="14"/>
  <c r="F351" i="14"/>
  <c r="D144" i="14"/>
  <c r="D211" i="14"/>
  <c r="D324" i="14"/>
  <c r="E236" i="14"/>
  <c r="G236" i="14"/>
  <c r="C236" i="14" s="1"/>
  <c r="R236" i="14"/>
  <c r="Q236" i="14"/>
  <c r="R179" i="14"/>
  <c r="E179" i="14"/>
  <c r="Q179" i="14"/>
  <c r="G179" i="14"/>
  <c r="C179" i="14" s="1"/>
  <c r="D239" i="14"/>
  <c r="D351" i="14"/>
  <c r="F193" i="14"/>
  <c r="D366" i="14"/>
  <c r="R165" i="14"/>
  <c r="E165" i="14"/>
  <c r="Q165" i="14"/>
  <c r="G165" i="14"/>
  <c r="C165" i="14" s="1"/>
  <c r="F111" i="14"/>
  <c r="R141" i="14"/>
  <c r="E141" i="14"/>
  <c r="Q141" i="14"/>
  <c r="G141" i="14"/>
  <c r="F38" i="3"/>
  <c r="F51" i="4" s="1"/>
  <c r="N389" i="2"/>
  <c r="R43" i="14"/>
  <c r="Q43" i="14"/>
  <c r="E43" i="14"/>
  <c r="G43" i="14"/>
  <c r="R356" i="14"/>
  <c r="G356" i="14"/>
  <c r="C356" i="14" s="1"/>
  <c r="E356" i="14"/>
  <c r="Q356" i="14"/>
  <c r="F11" i="4"/>
  <c r="D151" i="14"/>
  <c r="D105" i="14"/>
  <c r="E251" i="14"/>
  <c r="Q251" i="14"/>
  <c r="G251" i="14"/>
  <c r="C251" i="14" s="1"/>
  <c r="R251" i="14"/>
  <c r="F50" i="14"/>
  <c r="F304" i="14"/>
  <c r="Q47" i="14"/>
  <c r="R47" i="14"/>
  <c r="G47" i="14"/>
  <c r="E47" i="14"/>
  <c r="O10" i="2"/>
  <c r="D174" i="14"/>
  <c r="Q89" i="14"/>
  <c r="E89" i="14"/>
  <c r="G89" i="14"/>
  <c r="R89" i="14"/>
  <c r="F168" i="14"/>
  <c r="D50" i="14"/>
  <c r="D160" i="14"/>
  <c r="F29" i="35" s="1"/>
  <c r="D129" i="14"/>
  <c r="D302" i="14"/>
  <c r="R123" i="14"/>
  <c r="E123" i="14"/>
  <c r="Q123" i="14"/>
  <c r="G123" i="14"/>
  <c r="G271" i="14"/>
  <c r="C271" i="14" s="1"/>
  <c r="R271" i="14"/>
  <c r="E271" i="14"/>
  <c r="Q271" i="14"/>
  <c r="F54" i="14"/>
  <c r="F202" i="14"/>
  <c r="D208" i="14"/>
  <c r="D207" i="14"/>
  <c r="D106" i="14"/>
  <c r="D219" i="14"/>
  <c r="G44" i="14"/>
  <c r="R44" i="14"/>
  <c r="E44" i="14"/>
  <c r="Q44" i="14"/>
  <c r="R250" i="14"/>
  <c r="G250" i="14"/>
  <c r="C250" i="14" s="1"/>
  <c r="E250" i="14"/>
  <c r="Q250" i="14"/>
  <c r="S19" i="2"/>
  <c r="Q363" i="14"/>
  <c r="R363" i="14"/>
  <c r="G363" i="14"/>
  <c r="C363" i="14" s="1"/>
  <c r="E363" i="14"/>
  <c r="R51" i="14"/>
  <c r="Q51" i="14"/>
  <c r="E51" i="14"/>
  <c r="G51" i="14"/>
  <c r="R340" i="14"/>
  <c r="Q340" i="14"/>
  <c r="G340" i="14"/>
  <c r="E340" i="14"/>
  <c r="F154" i="14"/>
  <c r="F340" i="14"/>
  <c r="D306" i="14"/>
  <c r="Q169" i="14"/>
  <c r="G169" i="14"/>
  <c r="C169" i="14" s="1"/>
  <c r="E169" i="14"/>
  <c r="R169" i="14"/>
  <c r="E96" i="14"/>
  <c r="G96" i="14"/>
  <c r="Q96" i="14"/>
  <c r="R96" i="14"/>
  <c r="Q227" i="14"/>
  <c r="T229" i="14"/>
  <c r="G227" i="14"/>
  <c r="C227" i="14" s="1"/>
  <c r="T231" i="14"/>
  <c r="E227" i="14"/>
  <c r="R227" i="14"/>
  <c r="F215" i="14"/>
  <c r="D147" i="14"/>
  <c r="D260" i="14"/>
  <c r="F319" i="14"/>
  <c r="F10" i="4"/>
  <c r="Q345" i="14"/>
  <c r="E345" i="14"/>
  <c r="R345" i="14"/>
  <c r="G345" i="14"/>
  <c r="C345" i="14" s="1"/>
  <c r="F291" i="14"/>
  <c r="E148" i="14"/>
  <c r="Q148" i="14"/>
  <c r="G148" i="14"/>
  <c r="R148" i="14"/>
  <c r="F55" i="14"/>
  <c r="G167" i="14"/>
  <c r="C167" i="14" s="1"/>
  <c r="E167" i="14"/>
  <c r="Q167" i="14"/>
  <c r="R167" i="14"/>
  <c r="F48" i="14"/>
  <c r="D44" i="14"/>
  <c r="F324" i="14"/>
  <c r="G149" i="14"/>
  <c r="E149" i="14"/>
  <c r="Q149" i="14"/>
  <c r="R149" i="14"/>
  <c r="R256" i="14"/>
  <c r="G256" i="14"/>
  <c r="C256" i="14" s="1"/>
  <c r="Q256" i="14"/>
  <c r="E256" i="14"/>
  <c r="D123" i="14"/>
  <c r="D264" i="14"/>
  <c r="F157" i="14"/>
  <c r="H26" i="35" s="1"/>
  <c r="F46" i="3"/>
  <c r="U43" i="29" s="1"/>
  <c r="F342" i="14"/>
  <c r="F91" i="14"/>
  <c r="D192" i="14"/>
  <c r="D57" i="14"/>
  <c r="G244" i="14"/>
  <c r="C244" i="14" s="1"/>
  <c r="Q244" i="14"/>
  <c r="E244" i="14"/>
  <c r="R244" i="14"/>
  <c r="F183" i="14"/>
  <c r="Q73" i="14"/>
  <c r="G73" i="14"/>
  <c r="E73" i="14"/>
  <c r="T77" i="14"/>
  <c r="T75" i="14"/>
  <c r="R73" i="14"/>
  <c r="F110" i="14"/>
  <c r="D68" i="14"/>
  <c r="D241" i="14"/>
  <c r="D153" i="14"/>
  <c r="D266" i="14"/>
  <c r="Q248" i="14"/>
  <c r="R248" i="14"/>
  <c r="G248" i="14"/>
  <c r="C248" i="14" s="1"/>
  <c r="E248" i="14"/>
  <c r="T250" i="14"/>
  <c r="T252" i="14"/>
  <c r="F211" i="14"/>
  <c r="E10" i="14"/>
  <c r="O10" i="14" s="1"/>
  <c r="D98" i="14"/>
  <c r="D271" i="14"/>
  <c r="F48" i="3"/>
  <c r="U63" i="29" s="1"/>
  <c r="F270" i="14"/>
  <c r="D213" i="14"/>
  <c r="D326" i="14"/>
  <c r="G61" i="14"/>
  <c r="E61" i="14"/>
  <c r="R61" i="14"/>
  <c r="Q61" i="14"/>
  <c r="F257" i="14"/>
  <c r="E204" i="14"/>
  <c r="G204" i="14"/>
  <c r="C204" i="14" s="1"/>
  <c r="R204" i="14"/>
  <c r="Q204" i="14"/>
  <c r="F59" i="14"/>
  <c r="F209" i="14"/>
  <c r="D325" i="14"/>
  <c r="F62" i="14"/>
  <c r="F47" i="3"/>
  <c r="U53" i="29" s="1"/>
  <c r="F40" i="3"/>
  <c r="G43" i="29" s="1"/>
  <c r="E348" i="14"/>
  <c r="G348" i="14"/>
  <c r="C348" i="14" s="1"/>
  <c r="R348" i="14"/>
  <c r="Q348" i="14"/>
  <c r="G217" i="14"/>
  <c r="C217" i="14" s="1"/>
  <c r="E217" i="14"/>
  <c r="Q217" i="14"/>
  <c r="F131" i="14"/>
  <c r="Q322" i="14"/>
  <c r="E322" i="14"/>
  <c r="G322" i="14"/>
  <c r="C322" i="14" s="1"/>
  <c r="R322" i="14"/>
  <c r="D107" i="14"/>
  <c r="D256" i="14"/>
  <c r="Q159" i="14"/>
  <c r="S28" i="35" s="1"/>
  <c r="G159" i="14"/>
  <c r="E159" i="14"/>
  <c r="R159" i="14"/>
  <c r="T28" i="35" s="1"/>
  <c r="F355" i="14"/>
  <c r="F66" i="14"/>
  <c r="E46" i="14"/>
  <c r="G46" i="14"/>
  <c r="R46" i="14"/>
  <c r="Q46" i="14"/>
  <c r="Q301" i="14"/>
  <c r="E301" i="14"/>
  <c r="R301" i="14"/>
  <c r="G301" i="14"/>
  <c r="C301" i="14" s="1"/>
  <c r="F343" i="14"/>
  <c r="D249" i="14"/>
  <c r="D75" i="14"/>
  <c r="Q39" i="14"/>
  <c r="G39" i="14"/>
  <c r="E39" i="14"/>
  <c r="R39" i="14"/>
  <c r="G56" i="14"/>
  <c r="Q56" i="14"/>
  <c r="R56" i="14"/>
  <c r="E56" i="14"/>
  <c r="E122" i="14"/>
  <c r="G122" i="14"/>
  <c r="R122" i="14"/>
  <c r="Q122" i="14"/>
  <c r="T124" i="14"/>
  <c r="T126" i="14"/>
  <c r="Q164" i="14"/>
  <c r="E164" i="14"/>
  <c r="G164" i="14"/>
  <c r="C164" i="14" s="1"/>
  <c r="R164" i="14"/>
  <c r="T168" i="14"/>
  <c r="T166" i="14"/>
  <c r="G270" i="14"/>
  <c r="C270" i="14" s="1"/>
  <c r="R270" i="14"/>
  <c r="E270" i="14"/>
  <c r="Q270" i="14"/>
  <c r="D117" i="14"/>
  <c r="D230" i="14"/>
  <c r="G90" i="14"/>
  <c r="E90" i="14"/>
  <c r="Q90" i="14"/>
  <c r="R90" i="14"/>
  <c r="F38" i="14"/>
  <c r="F219" i="14"/>
  <c r="F187" i="14"/>
  <c r="Q160" i="14"/>
  <c r="S29" i="35" s="1"/>
  <c r="E160" i="14"/>
  <c r="G160" i="14"/>
  <c r="R160" i="14"/>
  <c r="T29" i="35" s="1"/>
  <c r="E174" i="14"/>
  <c r="G174" i="14"/>
  <c r="C174" i="14" s="1"/>
  <c r="R174" i="14"/>
  <c r="Q174" i="14"/>
  <c r="G117" i="14"/>
  <c r="R117" i="14"/>
  <c r="Q117" i="14"/>
  <c r="E117" i="14"/>
  <c r="F72" i="14"/>
  <c r="F307" i="14"/>
  <c r="D262" i="14"/>
  <c r="G45" i="14"/>
  <c r="T49" i="14"/>
  <c r="E45" i="14"/>
  <c r="T47" i="14"/>
  <c r="Q45" i="14"/>
  <c r="R45" i="14"/>
  <c r="F350" i="14"/>
  <c r="Q260" i="14"/>
  <c r="E260" i="14"/>
  <c r="R260" i="14"/>
  <c r="G260" i="14"/>
  <c r="C260" i="14" s="1"/>
  <c r="F5" i="4"/>
  <c r="G5" i="4" s="1"/>
  <c r="P389" i="2"/>
  <c r="F305" i="14"/>
  <c r="R346" i="14"/>
  <c r="G346" i="14"/>
  <c r="C346" i="14" s="1"/>
  <c r="T350" i="14"/>
  <c r="T348" i="14"/>
  <c r="Q346" i="14"/>
  <c r="E346" i="14"/>
  <c r="Q307" i="14"/>
  <c r="E307" i="14"/>
  <c r="G307" i="14"/>
  <c r="C307" i="14" s="1"/>
  <c r="R307" i="14"/>
  <c r="G215" i="14"/>
  <c r="C215" i="14" s="1"/>
  <c r="R215" i="14"/>
  <c r="E215" i="14"/>
  <c r="Q215" i="14"/>
  <c r="F262" i="14"/>
  <c r="G281" i="14"/>
  <c r="C281" i="14" s="1"/>
  <c r="Q281" i="14"/>
  <c r="E281" i="14"/>
  <c r="R281" i="14"/>
  <c r="D71" i="14"/>
  <c r="F328" i="14"/>
  <c r="F139" i="14"/>
  <c r="F47" i="14"/>
  <c r="R326" i="14"/>
  <c r="Q326" i="14"/>
  <c r="G326" i="14"/>
  <c r="C326" i="14" s="1"/>
  <c r="E326" i="14"/>
  <c r="F251" i="14"/>
  <c r="T21" i="3"/>
  <c r="U98" i="7" s="1"/>
  <c r="D222" i="14"/>
  <c r="D86" i="14"/>
  <c r="F197" i="14"/>
  <c r="D250" i="14"/>
  <c r="F37" i="7"/>
  <c r="R306" i="14"/>
  <c r="G306" i="14"/>
  <c r="C306" i="14" s="1"/>
  <c r="E306" i="14"/>
  <c r="Q306" i="14"/>
  <c r="D114" i="14"/>
  <c r="E184" i="14"/>
  <c r="R184" i="14"/>
  <c r="Q184" i="14"/>
  <c r="G186" i="14"/>
  <c r="C186" i="14" s="1"/>
  <c r="R186" i="14"/>
  <c r="E186" i="14"/>
  <c r="Q186" i="14"/>
  <c r="T187" i="14"/>
  <c r="T189" i="14"/>
  <c r="R178" i="14"/>
  <c r="E178" i="14"/>
  <c r="T180" i="14"/>
  <c r="G178" i="14"/>
  <c r="C178" i="14" s="1"/>
  <c r="Q178" i="14"/>
  <c r="T182" i="14"/>
  <c r="G243" i="14"/>
  <c r="C243" i="14" s="1"/>
  <c r="E243" i="14"/>
  <c r="Q243" i="14"/>
  <c r="R243" i="14"/>
  <c r="T173" i="14"/>
  <c r="T175" i="14"/>
  <c r="E171" i="14"/>
  <c r="Q171" i="14"/>
  <c r="G171" i="14"/>
  <c r="C171" i="14" s="1"/>
  <c r="R171" i="14"/>
  <c r="F44" i="14"/>
  <c r="F200" i="14"/>
  <c r="F366" i="14"/>
  <c r="T310" i="14"/>
  <c r="N304" i="14"/>
  <c r="D309" i="14"/>
  <c r="N360" i="14"/>
  <c r="T366" i="14"/>
  <c r="F39" i="14"/>
  <c r="F170" i="14"/>
  <c r="N367" i="14"/>
  <c r="T373" i="14"/>
  <c r="D52" i="14"/>
  <c r="E357" i="14"/>
  <c r="G357" i="14"/>
  <c r="C357" i="14" s="1"/>
  <c r="R357" i="14"/>
  <c r="Q357" i="14"/>
  <c r="F114" i="14"/>
  <c r="F238" i="14"/>
  <c r="E18" i="14"/>
  <c r="F181" i="14"/>
  <c r="F357" i="14"/>
  <c r="F43" i="14"/>
  <c r="D200" i="14"/>
  <c r="D91" i="14"/>
  <c r="R196" i="14"/>
  <c r="Q196" i="14"/>
  <c r="G196" i="14"/>
  <c r="C196" i="14" s="1"/>
  <c r="E196" i="14"/>
  <c r="Q197" i="14"/>
  <c r="E197" i="14"/>
  <c r="R197" i="14"/>
  <c r="G197" i="14"/>
  <c r="C197" i="14" s="1"/>
  <c r="F203" i="14"/>
  <c r="F188" i="14"/>
  <c r="Q275" i="14"/>
  <c r="E275" i="14"/>
  <c r="G275" i="14"/>
  <c r="C275" i="14" s="1"/>
  <c r="R275" i="14"/>
  <c r="F214" i="14"/>
  <c r="G293" i="14"/>
  <c r="C293" i="14" s="1"/>
  <c r="E293" i="14"/>
  <c r="R293" i="14"/>
  <c r="Q293" i="14"/>
  <c r="E14" i="14"/>
  <c r="O14" i="14" s="1"/>
  <c r="F52" i="14"/>
  <c r="D231" i="14"/>
  <c r="D343" i="14"/>
  <c r="Q48" i="14"/>
  <c r="G48" i="14"/>
  <c r="E48" i="14"/>
  <c r="R48" i="14"/>
  <c r="D358" i="14"/>
  <c r="F292" i="14"/>
  <c r="T233" i="14"/>
  <c r="R69" i="14"/>
  <c r="G69" i="14"/>
  <c r="Q69" i="14"/>
  <c r="E69" i="14"/>
  <c r="F122" i="14"/>
  <c r="F213" i="14"/>
  <c r="F36" i="7"/>
  <c r="G36" i="7" s="1"/>
  <c r="E339" i="14"/>
  <c r="Q339" i="14"/>
  <c r="G339" i="14"/>
  <c r="C339" i="14" s="1"/>
  <c r="T341" i="14"/>
  <c r="T343" i="14"/>
  <c r="D69" i="14"/>
  <c r="E152" i="14"/>
  <c r="R152" i="14"/>
  <c r="Q152" i="14"/>
  <c r="G152" i="14"/>
  <c r="F272" i="14"/>
  <c r="T296" i="14"/>
  <c r="D56" i="14"/>
  <c r="D166" i="14"/>
  <c r="R107" i="14"/>
  <c r="E107" i="14"/>
  <c r="G107" i="14"/>
  <c r="Q107" i="14"/>
  <c r="Q214" i="14"/>
  <c r="G214" i="14"/>
  <c r="C214" i="14" s="1"/>
  <c r="E214" i="14"/>
  <c r="R214" i="14"/>
  <c r="E337" i="14"/>
  <c r="G337" i="14"/>
  <c r="C337" i="14" s="1"/>
  <c r="Q337" i="14"/>
  <c r="R337" i="14"/>
  <c r="F41" i="3"/>
  <c r="G53" i="29" s="1"/>
  <c r="F9" i="4"/>
  <c r="D100" i="14"/>
  <c r="N95" i="14"/>
  <c r="T100" i="14"/>
  <c r="R125" i="14"/>
  <c r="E125" i="14"/>
  <c r="G125" i="14"/>
  <c r="D364" i="14"/>
  <c r="F113" i="14"/>
  <c r="F364" i="14"/>
  <c r="G359" i="14"/>
  <c r="C359" i="14" s="1"/>
  <c r="E359" i="14"/>
  <c r="Q359" i="14"/>
  <c r="R359" i="14"/>
  <c r="D108" i="14"/>
  <c r="D195" i="14"/>
  <c r="D368" i="14"/>
  <c r="Q72" i="14"/>
  <c r="G72" i="14"/>
  <c r="E72" i="14"/>
  <c r="R72" i="14"/>
  <c r="F217" i="14"/>
  <c r="F298" i="14"/>
  <c r="D279" i="14"/>
  <c r="T79" i="14"/>
  <c r="T68" i="14"/>
  <c r="T70" i="14"/>
  <c r="R66" i="14"/>
  <c r="G66" i="14"/>
  <c r="Q66" i="14"/>
  <c r="E66" i="14"/>
  <c r="E132" i="14"/>
  <c r="G132" i="14"/>
  <c r="Q132" i="14"/>
  <c r="R132" i="14"/>
  <c r="Q362" i="14"/>
  <c r="E362" i="14"/>
  <c r="G362" i="14"/>
  <c r="C362" i="14" s="1"/>
  <c r="R362" i="14"/>
  <c r="S191" i="2"/>
  <c r="D54" i="14"/>
  <c r="Q109" i="14"/>
  <c r="G109" i="14"/>
  <c r="R109" i="14"/>
  <c r="E109" i="14"/>
  <c r="F212" i="14"/>
  <c r="F8" i="4"/>
  <c r="G325" i="14"/>
  <c r="C325" i="14" s="1"/>
  <c r="E325" i="14"/>
  <c r="R325" i="14"/>
  <c r="Q325" i="14"/>
  <c r="T329" i="14"/>
  <c r="T327" i="14"/>
  <c r="F198" i="14"/>
  <c r="F192" i="14"/>
  <c r="D48" i="14"/>
  <c r="D158" i="14"/>
  <c r="F27" i="35" s="1"/>
  <c r="F118" i="14"/>
  <c r="F275" i="14"/>
  <c r="T219" i="14"/>
  <c r="D120" i="14"/>
  <c r="D233" i="14"/>
  <c r="E280" i="14"/>
  <c r="R280" i="14"/>
  <c r="G280" i="14"/>
  <c r="C280" i="14" s="1"/>
  <c r="Q280" i="14"/>
  <c r="F44" i="7"/>
  <c r="D221" i="14"/>
  <c r="G199" i="14"/>
  <c r="C199" i="14" s="1"/>
  <c r="Q199" i="14"/>
  <c r="T203" i="14"/>
  <c r="T201" i="14"/>
  <c r="R199" i="14"/>
  <c r="E199" i="14"/>
  <c r="E200" i="14"/>
  <c r="R200" i="14"/>
  <c r="Q200" i="14"/>
  <c r="G200" i="14"/>
  <c r="C200" i="14" s="1"/>
  <c r="Q331" i="14"/>
  <c r="R331" i="14"/>
  <c r="G331" i="14"/>
  <c r="C331" i="14" s="1"/>
  <c r="E331" i="14"/>
  <c r="R309" i="14"/>
  <c r="D206" i="14"/>
  <c r="D319" i="14"/>
  <c r="E19" i="14"/>
  <c r="F295" i="14"/>
  <c r="F232" i="14"/>
  <c r="D80" i="14"/>
  <c r="F5" i="3"/>
  <c r="L389" i="2"/>
  <c r="D276" i="14"/>
  <c r="E253" i="14"/>
  <c r="Q253" i="14"/>
  <c r="R253" i="14"/>
  <c r="R352" i="14"/>
  <c r="Q352" i="14"/>
  <c r="E352" i="14"/>
  <c r="G352" i="14"/>
  <c r="C352" i="14" s="1"/>
  <c r="T51" i="7"/>
  <c r="R389" i="14"/>
  <c r="F218" i="14"/>
  <c r="F71" i="14"/>
  <c r="F360" i="14"/>
  <c r="D341" i="14"/>
  <c r="Q147" i="14"/>
  <c r="G147" i="14"/>
  <c r="E147" i="14"/>
  <c r="R147" i="14"/>
  <c r="R76" i="14"/>
  <c r="E76" i="14"/>
  <c r="G76" i="14"/>
  <c r="Q76" i="14"/>
  <c r="D179" i="14"/>
  <c r="D198" i="14"/>
  <c r="D281" i="14"/>
  <c r="D314" i="14"/>
  <c r="Q263" i="14"/>
  <c r="E263" i="14"/>
  <c r="G263" i="14"/>
  <c r="C263" i="14" s="1"/>
  <c r="R263" i="14"/>
  <c r="D199" i="14"/>
  <c r="Q87" i="14"/>
  <c r="R87" i="14"/>
  <c r="E87" i="14"/>
  <c r="G87" i="14"/>
  <c r="T89" i="14"/>
  <c r="T91" i="14"/>
  <c r="R213" i="14"/>
  <c r="E213" i="14"/>
  <c r="G213" i="14"/>
  <c r="C213" i="14" s="1"/>
  <c r="T215" i="14"/>
  <c r="T217" i="14"/>
  <c r="Q213" i="14"/>
  <c r="D137" i="14"/>
  <c r="D339" i="14"/>
  <c r="D261" i="14"/>
  <c r="R166" i="14"/>
  <c r="G166" i="14"/>
  <c r="C166" i="14" s="1"/>
  <c r="E166" i="14"/>
  <c r="Q166" i="14"/>
  <c r="G175" i="14"/>
  <c r="C175" i="14" s="1"/>
  <c r="R175" i="14"/>
  <c r="Q175" i="14"/>
  <c r="E175" i="14"/>
  <c r="D85" i="14"/>
  <c r="F42" i="14"/>
  <c r="F173" i="14"/>
  <c r="F75" i="14"/>
  <c r="F326" i="14"/>
  <c r="F30" i="3"/>
  <c r="G92" i="7" s="1"/>
  <c r="F29" i="4"/>
  <c r="F282" i="14"/>
  <c r="G21" i="3"/>
  <c r="D182" i="14"/>
  <c r="F283" i="14"/>
  <c r="D84" i="14"/>
  <c r="D196" i="14"/>
  <c r="F169" i="14"/>
  <c r="D180" i="14"/>
  <c r="F228" i="14"/>
  <c r="R150" i="14"/>
  <c r="T152" i="14"/>
  <c r="E150" i="14"/>
  <c r="G150" i="14"/>
  <c r="Q150" i="14"/>
  <c r="T154" i="14"/>
  <c r="F16" i="3"/>
  <c r="R60" i="14"/>
  <c r="E60" i="14"/>
  <c r="Q60" i="14"/>
  <c r="G60" i="14"/>
  <c r="T147" i="14"/>
  <c r="T145" i="14"/>
  <c r="E143" i="14"/>
  <c r="R143" i="14"/>
  <c r="Q143" i="14"/>
  <c r="G143" i="14"/>
  <c r="F317" i="14"/>
  <c r="G133" i="14"/>
  <c r="Q133" i="14"/>
  <c r="E133" i="14"/>
  <c r="R133" i="14"/>
  <c r="F138" i="14"/>
  <c r="D169" i="14"/>
  <c r="D282" i="14"/>
  <c r="R144" i="14"/>
  <c r="G144" i="14"/>
  <c r="E144" i="14"/>
  <c r="Q144" i="14"/>
  <c r="F333" i="14"/>
  <c r="R71" i="14"/>
  <c r="G71" i="14"/>
  <c r="Q71" i="14"/>
  <c r="E71" i="14"/>
  <c r="F207" i="14"/>
  <c r="F347" i="14"/>
  <c r="D240" i="14"/>
  <c r="D352" i="14"/>
  <c r="D267" i="14"/>
  <c r="G279" i="14"/>
  <c r="E279" i="14"/>
  <c r="R279" i="14"/>
  <c r="Q279" i="14"/>
  <c r="G361" i="14"/>
  <c r="C361" i="14" s="1"/>
  <c r="R361" i="14"/>
  <c r="E361" i="14"/>
  <c r="Q361" i="14"/>
  <c r="F226" i="14"/>
  <c r="F15" i="3"/>
  <c r="Q246" i="14"/>
  <c r="R246" i="14"/>
  <c r="G246" i="14"/>
  <c r="C246" i="14" s="1"/>
  <c r="E246" i="14"/>
  <c r="E329" i="14"/>
  <c r="Q329" i="14"/>
  <c r="R329" i="14"/>
  <c r="G329" i="14"/>
  <c r="C329" i="14" s="1"/>
  <c r="F260" i="14"/>
  <c r="R168" i="14"/>
  <c r="G168" i="14"/>
  <c r="C168" i="14" s="1"/>
  <c r="Q168" i="14"/>
  <c r="E168" i="14"/>
  <c r="G225" i="14"/>
  <c r="C225" i="14" s="1"/>
  <c r="Q225" i="14"/>
  <c r="E225" i="14"/>
  <c r="R225" i="14"/>
  <c r="R191" i="14"/>
  <c r="E191" i="14"/>
  <c r="G191" i="14"/>
  <c r="C191" i="14" s="1"/>
  <c r="Q191" i="14"/>
  <c r="F79" i="14"/>
  <c r="D171" i="14"/>
  <c r="F316" i="14"/>
  <c r="D133" i="14"/>
  <c r="R53" i="14"/>
  <c r="E53" i="14"/>
  <c r="Q53" i="14"/>
  <c r="G53" i="14"/>
  <c r="F82" i="14"/>
  <c r="E203" i="14"/>
  <c r="Q203" i="14"/>
  <c r="G203" i="14"/>
  <c r="C203" i="14" s="1"/>
  <c r="R203" i="14"/>
  <c r="T303" i="14"/>
  <c r="D90" i="14"/>
  <c r="D202" i="14"/>
  <c r="F69" i="14"/>
  <c r="F259" i="14"/>
  <c r="D76" i="14"/>
  <c r="D188" i="14"/>
  <c r="D47" i="14"/>
  <c r="D157" i="14"/>
  <c r="F26" i="35" s="1"/>
  <c r="F86" i="14"/>
  <c r="F235" i="14"/>
  <c r="T93" i="14"/>
  <c r="D285" i="14"/>
  <c r="D348" i="14"/>
  <c r="D134" i="14"/>
  <c r="D307" i="14"/>
  <c r="F204" i="14"/>
  <c r="D161" i="14"/>
  <c r="F30" i="35" s="1"/>
  <c r="D334" i="14"/>
  <c r="Q95" i="14"/>
  <c r="R95" i="14"/>
  <c r="E95" i="14"/>
  <c r="G95" i="14"/>
  <c r="T96" i="14"/>
  <c r="T98" i="14"/>
  <c r="Q38" i="14"/>
  <c r="R38" i="14"/>
  <c r="G38" i="14"/>
  <c r="T40" i="14"/>
  <c r="E38" i="14"/>
  <c r="T42" i="14"/>
  <c r="F249" i="14"/>
  <c r="D62" i="14"/>
  <c r="D175" i="14"/>
  <c r="D288" i="14"/>
  <c r="G302" i="14"/>
  <c r="C302" i="14" s="1"/>
  <c r="R302" i="14"/>
  <c r="Q302" i="14"/>
  <c r="E302" i="14"/>
  <c r="F208" i="14"/>
  <c r="E221" i="14"/>
  <c r="G221" i="14"/>
  <c r="C221" i="14" s="1"/>
  <c r="Q221" i="14"/>
  <c r="R221" i="14"/>
  <c r="F367" i="14"/>
  <c r="F104" i="14"/>
  <c r="F301" i="14"/>
  <c r="E193" i="14"/>
  <c r="Q193" i="14"/>
  <c r="G193" i="14"/>
  <c r="C193" i="14" s="1"/>
  <c r="R193" i="14"/>
  <c r="Q341" i="14"/>
  <c r="G341" i="14"/>
  <c r="C341" i="14" s="1"/>
  <c r="E341" i="14"/>
  <c r="R341" i="14"/>
  <c r="F349" i="14"/>
  <c r="D143" i="14"/>
  <c r="D28" i="14"/>
  <c r="G78" i="14"/>
  <c r="E78" i="14"/>
  <c r="Q78" i="14"/>
  <c r="R78" i="14"/>
  <c r="F58" i="14"/>
  <c r="E334" i="14"/>
  <c r="R334" i="14"/>
  <c r="G334" i="14"/>
  <c r="C334" i="14" s="1"/>
  <c r="Q334" i="14"/>
  <c r="F125" i="14"/>
  <c r="D265" i="14"/>
  <c r="D83" i="14"/>
  <c r="F143" i="14"/>
  <c r="F267" i="14"/>
  <c r="D96" i="14"/>
  <c r="D361" i="14"/>
  <c r="D181" i="14"/>
  <c r="D294" i="14"/>
  <c r="G255" i="14"/>
  <c r="C255" i="14" s="1"/>
  <c r="R255" i="14"/>
  <c r="Q255" i="14"/>
  <c r="E255" i="14"/>
  <c r="T257" i="14"/>
  <c r="T259" i="14"/>
  <c r="F152" i="14"/>
  <c r="F29" i="3"/>
  <c r="G91" i="7" s="1"/>
  <c r="F28" i="4"/>
  <c r="F244" i="14"/>
  <c r="G59" i="14"/>
  <c r="E59" i="14"/>
  <c r="R59" i="14"/>
  <c r="Q59" i="14"/>
  <c r="T61" i="14"/>
  <c r="T63" i="14"/>
  <c r="E249" i="14"/>
  <c r="G249" i="14"/>
  <c r="Q249" i="14"/>
  <c r="R249" i="14"/>
  <c r="D126" i="14"/>
  <c r="D299" i="14"/>
  <c r="R93" i="14"/>
  <c r="G93" i="14"/>
  <c r="Q93" i="14"/>
  <c r="E93" i="14"/>
  <c r="Q289" i="14"/>
  <c r="E289" i="14"/>
  <c r="G289" i="14"/>
  <c r="C289" i="14" s="1"/>
  <c r="R289" i="14"/>
  <c r="F294" i="14"/>
  <c r="D242" i="14"/>
  <c r="D354" i="14"/>
  <c r="R259" i="14"/>
  <c r="G259" i="14"/>
  <c r="C259" i="14" s="1"/>
  <c r="E259" i="14"/>
  <c r="Q259" i="14"/>
  <c r="F24" i="14"/>
  <c r="P24" i="14" s="1"/>
  <c r="R318" i="14"/>
  <c r="T320" i="14"/>
  <c r="T322" i="14"/>
  <c r="Q318" i="14"/>
  <c r="E318" i="14"/>
  <c r="G318" i="14"/>
  <c r="C318" i="14" s="1"/>
  <c r="F158" i="14"/>
  <c r="F311" i="14"/>
  <c r="F345" i="14"/>
  <c r="F186" i="14"/>
  <c r="F346" i="14"/>
  <c r="F112" i="14"/>
  <c r="F339" i="14"/>
  <c r="G324" i="14"/>
  <c r="C324" i="14" s="1"/>
  <c r="E324" i="14"/>
  <c r="R324" i="14"/>
  <c r="Q324" i="14"/>
  <c r="F189" i="14"/>
  <c r="D127" i="14"/>
  <c r="D20" i="14"/>
  <c r="D93" i="14"/>
  <c r="E37" i="14"/>
  <c r="E136" i="14"/>
  <c r="G136" i="14"/>
  <c r="R136" i="14"/>
  <c r="Q136" i="14"/>
  <c r="T140" i="14"/>
  <c r="T138" i="14"/>
  <c r="G235" i="14"/>
  <c r="C235" i="14" s="1"/>
  <c r="R235" i="14"/>
  <c r="E235" i="14"/>
  <c r="Q235" i="14"/>
  <c r="F67" i="14"/>
  <c r="D329" i="14"/>
  <c r="D103" i="14"/>
  <c r="N339" i="14"/>
  <c r="T345" i="14"/>
  <c r="Q229" i="14"/>
  <c r="G229" i="14"/>
  <c r="C229" i="14" s="1"/>
  <c r="R229" i="14"/>
  <c r="E229" i="14"/>
  <c r="R312" i="14"/>
  <c r="E312" i="14"/>
  <c r="G312" i="14"/>
  <c r="C312" i="14" s="1"/>
  <c r="Q312" i="14"/>
  <c r="D145" i="14"/>
  <c r="D258" i="14"/>
  <c r="F70" i="14"/>
  <c r="F300" i="14"/>
  <c r="T135" i="14"/>
  <c r="F220" i="14"/>
  <c r="F15" i="4"/>
  <c r="F361" i="14"/>
  <c r="F130" i="14"/>
  <c r="D177" i="14"/>
  <c r="D290" i="14"/>
  <c r="F231" i="14"/>
  <c r="F133" i="14"/>
  <c r="E121" i="14"/>
  <c r="Q121" i="14"/>
  <c r="G121" i="14"/>
  <c r="R121" i="14"/>
  <c r="F134" i="14"/>
  <c r="F63" i="7"/>
  <c r="G51" i="7"/>
  <c r="D303" i="14"/>
  <c r="Q181" i="14"/>
  <c r="G181" i="14"/>
  <c r="C181" i="14" s="1"/>
  <c r="E181" i="14"/>
  <c r="R181" i="14"/>
  <c r="E257" i="14"/>
  <c r="Q257" i="14"/>
  <c r="G257" i="14"/>
  <c r="C257" i="14" s="1"/>
  <c r="R257" i="14"/>
  <c r="F263" i="14"/>
  <c r="D99" i="14"/>
  <c r="D141" i="14"/>
  <c r="F8" i="3"/>
  <c r="M389" i="2"/>
  <c r="Q102" i="14"/>
  <c r="G102" i="14"/>
  <c r="R102" i="14"/>
  <c r="E102" i="14"/>
  <c r="E70" i="14"/>
  <c r="Q70" i="14"/>
  <c r="R70" i="14"/>
  <c r="G70" i="14"/>
  <c r="F141" i="14"/>
  <c r="D183" i="14"/>
  <c r="F10" i="14"/>
  <c r="P10" i="14" s="1"/>
  <c r="S15" i="14"/>
  <c r="D323" i="14"/>
  <c r="R320" i="14"/>
  <c r="G320" i="14"/>
  <c r="C320" i="14" s="1"/>
  <c r="E320" i="14"/>
  <c r="Q320" i="14"/>
  <c r="F359" i="14"/>
  <c r="D275" i="14"/>
  <c r="D342" i="14"/>
  <c r="R49" i="14"/>
  <c r="G49" i="14"/>
  <c r="E49" i="14"/>
  <c r="Q49" i="14"/>
  <c r="F315" i="14"/>
  <c r="F237" i="14"/>
  <c r="D60" i="14"/>
  <c r="F230" i="14"/>
  <c r="E355" i="14"/>
  <c r="R355" i="14"/>
  <c r="G355" i="14"/>
  <c r="C355" i="14" s="1"/>
  <c r="Q355" i="14"/>
  <c r="D220" i="14"/>
  <c r="E153" i="14"/>
  <c r="G153" i="14"/>
  <c r="Q153" i="14"/>
  <c r="R153" i="14"/>
  <c r="D229" i="14"/>
  <c r="E64" i="14"/>
  <c r="R64" i="14"/>
  <c r="Q64" i="14"/>
  <c r="G64" i="14"/>
  <c r="G80" i="14"/>
  <c r="Q80" i="14"/>
  <c r="E80" i="14"/>
  <c r="R80" i="14"/>
  <c r="T84" i="14"/>
  <c r="T82" i="14"/>
  <c r="F46" i="14"/>
  <c r="T51" i="14"/>
  <c r="D255" i="14"/>
  <c r="T149" i="14"/>
  <c r="E292" i="14"/>
  <c r="R292" i="14"/>
  <c r="G292" i="14"/>
  <c r="C292" i="14" s="1"/>
  <c r="Q292" i="14"/>
  <c r="F7" i="4"/>
  <c r="F76" i="14"/>
  <c r="F258" i="14"/>
  <c r="F67" i="7"/>
  <c r="S389" i="2"/>
  <c r="Q206" i="14"/>
  <c r="E206" i="14"/>
  <c r="R206" i="14"/>
  <c r="G206" i="14"/>
  <c r="C206" i="14" s="1"/>
  <c r="T210" i="14"/>
  <c r="T208" i="14"/>
  <c r="F87" i="14"/>
  <c r="F285" i="14"/>
  <c r="F147" i="14"/>
  <c r="F271" i="14"/>
  <c r="F239" i="14"/>
  <c r="E54" i="14"/>
  <c r="G54" i="14"/>
  <c r="Q54" i="14"/>
  <c r="R54" i="14"/>
  <c r="R310" i="14"/>
  <c r="G310" i="14"/>
  <c r="E310" i="14"/>
  <c r="Q310" i="14"/>
  <c r="F83" i="14"/>
  <c r="D273" i="14"/>
  <c r="D119" i="14"/>
  <c r="Q319" i="14"/>
  <c r="G319" i="14"/>
  <c r="C319" i="14" s="1"/>
  <c r="E319" i="14"/>
  <c r="R319" i="14"/>
  <c r="E156" i="14"/>
  <c r="G156" i="14"/>
  <c r="Q156" i="14"/>
  <c r="R156" i="14"/>
  <c r="E262" i="14"/>
  <c r="T266" i="14"/>
  <c r="Q262" i="14"/>
  <c r="G262" i="14"/>
  <c r="C262" i="14" s="1"/>
  <c r="R262" i="14"/>
  <c r="T264" i="14"/>
  <c r="F236" i="14"/>
  <c r="E273" i="14"/>
  <c r="Q273" i="14"/>
  <c r="G273" i="14"/>
  <c r="C273" i="14" s="1"/>
  <c r="R273" i="14"/>
  <c r="O389" i="2"/>
  <c r="G210" i="14"/>
  <c r="C210" i="14" s="1"/>
  <c r="R210" i="14"/>
  <c r="E210" i="14"/>
  <c r="Q210" i="14"/>
  <c r="G317" i="14"/>
  <c r="C317" i="14" s="1"/>
  <c r="E317" i="14"/>
  <c r="R317" i="14"/>
  <c r="Q317" i="14"/>
  <c r="F9" i="14"/>
  <c r="P9" i="14" s="1"/>
  <c r="F84" i="14"/>
  <c r="D259" i="14"/>
  <c r="Q114" i="14"/>
  <c r="G114" i="14"/>
  <c r="E114" i="14"/>
  <c r="R114" i="14"/>
  <c r="Q82" i="14"/>
  <c r="G82" i="14"/>
  <c r="R82" i="14"/>
  <c r="E82" i="14"/>
  <c r="E230" i="14"/>
  <c r="Q230" i="14"/>
  <c r="R230" i="14"/>
  <c r="G230" i="14"/>
  <c r="C230" i="14" s="1"/>
  <c r="F314" i="14"/>
  <c r="G91" i="14"/>
  <c r="Q91" i="14"/>
  <c r="E91" i="14"/>
  <c r="R91" i="14"/>
  <c r="Q305" i="14"/>
  <c r="R305" i="14"/>
  <c r="E305" i="14"/>
  <c r="G305" i="14"/>
  <c r="C305" i="14" s="1"/>
  <c r="T16" i="14"/>
  <c r="F32" i="3"/>
  <c r="F31" i="4"/>
  <c r="E240" i="14"/>
  <c r="Q240" i="14"/>
  <c r="G240" i="14"/>
  <c r="C240" i="14" s="1"/>
  <c r="R240" i="14"/>
  <c r="D97" i="14"/>
  <c r="G234" i="14"/>
  <c r="C234" i="14" s="1"/>
  <c r="T236" i="14"/>
  <c r="R234" i="14"/>
  <c r="E234" i="14"/>
  <c r="Q234" i="14"/>
  <c r="T238" i="14"/>
  <c r="E300" i="14"/>
  <c r="G300" i="14"/>
  <c r="C300" i="14" s="1"/>
  <c r="Q300" i="14"/>
  <c r="R300" i="14"/>
  <c r="F190" i="14"/>
  <c r="F296" i="14"/>
  <c r="R187" i="14"/>
  <c r="E187" i="14"/>
  <c r="Q187" i="14"/>
  <c r="G187" i="14"/>
  <c r="F39" i="7"/>
  <c r="D82" i="14"/>
  <c r="D194" i="14"/>
  <c r="G287" i="14"/>
  <c r="C287" i="14" s="1"/>
  <c r="R287" i="14"/>
  <c r="E287" i="14"/>
  <c r="Q287" i="14"/>
  <c r="F45" i="14"/>
  <c r="D245" i="14"/>
  <c r="S8" i="14"/>
  <c r="F38" i="7"/>
  <c r="G176" i="14"/>
  <c r="C176" i="14" s="1"/>
  <c r="R176" i="14"/>
  <c r="Q176" i="14"/>
  <c r="E176" i="14"/>
  <c r="E299" i="14"/>
  <c r="G299" i="14"/>
  <c r="C299" i="14" s="1"/>
  <c r="Q299" i="14"/>
  <c r="R299" i="14"/>
  <c r="E298" i="14"/>
  <c r="G298" i="14"/>
  <c r="C298" i="14" s="1"/>
  <c r="Q298" i="14"/>
  <c r="R298" i="14"/>
  <c r="E62" i="14"/>
  <c r="Q62" i="14"/>
  <c r="R62" i="14"/>
  <c r="G62" i="14"/>
  <c r="R276" i="14"/>
  <c r="Q276" i="14"/>
  <c r="T278" i="14"/>
  <c r="E276" i="14"/>
  <c r="G276" i="14"/>
  <c r="C276" i="14" s="1"/>
  <c r="T280" i="14"/>
  <c r="D172" i="14"/>
  <c r="D224" i="14"/>
  <c r="G327" i="14"/>
  <c r="C327" i="14" s="1"/>
  <c r="E327" i="14"/>
  <c r="Q327" i="14"/>
  <c r="R327" i="14"/>
  <c r="F92" i="14"/>
  <c r="F45" i="3"/>
  <c r="T163" i="14"/>
  <c r="V32" i="35" s="1"/>
  <c r="D367" i="14"/>
  <c r="Q205" i="14"/>
  <c r="G205" i="14"/>
  <c r="C205" i="14" s="1"/>
  <c r="R205" i="14"/>
  <c r="E205" i="14"/>
  <c r="G58" i="14"/>
  <c r="Q58" i="14"/>
  <c r="R58" i="14"/>
  <c r="E58" i="14"/>
  <c r="Q135" i="14"/>
  <c r="E135" i="14"/>
  <c r="R135" i="14"/>
  <c r="G135" i="14"/>
  <c r="F28" i="3"/>
  <c r="G90" i="7" s="1"/>
  <c r="F27" i="4"/>
  <c r="F332" i="14"/>
  <c r="R218" i="14"/>
  <c r="G218" i="14"/>
  <c r="E218" i="14"/>
  <c r="Q218" i="14"/>
  <c r="F99" i="14"/>
  <c r="F280" i="14"/>
  <c r="F46" i="7"/>
  <c r="D74" i="14"/>
  <c r="D186" i="14"/>
  <c r="Q353" i="14"/>
  <c r="G353" i="14"/>
  <c r="C353" i="14" s="1"/>
  <c r="E353" i="14"/>
  <c r="T357" i="14"/>
  <c r="T355" i="14"/>
  <c r="R353" i="14"/>
  <c r="F151" i="14"/>
  <c r="F299" i="14"/>
  <c r="F40" i="7"/>
  <c r="D148" i="14"/>
  <c r="D353" i="14"/>
  <c r="Q238" i="14"/>
  <c r="G238" i="14"/>
  <c r="C238" i="14" s="1"/>
  <c r="E238" i="14"/>
  <c r="R238" i="14"/>
  <c r="Q321" i="14"/>
  <c r="E321" i="14"/>
  <c r="R321" i="14"/>
  <c r="G321" i="14"/>
  <c r="C321" i="14" s="1"/>
  <c r="T177" i="14"/>
  <c r="D349" i="14"/>
  <c r="E347" i="14"/>
  <c r="Q347" i="14"/>
  <c r="G347" i="14"/>
  <c r="C347" i="14" s="1"/>
  <c r="R347" i="14"/>
  <c r="D115" i="14"/>
  <c r="T282" i="14"/>
  <c r="D122" i="14"/>
  <c r="D235" i="14"/>
  <c r="D347" i="14"/>
  <c r="Q77" i="14"/>
  <c r="R77" i="14"/>
  <c r="E77" i="14"/>
  <c r="G77" i="14"/>
  <c r="F31" i="14"/>
  <c r="G103" i="14"/>
  <c r="Q103" i="14"/>
  <c r="E103" i="14"/>
  <c r="R103" i="14"/>
  <c r="E242" i="14"/>
  <c r="R242" i="14"/>
  <c r="G242" i="14"/>
  <c r="C242" i="14" s="1"/>
  <c r="Q242" i="14"/>
  <c r="F31" i="3"/>
  <c r="G93" i="7" s="1"/>
  <c r="F30" i="4"/>
  <c r="F354" i="14"/>
  <c r="F265" i="14"/>
  <c r="D152" i="14"/>
  <c r="D131" i="14"/>
  <c r="D304" i="14"/>
  <c r="R7" i="37" l="1"/>
  <c r="R42" i="34"/>
  <c r="R24" i="34"/>
  <c r="R43" i="34"/>
  <c r="R25" i="34"/>
  <c r="R26" i="34"/>
  <c r="R17" i="34"/>
  <c r="R21" i="34"/>
  <c r="R33" i="34"/>
  <c r="R23" i="34"/>
  <c r="R32" i="34"/>
  <c r="R41" i="34"/>
  <c r="Q7" i="34"/>
  <c r="AB9" i="33" s="1"/>
  <c r="R18" i="34"/>
  <c r="R16" i="34"/>
  <c r="R46" i="34"/>
  <c r="R44" i="34"/>
  <c r="R45" i="34"/>
  <c r="P162" i="14"/>
  <c r="R31" i="35" s="1"/>
  <c r="H31" i="35"/>
  <c r="O161" i="14"/>
  <c r="Q30" i="35" s="1"/>
  <c r="G30" i="35"/>
  <c r="C161" i="14"/>
  <c r="E30" i="35" s="1"/>
  <c r="I30" i="35"/>
  <c r="C162" i="14"/>
  <c r="E31" i="35" s="1"/>
  <c r="I31" i="35"/>
  <c r="O162" i="14"/>
  <c r="Q31" i="35" s="1"/>
  <c r="G31" i="35"/>
  <c r="P161" i="14"/>
  <c r="R30" i="35" s="1"/>
  <c r="H30" i="35"/>
  <c r="P160" i="14"/>
  <c r="R29" i="35" s="1"/>
  <c r="H29" i="35"/>
  <c r="O163" i="14"/>
  <c r="Q32" i="35" s="1"/>
  <c r="G32" i="35"/>
  <c r="C163" i="14"/>
  <c r="E32" i="35" s="1"/>
  <c r="I32" i="35"/>
  <c r="C158" i="14"/>
  <c r="E27" i="35" s="1"/>
  <c r="I27" i="35"/>
  <c r="O158" i="14"/>
  <c r="Q27" i="35" s="1"/>
  <c r="G27" i="35"/>
  <c r="P159" i="14"/>
  <c r="R28" i="35" s="1"/>
  <c r="H28" i="35"/>
  <c r="P163" i="14"/>
  <c r="R32" i="35" s="1"/>
  <c r="H32" i="35"/>
  <c r="C159" i="14"/>
  <c r="E28" i="35" s="1"/>
  <c r="I28" i="35"/>
  <c r="O159" i="14"/>
  <c r="Q28" i="35" s="1"/>
  <c r="G28" i="35"/>
  <c r="O160" i="14"/>
  <c r="Q29" i="35" s="1"/>
  <c r="G29" i="35"/>
  <c r="C160" i="14"/>
  <c r="E29" i="35" s="1"/>
  <c r="I29" i="35"/>
  <c r="P158" i="14"/>
  <c r="R27" i="35" s="1"/>
  <c r="H27" i="35"/>
  <c r="P157" i="14"/>
  <c r="R26" i="35" s="1"/>
  <c r="O157" i="14"/>
  <c r="Q26" i="35" s="1"/>
  <c r="O150" i="14"/>
  <c r="P150" i="14"/>
  <c r="P156" i="14"/>
  <c r="P153" i="14"/>
  <c r="C151" i="14"/>
  <c r="O151" i="14"/>
  <c r="C154" i="14"/>
  <c r="O154" i="14"/>
  <c r="P154" i="14"/>
  <c r="O152" i="14"/>
  <c r="C152" i="14"/>
  <c r="C150" i="14"/>
  <c r="P152" i="14"/>
  <c r="O153" i="14"/>
  <c r="C153" i="14"/>
  <c r="O156" i="14"/>
  <c r="C156" i="14"/>
  <c r="P151" i="14"/>
  <c r="G110" i="7"/>
  <c r="E96" i="33" s="1"/>
  <c r="S313" i="14"/>
  <c r="W158" i="14"/>
  <c r="S180" i="14"/>
  <c r="W312" i="14"/>
  <c r="S348" i="14"/>
  <c r="S187" i="14"/>
  <c r="S173" i="14"/>
  <c r="S341" i="14"/>
  <c r="P143" i="14"/>
  <c r="O143" i="14"/>
  <c r="S306" i="14"/>
  <c r="S299" i="14"/>
  <c r="S194" i="14"/>
  <c r="S271" i="14"/>
  <c r="S222" i="14"/>
  <c r="S159" i="14"/>
  <c r="U28" i="35" s="1"/>
  <c r="S229" i="14"/>
  <c r="S250" i="14"/>
  <c r="S166" i="14"/>
  <c r="S327" i="14"/>
  <c r="S201" i="14"/>
  <c r="S215" i="14"/>
  <c r="S152" i="14"/>
  <c r="S257" i="14"/>
  <c r="S292" i="14"/>
  <c r="S285" i="14"/>
  <c r="S334" i="14"/>
  <c r="S243" i="14"/>
  <c r="S320" i="14"/>
  <c r="S208" i="14"/>
  <c r="S264" i="14"/>
  <c r="S236" i="14"/>
  <c r="S278" i="14"/>
  <c r="S355" i="14"/>
  <c r="S362" i="14"/>
  <c r="C146" i="14"/>
  <c r="O146" i="14"/>
  <c r="P144" i="14"/>
  <c r="P149" i="14"/>
  <c r="P145" i="14"/>
  <c r="O145" i="14"/>
  <c r="C145" i="14"/>
  <c r="P146" i="14"/>
  <c r="P148" i="14"/>
  <c r="O148" i="14"/>
  <c r="C148" i="14"/>
  <c r="C149" i="14"/>
  <c r="O149" i="14"/>
  <c r="C147" i="14"/>
  <c r="O147" i="14"/>
  <c r="S145" i="14"/>
  <c r="C143" i="14"/>
  <c r="C144" i="14"/>
  <c r="O144" i="14"/>
  <c r="P147" i="14"/>
  <c r="S138" i="14"/>
  <c r="P136" i="14"/>
  <c r="W137" i="14"/>
  <c r="Y137" i="14" s="1"/>
  <c r="P137" i="14"/>
  <c r="O140" i="14"/>
  <c r="C140" i="14"/>
  <c r="O139" i="14"/>
  <c r="C139" i="14"/>
  <c r="C138" i="14"/>
  <c r="O138" i="14"/>
  <c r="O142" i="14"/>
  <c r="C142" i="14"/>
  <c r="C137" i="14"/>
  <c r="O137" i="14"/>
  <c r="P142" i="14"/>
  <c r="P140" i="14"/>
  <c r="O141" i="14"/>
  <c r="C141" i="14"/>
  <c r="P139" i="14"/>
  <c r="P138" i="14"/>
  <c r="O136" i="14"/>
  <c r="C136" i="14"/>
  <c r="P141" i="14"/>
  <c r="P129" i="14"/>
  <c r="O129" i="14"/>
  <c r="C134" i="14"/>
  <c r="O134" i="14"/>
  <c r="P132" i="14"/>
  <c r="O131" i="14"/>
  <c r="C131" i="14"/>
  <c r="P135" i="14"/>
  <c r="O130" i="14"/>
  <c r="C130" i="14"/>
  <c r="C129" i="14"/>
  <c r="P131" i="14"/>
  <c r="O132" i="14"/>
  <c r="C132" i="14"/>
  <c r="C133" i="14"/>
  <c r="O133" i="14"/>
  <c r="P130" i="14"/>
  <c r="P133" i="14"/>
  <c r="P134" i="14"/>
  <c r="O135" i="14"/>
  <c r="C135" i="14"/>
  <c r="P127" i="14"/>
  <c r="C125" i="14"/>
  <c r="C123" i="14"/>
  <c r="C127" i="14"/>
  <c r="O123" i="14"/>
  <c r="O122" i="14"/>
  <c r="P123" i="14"/>
  <c r="O126" i="14"/>
  <c r="P126" i="14"/>
  <c r="O128" i="14"/>
  <c r="P122" i="14"/>
  <c r="C122" i="14"/>
  <c r="P125" i="14"/>
  <c r="O125" i="14"/>
  <c r="C128" i="14"/>
  <c r="O127" i="14"/>
  <c r="P128" i="14"/>
  <c r="O117" i="14"/>
  <c r="O121" i="14"/>
  <c r="O118" i="14"/>
  <c r="P119" i="14"/>
  <c r="O116" i="14"/>
  <c r="P116" i="14"/>
  <c r="O119" i="14"/>
  <c r="C121" i="14"/>
  <c r="C117" i="14"/>
  <c r="C118" i="14"/>
  <c r="C116" i="14"/>
  <c r="C115" i="14"/>
  <c r="C119" i="14"/>
  <c r="P120" i="14"/>
  <c r="O120" i="14"/>
  <c r="C120" i="14"/>
  <c r="O115" i="14"/>
  <c r="P115" i="14"/>
  <c r="W116" i="14"/>
  <c r="Y116" i="14" s="1"/>
  <c r="P117" i="14"/>
  <c r="P121" i="14"/>
  <c r="P118" i="14"/>
  <c r="O111" i="14"/>
  <c r="O109" i="14"/>
  <c r="O110" i="14"/>
  <c r="C114" i="14"/>
  <c r="C109" i="14"/>
  <c r="C111" i="14"/>
  <c r="O114" i="14"/>
  <c r="P114" i="14"/>
  <c r="C113" i="14"/>
  <c r="W109" i="14"/>
  <c r="Y109" i="14" s="1"/>
  <c r="O108" i="14"/>
  <c r="P112" i="14"/>
  <c r="P113" i="14"/>
  <c r="C112" i="14"/>
  <c r="C108" i="14"/>
  <c r="P109" i="14"/>
  <c r="P110" i="14"/>
  <c r="C110" i="14"/>
  <c r="P108" i="14"/>
  <c r="O113" i="14"/>
  <c r="P111" i="14"/>
  <c r="O112" i="14"/>
  <c r="O106" i="14"/>
  <c r="O104" i="14"/>
  <c r="P103" i="14"/>
  <c r="C102" i="14"/>
  <c r="O101" i="14"/>
  <c r="O105" i="14"/>
  <c r="C101" i="14"/>
  <c r="W102" i="14"/>
  <c r="Y102" i="14" s="1"/>
  <c r="P106" i="14"/>
  <c r="P101" i="14"/>
  <c r="C107" i="14"/>
  <c r="O107" i="14"/>
  <c r="P107" i="14"/>
  <c r="O103" i="14"/>
  <c r="P104" i="14"/>
  <c r="C103" i="14"/>
  <c r="C104" i="14"/>
  <c r="C106" i="14"/>
  <c r="C105" i="14"/>
  <c r="P102" i="14"/>
  <c r="O102" i="14"/>
  <c r="P105" i="14"/>
  <c r="O389" i="14"/>
  <c r="T47" i="3"/>
  <c r="T60" i="4" s="1"/>
  <c r="G378" i="14"/>
  <c r="O96" i="14"/>
  <c r="P99" i="14"/>
  <c r="C95" i="14"/>
  <c r="C100" i="14"/>
  <c r="C98" i="14"/>
  <c r="O100" i="14"/>
  <c r="P97" i="14"/>
  <c r="C97" i="14"/>
  <c r="C99" i="14"/>
  <c r="O97" i="14"/>
  <c r="P96" i="14"/>
  <c r="O98" i="14"/>
  <c r="O99" i="14"/>
  <c r="O95" i="14"/>
  <c r="P98" i="14"/>
  <c r="P100" i="14"/>
  <c r="W95" i="14"/>
  <c r="Y95" i="14" s="1"/>
  <c r="P95" i="14"/>
  <c r="O92" i="14"/>
  <c r="C92" i="14"/>
  <c r="C89" i="14"/>
  <c r="C88" i="14"/>
  <c r="P92" i="14"/>
  <c r="P90" i="14"/>
  <c r="C93" i="14"/>
  <c r="P87" i="14"/>
  <c r="O87" i="14"/>
  <c r="O91" i="14"/>
  <c r="C90" i="14"/>
  <c r="W88" i="14"/>
  <c r="Y88" i="14" s="1"/>
  <c r="O89" i="14"/>
  <c r="O90" i="14"/>
  <c r="P93" i="14"/>
  <c r="P89" i="14"/>
  <c r="O88" i="14"/>
  <c r="C91" i="14"/>
  <c r="C87" i="14"/>
  <c r="O93" i="14"/>
  <c r="P91" i="14"/>
  <c r="P88" i="14"/>
  <c r="O84" i="14"/>
  <c r="W81" i="14"/>
  <c r="Y81" i="14" s="1"/>
  <c r="C83" i="14"/>
  <c r="O83" i="14"/>
  <c r="P84" i="14"/>
  <c r="C81" i="14"/>
  <c r="P86" i="14"/>
  <c r="C86" i="14"/>
  <c r="C80" i="14"/>
  <c r="O85" i="14"/>
  <c r="P80" i="14"/>
  <c r="C85" i="14"/>
  <c r="C84" i="14"/>
  <c r="O82" i="14"/>
  <c r="P85" i="14"/>
  <c r="P81" i="14"/>
  <c r="O86" i="14"/>
  <c r="O81" i="14"/>
  <c r="C82" i="14"/>
  <c r="O80" i="14"/>
  <c r="P83" i="14"/>
  <c r="P82" i="14"/>
  <c r="O78" i="14"/>
  <c r="O73" i="14"/>
  <c r="C74" i="14"/>
  <c r="O76" i="14"/>
  <c r="O74" i="14"/>
  <c r="P73" i="14"/>
  <c r="O77" i="14"/>
  <c r="W74" i="14"/>
  <c r="Y74" i="14" s="1"/>
  <c r="P75" i="14"/>
  <c r="C73" i="14"/>
  <c r="C79" i="14"/>
  <c r="P74" i="14"/>
  <c r="O75" i="14"/>
  <c r="O79" i="14"/>
  <c r="P77" i="14"/>
  <c r="P76" i="14"/>
  <c r="C78" i="14"/>
  <c r="C77" i="14"/>
  <c r="C75" i="14"/>
  <c r="C76" i="14"/>
  <c r="P78" i="14"/>
  <c r="P79" i="14"/>
  <c r="P66" i="14"/>
  <c r="O71" i="14"/>
  <c r="O67" i="14"/>
  <c r="P70" i="14"/>
  <c r="O68" i="14"/>
  <c r="O66" i="14"/>
  <c r="O72" i="14"/>
  <c r="P69" i="14"/>
  <c r="O69" i="14"/>
  <c r="P67" i="14"/>
  <c r="P71" i="14"/>
  <c r="O70" i="14"/>
  <c r="P68" i="14"/>
  <c r="P72" i="14"/>
  <c r="C66" i="14"/>
  <c r="C72" i="14"/>
  <c r="C67" i="14"/>
  <c r="C68" i="14"/>
  <c r="C71" i="14"/>
  <c r="C69" i="14"/>
  <c r="W67" i="14"/>
  <c r="Y67" i="14" s="1"/>
  <c r="C70" i="14"/>
  <c r="O62" i="14"/>
  <c r="O65" i="14"/>
  <c r="P60" i="14"/>
  <c r="O60" i="14"/>
  <c r="O59" i="14"/>
  <c r="P61" i="14"/>
  <c r="P65" i="14"/>
  <c r="O61" i="14"/>
  <c r="P64" i="14"/>
  <c r="O64" i="14"/>
  <c r="P62" i="14"/>
  <c r="P59" i="14"/>
  <c r="C60" i="14"/>
  <c r="C59" i="14"/>
  <c r="W60" i="14"/>
  <c r="Y60" i="14" s="1"/>
  <c r="C61" i="14"/>
  <c r="C64" i="14"/>
  <c r="C62" i="14"/>
  <c r="O57" i="14"/>
  <c r="W53" i="14"/>
  <c r="Y53" i="14" s="1"/>
  <c r="C52" i="14"/>
  <c r="O52" i="14"/>
  <c r="O56" i="14"/>
  <c r="O58" i="14"/>
  <c r="P55" i="14"/>
  <c r="C55" i="14"/>
  <c r="P54" i="14"/>
  <c r="C58" i="14"/>
  <c r="P52" i="14"/>
  <c r="C56" i="14"/>
  <c r="P58" i="14"/>
  <c r="P53" i="14"/>
  <c r="C57" i="14"/>
  <c r="O55" i="14"/>
  <c r="C54" i="14"/>
  <c r="C53" i="14"/>
  <c r="O54" i="14"/>
  <c r="O53" i="14"/>
  <c r="P57" i="14"/>
  <c r="P56" i="14"/>
  <c r="O49" i="14"/>
  <c r="O51" i="14"/>
  <c r="C48" i="14"/>
  <c r="C45" i="14"/>
  <c r="C51" i="14"/>
  <c r="P48" i="14"/>
  <c r="P50" i="14"/>
  <c r="C46" i="14"/>
  <c r="O46" i="14"/>
  <c r="P45" i="14"/>
  <c r="P49" i="14"/>
  <c r="O48" i="14"/>
  <c r="C47" i="14"/>
  <c r="C50" i="14"/>
  <c r="O45" i="14"/>
  <c r="O47" i="14"/>
  <c r="P51" i="14"/>
  <c r="C49" i="14"/>
  <c r="O50" i="14"/>
  <c r="W46" i="14"/>
  <c r="Y46" i="14" s="1"/>
  <c r="P46" i="14"/>
  <c r="P47" i="14"/>
  <c r="W389" i="2"/>
  <c r="O38" i="14"/>
  <c r="P42" i="14"/>
  <c r="O39" i="14"/>
  <c r="O44" i="14"/>
  <c r="C39" i="14"/>
  <c r="C38" i="14"/>
  <c r="C44" i="14"/>
  <c r="P41" i="14"/>
  <c r="O42" i="14"/>
  <c r="C41" i="14"/>
  <c r="P39" i="14"/>
  <c r="P44" i="14"/>
  <c r="C40" i="14"/>
  <c r="P38" i="14"/>
  <c r="W123" i="14"/>
  <c r="Y123" i="14" s="1"/>
  <c r="P43" i="14"/>
  <c r="C43" i="14"/>
  <c r="O41" i="14"/>
  <c r="W130" i="14"/>
  <c r="Y130" i="14" s="1"/>
  <c r="O43" i="14"/>
  <c r="W39" i="14"/>
  <c r="Y39" i="14" s="1"/>
  <c r="P40" i="14"/>
  <c r="W165" i="14"/>
  <c r="Y165" i="14" s="1"/>
  <c r="W256" i="14"/>
  <c r="Y256" i="14" s="1"/>
  <c r="O40" i="14"/>
  <c r="C42" i="14"/>
  <c r="H18" i="22"/>
  <c r="J383" i="14"/>
  <c r="Y383" i="14" s="1"/>
  <c r="U44" i="3" s="1"/>
  <c r="C218" i="14"/>
  <c r="D384" i="14" s="1"/>
  <c r="V384" i="14" s="1"/>
  <c r="K384" i="14"/>
  <c r="I385" i="14"/>
  <c r="X385" i="14" s="1"/>
  <c r="U13" i="3" s="1"/>
  <c r="I386" i="14"/>
  <c r="X386" i="14" s="1"/>
  <c r="U14" i="3" s="1"/>
  <c r="H383" i="14"/>
  <c r="I382" i="14"/>
  <c r="X382" i="14" s="1"/>
  <c r="U10" i="3" s="1"/>
  <c r="C65" i="14"/>
  <c r="K379" i="14"/>
  <c r="J378" i="14"/>
  <c r="I377" i="14"/>
  <c r="D377" i="14"/>
  <c r="G385" i="14"/>
  <c r="C157" i="14"/>
  <c r="K382" i="14"/>
  <c r="I379" i="14"/>
  <c r="X379" i="14" s="1"/>
  <c r="G380" i="14"/>
  <c r="J387" i="14"/>
  <c r="Y387" i="14" s="1"/>
  <c r="U48" i="3" s="1"/>
  <c r="H384" i="14"/>
  <c r="G383" i="14"/>
  <c r="G384" i="14"/>
  <c r="C279" i="14"/>
  <c r="D386" i="14" s="1"/>
  <c r="V386" i="14" s="1"/>
  <c r="K386" i="14"/>
  <c r="H377" i="14"/>
  <c r="W377" i="14" s="1"/>
  <c r="J377" i="14"/>
  <c r="Y377" i="14" s="1"/>
  <c r="C187" i="14"/>
  <c r="D383" i="14" s="1"/>
  <c r="V383" i="14" s="1"/>
  <c r="K383" i="14"/>
  <c r="J382" i="14"/>
  <c r="Y382" i="14" s="1"/>
  <c r="U43" i="3" s="1"/>
  <c r="J388" i="14"/>
  <c r="Y388" i="14" s="1"/>
  <c r="U49" i="3" s="1"/>
  <c r="J381" i="14"/>
  <c r="Y381" i="14" s="1"/>
  <c r="U42" i="3" s="1"/>
  <c r="J386" i="14"/>
  <c r="Y386" i="14" s="1"/>
  <c r="U47" i="3" s="1"/>
  <c r="G379" i="14"/>
  <c r="G382" i="14"/>
  <c r="H388" i="14"/>
  <c r="W388" i="14" s="1"/>
  <c r="J380" i="14"/>
  <c r="Y380" i="14" s="1"/>
  <c r="U41" i="3" s="1"/>
  <c r="J379" i="14"/>
  <c r="Y379" i="14" s="1"/>
  <c r="H387" i="14"/>
  <c r="W387" i="14" s="1"/>
  <c r="G387" i="14"/>
  <c r="G381" i="14"/>
  <c r="H386" i="14"/>
  <c r="H379" i="14"/>
  <c r="Y5" i="33"/>
  <c r="H381" i="14"/>
  <c r="H380" i="14"/>
  <c r="H382" i="14"/>
  <c r="H385" i="14"/>
  <c r="I387" i="14"/>
  <c r="X387" i="14" s="1"/>
  <c r="U15" i="3" s="1"/>
  <c r="I378" i="14"/>
  <c r="X378" i="14" s="1"/>
  <c r="J384" i="14"/>
  <c r="Y384" i="14" s="1"/>
  <c r="U45" i="3" s="1"/>
  <c r="I381" i="14"/>
  <c r="X381" i="14" s="1"/>
  <c r="U9" i="3" s="1"/>
  <c r="I383" i="14"/>
  <c r="X383" i="14" s="1"/>
  <c r="U11" i="3" s="1"/>
  <c r="C310" i="14"/>
  <c r="D387" i="14" s="1"/>
  <c r="V387" i="14" s="1"/>
  <c r="K387" i="14"/>
  <c r="I380" i="14"/>
  <c r="X380" i="14" s="1"/>
  <c r="U8" i="3" s="1"/>
  <c r="I388" i="14"/>
  <c r="X388" i="14" s="1"/>
  <c r="U16" i="3" s="1"/>
  <c r="C126" i="14"/>
  <c r="K381" i="14"/>
  <c r="P37" i="14"/>
  <c r="K378" i="14"/>
  <c r="J385" i="14"/>
  <c r="Y385" i="14" s="1"/>
  <c r="U46" i="3" s="1"/>
  <c r="C96" i="14"/>
  <c r="K380" i="14"/>
  <c r="I384" i="14"/>
  <c r="X384" i="14" s="1"/>
  <c r="U12" i="3" s="1"/>
  <c r="C249" i="14"/>
  <c r="D385" i="14" s="1"/>
  <c r="V385" i="14" s="1"/>
  <c r="K385" i="14"/>
  <c r="C340" i="14"/>
  <c r="D388" i="14" s="1"/>
  <c r="V388" i="14" s="1"/>
  <c r="K388" i="14"/>
  <c r="H378" i="14"/>
  <c r="T39" i="3"/>
  <c r="T52" i="4" s="1"/>
  <c r="G388" i="14"/>
  <c r="G386" i="14"/>
  <c r="O37" i="14"/>
  <c r="P31" i="14"/>
  <c r="P33" i="14"/>
  <c r="P32" i="14"/>
  <c r="S26" i="14"/>
  <c r="O25" i="14"/>
  <c r="P22" i="14"/>
  <c r="P20" i="14"/>
  <c r="P23" i="14"/>
  <c r="P19" i="14"/>
  <c r="O21" i="14"/>
  <c r="P18" i="14"/>
  <c r="P17" i="14"/>
  <c r="O19" i="14"/>
  <c r="T20" i="4"/>
  <c r="U20" i="4" s="1"/>
  <c r="P21" i="14"/>
  <c r="S19" i="14"/>
  <c r="O18" i="14"/>
  <c r="S37" i="14"/>
  <c r="S23" i="14"/>
  <c r="S156" i="14"/>
  <c r="S366" i="14"/>
  <c r="S261" i="14"/>
  <c r="S79" i="14"/>
  <c r="S30" i="14"/>
  <c r="S96" i="14"/>
  <c r="S268" i="14"/>
  <c r="S149" i="14"/>
  <c r="S219" i="14"/>
  <c r="S54" i="14"/>
  <c r="S40" i="14"/>
  <c r="S103" i="14"/>
  <c r="S240" i="14"/>
  <c r="S233" i="14"/>
  <c r="S226" i="14"/>
  <c r="S338" i="14"/>
  <c r="S373" i="14"/>
  <c r="S131" i="14"/>
  <c r="S142" i="14"/>
  <c r="S135" i="14"/>
  <c r="S117" i="14"/>
  <c r="S317" i="14"/>
  <c r="S44" i="14"/>
  <c r="S275" i="14"/>
  <c r="S68" i="14"/>
  <c r="S184" i="14"/>
  <c r="S65" i="14"/>
  <c r="S82" i="14"/>
  <c r="S170" i="14"/>
  <c r="S72" i="14"/>
  <c r="S128" i="14"/>
  <c r="S345" i="14"/>
  <c r="S75" i="14"/>
  <c r="S163" i="14"/>
  <c r="U32" i="35" s="1"/>
  <c r="S212" i="14"/>
  <c r="S191" i="14"/>
  <c r="S58" i="14"/>
  <c r="S47" i="14"/>
  <c r="S61" i="14"/>
  <c r="S16" i="14"/>
  <c r="S282" i="14"/>
  <c r="S121" i="14"/>
  <c r="S114" i="14"/>
  <c r="S51" i="14"/>
  <c r="S289" i="14"/>
  <c r="S331" i="14"/>
  <c r="S247" i="14"/>
  <c r="S324" i="14"/>
  <c r="S93" i="14"/>
  <c r="S359" i="14"/>
  <c r="S12" i="14"/>
  <c r="S107" i="14"/>
  <c r="S124" i="14"/>
  <c r="P6" i="14"/>
  <c r="S100" i="14"/>
  <c r="S86" i="14"/>
  <c r="S198" i="14"/>
  <c r="S254" i="14"/>
  <c r="S296" i="14"/>
  <c r="S33" i="14"/>
  <c r="S369" i="14"/>
  <c r="S310" i="14"/>
  <c r="S205" i="14"/>
  <c r="S110" i="14"/>
  <c r="S89" i="14"/>
  <c r="S177" i="14"/>
  <c r="S352" i="14"/>
  <c r="S303" i="14"/>
  <c r="Y347" i="14"/>
  <c r="G80" i="3"/>
  <c r="G16" i="3"/>
  <c r="G94" i="7"/>
  <c r="G62" i="7"/>
  <c r="G78" i="7"/>
  <c r="U73" i="29"/>
  <c r="AB73" i="29" s="1"/>
  <c r="AB74" i="29" s="1"/>
  <c r="V14" i="29" s="1"/>
  <c r="F65" i="3"/>
  <c r="G46" i="7"/>
  <c r="G16" i="4"/>
  <c r="Y340" i="14"/>
  <c r="T16" i="4"/>
  <c r="G31" i="4"/>
  <c r="R61" i="33"/>
  <c r="Y333" i="14"/>
  <c r="Y326" i="14"/>
  <c r="F52" i="4"/>
  <c r="Y319" i="14"/>
  <c r="U64" i="29"/>
  <c r="U7" i="29" s="1"/>
  <c r="AB63" i="29"/>
  <c r="AB64" i="29" s="1"/>
  <c r="U14" i="29" s="1"/>
  <c r="Y305" i="14"/>
  <c r="G45" i="7"/>
  <c r="G30" i="4"/>
  <c r="G15" i="4"/>
  <c r="T15" i="4"/>
  <c r="Y298" i="14"/>
  <c r="Y291" i="14"/>
  <c r="Y284" i="14"/>
  <c r="G29" i="4"/>
  <c r="G44" i="7"/>
  <c r="U54" i="29"/>
  <c r="T7" i="29" s="1"/>
  <c r="AB53" i="29"/>
  <c r="AB54" i="29" s="1"/>
  <c r="T14" i="29" s="1"/>
  <c r="Y277" i="14"/>
  <c r="G14" i="4"/>
  <c r="T14" i="4"/>
  <c r="Y270" i="14"/>
  <c r="T40" i="3"/>
  <c r="T53" i="4" s="1"/>
  <c r="T45" i="3"/>
  <c r="T58" i="4" s="1"/>
  <c r="T44" i="3"/>
  <c r="T57" i="4" s="1"/>
  <c r="T41" i="3"/>
  <c r="T54" i="4" s="1"/>
  <c r="T42" i="3"/>
  <c r="T55" i="4" s="1"/>
  <c r="T49" i="3"/>
  <c r="T48" i="3"/>
  <c r="T46" i="3"/>
  <c r="T59" i="4" s="1"/>
  <c r="T43" i="3"/>
  <c r="T56" i="4" s="1"/>
  <c r="U44" i="29"/>
  <c r="S7" i="29" s="1"/>
  <c r="AB43" i="29"/>
  <c r="AB44" i="29" s="1"/>
  <c r="S14" i="29" s="1"/>
  <c r="Y263" i="14"/>
  <c r="Y249" i="14"/>
  <c r="G28" i="4"/>
  <c r="T13" i="4"/>
  <c r="G13" i="4"/>
  <c r="G43" i="7"/>
  <c r="T7" i="3"/>
  <c r="U71" i="3" s="1"/>
  <c r="T9" i="3"/>
  <c r="U13" i="25" s="1"/>
  <c r="T22" i="3"/>
  <c r="T6" i="3"/>
  <c r="U40" i="25" s="1"/>
  <c r="T11" i="3"/>
  <c r="U15" i="25" s="1"/>
  <c r="Y242" i="14"/>
  <c r="T12" i="3"/>
  <c r="U76" i="3" s="1"/>
  <c r="T10" i="3"/>
  <c r="U74" i="3" s="1"/>
  <c r="T15" i="3"/>
  <c r="U49" i="25" s="1"/>
  <c r="T8" i="3"/>
  <c r="U12" i="25" s="1"/>
  <c r="T13" i="3"/>
  <c r="T16" i="3"/>
  <c r="T14" i="3"/>
  <c r="U78" i="3" s="1"/>
  <c r="Y235" i="14"/>
  <c r="Y228" i="14"/>
  <c r="Y221" i="14"/>
  <c r="G89" i="7"/>
  <c r="G27" i="4"/>
  <c r="G12" i="4"/>
  <c r="G42" i="7"/>
  <c r="U33" i="29"/>
  <c r="F61" i="3"/>
  <c r="Y214" i="14"/>
  <c r="T12" i="4"/>
  <c r="Y207" i="14"/>
  <c r="Y200" i="14"/>
  <c r="Y193" i="14"/>
  <c r="U24" i="29"/>
  <c r="Q7" i="29" s="1"/>
  <c r="AB23" i="29"/>
  <c r="AB24" i="29" s="1"/>
  <c r="Q14" i="29" s="1"/>
  <c r="G88" i="7"/>
  <c r="Y186" i="14"/>
  <c r="T11" i="4"/>
  <c r="G11" i="4"/>
  <c r="G26" i="4"/>
  <c r="G41" i="7"/>
  <c r="Y179" i="14"/>
  <c r="Y172" i="14"/>
  <c r="G40" i="7"/>
  <c r="Y35" i="33" s="1"/>
  <c r="G87" i="7"/>
  <c r="G74" i="29"/>
  <c r="P7" i="29" s="1"/>
  <c r="E76" i="33" s="1"/>
  <c r="N73" i="29"/>
  <c r="N74" i="29" s="1"/>
  <c r="P14" i="29" s="1"/>
  <c r="G25" i="4"/>
  <c r="G10" i="4"/>
  <c r="T10" i="4"/>
  <c r="S5" i="14"/>
  <c r="Y151" i="14"/>
  <c r="Y144" i="14"/>
  <c r="G9" i="4"/>
  <c r="G63" i="29"/>
  <c r="G39" i="7"/>
  <c r="T8" i="4"/>
  <c r="T9" i="4"/>
  <c r="G24" i="4"/>
  <c r="G70" i="3"/>
  <c r="G6" i="3"/>
  <c r="G10" i="25"/>
  <c r="G54" i="29"/>
  <c r="N53" i="29"/>
  <c r="N54" i="29" s="1"/>
  <c r="G86" i="7"/>
  <c r="G70" i="7"/>
  <c r="G38" i="7"/>
  <c r="G23" i="4"/>
  <c r="G8" i="4"/>
  <c r="F55" i="3"/>
  <c r="G44" i="29"/>
  <c r="M7" i="29" s="1"/>
  <c r="N43" i="29"/>
  <c r="N44" i="29" s="1"/>
  <c r="M14" i="29" s="1"/>
  <c r="T7" i="4"/>
  <c r="G7" i="4"/>
  <c r="F56" i="3"/>
  <c r="G85" i="7"/>
  <c r="G23" i="3"/>
  <c r="G22" i="4"/>
  <c r="G37" i="7"/>
  <c r="G21" i="4"/>
  <c r="N33" i="29"/>
  <c r="N34" i="29" s="1"/>
  <c r="L14" i="29" s="1"/>
  <c r="G39" i="3"/>
  <c r="Y32" i="14"/>
  <c r="T6" i="4"/>
  <c r="T21" i="4"/>
  <c r="F33" i="3"/>
  <c r="F34" i="3" s="1"/>
  <c r="F3" i="3" s="1"/>
  <c r="F17" i="4"/>
  <c r="Y25" i="14"/>
  <c r="F64" i="7"/>
  <c r="D389" i="2"/>
  <c r="G22" i="3"/>
  <c r="G47" i="3"/>
  <c r="F60" i="4"/>
  <c r="F63" i="3"/>
  <c r="G46" i="3"/>
  <c r="F59" i="4"/>
  <c r="F62" i="3"/>
  <c r="Y18" i="14"/>
  <c r="G69" i="7"/>
  <c r="G53" i="7"/>
  <c r="G14" i="3"/>
  <c r="G78" i="3"/>
  <c r="G48" i="25"/>
  <c r="G18" i="25"/>
  <c r="G42" i="3"/>
  <c r="F55" i="4"/>
  <c r="F58" i="3"/>
  <c r="G38" i="3"/>
  <c r="G23" i="29"/>
  <c r="F50" i="3"/>
  <c r="F54" i="3"/>
  <c r="G9" i="3"/>
  <c r="G43" i="25"/>
  <c r="G73" i="3"/>
  <c r="G13" i="25"/>
  <c r="T30" i="3"/>
  <c r="U92" i="7" s="1"/>
  <c r="T29" i="4"/>
  <c r="G389" i="2"/>
  <c r="U51" i="7"/>
  <c r="T63" i="7"/>
  <c r="G5" i="3"/>
  <c r="G69" i="3"/>
  <c r="G39" i="25"/>
  <c r="G9" i="25"/>
  <c r="F17" i="3"/>
  <c r="G41" i="3"/>
  <c r="F57" i="3"/>
  <c r="F54" i="4"/>
  <c r="J389" i="2"/>
  <c r="F51" i="3" s="1"/>
  <c r="T25" i="3"/>
  <c r="T24" i="4"/>
  <c r="T24" i="3"/>
  <c r="U101" i="7" s="1"/>
  <c r="T23" i="4"/>
  <c r="G11" i="3"/>
  <c r="G75" i="3"/>
  <c r="G45" i="25"/>
  <c r="G15" i="25"/>
  <c r="G31" i="3"/>
  <c r="G61" i="7"/>
  <c r="G77" i="7"/>
  <c r="T28" i="3"/>
  <c r="T27" i="4"/>
  <c r="T67" i="7"/>
  <c r="S389" i="14"/>
  <c r="G15" i="3"/>
  <c r="G49" i="25"/>
  <c r="G19" i="25"/>
  <c r="G79" i="3"/>
  <c r="T5" i="4"/>
  <c r="U5" i="4" s="1"/>
  <c r="P389" i="14"/>
  <c r="G13" i="3"/>
  <c r="G17" i="25"/>
  <c r="G47" i="25"/>
  <c r="G77" i="3"/>
  <c r="G10" i="3"/>
  <c r="G14" i="25"/>
  <c r="G44" i="25"/>
  <c r="G74" i="3"/>
  <c r="G43" i="3"/>
  <c r="F59" i="3"/>
  <c r="F56" i="4"/>
  <c r="O96" i="33" s="1"/>
  <c r="Q96" i="33" s="1"/>
  <c r="T27" i="3"/>
  <c r="T26" i="4"/>
  <c r="G49" i="3"/>
  <c r="F62" i="4"/>
  <c r="G26" i="3"/>
  <c r="G72" i="7"/>
  <c r="G56" i="7"/>
  <c r="T29" i="3"/>
  <c r="U91" i="7" s="1"/>
  <c r="T28" i="4"/>
  <c r="G30" i="3"/>
  <c r="G76" i="7"/>
  <c r="G60" i="7"/>
  <c r="G48" i="3"/>
  <c r="F61" i="4"/>
  <c r="F64" i="3"/>
  <c r="T23" i="3"/>
  <c r="U100" i="7" s="1"/>
  <c r="T22" i="4"/>
  <c r="G25" i="3"/>
  <c r="G55" i="7"/>
  <c r="G71" i="7"/>
  <c r="G24" i="3"/>
  <c r="G54" i="7"/>
  <c r="G27" i="3"/>
  <c r="G73" i="7"/>
  <c r="G57" i="7"/>
  <c r="T35" i="7"/>
  <c r="Q389" i="14"/>
  <c r="G8" i="3"/>
  <c r="G72" i="3"/>
  <c r="G12" i="25"/>
  <c r="G42" i="25"/>
  <c r="G50" i="25"/>
  <c r="G20" i="25"/>
  <c r="G45" i="3"/>
  <c r="F58" i="4"/>
  <c r="T32" i="3"/>
  <c r="T31" i="4"/>
  <c r="F79" i="7"/>
  <c r="F80" i="7" s="1"/>
  <c r="G67" i="7"/>
  <c r="G28" i="3"/>
  <c r="G74" i="7"/>
  <c r="G58" i="7"/>
  <c r="S9" i="14"/>
  <c r="F32" i="4"/>
  <c r="M389" i="14"/>
  <c r="G40" i="3"/>
  <c r="F53" i="4"/>
  <c r="G7" i="3"/>
  <c r="G11" i="25"/>
  <c r="G41" i="25"/>
  <c r="Y11" i="14"/>
  <c r="G12" i="3"/>
  <c r="G16" i="25"/>
  <c r="G76" i="3"/>
  <c r="G46" i="25"/>
  <c r="U83" i="7"/>
  <c r="T95" i="7"/>
  <c r="T31" i="3"/>
  <c r="T30" i="4"/>
  <c r="G32" i="3"/>
  <c r="G29" i="3"/>
  <c r="G59" i="7"/>
  <c r="G75" i="7"/>
  <c r="I389" i="2"/>
  <c r="AA5" i="33" s="1"/>
  <c r="T5" i="3"/>
  <c r="L389" i="14"/>
  <c r="T38" i="3"/>
  <c r="N389" i="14"/>
  <c r="T26" i="3"/>
  <c r="T25" i="4"/>
  <c r="G35" i="7"/>
  <c r="F47" i="7"/>
  <c r="F48" i="7" s="1"/>
  <c r="G44" i="3"/>
  <c r="F57" i="4"/>
  <c r="F60" i="3"/>
  <c r="R39" i="34" l="1"/>
  <c r="R36" i="34"/>
  <c r="R50" i="34"/>
  <c r="R56" i="34"/>
  <c r="R7" i="34"/>
  <c r="R22" i="34"/>
  <c r="R53" i="34"/>
  <c r="R12" i="34"/>
  <c r="R27" i="34"/>
  <c r="Q37" i="34"/>
  <c r="D382" i="14"/>
  <c r="V382" i="14" s="1"/>
  <c r="E26" i="35"/>
  <c r="Y312" i="14"/>
  <c r="Y158" i="14"/>
  <c r="D381" i="14"/>
  <c r="V381" i="14" s="1"/>
  <c r="U32" i="22" s="1"/>
  <c r="AD5" i="33"/>
  <c r="B7" i="29"/>
  <c r="E7" i="29" s="1"/>
  <c r="W385" i="14"/>
  <c r="U29" i="3" s="1"/>
  <c r="W383" i="14"/>
  <c r="U27" i="3" s="1"/>
  <c r="W382" i="14"/>
  <c r="U26" i="3" s="1"/>
  <c r="W378" i="14"/>
  <c r="U22" i="3" s="1"/>
  <c r="W380" i="14"/>
  <c r="U24" i="3" s="1"/>
  <c r="U40" i="3"/>
  <c r="V377" i="14"/>
  <c r="U28" i="22" s="1"/>
  <c r="W381" i="14"/>
  <c r="U25" i="3" s="1"/>
  <c r="W384" i="14"/>
  <c r="U28" i="3" s="1"/>
  <c r="X377" i="14"/>
  <c r="U5" i="3" s="1"/>
  <c r="W379" i="14"/>
  <c r="U23" i="3" s="1"/>
  <c r="U38" i="3"/>
  <c r="U84" i="7"/>
  <c r="U99" i="7"/>
  <c r="U110" i="7" s="1"/>
  <c r="U6" i="3"/>
  <c r="W386" i="14"/>
  <c r="U30" i="3" s="1"/>
  <c r="U7" i="3"/>
  <c r="Y378" i="14"/>
  <c r="U39" i="3" s="1"/>
  <c r="D7" i="29"/>
  <c r="D380" i="14"/>
  <c r="V380" i="14" s="1"/>
  <c r="U31" i="22" s="1"/>
  <c r="N7" i="29"/>
  <c r="N14" i="29"/>
  <c r="M25" i="22"/>
  <c r="H25" i="22"/>
  <c r="Q25" i="22"/>
  <c r="I25" i="22"/>
  <c r="L25" i="22"/>
  <c r="P25" i="22"/>
  <c r="O25" i="22"/>
  <c r="R25" i="22"/>
  <c r="AC13" i="33"/>
  <c r="Y12" i="33"/>
  <c r="AI5" i="33"/>
  <c r="AD12" i="33"/>
  <c r="I18" i="22"/>
  <c r="D379" i="14"/>
  <c r="V379" i="14" s="1"/>
  <c r="D378" i="14"/>
  <c r="K36" i="35"/>
  <c r="X389" i="2"/>
  <c r="U37" i="22"/>
  <c r="U34" i="22"/>
  <c r="Y389" i="2"/>
  <c r="AC5" i="33"/>
  <c r="U39" i="22"/>
  <c r="U38" i="22"/>
  <c r="U35" i="22"/>
  <c r="U36" i="22"/>
  <c r="F40" i="22"/>
  <c r="G40" i="22" s="1"/>
  <c r="V389" i="2"/>
  <c r="J389" i="14"/>
  <c r="Y389" i="14" s="1"/>
  <c r="U50" i="3" s="1"/>
  <c r="K389" i="14"/>
  <c r="H389" i="14"/>
  <c r="W389" i="14" s="1"/>
  <c r="U74" i="29"/>
  <c r="V7" i="29" s="1"/>
  <c r="R18" i="22" s="1"/>
  <c r="U94" i="7"/>
  <c r="U78" i="7"/>
  <c r="U62" i="7"/>
  <c r="T65" i="3"/>
  <c r="U80" i="3"/>
  <c r="U46" i="7"/>
  <c r="U31" i="4"/>
  <c r="U16" i="4"/>
  <c r="Q18" i="22"/>
  <c r="U45" i="7"/>
  <c r="U93" i="7"/>
  <c r="U30" i="4"/>
  <c r="T64" i="3"/>
  <c r="U15" i="4"/>
  <c r="T61" i="4"/>
  <c r="R60" i="33"/>
  <c r="U21" i="4"/>
  <c r="U68" i="7"/>
  <c r="T55" i="3"/>
  <c r="U6" i="4"/>
  <c r="R56" i="33"/>
  <c r="R54" i="33"/>
  <c r="R55" i="33"/>
  <c r="U16" i="25"/>
  <c r="U46" i="25"/>
  <c r="T62" i="4"/>
  <c r="U29" i="4"/>
  <c r="U36" i="7"/>
  <c r="T63" i="3"/>
  <c r="R58" i="33"/>
  <c r="R57" i="33"/>
  <c r="R59" i="33"/>
  <c r="P18" i="22"/>
  <c r="U14" i="4"/>
  <c r="U44" i="7"/>
  <c r="U75" i="3"/>
  <c r="U73" i="3"/>
  <c r="U43" i="25"/>
  <c r="U72" i="3"/>
  <c r="U48" i="25"/>
  <c r="U42" i="25"/>
  <c r="U50" i="25"/>
  <c r="U20" i="25"/>
  <c r="O18" i="22"/>
  <c r="U18" i="25"/>
  <c r="U52" i="7"/>
  <c r="U11" i="25"/>
  <c r="U41" i="25"/>
  <c r="U14" i="25"/>
  <c r="U44" i="25"/>
  <c r="U47" i="25"/>
  <c r="U17" i="25"/>
  <c r="U45" i="25"/>
  <c r="U19" i="25"/>
  <c r="U10" i="25"/>
  <c r="U77" i="3"/>
  <c r="U79" i="3"/>
  <c r="U70" i="3"/>
  <c r="T62" i="3"/>
  <c r="U28" i="4"/>
  <c r="U43" i="7"/>
  <c r="U13" i="4"/>
  <c r="AB38" i="33"/>
  <c r="AB37" i="33"/>
  <c r="AB36" i="33"/>
  <c r="AB35" i="33"/>
  <c r="AB34" i="33"/>
  <c r="AA34" i="33" s="1" a="1"/>
  <c r="AA34" i="33" s="1"/>
  <c r="AE34" i="33" s="1"/>
  <c r="AB40" i="33"/>
  <c r="AB39" i="33"/>
  <c r="AB41" i="33"/>
  <c r="I389" i="14"/>
  <c r="X389" i="14" s="1"/>
  <c r="U17" i="3" s="1"/>
  <c r="U21" i="3"/>
  <c r="T60" i="3"/>
  <c r="U34" i="29"/>
  <c r="R7" i="29" s="1"/>
  <c r="AB33" i="29"/>
  <c r="AB34" i="29" s="1"/>
  <c r="R14" i="29" s="1"/>
  <c r="U42" i="7"/>
  <c r="U90" i="7"/>
  <c r="T61" i="3"/>
  <c r="U27" i="4"/>
  <c r="U12" i="4"/>
  <c r="M18" i="22"/>
  <c r="Y98" i="7"/>
  <c r="U26" i="4"/>
  <c r="U41" i="7"/>
  <c r="U89" i="7"/>
  <c r="U11" i="4"/>
  <c r="U87" i="7"/>
  <c r="U10" i="4"/>
  <c r="L18" i="22"/>
  <c r="U25" i="4"/>
  <c r="T59" i="3"/>
  <c r="U40" i="7"/>
  <c r="U88" i="7"/>
  <c r="AB13" i="33"/>
  <c r="N63" i="29"/>
  <c r="N64" i="29" s="1"/>
  <c r="G64" i="29"/>
  <c r="O7" i="29" s="1"/>
  <c r="U8" i="4"/>
  <c r="T58" i="3"/>
  <c r="U39" i="7"/>
  <c r="U24" i="4"/>
  <c r="U9" i="4"/>
  <c r="G17" i="4"/>
  <c r="T57" i="3"/>
  <c r="U23" i="4"/>
  <c r="U86" i="7"/>
  <c r="U70" i="7"/>
  <c r="U38" i="7"/>
  <c r="T40" i="22"/>
  <c r="T56" i="3"/>
  <c r="U22" i="4"/>
  <c r="U37" i="7"/>
  <c r="U85" i="7"/>
  <c r="U7" i="4"/>
  <c r="F66" i="3"/>
  <c r="G66" i="3" s="1"/>
  <c r="G95" i="7"/>
  <c r="G111" i="25"/>
  <c r="G33" i="3"/>
  <c r="G32" i="4"/>
  <c r="T33" i="3"/>
  <c r="T17" i="4"/>
  <c r="U75" i="7"/>
  <c r="U59" i="7"/>
  <c r="T54" i="3"/>
  <c r="T51" i="4"/>
  <c r="T50" i="3"/>
  <c r="U9" i="25"/>
  <c r="U69" i="3"/>
  <c r="U39" i="25"/>
  <c r="T17" i="3"/>
  <c r="U53" i="7"/>
  <c r="U69" i="7"/>
  <c r="G51" i="25"/>
  <c r="G81" i="25"/>
  <c r="G17" i="3"/>
  <c r="Y5" i="3" s="1"/>
  <c r="F18" i="3"/>
  <c r="G21" i="25"/>
  <c r="G81" i="3"/>
  <c r="G50" i="3"/>
  <c r="F63" i="4"/>
  <c r="F36" i="3"/>
  <c r="U57" i="7"/>
  <c r="U73" i="7"/>
  <c r="U56" i="7"/>
  <c r="U72" i="7"/>
  <c r="T64" i="7"/>
  <c r="T32" i="4"/>
  <c r="U35" i="7"/>
  <c r="T47" i="7"/>
  <c r="T48" i="7" s="1"/>
  <c r="U67" i="7"/>
  <c r="T79" i="7"/>
  <c r="T80" i="7" s="1"/>
  <c r="U54" i="7"/>
  <c r="U76" i="7"/>
  <c r="U60" i="7"/>
  <c r="G24" i="29"/>
  <c r="K7" i="29" s="1"/>
  <c r="Z7" i="29"/>
  <c r="W7" i="29" s="1"/>
  <c r="O76" i="33" s="1"/>
  <c r="N23" i="29"/>
  <c r="F35" i="3"/>
  <c r="F19" i="3" s="1"/>
  <c r="U55" i="7"/>
  <c r="U71" i="7"/>
  <c r="U31" i="3"/>
  <c r="U61" i="7"/>
  <c r="U77" i="7"/>
  <c r="U32" i="3"/>
  <c r="U58" i="7"/>
  <c r="U74" i="7"/>
  <c r="R37" i="37" l="1"/>
  <c r="R37" i="34"/>
  <c r="U33" i="22"/>
  <c r="T18" i="3"/>
  <c r="V378" i="14"/>
  <c r="U29" i="22" s="1"/>
  <c r="T34" i="3"/>
  <c r="J18" i="22"/>
  <c r="Y96" i="33"/>
  <c r="AA96" i="33" s="1"/>
  <c r="O14" i="29"/>
  <c r="N25" i="22"/>
  <c r="J25" i="22"/>
  <c r="AG23" i="33"/>
  <c r="AF23" i="33"/>
  <c r="AF21" i="33"/>
  <c r="AG22" i="33"/>
  <c r="AF17" i="33"/>
  <c r="AG17" i="33"/>
  <c r="AG18" i="33"/>
  <c r="AF20" i="33"/>
  <c r="AG21" i="33"/>
  <c r="AG16" i="33"/>
  <c r="AF19" i="33"/>
  <c r="AG20" i="33"/>
  <c r="AF22" i="33"/>
  <c r="AG19" i="33"/>
  <c r="AF18" i="33"/>
  <c r="AC12" i="33"/>
  <c r="AB12" i="33"/>
  <c r="U30" i="22"/>
  <c r="T51" i="3"/>
  <c r="AA35" i="33" a="1"/>
  <c r="AA35" i="33" s="1"/>
  <c r="AE35" i="33" s="1"/>
  <c r="AA38" i="33" a="1"/>
  <c r="AA38" i="33" s="1"/>
  <c r="AA40" i="33" a="1"/>
  <c r="AA40" i="33" s="1"/>
  <c r="AA36" i="33" a="1"/>
  <c r="AA36" i="33" s="1"/>
  <c r="AA37" i="33" a="1"/>
  <c r="AA37" i="33" s="1"/>
  <c r="U33" i="3"/>
  <c r="Q58" i="33" a="1"/>
  <c r="Q58" i="33" s="1"/>
  <c r="Q54" i="33" a="1"/>
  <c r="Q54" i="33" s="1"/>
  <c r="U54" i="33" s="1"/>
  <c r="AA41" i="33" a="1"/>
  <c r="AA41" i="33" s="1"/>
  <c r="Q56" i="33" a="1"/>
  <c r="Q56" i="33" s="1"/>
  <c r="Q59" i="33" a="1"/>
  <c r="Q59" i="33" s="1"/>
  <c r="AA39" i="33" a="1"/>
  <c r="AA39" i="33" s="1"/>
  <c r="Q60" i="33" a="1"/>
  <c r="Q60" i="33" s="1"/>
  <c r="Q61" i="33" a="1"/>
  <c r="Q61" i="33" s="1"/>
  <c r="Q57" i="33" a="1"/>
  <c r="Q57" i="33" s="1"/>
  <c r="Q55" i="33" a="1"/>
  <c r="Q55" i="33" s="1"/>
  <c r="R81" i="33"/>
  <c r="R78" i="33"/>
  <c r="R77" i="33"/>
  <c r="R75" i="33"/>
  <c r="Q75" i="33" s="1" a="1"/>
  <c r="Q75" i="33" s="1"/>
  <c r="U75" i="33" s="1"/>
  <c r="R80" i="33"/>
  <c r="R82" i="33"/>
  <c r="R79" i="33"/>
  <c r="R76" i="33"/>
  <c r="G18" i="22"/>
  <c r="N18" i="22"/>
  <c r="F7" i="32"/>
  <c r="E7" i="32" s="1"/>
  <c r="F11" i="32"/>
  <c r="E11" i="32" s="1"/>
  <c r="F13" i="32"/>
  <c r="E13" i="32" s="1"/>
  <c r="F10" i="32"/>
  <c r="E10" i="32" s="1"/>
  <c r="F9" i="32"/>
  <c r="E9" i="32" s="1"/>
  <c r="F6" i="32"/>
  <c r="E6" i="32" s="1"/>
  <c r="F12" i="32"/>
  <c r="E12" i="32" s="1"/>
  <c r="F8" i="32"/>
  <c r="E8" i="32" s="1"/>
  <c r="J17" i="32"/>
  <c r="I17" i="32" s="1"/>
  <c r="J18" i="32"/>
  <c r="I18" i="32" s="1"/>
  <c r="J22" i="32"/>
  <c r="I22" i="32" s="1"/>
  <c r="J20" i="32"/>
  <c r="I20" i="32" s="1"/>
  <c r="J21" i="32"/>
  <c r="I21" i="32" s="1"/>
  <c r="J24" i="32"/>
  <c r="I24" i="32" s="1"/>
  <c r="J19" i="32"/>
  <c r="I19" i="32" s="1"/>
  <c r="J23" i="32"/>
  <c r="I23" i="32" s="1"/>
  <c r="N24" i="29"/>
  <c r="K14" i="29" s="1"/>
  <c r="W14" i="29"/>
  <c r="D389" i="14"/>
  <c r="V389" i="14" s="1"/>
  <c r="U40" i="22" s="1"/>
  <c r="Y38" i="3"/>
  <c r="AE5" i="33"/>
  <c r="AG7" i="33" s="1"/>
  <c r="K18" i="22"/>
  <c r="U17" i="4"/>
  <c r="Y54" i="3"/>
  <c r="U95" i="7"/>
  <c r="U111" i="25"/>
  <c r="K6" i="25" s="1"/>
  <c r="O7" i="33" s="1"/>
  <c r="Q7" i="33" s="1"/>
  <c r="T63" i="4"/>
  <c r="U81" i="25"/>
  <c r="U81" i="3"/>
  <c r="U21" i="25"/>
  <c r="I6" i="25" s="1"/>
  <c r="O6" i="33" s="1"/>
  <c r="Q6" i="33" s="1"/>
  <c r="L6" i="25"/>
  <c r="O4" i="33" s="1"/>
  <c r="Q4" i="33" s="1"/>
  <c r="U51" i="25"/>
  <c r="J6" i="25" s="1"/>
  <c r="O5" i="33" s="1"/>
  <c r="Q5" i="33" s="1"/>
  <c r="S18" i="22"/>
  <c r="T66" i="3"/>
  <c r="U66" i="3" s="1"/>
  <c r="U56" i="33" l="1"/>
  <c r="U59" i="33"/>
  <c r="U55" i="33"/>
  <c r="U58" i="33"/>
  <c r="U60" i="33"/>
  <c r="U61" i="33"/>
  <c r="U57" i="33"/>
  <c r="AE36" i="33"/>
  <c r="AE37" i="33"/>
  <c r="AE40" i="33"/>
  <c r="AE39" i="33"/>
  <c r="AE38" i="33"/>
  <c r="AE41" i="33"/>
  <c r="AC36" i="33"/>
  <c r="AD36" i="33" s="1"/>
  <c r="AC37" i="33"/>
  <c r="AD37" i="33" s="1"/>
  <c r="AC39" i="33"/>
  <c r="AD39" i="33" s="1"/>
  <c r="AC38" i="33"/>
  <c r="AD38" i="33" s="1"/>
  <c r="AC40" i="33"/>
  <c r="AD40" i="33" s="1"/>
  <c r="AC41" i="33"/>
  <c r="AD41" i="33" s="1"/>
  <c r="AC35" i="33"/>
  <c r="AD35" i="33" s="1"/>
  <c r="S60" i="33"/>
  <c r="T60" i="33" s="1"/>
  <c r="S56" i="33"/>
  <c r="T56" i="33" s="1"/>
  <c r="S55" i="33"/>
  <c r="T55" i="33" s="1"/>
  <c r="S54" i="33"/>
  <c r="T54" i="33" s="1"/>
  <c r="S59" i="33"/>
  <c r="T59" i="33" s="1"/>
  <c r="S57" i="33"/>
  <c r="T57" i="33" s="1"/>
  <c r="S58" i="33"/>
  <c r="T58" i="33" s="1"/>
  <c r="S61" i="33"/>
  <c r="T61" i="33" s="1"/>
  <c r="G25" i="22"/>
  <c r="S25" i="22"/>
  <c r="K25" i="22"/>
  <c r="Q82" i="33" a="1"/>
  <c r="Q82" i="33" s="1"/>
  <c r="Q79" i="33" a="1"/>
  <c r="Q79" i="33" s="1"/>
  <c r="Q80" i="33" a="1"/>
  <c r="Q80" i="33" s="1"/>
  <c r="Q77" i="33" a="1"/>
  <c r="Q77" i="33" s="1"/>
  <c r="Q78" i="33" a="1"/>
  <c r="Q78" i="33" s="1"/>
  <c r="Q81" i="33" a="1"/>
  <c r="Q81" i="33" s="1"/>
  <c r="Q76" i="33" a="1"/>
  <c r="Q76" i="33" s="1"/>
  <c r="E4" i="33"/>
  <c r="G4" i="33" s="1"/>
  <c r="F18" i="32"/>
  <c r="E18" i="32" s="1"/>
  <c r="F21" i="32"/>
  <c r="E21" i="32" s="1"/>
  <c r="F19" i="32"/>
  <c r="E19" i="32" s="1"/>
  <c r="F22" i="32"/>
  <c r="E22" i="32" s="1"/>
  <c r="F23" i="32"/>
  <c r="E23" i="32" s="1"/>
  <c r="F17" i="32"/>
  <c r="E17" i="32" s="1"/>
  <c r="F20" i="32"/>
  <c r="E20" i="32" s="1"/>
  <c r="F24" i="32"/>
  <c r="E24" i="32" s="1"/>
  <c r="N22" i="32"/>
  <c r="M22" i="32" s="1"/>
  <c r="N18" i="32"/>
  <c r="M18" i="32" s="1"/>
  <c r="N24" i="32"/>
  <c r="M24" i="32" s="1"/>
  <c r="N20" i="32"/>
  <c r="M20" i="32" s="1"/>
  <c r="N23" i="32"/>
  <c r="M23" i="32" s="1"/>
  <c r="N19" i="32"/>
  <c r="M19" i="32" s="1"/>
  <c r="N17" i="32"/>
  <c r="M17" i="32" s="1"/>
  <c r="N21" i="32"/>
  <c r="M21" i="32" s="1"/>
  <c r="AG5" i="33"/>
  <c r="AF5" i="33" s="1"/>
  <c r="AG10" i="33"/>
  <c r="AF10" i="33" s="1"/>
  <c r="AG9" i="33"/>
  <c r="AF9" i="33" s="1"/>
  <c r="AG6" i="33"/>
  <c r="AF6" i="33" s="1"/>
  <c r="AG11" i="33"/>
  <c r="AF11" i="33" s="1"/>
  <c r="AG8" i="33"/>
  <c r="AF8" i="33" s="1"/>
  <c r="AG4" i="33"/>
  <c r="AF4" i="33" s="1"/>
  <c r="AF7" i="33"/>
  <c r="S75" i="33"/>
  <c r="H82" i="33"/>
  <c r="H80" i="33"/>
  <c r="H79" i="33"/>
  <c r="H76" i="33"/>
  <c r="H81" i="33"/>
  <c r="H78" i="33"/>
  <c r="H75" i="33"/>
  <c r="H77" i="33"/>
  <c r="S82" i="33" l="1"/>
  <c r="T82" i="33" s="1"/>
  <c r="U82" i="33"/>
  <c r="S79" i="33"/>
  <c r="T79" i="33" s="1"/>
  <c r="U79" i="33"/>
  <c r="S76" i="33"/>
  <c r="T76" i="33" s="1"/>
  <c r="U76" i="33"/>
  <c r="S78" i="33"/>
  <c r="T78" i="33" s="1"/>
  <c r="U78" i="33"/>
  <c r="S81" i="33"/>
  <c r="T81" i="33" s="1"/>
  <c r="U81" i="33"/>
  <c r="S77" i="33"/>
  <c r="T77" i="33" s="1"/>
  <c r="U77" i="33"/>
  <c r="S80" i="33"/>
  <c r="T80" i="33" s="1"/>
  <c r="U80" i="33"/>
  <c r="G80" i="33" a="1"/>
  <c r="G80" i="33" s="1"/>
  <c r="G81" i="33" a="1"/>
  <c r="G81" i="33" s="1"/>
  <c r="G77" i="33" a="1"/>
  <c r="G77" i="33" s="1"/>
  <c r="G78" i="33" a="1"/>
  <c r="G78" i="33" s="1"/>
  <c r="G76" i="33" a="1"/>
  <c r="G76" i="33" s="1"/>
  <c r="G82" i="33" a="1"/>
  <c r="G82" i="33" s="1"/>
  <c r="G75" i="33" a="1"/>
  <c r="G75" i="33" s="1"/>
  <c r="G79" i="33" a="1"/>
  <c r="G79" i="33" s="1"/>
  <c r="T75" i="33"/>
  <c r="Z65" i="33"/>
  <c r="Z55" i="33"/>
  <c r="R30" i="34" l="1"/>
  <c r="R31" i="34"/>
  <c r="I79" i="33"/>
  <c r="J79" i="33" s="1"/>
  <c r="K79" i="33"/>
  <c r="I82" i="33"/>
  <c r="J82" i="33" s="1"/>
  <c r="K82" i="33"/>
  <c r="I77" i="33"/>
  <c r="J77" i="33" s="1"/>
  <c r="K77" i="33"/>
  <c r="I76" i="33"/>
  <c r="J76" i="33" s="1"/>
  <c r="K76" i="33"/>
  <c r="I81" i="33"/>
  <c r="J81" i="33" s="1"/>
  <c r="K81" i="33"/>
  <c r="I75" i="33"/>
  <c r="J75" i="33" s="1"/>
  <c r="K75" i="33"/>
  <c r="I78" i="33"/>
  <c r="J78" i="33" s="1"/>
  <c r="K78" i="33"/>
  <c r="I80" i="33"/>
  <c r="J80" i="33" s="1"/>
  <c r="K80" i="33"/>
  <c r="Y11" i="7"/>
  <c r="Y26" i="7"/>
  <c r="AA31" i="37" l="1"/>
  <c r="R31" i="37"/>
  <c r="AA30" i="37"/>
  <c r="R30" i="37"/>
  <c r="Z30" i="34"/>
  <c r="Q30" i="34"/>
  <c r="Z31" i="34"/>
  <c r="Q31" i="34"/>
  <c r="F31" i="32"/>
  <c r="E31" i="32" s="1"/>
  <c r="F28" i="32"/>
  <c r="E28" i="32" s="1"/>
  <c r="F34" i="32"/>
  <c r="E34" i="32" s="1"/>
  <c r="F32" i="32"/>
  <c r="E32" i="32" s="1"/>
  <c r="F35" i="32"/>
  <c r="E35" i="32" s="1"/>
  <c r="F33" i="32"/>
  <c r="E33" i="32" s="1"/>
  <c r="F29" i="32"/>
  <c r="E29" i="32" s="1"/>
  <c r="F30" i="32"/>
  <c r="E30" i="32" s="1"/>
  <c r="J29" i="32"/>
  <c r="I29" i="32" s="1"/>
  <c r="J35" i="32"/>
  <c r="I35" i="32" s="1"/>
  <c r="J28" i="32"/>
  <c r="I28" i="32" s="1"/>
  <c r="J31" i="32"/>
  <c r="I31" i="32" s="1"/>
  <c r="J32" i="32"/>
  <c r="I32" i="32" s="1"/>
  <c r="J33" i="32"/>
  <c r="I33" i="32" s="1"/>
  <c r="J34" i="32"/>
  <c r="I34" i="32" s="1"/>
  <c r="J30" i="32"/>
  <c r="I30" i="32" s="1"/>
  <c r="Y51" i="33" l="1"/>
  <c r="Y71" i="33"/>
  <c r="Y61" i="33"/>
  <c r="Y82" i="33"/>
  <c r="Z71" i="33"/>
  <c r="Z61" i="33" l="1"/>
  <c r="Q54" i="34" l="1"/>
  <c r="Q28" i="34"/>
  <c r="Q19" i="34"/>
  <c r="Q10" i="34"/>
  <c r="Q40" i="34"/>
  <c r="Q9" i="34"/>
  <c r="Q8" i="34"/>
  <c r="Q11" i="34"/>
  <c r="Q29" i="34"/>
  <c r="Z59" i="33"/>
  <c r="Z69" i="33"/>
  <c r="R60" i="34" l="1"/>
  <c r="Q60" i="34"/>
  <c r="R28" i="37"/>
  <c r="R10" i="37"/>
  <c r="R40" i="37"/>
  <c r="R9" i="37"/>
  <c r="R29" i="37"/>
  <c r="R8" i="37"/>
  <c r="R54" i="37"/>
  <c r="R11" i="37"/>
  <c r="R29" i="34"/>
  <c r="R11" i="34"/>
  <c r="R40" i="34"/>
  <c r="R35" i="34"/>
  <c r="R28" i="34"/>
  <c r="R8" i="34"/>
  <c r="R10" i="34"/>
  <c r="R9" i="34"/>
  <c r="R19" i="34"/>
  <c r="R54" i="34"/>
  <c r="Q35" i="34"/>
  <c r="R14" i="34"/>
  <c r="R47" i="34"/>
  <c r="Q47" i="34"/>
  <c r="Z67" i="33"/>
  <c r="Z57" i="33"/>
  <c r="Z56" i="33"/>
  <c r="Z66" i="33"/>
  <c r="Q6" i="34" l="1"/>
  <c r="Q61" i="34"/>
  <c r="Q14" i="34"/>
  <c r="R35" i="37"/>
  <c r="R47" i="37"/>
  <c r="R6" i="37"/>
  <c r="R14" i="37"/>
  <c r="R6" i="34"/>
  <c r="R15" i="34"/>
  <c r="Q13" i="34"/>
  <c r="R13" i="34"/>
  <c r="X49" i="33" s="1"/>
  <c r="R38" i="34"/>
  <c r="Q38" i="34"/>
  <c r="G389" i="14"/>
  <c r="U32" i="4" s="1"/>
  <c r="F389" i="14"/>
  <c r="R48" i="37" l="1"/>
  <c r="R13" i="37"/>
  <c r="R38" i="37"/>
  <c r="Q15" i="34"/>
  <c r="Q20" i="34"/>
  <c r="R48" i="34"/>
  <c r="Q48" i="34"/>
  <c r="T98" i="7"/>
  <c r="D110" i="7"/>
  <c r="R49" i="37" l="1"/>
  <c r="R20" i="34"/>
  <c r="X59" i="33" s="1"/>
  <c r="Q34" i="34"/>
  <c r="Q49" i="34"/>
  <c r="G52" i="4"/>
  <c r="G55" i="3"/>
  <c r="G56" i="3"/>
  <c r="G63" i="3"/>
  <c r="G62" i="3"/>
  <c r="G58" i="3"/>
  <c r="G55" i="4"/>
  <c r="G54" i="3"/>
  <c r="G57" i="3"/>
  <c r="G59" i="3"/>
  <c r="G64" i="3"/>
  <c r="G53" i="4"/>
  <c r="G60" i="3"/>
  <c r="G61" i="3"/>
  <c r="Y97" i="7"/>
  <c r="R32" i="32"/>
  <c r="Q32" i="32" s="1"/>
  <c r="T110" i="7"/>
  <c r="R15" i="37" l="1"/>
  <c r="R34" i="37"/>
  <c r="R51" i="37"/>
  <c r="R49" i="34"/>
  <c r="R34" i="34"/>
  <c r="Q51" i="34"/>
  <c r="G65" i="3"/>
  <c r="R35" i="32"/>
  <c r="Q35" i="32" s="1"/>
  <c r="U57" i="3"/>
  <c r="U56" i="3"/>
  <c r="U54" i="3"/>
  <c r="U55" i="3"/>
  <c r="U62" i="3"/>
  <c r="R29" i="32"/>
  <c r="Q29" i="32" s="1"/>
  <c r="U60" i="4"/>
  <c r="U57" i="4"/>
  <c r="U53" i="4"/>
  <c r="U51" i="4"/>
  <c r="U56" i="4"/>
  <c r="U63" i="4"/>
  <c r="U62" i="4"/>
  <c r="U59" i="4"/>
  <c r="U55" i="4"/>
  <c r="U61" i="4"/>
  <c r="U54" i="4"/>
  <c r="U58" i="4"/>
  <c r="U52" i="4"/>
  <c r="R28" i="32"/>
  <c r="Q28" i="32" s="1"/>
  <c r="R33" i="32"/>
  <c r="Q33" i="32" s="1"/>
  <c r="R31" i="32"/>
  <c r="Q31" i="32" s="1"/>
  <c r="R30" i="32"/>
  <c r="Q30" i="32" s="1"/>
  <c r="R34" i="32"/>
  <c r="Q34" i="32" s="1"/>
  <c r="H97" i="33"/>
  <c r="H96" i="33"/>
  <c r="H95" i="33"/>
  <c r="G95" i="33" s="1" a="1"/>
  <c r="G95" i="33" s="1"/>
  <c r="H102" i="33"/>
  <c r="H101" i="33"/>
  <c r="H100" i="33"/>
  <c r="H99" i="33"/>
  <c r="H98" i="33"/>
  <c r="S44" i="33"/>
  <c r="T44" i="33" s="1"/>
  <c r="S12" i="33"/>
  <c r="T12" i="33" s="1"/>
  <c r="S46" i="33"/>
  <c r="T46" i="33" s="1"/>
  <c r="S47" i="33"/>
  <c r="T47" i="33" s="1"/>
  <c r="S48" i="33"/>
  <c r="T48" i="33" s="1"/>
  <c r="S50" i="33"/>
  <c r="T50" i="33" s="1"/>
  <c r="S49" i="33"/>
  <c r="T49" i="33" s="1"/>
  <c r="S45" i="33"/>
  <c r="T45" i="33" s="1"/>
  <c r="S51" i="33"/>
  <c r="T51" i="33" s="1"/>
  <c r="AC34" i="33"/>
  <c r="AD34" i="33" s="1"/>
  <c r="AC85" i="33"/>
  <c r="AD85" i="33" s="1"/>
  <c r="AC90" i="33"/>
  <c r="AD90" i="33" s="1"/>
  <c r="AC89" i="33"/>
  <c r="AD89" i="33" s="1"/>
  <c r="AC88" i="33"/>
  <c r="AD88" i="33" s="1"/>
  <c r="AC92" i="33"/>
  <c r="AD92" i="33" s="1"/>
  <c r="AC91" i="33"/>
  <c r="AD91" i="33" s="1"/>
  <c r="AC87" i="33"/>
  <c r="AD87" i="33" s="1"/>
  <c r="AC86" i="33"/>
  <c r="AD86" i="33" s="1"/>
  <c r="R20" i="37" l="1"/>
  <c r="R51" i="34"/>
  <c r="R55" i="34"/>
  <c r="U65" i="3"/>
  <c r="U63" i="3"/>
  <c r="U60" i="3"/>
  <c r="U59" i="3"/>
  <c r="U61" i="3"/>
  <c r="U64" i="3"/>
  <c r="U58" i="3"/>
  <c r="G97" i="33" a="1"/>
  <c r="G97" i="33" s="1"/>
  <c r="G100" i="33" a="1"/>
  <c r="G100" i="33" s="1"/>
  <c r="G98" i="33" a="1"/>
  <c r="G98" i="33" s="1"/>
  <c r="G102" i="33" a="1"/>
  <c r="G102" i="33" s="1"/>
  <c r="G101" i="33" a="1"/>
  <c r="G101" i="33" s="1"/>
  <c r="G96" i="33" a="1"/>
  <c r="G96" i="33" s="1"/>
  <c r="G99" i="33" a="1"/>
  <c r="G99" i="33" s="1"/>
  <c r="R55" i="37" l="1"/>
  <c r="R52" i="37"/>
  <c r="Q55" i="34"/>
  <c r="R52" i="34"/>
  <c r="Q52" i="34"/>
  <c r="I95" i="33"/>
  <c r="R58" i="37" l="1"/>
  <c r="R58" i="34"/>
  <c r="Q58" i="34"/>
  <c r="R57" i="34"/>
  <c r="Q57" i="34"/>
  <c r="J95" i="33"/>
  <c r="I99" i="33"/>
  <c r="J99" i="33" s="1"/>
  <c r="I102" i="33"/>
  <c r="J102" i="33" s="1"/>
  <c r="I101" i="33"/>
  <c r="J101" i="33" s="1"/>
  <c r="I97" i="33"/>
  <c r="J97" i="33" s="1"/>
  <c r="I100" i="33"/>
  <c r="J100" i="33" s="1"/>
  <c r="I96" i="33"/>
  <c r="J96" i="33" s="1"/>
  <c r="I98" i="33"/>
  <c r="J98" i="33" s="1"/>
  <c r="R57" i="37" l="1"/>
  <c r="F37" i="37"/>
  <c r="E37" i="34"/>
  <c r="Y50" i="33"/>
  <c r="Y81" i="33"/>
  <c r="F37" i="34" l="1"/>
  <c r="AB78" i="33"/>
  <c r="AA78" i="33" s="1"/>
  <c r="AC78" i="33" s="1"/>
  <c r="AB75" i="33"/>
  <c r="AA75" i="33" s="1"/>
  <c r="AC75" i="33" s="1"/>
  <c r="AB77" i="33"/>
  <c r="AA77" i="33" s="1"/>
  <c r="AC77" i="33" s="1"/>
  <c r="AB76" i="33"/>
  <c r="AA76" i="33" s="1"/>
  <c r="AC76" i="33" s="1"/>
  <c r="AB82" i="33"/>
  <c r="AA82" i="33" s="1"/>
  <c r="AC82" i="33" s="1"/>
  <c r="AB81" i="33"/>
  <c r="AA81" i="33" s="1"/>
  <c r="AC81" i="33" s="1"/>
  <c r="AB80" i="33"/>
  <c r="AA80" i="33" s="1"/>
  <c r="AC80" i="33" s="1"/>
  <c r="AB79" i="33"/>
  <c r="AA79" i="33" s="1"/>
  <c r="AC79" i="33" s="1"/>
  <c r="AB48" i="33"/>
  <c r="AB47" i="33"/>
  <c r="AB51" i="33"/>
  <c r="AB45" i="33"/>
  <c r="AB49" i="33"/>
  <c r="AB46" i="33"/>
  <c r="AB50" i="33"/>
  <c r="AB44" i="33"/>
  <c r="Y60" i="33"/>
  <c r="Y70" i="33"/>
  <c r="Z70" i="33"/>
  <c r="Z60" i="33"/>
  <c r="AA49" i="33" l="1"/>
  <c r="AA44" i="33"/>
  <c r="AA50" i="33"/>
  <c r="AA46" i="33"/>
  <c r="AA45" i="33"/>
  <c r="AA51" i="33"/>
  <c r="AA47" i="33"/>
  <c r="AA48" i="33"/>
  <c r="AB57" i="33"/>
  <c r="AB56" i="33"/>
  <c r="AB55" i="33"/>
  <c r="AB54" i="33"/>
  <c r="AB61" i="33"/>
  <c r="AB60" i="33"/>
  <c r="AB58" i="33"/>
  <c r="AB59" i="33"/>
  <c r="AB70" i="33"/>
  <c r="AA70" i="33" s="1"/>
  <c r="AB71" i="33"/>
  <c r="AA71" i="33" s="1"/>
  <c r="AB68" i="33"/>
  <c r="AA68" i="33" s="1"/>
  <c r="AB67" i="33"/>
  <c r="AA67" i="33" s="1"/>
  <c r="AC67" i="33" s="1"/>
  <c r="AB64" i="33"/>
  <c r="AA64" i="33" s="1"/>
  <c r="AC64" i="33" s="1"/>
  <c r="AB65" i="33"/>
  <c r="AA65" i="33" s="1"/>
  <c r="AB66" i="33"/>
  <c r="AA66" i="33" s="1"/>
  <c r="AB69" i="33"/>
  <c r="AA69" i="33" s="1"/>
  <c r="AC69" i="33" s="1"/>
  <c r="AB8" i="33"/>
  <c r="AA59" i="33" l="1"/>
  <c r="AA58" i="33"/>
  <c r="AA54" i="33"/>
  <c r="AA55" i="33"/>
  <c r="AC51" i="33"/>
  <c r="AD51" i="33" s="1"/>
  <c r="AE51" i="33"/>
  <c r="AC44" i="33"/>
  <c r="AD44" i="33" s="1"/>
  <c r="AA56" i="33"/>
  <c r="AC48" i="33"/>
  <c r="AD48" i="33" s="1"/>
  <c r="AC46" i="33"/>
  <c r="AD46" i="33" s="1"/>
  <c r="AE46" i="33"/>
  <c r="AA60" i="33"/>
  <c r="AA61" i="33"/>
  <c r="AC47" i="33"/>
  <c r="AD47" i="33" s="1"/>
  <c r="AC50" i="33"/>
  <c r="AD50" i="33" s="1"/>
  <c r="AA57" i="33"/>
  <c r="AC45" i="33"/>
  <c r="AD45" i="33" s="1"/>
  <c r="AE45" i="33"/>
  <c r="AC49" i="33"/>
  <c r="AD49" i="33" s="1"/>
  <c r="AE49" i="33"/>
  <c r="Z58" i="33"/>
  <c r="AC61" i="33" l="1"/>
  <c r="AD61" i="33" s="1"/>
  <c r="AC54" i="33"/>
  <c r="AD54" i="33" s="1"/>
  <c r="AE54" i="33"/>
  <c r="AE57" i="33"/>
  <c r="AC60" i="33"/>
  <c r="AD60" i="33" s="1"/>
  <c r="AE60" i="33"/>
  <c r="AC58" i="33"/>
  <c r="AD58" i="33" s="1"/>
  <c r="AE58" i="33"/>
  <c r="AE56" i="33"/>
  <c r="AC56" i="33"/>
  <c r="AD56" i="33" s="1"/>
  <c r="AC57" i="33"/>
  <c r="AD57" i="33" s="1"/>
  <c r="AC55" i="33"/>
  <c r="AD55" i="33" s="1"/>
  <c r="Z68" i="33"/>
  <c r="AC65" i="33" l="1"/>
  <c r="AC66" i="33"/>
  <c r="G101" i="3"/>
  <c r="I101" i="3"/>
  <c r="K101" i="3"/>
  <c r="M101" i="3"/>
  <c r="O101" i="3"/>
  <c r="Q101" i="3"/>
  <c r="I109" i="3" l="1"/>
  <c r="K109" i="3"/>
  <c r="M109" i="3"/>
  <c r="O109" i="3"/>
  <c r="Q109" i="3"/>
  <c r="AA33" i="37" l="1"/>
  <c r="F33" i="37"/>
  <c r="G108" i="3"/>
  <c r="K108" i="3"/>
  <c r="O108" i="3"/>
  <c r="Q108" i="3"/>
  <c r="I108" i="3"/>
  <c r="M108" i="3"/>
  <c r="O84" i="3" l="1"/>
  <c r="O96" i="3" s="1"/>
  <c r="Y88" i="3" s="1"/>
  <c r="Q103" i="3"/>
  <c r="I107" i="3"/>
  <c r="O103" i="3"/>
  <c r="G107" i="3"/>
  <c r="K84" i="3"/>
  <c r="K96" i="3" s="1"/>
  <c r="Y86" i="3" s="1"/>
  <c r="M103" i="3"/>
  <c r="O105" i="3"/>
  <c r="Q84" i="3"/>
  <c r="Q96" i="3" s="1"/>
  <c r="Y89" i="3" s="1"/>
  <c r="K103" i="3"/>
  <c r="G84" i="3"/>
  <c r="G96" i="3" s="1"/>
  <c r="Y84" i="3" s="1"/>
  <c r="I103" i="3"/>
  <c r="Q107" i="3"/>
  <c r="M84" i="3"/>
  <c r="M96" i="3" s="1"/>
  <c r="Y87" i="3" s="1"/>
  <c r="G103" i="3"/>
  <c r="O107" i="3"/>
  <c r="G105" i="3"/>
  <c r="M107" i="3"/>
  <c r="I84" i="3"/>
  <c r="I96" i="3" s="1"/>
  <c r="Y85" i="3" s="1"/>
  <c r="K107" i="3"/>
  <c r="K56" i="4" l="1"/>
  <c r="K53" i="4"/>
  <c r="K60" i="4"/>
  <c r="K51" i="4"/>
  <c r="K61" i="4"/>
  <c r="K62" i="4"/>
  <c r="K57" i="4"/>
  <c r="K54" i="4"/>
  <c r="K58" i="4"/>
  <c r="K59" i="4"/>
  <c r="K52" i="4"/>
  <c r="K63" i="4"/>
  <c r="O53" i="4"/>
  <c r="O58" i="4"/>
  <c r="O56" i="4"/>
  <c r="O60" i="4"/>
  <c r="O59" i="4"/>
  <c r="O62" i="4"/>
  <c r="O61" i="4"/>
  <c r="O51" i="4"/>
  <c r="O54" i="4"/>
  <c r="O52" i="4"/>
  <c r="O57" i="4"/>
  <c r="O63" i="4"/>
  <c r="G102" i="3"/>
  <c r="Q104" i="3"/>
  <c r="K99" i="3"/>
  <c r="M99" i="3"/>
  <c r="O102" i="3"/>
  <c r="O104" i="3"/>
  <c r="K106" i="3"/>
  <c r="G100" i="3"/>
  <c r="Q102" i="3"/>
  <c r="Q110" i="3"/>
  <c r="G99" i="3"/>
  <c r="R23" i="32"/>
  <c r="Q23" i="32" s="1"/>
  <c r="R17" i="32"/>
  <c r="Q17" i="32" s="1"/>
  <c r="R21" i="32"/>
  <c r="Q21" i="32" s="1"/>
  <c r="R18" i="32"/>
  <c r="Q18" i="32" s="1"/>
  <c r="R22" i="32"/>
  <c r="Q22" i="32" s="1"/>
  <c r="R20" i="32"/>
  <c r="Q20" i="32" s="1"/>
  <c r="R19" i="32"/>
  <c r="Q19" i="32" s="1"/>
  <c r="R24" i="32"/>
  <c r="Q24" i="32" s="1"/>
  <c r="Q99" i="3"/>
  <c r="K100" i="3"/>
  <c r="M100" i="3"/>
  <c r="K110" i="3"/>
  <c r="I51" i="4"/>
  <c r="I60" i="4"/>
  <c r="I54" i="4"/>
  <c r="I58" i="4"/>
  <c r="I53" i="4"/>
  <c r="I57" i="4"/>
  <c r="I61" i="4"/>
  <c r="I56" i="4"/>
  <c r="I62" i="4"/>
  <c r="I59" i="4"/>
  <c r="I63" i="4"/>
  <c r="I52" i="4"/>
  <c r="G104" i="3"/>
  <c r="O100" i="3"/>
  <c r="K104" i="3"/>
  <c r="M105" i="3"/>
  <c r="Q106" i="3"/>
  <c r="M106" i="3"/>
  <c r="M110" i="3"/>
  <c r="O110" i="3"/>
  <c r="I99" i="3"/>
  <c r="I100" i="3"/>
  <c r="I102" i="3"/>
  <c r="K102" i="3"/>
  <c r="M104" i="3"/>
  <c r="K105" i="3"/>
  <c r="G106" i="3"/>
  <c r="I106" i="3"/>
  <c r="Q54" i="4"/>
  <c r="Q62" i="4"/>
  <c r="Q59" i="4"/>
  <c r="Q57" i="4"/>
  <c r="Q53" i="4"/>
  <c r="Q56" i="4"/>
  <c r="Q52" i="4"/>
  <c r="Q51" i="4"/>
  <c r="Q60" i="4"/>
  <c r="Q58" i="4"/>
  <c r="Q61" i="4"/>
  <c r="Q63" i="4"/>
  <c r="M58" i="4"/>
  <c r="M51" i="4"/>
  <c r="M59" i="4"/>
  <c r="M52" i="4"/>
  <c r="M61" i="4"/>
  <c r="M62" i="4"/>
  <c r="M60" i="4"/>
  <c r="M54" i="4"/>
  <c r="M57" i="4"/>
  <c r="M53" i="4"/>
  <c r="M56" i="4"/>
  <c r="M63" i="4"/>
  <c r="O99" i="3"/>
  <c r="Q100" i="3"/>
  <c r="M102" i="3"/>
  <c r="I104" i="3"/>
  <c r="I105" i="3"/>
  <c r="Q105" i="3"/>
  <c r="O106" i="3"/>
  <c r="G110" i="3"/>
  <c r="I110" i="3"/>
  <c r="H111" i="3" l="1"/>
  <c r="P111" i="3"/>
  <c r="N111" i="3"/>
  <c r="L111" i="3"/>
  <c r="F111" i="3"/>
  <c r="J111" i="3"/>
  <c r="G109" i="3"/>
  <c r="G61" i="4" l="1"/>
  <c r="G57" i="4"/>
  <c r="G56" i="4"/>
  <c r="G62" i="4"/>
  <c r="G58" i="4"/>
  <c r="G51" i="4"/>
  <c r="G59" i="4"/>
  <c r="G60" i="4"/>
  <c r="G54" i="4"/>
  <c r="G63" i="4"/>
  <c r="Z54" i="33" l="1"/>
  <c r="AC59" i="33" s="1"/>
  <c r="AD59" i="33" s="1"/>
  <c r="Z64" i="33"/>
  <c r="AC68" i="33" s="1"/>
  <c r="F33" i="34" l="1"/>
  <c r="AC71" i="33"/>
  <c r="AC70" i="33"/>
  <c r="Z33" i="34" l="1"/>
  <c r="E33" i="34"/>
  <c r="AE47" i="33" l="1"/>
  <c r="I34" i="33" l="1"/>
  <c r="AA22" i="37" l="1"/>
  <c r="F22" i="37"/>
  <c r="E21" i="34"/>
  <c r="F21" i="34"/>
  <c r="F22" i="34"/>
  <c r="J34" i="33"/>
  <c r="I35" i="33"/>
  <c r="Z22" i="34" l="1"/>
  <c r="E22" i="34"/>
  <c r="Z21" i="34"/>
  <c r="J35" i="33"/>
  <c r="F23" i="34" l="1"/>
  <c r="F25" i="34"/>
  <c r="I36" i="33"/>
  <c r="AA21" i="37" l="1"/>
  <c r="F21" i="37"/>
  <c r="Z23" i="34"/>
  <c r="E23" i="34"/>
  <c r="AA23" i="37"/>
  <c r="F23" i="37"/>
  <c r="Z25" i="34"/>
  <c r="E25" i="34"/>
  <c r="J36" i="33"/>
  <c r="AA25" i="37" l="1"/>
  <c r="F25" i="37"/>
  <c r="I37" i="33"/>
  <c r="J37" i="33" l="1"/>
  <c r="E40" i="34" l="1"/>
  <c r="E6" i="34"/>
  <c r="F54" i="37"/>
  <c r="F40" i="37"/>
  <c r="F6" i="37"/>
  <c r="F11" i="37"/>
  <c r="F9" i="37"/>
  <c r="F10" i="37"/>
  <c r="I38" i="33"/>
  <c r="F60" i="34" l="1"/>
  <c r="E60" i="34"/>
  <c r="F40" i="34"/>
  <c r="F6" i="34"/>
  <c r="E54" i="34"/>
  <c r="E11" i="34"/>
  <c r="E10" i="34"/>
  <c r="F35" i="37"/>
  <c r="F8" i="37"/>
  <c r="F14" i="37"/>
  <c r="F47" i="37"/>
  <c r="F26" i="34"/>
  <c r="F38" i="34"/>
  <c r="J38" i="33"/>
  <c r="Z26" i="34" l="1"/>
  <c r="E26" i="34"/>
  <c r="F38" i="37"/>
  <c r="E35" i="34"/>
  <c r="F14" i="34"/>
  <c r="F9" i="34"/>
  <c r="E9" i="34"/>
  <c r="F35" i="34"/>
  <c r="F8" i="34"/>
  <c r="F19" i="34"/>
  <c r="E19" i="34"/>
  <c r="E8" i="34"/>
  <c r="F13" i="34"/>
  <c r="X45" i="33" s="1"/>
  <c r="AE50" i="33" s="1"/>
  <c r="E47" i="34"/>
  <c r="E38" i="34"/>
  <c r="I39" i="33"/>
  <c r="E61" i="34" l="1"/>
  <c r="E14" i="34"/>
  <c r="F48" i="37"/>
  <c r="F13" i="37"/>
  <c r="F11" i="34"/>
  <c r="F10" i="34"/>
  <c r="F54" i="34"/>
  <c r="F47" i="34"/>
  <c r="E13" i="34"/>
  <c r="F48" i="34"/>
  <c r="F15" i="37"/>
  <c r="E15" i="34"/>
  <c r="F15" i="34"/>
  <c r="J39" i="33"/>
  <c r="AA26" i="37" l="1"/>
  <c r="F26" i="37"/>
  <c r="E48" i="34"/>
  <c r="E27" i="34"/>
  <c r="F49" i="37"/>
  <c r="F27" i="37"/>
  <c r="I40" i="33"/>
  <c r="E49" i="34" l="1"/>
  <c r="F27" i="34"/>
  <c r="F49" i="34"/>
  <c r="J40" i="33"/>
  <c r="I41" i="33" l="1"/>
  <c r="J41" i="33" l="1"/>
  <c r="F20" i="37" l="1"/>
  <c r="E20" i="34" l="1"/>
  <c r="F20" i="34"/>
  <c r="X55" i="33" s="1"/>
  <c r="AE61" i="33" s="1"/>
  <c r="F28" i="37" l="1"/>
  <c r="F29" i="37"/>
  <c r="F34" i="37"/>
  <c r="E28" i="34"/>
  <c r="E29" i="34"/>
  <c r="E34" i="34"/>
  <c r="F34" i="34"/>
  <c r="F51" i="37" l="1"/>
  <c r="F28" i="34"/>
  <c r="F29" i="34"/>
  <c r="E51" i="34"/>
  <c r="F51" i="34"/>
  <c r="F52" i="37" l="1"/>
  <c r="F55" i="37"/>
  <c r="F55" i="34"/>
  <c r="E55" i="34"/>
  <c r="F52" i="34"/>
  <c r="E52" i="34"/>
  <c r="F58" i="37" l="1"/>
  <c r="F57" i="37"/>
  <c r="F58" i="34"/>
  <c r="E58" i="34"/>
  <c r="E57" i="34"/>
  <c r="F57" i="34"/>
  <c r="X37" i="37" l="1"/>
  <c r="W37" i="34" l="1"/>
  <c r="X37" i="34" l="1"/>
  <c r="X29" i="37" l="1"/>
  <c r="W29" i="34"/>
  <c r="W28" i="34"/>
  <c r="W10" i="34"/>
  <c r="W9" i="34"/>
  <c r="X9" i="37" l="1"/>
  <c r="X54" i="37"/>
  <c r="X11" i="37"/>
  <c r="X8" i="37"/>
  <c r="W19" i="34"/>
  <c r="X40" i="34"/>
  <c r="X11" i="34"/>
  <c r="W35" i="34"/>
  <c r="W54" i="34"/>
  <c r="W11" i="34"/>
  <c r="X47" i="34"/>
  <c r="W8" i="34"/>
  <c r="W40" i="34"/>
  <c r="X60" i="34" l="1"/>
  <c r="W60" i="34"/>
  <c r="X14" i="37"/>
  <c r="X40" i="37"/>
  <c r="X10" i="37"/>
  <c r="X28" i="37"/>
  <c r="X47" i="37"/>
  <c r="X6" i="37"/>
  <c r="X19" i="34"/>
  <c r="X10" i="34"/>
  <c r="X9" i="34"/>
  <c r="X28" i="34"/>
  <c r="X29" i="34"/>
  <c r="X54" i="34"/>
  <c r="W47" i="34"/>
  <c r="X13" i="37"/>
  <c r="X14" i="34"/>
  <c r="X13" i="34"/>
  <c r="X51" i="33" s="1"/>
  <c r="AE44" i="33" s="1"/>
  <c r="W6" i="34"/>
  <c r="X38" i="37" l="1"/>
  <c r="X35" i="37"/>
  <c r="X6" i="34"/>
  <c r="X35" i="34"/>
  <c r="X8" i="34"/>
  <c r="X48" i="37"/>
  <c r="X38" i="34"/>
  <c r="W14" i="34"/>
  <c r="W13" i="34"/>
  <c r="W48" i="34"/>
  <c r="X15" i="34"/>
  <c r="W38" i="34" l="1"/>
  <c r="X49" i="37"/>
  <c r="W61" i="34"/>
  <c r="X48" i="34"/>
  <c r="W15" i="34"/>
  <c r="X15" i="37" l="1"/>
  <c r="X27" i="37"/>
  <c r="X20" i="37"/>
  <c r="W49" i="34"/>
  <c r="W27" i="34"/>
  <c r="X49" i="34" l="1"/>
  <c r="X27" i="34"/>
  <c r="X34" i="37" l="1"/>
  <c r="X51" i="37"/>
  <c r="X58" i="37" l="1"/>
  <c r="X52" i="37"/>
  <c r="X55" i="37"/>
  <c r="X20" i="34" l="1"/>
  <c r="X61" i="33" s="1"/>
  <c r="AE55" i="33" s="1"/>
  <c r="W20" i="34"/>
  <c r="W55" i="34" l="1"/>
  <c r="X51" i="34"/>
  <c r="W51" i="34"/>
  <c r="W52" i="34"/>
  <c r="X34" i="34"/>
  <c r="W34" i="34"/>
  <c r="X55" i="34" l="1"/>
  <c r="X52" i="34"/>
  <c r="W57" i="34" l="1"/>
  <c r="W58" i="34"/>
  <c r="X58" i="34" l="1"/>
  <c r="X57" i="34"/>
  <c r="C7" i="37" l="1"/>
  <c r="AA7" i="37" l="1"/>
  <c r="AB24" i="37"/>
  <c r="AB32" i="37"/>
  <c r="AB18" i="37"/>
  <c r="AB39" i="37"/>
  <c r="AB16" i="37"/>
  <c r="AB42" i="37"/>
  <c r="AB17" i="37"/>
  <c r="AB30" i="37"/>
  <c r="AB33" i="37"/>
  <c r="AB22" i="37"/>
  <c r="AB23" i="37"/>
  <c r="AB25" i="37"/>
  <c r="AB26" i="37"/>
  <c r="C37" i="37"/>
  <c r="AB36" i="37" l="1"/>
  <c r="AB21" i="37"/>
  <c r="AB41" i="37"/>
  <c r="AB43" i="37"/>
  <c r="AB56" i="37"/>
  <c r="AB53" i="37"/>
  <c r="AB19" i="37"/>
  <c r="AB45" i="37"/>
  <c r="AB31" i="37"/>
  <c r="AB44" i="37"/>
  <c r="AB50" i="37"/>
  <c r="AB7" i="37"/>
  <c r="AB46" i="37"/>
  <c r="AB12" i="37"/>
  <c r="AA37" i="37"/>
  <c r="AB37" i="37" l="1"/>
  <c r="C46" i="34" l="1"/>
  <c r="B7" i="34"/>
  <c r="AB4" i="33" s="1"/>
  <c r="C45" i="34"/>
  <c r="C43" i="34"/>
  <c r="C22" i="34"/>
  <c r="C31" i="34"/>
  <c r="C24" i="34"/>
  <c r="C42" i="34"/>
  <c r="C41" i="34"/>
  <c r="C32" i="34"/>
  <c r="C17" i="34"/>
  <c r="C30" i="34"/>
  <c r="C12" i="34"/>
  <c r="C26" i="34"/>
  <c r="C56" i="34"/>
  <c r="C25" i="34"/>
  <c r="C33" i="34"/>
  <c r="C23" i="34"/>
  <c r="C21" i="34"/>
  <c r="C44" i="34"/>
  <c r="C16" i="34"/>
  <c r="C18" i="34"/>
  <c r="B37" i="34"/>
  <c r="Z37" i="34" l="1"/>
  <c r="Z7" i="34"/>
  <c r="C7" i="34"/>
  <c r="C37" i="34"/>
  <c r="C53" i="34"/>
  <c r="C39" i="34"/>
  <c r="C36" i="34"/>
  <c r="C50" i="34"/>
  <c r="AA37" i="34" l="1"/>
  <c r="AA50" i="34"/>
  <c r="AA56" i="34"/>
  <c r="AA16" i="34"/>
  <c r="AA43" i="34"/>
  <c r="AA53" i="34"/>
  <c r="AA17" i="34"/>
  <c r="AA44" i="34"/>
  <c r="AA12" i="34"/>
  <c r="AA45" i="34"/>
  <c r="AA46" i="34"/>
  <c r="AA41" i="34"/>
  <c r="AA32" i="34"/>
  <c r="AA7" i="34"/>
  <c r="AA36" i="34"/>
  <c r="AA39" i="34"/>
  <c r="AA18" i="34"/>
  <c r="AA24" i="34"/>
  <c r="AA42" i="34"/>
  <c r="AA30" i="34"/>
  <c r="AA31" i="34"/>
  <c r="AA33" i="34"/>
  <c r="AA22" i="34"/>
  <c r="AA23" i="34"/>
  <c r="AA21" i="34"/>
  <c r="AA25" i="34"/>
  <c r="AA26" i="34"/>
  <c r="C54" i="37" l="1"/>
  <c r="C40" i="37"/>
  <c r="AA54" i="37" l="1"/>
  <c r="AA40" i="37"/>
  <c r="C35" i="37"/>
  <c r="AB54" i="37" l="1"/>
  <c r="AB40" i="37"/>
  <c r="AA35" i="37"/>
  <c r="C38" i="37"/>
  <c r="AB35" i="37" l="1"/>
  <c r="AA38" i="37"/>
  <c r="AB38" i="37" l="1"/>
  <c r="B40" i="34" l="1"/>
  <c r="Z40" i="34" l="1"/>
  <c r="C40" i="34"/>
  <c r="B54" i="34"/>
  <c r="B35" i="34"/>
  <c r="Z54" i="34" l="1"/>
  <c r="Z35" i="34"/>
  <c r="AA40" i="34"/>
  <c r="C54" i="34"/>
  <c r="C35" i="34"/>
  <c r="B38" i="34"/>
  <c r="C38" i="34"/>
  <c r="AA35" i="34" l="1"/>
  <c r="AA54" i="34"/>
  <c r="Z38" i="34"/>
  <c r="AA38" i="34" l="1"/>
  <c r="B60" i="34" l="1"/>
  <c r="B8" i="34" l="1"/>
  <c r="Z60" i="34"/>
  <c r="C60" i="34"/>
  <c r="C11" i="34"/>
  <c r="B11" i="34"/>
  <c r="B6" i="34"/>
  <c r="Z8" i="34" l="1"/>
  <c r="Z11" i="34"/>
  <c r="AA60" i="34"/>
  <c r="C6" i="34"/>
  <c r="B19" i="34"/>
  <c r="Z6" i="34"/>
  <c r="B47" i="34"/>
  <c r="C47" i="34"/>
  <c r="C11" i="37"/>
  <c r="C6" i="37"/>
  <c r="B9" i="34"/>
  <c r="C8" i="37"/>
  <c r="C13" i="34"/>
  <c r="X44" i="33" s="1"/>
  <c r="AE48" i="33" s="1"/>
  <c r="B13" i="34"/>
  <c r="C8" i="34"/>
  <c r="B10" i="34"/>
  <c r="AA11" i="37" l="1"/>
  <c r="AA6" i="37"/>
  <c r="AA8" i="37"/>
  <c r="Z19" i="34"/>
  <c r="Z47" i="34"/>
  <c r="Z10" i="34"/>
  <c r="Z13" i="34"/>
  <c r="AA11" i="34"/>
  <c r="Z9" i="34"/>
  <c r="AA8" i="34"/>
  <c r="C9" i="37"/>
  <c r="C9" i="34"/>
  <c r="C19" i="34"/>
  <c r="B15" i="34"/>
  <c r="C15" i="34"/>
  <c r="C13" i="37"/>
  <c r="B14" i="34"/>
  <c r="C14" i="34"/>
  <c r="C47" i="37"/>
  <c r="AA6" i="34"/>
  <c r="C10" i="34"/>
  <c r="C10" i="37"/>
  <c r="AB11" i="37" l="1"/>
  <c r="AB6" i="37"/>
  <c r="AB8" i="37"/>
  <c r="AA9" i="37"/>
  <c r="AA13" i="37"/>
  <c r="AA47" i="37"/>
  <c r="AA10" i="37"/>
  <c r="AA47" i="34"/>
  <c r="AA9" i="34"/>
  <c r="AA13" i="34"/>
  <c r="Z15" i="34"/>
  <c r="AA10" i="34"/>
  <c r="AA19" i="34"/>
  <c r="B61" i="34"/>
  <c r="Z14" i="34"/>
  <c r="B48" i="34"/>
  <c r="C48" i="34"/>
  <c r="C15" i="37"/>
  <c r="C14" i="37"/>
  <c r="AB9" i="37" l="1"/>
  <c r="AB13" i="37"/>
  <c r="AB47" i="37"/>
  <c r="AB10" i="37"/>
  <c r="AA15" i="34"/>
  <c r="AA15" i="37"/>
  <c r="AA14" i="37"/>
  <c r="Z48" i="34"/>
  <c r="C48" i="37"/>
  <c r="AA14" i="34"/>
  <c r="Z61" i="34"/>
  <c r="B49" i="34"/>
  <c r="AB15" i="37" l="1"/>
  <c r="AB14" i="37"/>
  <c r="AA48" i="37"/>
  <c r="Z49" i="34"/>
  <c r="AA48" i="34"/>
  <c r="C49" i="37"/>
  <c r="C49" i="34"/>
  <c r="AB48" i="37" l="1"/>
  <c r="AA49" i="37"/>
  <c r="AA49" i="34"/>
  <c r="AB49" i="37" l="1"/>
  <c r="C27" i="37" l="1"/>
  <c r="AA27" i="37" l="1"/>
  <c r="AB27" i="37" l="1"/>
  <c r="B27" i="34" l="1"/>
  <c r="Z27" i="34" l="1"/>
  <c r="C27" i="34"/>
  <c r="AA27" i="34" l="1"/>
  <c r="B29" i="34"/>
  <c r="Z29" i="34" l="1"/>
  <c r="B28" i="34"/>
  <c r="C28" i="34"/>
  <c r="C29" i="37"/>
  <c r="C29" i="34"/>
  <c r="AA29" i="37" l="1"/>
  <c r="Z28" i="34"/>
  <c r="AA29" i="34"/>
  <c r="C28" i="37"/>
  <c r="AB29" i="37" l="1"/>
  <c r="AA28" i="37"/>
  <c r="AA28" i="34"/>
  <c r="AB28" i="37" l="1"/>
  <c r="B34" i="34"/>
  <c r="C34" i="34"/>
  <c r="B20" i="34"/>
  <c r="C20" i="34"/>
  <c r="X54" i="33" s="1"/>
  <c r="AE59" i="33" s="1"/>
  <c r="Z20" i="34" l="1"/>
  <c r="Z34" i="34"/>
  <c r="C20" i="37"/>
  <c r="C51" i="34"/>
  <c r="B51" i="34"/>
  <c r="C34" i="37"/>
  <c r="C52" i="34"/>
  <c r="B52" i="34"/>
  <c r="AA20" i="37" l="1"/>
  <c r="AA34" i="37"/>
  <c r="Z51" i="34"/>
  <c r="Z52" i="34"/>
  <c r="AA20" i="34"/>
  <c r="AA34" i="34"/>
  <c r="C51" i="37"/>
  <c r="C52" i="37"/>
  <c r="C55" i="34"/>
  <c r="B55" i="34"/>
  <c r="AB20" i="37" l="1"/>
  <c r="AB34" i="37"/>
  <c r="AA51" i="37"/>
  <c r="AA52" i="37"/>
  <c r="AA52" i="34"/>
  <c r="Z55" i="34"/>
  <c r="AA51" i="34"/>
  <c r="C55" i="37"/>
  <c r="AB51" i="37" l="1"/>
  <c r="AB52" i="37"/>
  <c r="AA55" i="37"/>
  <c r="AA55" i="34"/>
  <c r="B57" i="34"/>
  <c r="C57" i="34"/>
  <c r="AB55" i="37" l="1"/>
  <c r="Z57" i="34"/>
  <c r="B58" i="34"/>
  <c r="C58" i="34"/>
  <c r="C57" i="37"/>
  <c r="AA57" i="37" l="1"/>
  <c r="Z58" i="34"/>
  <c r="AA57" i="34"/>
  <c r="C58" i="37"/>
  <c r="AB57" i="37" l="1"/>
  <c r="AA58" i="37"/>
  <c r="AA58" i="34"/>
  <c r="AB5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Matthieu Jacob</author>
  </authors>
  <commentList>
    <comment ref="B25" authorId="0" shapeId="0" xr:uid="{A1107AB1-F836-FC4F-8251-348F60271258}">
      <text>
        <r>
          <rPr>
            <sz val="10"/>
            <color rgb="FF000000"/>
            <rFont val="Tahoma"/>
            <family val="2"/>
          </rPr>
          <t xml:space="preserve">16 000€ de GIE/an
</t>
        </r>
      </text>
    </comment>
    <comment ref="C34" authorId="0" shapeId="0" xr:uid="{A5AB94A4-CBC5-8C4F-A416-847F5273A590}">
      <text>
        <r>
          <rPr>
            <sz val="10"/>
            <color rgb="FF000000"/>
            <rFont val="Tahoma"/>
            <family val="2"/>
          </rPr>
          <t xml:space="preserve">Exercice sans LAD :
</t>
        </r>
        <r>
          <rPr>
            <sz val="10"/>
            <color rgb="FF000000"/>
            <rFont val="Tahoma"/>
            <family val="2"/>
          </rPr>
          <t xml:space="preserve">600 000€ de CA en moins/an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39,68 de PAC</t>
        </r>
      </text>
    </comment>
    <comment ref="Z34" authorId="1" shapeId="0" xr:uid="{C7FEBD34-5E9C-BB49-ADAF-05826A2CAE7B}">
      <text>
        <r>
          <rPr>
            <b/>
            <sz val="10"/>
            <color rgb="FF000000"/>
            <rFont val="Tahoma"/>
            <family val="2"/>
          </rPr>
          <t>Matthieu Jacob: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100000 ELECTRICITE
</t>
        </r>
      </text>
    </comment>
    <comment ref="AA34" authorId="0" shapeId="0" xr:uid="{D50A0850-D89F-B04C-AA67-4A6E16B06C41}">
      <text>
        <r>
          <rPr>
            <b/>
            <sz val="10"/>
            <color rgb="FF000000"/>
            <rFont val="Tahoma"/>
            <family val="2"/>
          </rPr>
          <t xml:space="preserve">37,29 en neutralisant THENALAC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Matthieu Jacob</author>
  </authors>
  <commentList>
    <comment ref="K7" authorId="0" shapeId="0" xr:uid="{D254AF58-E8B7-3E43-8A5B-193B25D7446B}">
      <text>
        <r>
          <rPr>
            <b/>
            <sz val="10"/>
            <color rgb="FF000000"/>
            <rFont val="Tahoma"/>
            <family val="2"/>
          </rPr>
          <t>Matthieu Jacob: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DES HEURES ONT ETE FAITES SUR D'AUTRES RESTARUANTS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<sst xmlns="http://schemas.openxmlformats.org/spreadsheetml/2006/main" count="9555" uniqueCount="505">
  <si>
    <t>0471 - CHAMBERY</t>
  </si>
  <si>
    <t>HEURES</t>
  </si>
  <si>
    <t>H TOTAL</t>
  </si>
  <si>
    <t>PERTES</t>
  </si>
  <si>
    <t>%PERTES</t>
  </si>
  <si>
    <t>%CA</t>
  </si>
  <si>
    <t>%TAC’S</t>
  </si>
  <si>
    <t>VPHE</t>
  </si>
  <si>
    <t>GLOBAL</t>
  </si>
  <si>
    <t>lundi</t>
  </si>
  <si>
    <t>JANVIER</t>
  </si>
  <si>
    <t>mardi</t>
  </si>
  <si>
    <t>mercredi</t>
  </si>
  <si>
    <t>jeudi</t>
  </si>
  <si>
    <t>vendredi</t>
  </si>
  <si>
    <t>samedi</t>
  </si>
  <si>
    <t>dimanche</t>
  </si>
  <si>
    <t>MARS</t>
  </si>
  <si>
    <t>AVRIL</t>
  </si>
  <si>
    <t>MAI</t>
  </si>
  <si>
    <t>JUIN</t>
  </si>
  <si>
    <t>JUILLET</t>
  </si>
  <si>
    <t>SEPTEMBRE</t>
  </si>
  <si>
    <t>OCTOBRE</t>
  </si>
  <si>
    <t>NOVEMBRE</t>
  </si>
  <si>
    <t>FÉVRIER</t>
  </si>
  <si>
    <t>AOÛT</t>
  </si>
  <si>
    <t>DÉCEMBRE</t>
  </si>
  <si>
    <t>CHAMBERY</t>
  </si>
  <si>
    <t>AIX LES BAINS</t>
  </si>
  <si>
    <t>BELLEY</t>
  </si>
  <si>
    <t>ST ALBAN</t>
  </si>
  <si>
    <t>LES ABRETS</t>
  </si>
  <si>
    <t>PONT DE BEAUVOISIN</t>
  </si>
  <si>
    <t>FRANCIN</t>
  </si>
  <si>
    <t>PONTCHARRA</t>
  </si>
  <si>
    <t>%</t>
  </si>
  <si>
    <t>FRANCHISE</t>
  </si>
  <si>
    <t>TAC'S 
2024</t>
  </si>
  <si>
    <t>CA SEMAINE</t>
  </si>
  <si>
    <t>TAC'S</t>
  </si>
  <si>
    <t>EQUIPIER</t>
  </si>
  <si>
    <t>VPH</t>
  </si>
  <si>
    <t>HEURES EQUIPIERS</t>
  </si>
  <si>
    <t>HEURES  TOTAL</t>
  </si>
  <si>
    <t>TOTAL</t>
  </si>
  <si>
    <t>CA DRIVE</t>
  </si>
  <si>
    <t>OEPE</t>
  </si>
  <si>
    <t>FRANCE</t>
  </si>
  <si>
    <t>R2P</t>
  </si>
  <si>
    <t>PACE</t>
  </si>
  <si>
    <t>McDO &amp; MOI</t>
  </si>
  <si>
    <t>ANALYSES MERIEUX</t>
  </si>
  <si>
    <t>VPH 
GLOBALE</t>
  </si>
  <si>
    <t>MOYENNE</t>
  </si>
  <si>
    <t>VPH 
EQUIPIER</t>
  </si>
  <si>
    <t>H +/-</t>
  </si>
  <si>
    <t>ENTREES ET SORTIES</t>
  </si>
  <si>
    <t>ENTREE</t>
  </si>
  <si>
    <t>SORTIE</t>
  </si>
  <si>
    <t>EFFECTIFS</t>
  </si>
  <si>
    <t>HEURES COMP</t>
  </si>
  <si>
    <t xml:space="preserve">NBRE </t>
  </si>
  <si>
    <t>COUT</t>
  </si>
  <si>
    <t>HEURES SUP</t>
  </si>
  <si>
    <t>INDICES GESTION RH</t>
  </si>
  <si>
    <t>INDICES GESTION QSP</t>
  </si>
  <si>
    <t>NOK</t>
  </si>
  <si>
    <t>0471</t>
  </si>
  <si>
    <t>CHAMNORD</t>
  </si>
  <si>
    <t>0978</t>
  </si>
  <si>
    <t>1002</t>
  </si>
  <si>
    <t>1174</t>
  </si>
  <si>
    <t>1305</t>
  </si>
  <si>
    <t>1454</t>
  </si>
  <si>
    <t>1570</t>
  </si>
  <si>
    <t>OK</t>
  </si>
  <si>
    <t xml:space="preserve"> PREMIER TRIMESTRE</t>
  </si>
  <si>
    <t xml:space="preserve"> SECOND TRIMESTRE</t>
  </si>
  <si>
    <t xml:space="preserve"> TROISIEME TRIMESTRE</t>
  </si>
  <si>
    <t xml:space="preserve"> QUATRIEME TRIMESTRE</t>
  </si>
  <si>
    <t>ANALYSES MERIEUX MENSUELLES</t>
  </si>
  <si>
    <t>ANALYSES MERIEUX TRIMESTRIELLES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</si>
  <si>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</si>
  <si>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</si>
  <si>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</si>
  <si>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</si>
  <si>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</si>
  <si>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</si>
  <si>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</si>
  <si>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</si>
  <si>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</si>
  <si>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</si>
  <si>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</si>
  <si>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</si>
  <si>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</si>
  <si>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</si>
  <si>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</si>
  <si>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</si>
  <si>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</si>
  <si>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</si>
  <si>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</si>
  <si>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S 20</t>
  </si>
  <si>
    <t>S 21</t>
  </si>
  <si>
    <t>S 22</t>
  </si>
  <si>
    <t>S 23</t>
  </si>
  <si>
    <t>S 24</t>
  </si>
  <si>
    <t>S 25</t>
  </si>
  <si>
    <t>S 26</t>
  </si>
  <si>
    <t>S 27</t>
  </si>
  <si>
    <t>S 28</t>
  </si>
  <si>
    <t>S 29</t>
  </si>
  <si>
    <t>S 30</t>
  </si>
  <si>
    <t>S 31</t>
  </si>
  <si>
    <t>S 32</t>
  </si>
  <si>
    <t>S 33</t>
  </si>
  <si>
    <t>S 34</t>
  </si>
  <si>
    <t>S 35</t>
  </si>
  <si>
    <t>S 36</t>
  </si>
  <si>
    <t>S 37</t>
  </si>
  <si>
    <t>S 38</t>
  </si>
  <si>
    <t>S 39</t>
  </si>
  <si>
    <t>S 40</t>
  </si>
  <si>
    <t>S 41</t>
  </si>
  <si>
    <t>S 42</t>
  </si>
  <si>
    <t>S 43</t>
  </si>
  <si>
    <t>S 44</t>
  </si>
  <si>
    <t>S 45</t>
  </si>
  <si>
    <t>S 46</t>
  </si>
  <si>
    <t>S 47</t>
  </si>
  <si>
    <t>S 48</t>
  </si>
  <si>
    <t>S 49</t>
  </si>
  <si>
    <t>S 50</t>
  </si>
  <si>
    <t>S 51</t>
  </si>
  <si>
    <t>S 52</t>
  </si>
  <si>
    <t>S 53</t>
  </si>
  <si>
    <t>PROMO</t>
  </si>
  <si>
    <t>ECART CAISSE</t>
  </si>
  <si>
    <t>DATE</t>
  </si>
  <si>
    <t>CA MOIS</t>
  </si>
  <si>
    <t>RECORD FULL RESTAURANT</t>
  </si>
  <si>
    <t>CA JOUR</t>
  </si>
  <si>
    <t>CA HEURE</t>
  </si>
  <si>
    <t>CA 4/HEURE</t>
  </si>
  <si>
    <t>NBRE VOITURE</t>
  </si>
  <si>
    <t>CA MOIS LAD</t>
  </si>
  <si>
    <t>0978 - AIX LES BAINS</t>
  </si>
  <si>
    <t>1002 - BELLEY</t>
  </si>
  <si>
    <t>1174 - STALBAN</t>
  </si>
  <si>
    <t>1305 - ABRETS</t>
  </si>
  <si>
    <t>S33-23</t>
  </si>
  <si>
    <t>TC'S JOUR</t>
  </si>
  <si>
    <t>1585 - PONTCHARRA</t>
  </si>
  <si>
    <t>1570 - FRANCIN</t>
  </si>
  <si>
    <t>1454 - PONT DE BEAUVOISIN</t>
  </si>
  <si>
    <t>Niv. 1</t>
  </si>
  <si>
    <t>Niv. 2</t>
  </si>
  <si>
    <t>INDICES GESTION FINANCIERE</t>
  </si>
  <si>
    <t>ECARTS STATISTIQUES</t>
  </si>
  <si>
    <t>MARGE</t>
  </si>
  <si>
    <t>PAC</t>
  </si>
  <si>
    <t>REMBOUR
SEMENT</t>
  </si>
  <si>
    <t>OBJECTIF</t>
  </si>
  <si>
    <t>PM</t>
  </si>
  <si>
    <t>TURN OVER</t>
  </si>
  <si>
    <t>NBR HEURES</t>
  </si>
  <si>
    <t>S01-24</t>
  </si>
  <si>
    <t>OBJECIF MOIS</t>
  </si>
  <si>
    <t>MINIMUM PAR RESTAURANT A DATE</t>
  </si>
  <si>
    <t>% NET TOTAL</t>
  </si>
  <si>
    <t>TCH 
EQUIPIER</t>
  </si>
  <si>
    <t>Neige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</si>
  <si>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</si>
  <si>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</si>
  <si>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</si>
  <si>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</si>
  <si>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</si>
  <si>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</si>
  <si>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</si>
  <si>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</si>
  <si>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</si>
  <si>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</si>
  <si>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</si>
  <si>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</si>
  <si>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</si>
  <si>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</si>
  <si>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</si>
  <si>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</si>
  <si>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</si>
  <si>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</si>
  <si>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</si>
  <si>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</si>
  <si>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</si>
  <si>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</si>
  <si>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</si>
  <si>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</si>
  <si>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</si>
  <si>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</si>
  <si>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</si>
  <si>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</si>
  <si>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</si>
  <si>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</si>
  <si>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</si>
  <si>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</si>
  <si>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</si>
  <si>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</si>
  <si>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</si>
  <si>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</si>
  <si>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</si>
  <si>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</si>
  <si>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</si>
  <si>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</si>
  <si>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</si>
  <si>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</si>
  <si>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</si>
  <si>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</si>
  <si>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</si>
  <si>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</si>
  <si>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</si>
  <si>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</si>
  <si>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</si>
  <si>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</si>
  <si>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</si>
  <si>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</si>
  <si>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STALBAN</t>
  </si>
  <si>
    <t>PONT</t>
  </si>
  <si>
    <t>CA DRIVE 
NET TOTAL</t>
  </si>
  <si>
    <t>26 745 €</t>
  </si>
  <si>
    <t>S28-23</t>
  </si>
  <si>
    <t>1 295</t>
  </si>
  <si>
    <t>% CA</t>
  </si>
  <si>
    <t>S7-23</t>
  </si>
  <si>
    <t xml:space="preserve">INDICES GESTION CHIFFRES D'AFFAIRE </t>
  </si>
  <si>
    <t>PROGRESSION €</t>
  </si>
  <si>
    <t>FRANCHHISE</t>
  </si>
  <si>
    <t>SECURITE ALIMENTAIRE</t>
  </si>
  <si>
    <t>SATISFACTION CLIENTS</t>
  </si>
  <si>
    <t>GESTION DES HEURES</t>
  </si>
  <si>
    <t>P&amp;L</t>
  </si>
  <si>
    <t>FEUILLE DE CAISSE</t>
  </si>
  <si>
    <t>TBR MB</t>
  </si>
  <si>
    <t>CA GLOBAL</t>
  </si>
  <si>
    <t>FRANCHSE</t>
  </si>
  <si>
    <t>INDICES GESTION DIGITAL</t>
  </si>
  <si>
    <t>TAC'S LAD</t>
  </si>
  <si>
    <t>C &amp; C</t>
  </si>
  <si>
    <t>TAC'S C&amp;C</t>
  </si>
  <si>
    <t>C &amp; R</t>
  </si>
  <si>
    <t>% C&amp;C</t>
  </si>
  <si>
    <t>TAC'S
 C&amp;R</t>
  </si>
  <si>
    <t>LAD</t>
  </si>
  <si>
    <t>C&amp;C</t>
  </si>
  <si>
    <t>DIGITAL</t>
  </si>
  <si>
    <t>PDB</t>
  </si>
  <si>
    <t>QUESTIONNAIRE TRES INSATISFAIT</t>
  </si>
  <si>
    <t>QUESTIONNAIRE INSATISFAIT</t>
  </si>
  <si>
    <t>GOOGLE REVIEW 1*</t>
  </si>
  <si>
    <t>GOOGLE REVIEW 2*</t>
  </si>
  <si>
    <t>NOMBRE DE PLAINTE CLIENT AU SERVICE CONSO</t>
  </si>
  <si>
    <t>NOMBRE DE TRANSACTION</t>
  </si>
  <si>
    <t>OPHT</t>
  </si>
  <si>
    <t>FEVRIER</t>
  </si>
  <si>
    <t>OPH</t>
  </si>
  <si>
    <t>AOUT</t>
  </si>
  <si>
    <t>Opportunities Per Hundred Thousand (OPH)</t>
  </si>
  <si>
    <t>DECEMBRE</t>
  </si>
  <si>
    <t>Objectif Pace</t>
  </si>
  <si>
    <t>CEL SAT</t>
  </si>
  <si>
    <t>CLICK &amp; READY PARKING</t>
  </si>
  <si>
    <t>GLOBAL CLICK &amp; COLLECT</t>
  </si>
  <si>
    <t>LIVRAISON A DOMICILE</t>
  </si>
  <si>
    <t>TAC'S
 CEL SAT</t>
  </si>
  <si>
    <t>AUDIT 
MERIEUX</t>
  </si>
  <si>
    <t>RESTO</t>
  </si>
  <si>
    <t>QSP</t>
  </si>
  <si>
    <t>POSITION</t>
  </si>
  <si>
    <t>CLASSEMENT</t>
  </si>
  <si>
    <t>SECURITE ALIMENTAIRE : AUDITS</t>
  </si>
  <si>
    <t>SECURITE ALIMENTAIRE : ANALYSES</t>
  </si>
  <si>
    <t>PROGRESSION CA</t>
  </si>
  <si>
    <t>CA</t>
  </si>
  <si>
    <t>PROGRESSION TAC'S</t>
  </si>
  <si>
    <t>PROGRESSION PM</t>
  </si>
  <si>
    <t>PROGRESSION TAC'S DRIVE</t>
  </si>
  <si>
    <t>% TAC'S</t>
  </si>
  <si>
    <t>PROG PM</t>
  </si>
  <si>
    <t>NB VOIT. 1/4 H</t>
  </si>
  <si>
    <t>DIF TAC'S</t>
  </si>
  <si>
    <t>QUI SONT LES MEILLEURS ?
CLASSEMENT ANNUEL DES RESTAURANTS</t>
  </si>
  <si>
    <t>RENTABILITE</t>
  </si>
  <si>
    <t>RESTAURANT</t>
  </si>
  <si>
    <t>ECARTS DE RENDEMENT</t>
  </si>
  <si>
    <t>% MB</t>
  </si>
  <si>
    <t>MAIN D'ŒUVRE</t>
  </si>
  <si>
    <t>1🥇</t>
  </si>
  <si>
    <t>2🥈</t>
  </si>
  <si>
    <t>3🥉</t>
  </si>
  <si>
    <t>% MO</t>
  </si>
  <si>
    <t>ECARTS 
CAISSE</t>
  </si>
  <si>
    <t>Travaux Aire de Jeu</t>
  </si>
  <si>
    <t xml:space="preserve">EQUIPIER </t>
  </si>
  <si>
    <t>Annuel Pace</t>
  </si>
  <si>
    <t>NET TOTAL 2024</t>
  </si>
  <si>
    <t>NET ALIM 2024</t>
  </si>
  <si>
    <t>PREV 
2025</t>
  </si>
  <si>
    <t>NET TOTAL 
2025</t>
  </si>
  <si>
    <t>NET ALIM 
2025</t>
  </si>
  <si>
    <t>TAC’S 
2025</t>
  </si>
  <si>
    <t>VIVIERS</t>
  </si>
  <si>
    <t>VIVERS</t>
  </si>
  <si>
    <t>CA NET 
TOTAL 2025</t>
  </si>
  <si>
    <t>VS 2025</t>
  </si>
  <si>
    <t>INITIATION</t>
  </si>
  <si>
    <t>ASSEMBLAGE</t>
  </si>
  <si>
    <t>OEPE
R2P</t>
  </si>
  <si>
    <t>INIT.
ASSEMB.</t>
  </si>
  <si>
    <t>VS 
2024</t>
  </si>
  <si>
    <t>RESEAU</t>
  </si>
  <si>
    <t>HELLO McDO</t>
  </si>
  <si>
    <t>SATISFACTION</t>
  </si>
  <si>
    <t>OPHT (OBJ. &lt; 50)</t>
  </si>
  <si>
    <t>&gt; 3,3</t>
  </si>
  <si>
    <t>TURN OVER 2025</t>
  </si>
  <si>
    <t>COMP DATE</t>
  </si>
  <si>
    <t>VENTE + TAC'S PAR HEURE EQUIPIER</t>
  </si>
  <si>
    <t>MARGE / OBJ</t>
  </si>
  <si>
    <t>PAC / OBJ</t>
  </si>
  <si>
    <t>PERTES / OBJ</t>
  </si>
  <si>
    <t>&lt;0,05%</t>
  </si>
  <si>
    <t>A DATE COMPARABLE</t>
  </si>
  <si>
    <t>TEMPS DE SERVICE BI 2025</t>
  </si>
  <si>
    <t>OBJ.</t>
  </si>
  <si>
    <t>PM DRIVE</t>
  </si>
  <si>
    <t>PM LAD</t>
  </si>
  <si>
    <t>PM CEL SAT</t>
  </si>
  <si>
    <t>PLATEAU MOYEN</t>
  </si>
  <si>
    <t>CA FRANCHISE</t>
  </si>
  <si>
    <t>REGION</t>
  </si>
  <si>
    <t>NATIONAL</t>
  </si>
  <si>
    <t>PRODUITS</t>
  </si>
  <si>
    <t>HAPPY MEAL</t>
  </si>
  <si>
    <t>NET TOTAL 
2024</t>
  </si>
  <si>
    <t>NET ALIM 
2024</t>
  </si>
  <si>
    <t>Etats des PERTES et PROFITS : Synthèse</t>
  </si>
  <si>
    <t>Societe</t>
  </si>
  <si>
    <t>NORMAC
2025</t>
  </si>
  <si>
    <t>TGM
2025</t>
  </si>
  <si>
    <t>FLORJER
2025</t>
  </si>
  <si>
    <t>BASARCHE
2025</t>
  </si>
  <si>
    <t>CAMAIEU
2025</t>
  </si>
  <si>
    <t>GLENANS
2025</t>
  </si>
  <si>
    <t>JARV
2025</t>
  </si>
  <si>
    <t>THENALAC
2025</t>
  </si>
  <si>
    <t>TOTAL
2025</t>
  </si>
  <si>
    <t>Ventes nettes</t>
  </si>
  <si>
    <t>Ventes Produits Alimentaires</t>
  </si>
  <si>
    <t>Coût nourriture : achat nourriture</t>
  </si>
  <si>
    <t>Coût nourriture : repas employés</t>
  </si>
  <si>
    <t>Coût nourriture : déchets</t>
  </si>
  <si>
    <t>Coût emballages</t>
  </si>
  <si>
    <t>Vaiselle réutilisable</t>
  </si>
  <si>
    <t>Marge brute</t>
  </si>
  <si>
    <t>Main d'oeuvre brute équipiers</t>
  </si>
  <si>
    <t>Charges sociales équipiers</t>
  </si>
  <si>
    <t>Main d'œuvre brute managers</t>
  </si>
  <si>
    <t>Charges sociales managers</t>
  </si>
  <si>
    <t>Aides et exonérations sociales</t>
  </si>
  <si>
    <t>Divers MO</t>
  </si>
  <si>
    <t>Sous-total main d'œuvre</t>
  </si>
  <si>
    <t>Nettoyage</t>
  </si>
  <si>
    <t>Sécurité et gardiennage</t>
  </si>
  <si>
    <t>Frais bancaires</t>
  </si>
  <si>
    <t>Contrat maintenance et réparations</t>
  </si>
  <si>
    <t>Autres services extérieurs</t>
  </si>
  <si>
    <t>Sous-total services extérieurs</t>
  </si>
  <si>
    <t>Commissions Food Tech.</t>
  </si>
  <si>
    <t>Publicité GIE</t>
  </si>
  <si>
    <t>Promotion locale</t>
  </si>
  <si>
    <t>Electricité, eau, gaz, téléphone</t>
  </si>
  <si>
    <t>Fournitures exploitation et bureau</t>
  </si>
  <si>
    <t>Frais de déplacements</t>
  </si>
  <si>
    <t>Divers</t>
  </si>
  <si>
    <t>Profit après contrôlables (PAC)</t>
  </si>
  <si>
    <t>Redevance standard</t>
  </si>
  <si>
    <t>Indexation loyer externe</t>
  </si>
  <si>
    <t>Incentives et avoirs de redevance</t>
  </si>
  <si>
    <t>Sous-total redevance effective</t>
  </si>
  <si>
    <t>Charges locatives et copro.</t>
  </si>
  <si>
    <t>Redevance service 5%</t>
  </si>
  <si>
    <t>Frais comptables et juridiques</t>
  </si>
  <si>
    <t>Assurances</t>
  </si>
  <si>
    <t>Taxes</t>
  </si>
  <si>
    <t>Dépréciations amortissements</t>
  </si>
  <si>
    <t>Crédit bail</t>
  </si>
  <si>
    <t>Dépenses / Revenus divers</t>
  </si>
  <si>
    <t>Ventes non alimentaire</t>
  </si>
  <si>
    <t>cout non alimentaire</t>
  </si>
  <si>
    <t>Résultat net non alimentaire</t>
  </si>
  <si>
    <t>Charges et revenus fiannciers</t>
  </si>
  <si>
    <t>Résultat net d'exploitation (SOI)</t>
  </si>
  <si>
    <t>Cash Flow avant fin, G&amp;A et IS</t>
  </si>
  <si>
    <t>Charges et produits exceptionnels</t>
  </si>
  <si>
    <t>G&amp;A (Frais administratifs)</t>
  </si>
  <si>
    <t>Revenu net avant impôt</t>
  </si>
  <si>
    <t>Participation</t>
  </si>
  <si>
    <t>Impôt sur les sociétés</t>
  </si>
  <si>
    <t>Résultat net</t>
  </si>
  <si>
    <t>VPHE EQUIPIER</t>
  </si>
  <si>
    <t>COUT HORAIRE EQUIPIER</t>
  </si>
  <si>
    <t>% CHARGES SOCIALES EQUIPIER</t>
  </si>
  <si>
    <t>% CHARGES SOCIALES MANAGER</t>
  </si>
  <si>
    <t>VIVIERS DU LAC</t>
  </si>
  <si>
    <t>ACTUEL</t>
  </si>
  <si>
    <t>PREV</t>
  </si>
  <si>
    <t>PREVISION ANNUELLE</t>
  </si>
  <si>
    <t>PROGRESSION</t>
  </si>
  <si>
    <t>ANALYSES</t>
  </si>
  <si>
    <t>RESEAUX SOC</t>
  </si>
  <si>
    <t>MARCHE VALENTIN</t>
  </si>
  <si>
    <t>MARGES</t>
  </si>
  <si>
    <t>ANNUEL</t>
  </si>
  <si>
    <t>NORMAC</t>
  </si>
  <si>
    <t>TGM</t>
  </si>
  <si>
    <t>FLORJER</t>
  </si>
  <si>
    <t>BASARCHE</t>
  </si>
  <si>
    <t>CAMAIEU</t>
  </si>
  <si>
    <t>GLENANS</t>
  </si>
  <si>
    <t>JARV</t>
  </si>
  <si>
    <t>THENALAC</t>
  </si>
  <si>
    <t>REVENU NET</t>
  </si>
  <si>
    <t>FERMETURE DE LA ROUTE DE VIRIGNN</t>
  </si>
  <si>
    <t>AUDIT</t>
  </si>
  <si>
    <t>tac's</t>
  </si>
  <si>
    <t>VALENTIN 1ER SEMESTRE</t>
  </si>
  <si>
    <t>VALENTIN 2EME SEMESTRE</t>
  </si>
  <si>
    <t>ALIOME 1EME SEMESTRE</t>
  </si>
  <si>
    <t>ALIOME 2EME SEMESTRE</t>
  </si>
  <si>
    <t>GLACES</t>
  </si>
  <si>
    <t xml:space="preserve"> </t>
  </si>
  <si>
    <t>S-27-25</t>
  </si>
  <si>
    <t>MOIS</t>
  </si>
  <si>
    <t>POSITION 2025</t>
  </si>
  <si>
    <t>NIVEAU 2026</t>
  </si>
  <si>
    <t>MARCHE ALIOME</t>
  </si>
  <si>
    <t>PM FRANCHISE</t>
  </si>
  <si>
    <t>PM C&amp;COLLECT</t>
  </si>
  <si>
    <t>PM C&amp;READY</t>
  </si>
  <si>
    <t>GLOBAL DIGITAL</t>
  </si>
  <si>
    <t>CLICK &amp; COLLECT</t>
  </si>
  <si>
    <t>UVHE</t>
  </si>
  <si>
    <t>PMIX</t>
  </si>
  <si>
    <t>Niv. 3</t>
  </si>
  <si>
    <t>CA NET 
TOTAL 2026</t>
  </si>
  <si>
    <t>PM DRIVE
2026</t>
  </si>
  <si>
    <t>TAC'S DRIVE
2026</t>
  </si>
  <si>
    <t>PM
2026</t>
  </si>
  <si>
    <t>TAC'S 
2026</t>
  </si>
  <si>
    <t>CA NET 
ALIM 2026</t>
  </si>
  <si>
    <t>VS PREV 26</t>
  </si>
  <si>
    <t>VS NET ALIM 25</t>
  </si>
  <si>
    <t>CA LAD 
2026</t>
  </si>
  <si>
    <t>POSITION 2026</t>
  </si>
  <si>
    <t>NIVEAU 2027</t>
  </si>
  <si>
    <t>% VS jour 2025</t>
  </si>
  <si>
    <t>% VS 2025</t>
  </si>
  <si>
    <t>PROG VS 25</t>
  </si>
  <si>
    <t>VS 25</t>
  </si>
  <si>
    <t>DIF PM 
VS 25</t>
  </si>
  <si>
    <t>TAC'S 
2025</t>
  </si>
  <si>
    <t>PREV 
2026</t>
  </si>
  <si>
    <t>NET TOTAL 
2026</t>
  </si>
  <si>
    <t>NET ALIM 
2026</t>
  </si>
  <si>
    <t>TAC’S 
2026</t>
  </si>
  <si>
    <t>S-01-26</t>
  </si>
  <si>
    <t>S01-26</t>
  </si>
  <si>
    <t>% Comp date 25</t>
  </si>
  <si>
    <t>2 RECORDS BATTUS</t>
  </si>
  <si>
    <t>3 RECORDS BATTUS</t>
  </si>
  <si>
    <t>LAD+</t>
  </si>
  <si>
    <t>Fondamentaux</t>
  </si>
  <si>
    <t>Ciblé</t>
  </si>
  <si>
    <t>Stratégique</t>
  </si>
  <si>
    <t>CA NET ALIM</t>
  </si>
  <si>
    <t>CA NET TOTAL N-1</t>
  </si>
  <si>
    <t>CA NET ALIM N-1</t>
  </si>
  <si>
    <t>CA NET TOTAL</t>
  </si>
  <si>
    <t>TAC'S N-1</t>
  </si>
  <si>
    <t>COMP CA DATE</t>
  </si>
  <si>
    <t>COMP CA TOTAL JOUR COMP</t>
  </si>
  <si>
    <t>COMP CA NET ALIM JOUR COMP</t>
  </si>
  <si>
    <t>% DATE COMP</t>
  </si>
  <si>
    <t>STAFFING</t>
  </si>
  <si>
    <t>CORE</t>
  </si>
  <si>
    <t>PREMIUM</t>
  </si>
  <si>
    <t>ECARTS STAT</t>
  </si>
  <si>
    <t>TCHE</t>
  </si>
  <si>
    <t>1er semestre</t>
  </si>
  <si>
    <t>2e semestre</t>
  </si>
  <si>
    <t>HELLO MCDO</t>
  </si>
  <si>
    <t>objectif</t>
  </si>
  <si>
    <t>McDEAL</t>
  </si>
  <si>
    <t>BO DOUBLE</t>
  </si>
  <si>
    <t>BO McCHICKEN</t>
  </si>
  <si>
    <t>BO FILET</t>
  </si>
  <si>
    <t>CRAZY 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</si>
</sst>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#,##0\ &quot;€&quot;_);[Red]\(#,##0\ &quot;€&quot;\)"/>
    <numFmt numFmtId="42" formatCode="_ * #,##0_)\ &quot;€&quot;_ ;_ * \(#,##0\)\ &quot;€&quot;_ ;_ * &quot;-&quot;_)\ &quot;€&quot;_ ;_ @_ "/>
    <numFmt numFmtId="44" formatCode="_ * #,##0.00_)\ &quot;€&quot;_ ;_ * \(#,##0.00\)\ &quot;€&quot;_ ;_ * &quot;-&quot;??_)\ &quot;€&quot;_ ;_ @_ "/>
    <numFmt numFmtId="164" formatCode="_ * #,##0_)\ &quot;€&quot;_ ;_ * \(#,##0\)\ &quot;€&quot;_ ;_ * &quot;-&quot;??_)\ &quot;€&quot;_ ;_ @_ "/>
    <numFmt numFmtId="165" formatCode="#,##0\ &quot;€&quot;"/>
    <numFmt numFmtId="166" formatCode="d\ mmmm"/>
    <numFmt numFmtId="167" formatCode="[$€-2]\ #,##0"/>
    <numFmt numFmtId="168" formatCode="0.0%"/>
    <numFmt numFmtId="169" formatCode="#,##0.00\ &quot;€&quot;"/>
    <numFmt numFmtId="170" formatCode="d/m/yy;@"/>
    <numFmt numFmtId="171" formatCode="dd/mm/yy;@"/>
    <numFmt numFmtId="172" formatCode="[$-40C]mmm\-yy;@"/>
    <numFmt numFmtId="173" formatCode="_-* #,##0.00\ [$€-40C]_-;\-* #,##0.00\ [$€-40C]_-;_-* &quot;-&quot;??\ [$€-40C]_-;_-@_-"/>
    <numFmt numFmtId="174" formatCode="0.0"/>
    <numFmt numFmtId="175" formatCode="\+0.00%;\-0.00%;0.00%"/>
    <numFmt numFmtId="176" formatCode="\+#,##0\ &quot;€&quot;;\-#,##0\ &quot;€&quot;;#,##0\ &quot;€&quot;"/>
    <numFmt numFmtId="177" formatCode="\+#,##0.00\ &quot;€&quot;;\-#,##0.00\ &quot;€&quot;;#,##0.00\ &quot;€&quot;"/>
    <numFmt numFmtId="178" formatCode="\+#,##0;\-#,##0;#,##0"/>
    <numFmt numFmtId="179" formatCode="\+#,##0.00;\-#,##0.00;#,##0.00"/>
    <numFmt numFmtId="180" formatCode="\+#,##0.0;\-#,##0.0;#,##0.0"/>
  </numFmts>
  <fonts count="11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000000"/>
      <name val="Avenir Next Regular"/>
    </font>
    <font>
      <sz val="10"/>
      <color rgb="FF000000"/>
      <name val="Avenir Next Regular"/>
    </font>
    <font>
      <sz val="10"/>
      <color rgb="FF808080"/>
      <name val="Avenir Next Regular"/>
    </font>
    <font>
      <sz val="8"/>
      <name val="Calibri"/>
      <family val="2"/>
      <scheme val="minor"/>
    </font>
    <font>
      <sz val="10"/>
      <color theme="1"/>
      <name val="Avenir Next Regular"/>
    </font>
    <font>
      <sz val="10"/>
      <name val="Avenir Next Regular"/>
    </font>
    <font>
      <sz val="12"/>
      <color theme="1"/>
      <name val="Avenir Next Regular"/>
    </font>
    <font>
      <sz val="10"/>
      <color indexed="8"/>
      <name val="Avenir Next Regular"/>
    </font>
    <font>
      <b/>
      <sz val="10"/>
      <color indexed="8"/>
      <name val="Avenir Next Regular"/>
    </font>
    <font>
      <b/>
      <sz val="10"/>
      <color theme="9" tint="-0.249977111117893"/>
      <name val="Avenir Next Regular"/>
    </font>
    <font>
      <b/>
      <sz val="10"/>
      <color rgb="FFC00000"/>
      <name val="Avenir Next Regular"/>
    </font>
    <font>
      <b/>
      <sz val="10"/>
      <color theme="2" tint="-9.9978637043366805E-2"/>
      <name val="Avenir Next Regular"/>
    </font>
    <font>
      <sz val="10"/>
      <color theme="2" tint="-9.9978637043366805E-2"/>
      <name val="Avenir Next Regular"/>
    </font>
    <font>
      <sz val="9"/>
      <color theme="1"/>
      <name val="Avenir Next Regular"/>
    </font>
    <font>
      <sz val="9"/>
      <color rgb="FF000000"/>
      <name val="Avenir Next Regula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Avenir Next Regular"/>
    </font>
    <font>
      <sz val="12"/>
      <color theme="2"/>
      <name val="Calibri"/>
      <family val="2"/>
      <scheme val="minor"/>
    </font>
    <font>
      <b/>
      <sz val="10"/>
      <color rgb="FFFFFF00"/>
      <name val="Avenir Next Condensed Regular"/>
    </font>
    <font>
      <sz val="13"/>
      <color theme="1"/>
      <name val="Avenir Next Condensed Regular"/>
    </font>
    <font>
      <b/>
      <sz val="13"/>
      <name val="Avenir Next Condensed Regular"/>
    </font>
    <font>
      <sz val="13"/>
      <color theme="9" tint="0.79998168889431442"/>
      <name val="Avenir Next Condensed Regular"/>
    </font>
    <font>
      <b/>
      <sz val="13"/>
      <color theme="1"/>
      <name val="Avenir Next Condensed Regular"/>
    </font>
    <font>
      <sz val="13"/>
      <name val="Avenir Next Condensed Regular"/>
    </font>
    <font>
      <b/>
      <sz val="13"/>
      <color theme="9" tint="0.79998168889431442"/>
      <name val="Avenir Next Condensed Regular"/>
    </font>
    <font>
      <b/>
      <sz val="13"/>
      <color theme="0"/>
      <name val="Avenir Next Condensed Regular"/>
    </font>
    <font>
      <b/>
      <sz val="13"/>
      <color theme="9" tint="-0.249977111117893"/>
      <name val="Avenir Next Condensed Regular"/>
    </font>
    <font>
      <b/>
      <sz val="13"/>
      <color rgb="FF9C0006"/>
      <name val="Avenir Next Condensed Regular"/>
    </font>
    <font>
      <sz val="12"/>
      <color theme="1"/>
      <name val="Avenir Next Condensed Regular"/>
    </font>
    <font>
      <sz val="13"/>
      <color theme="5" tint="0.79998168889431442"/>
      <name val="Avenir Next Condensed Regular"/>
    </font>
    <font>
      <b/>
      <sz val="13"/>
      <color theme="7" tint="-0.249977111117893"/>
      <name val="Avenir Next Condensed Regular"/>
    </font>
    <font>
      <b/>
      <sz val="12"/>
      <color theme="1"/>
      <name val="Avenir Next Condensed Regular"/>
    </font>
    <font>
      <b/>
      <sz val="13"/>
      <color theme="8" tint="0.79998168889431442"/>
      <name val="Avenir Next Condensed Regular"/>
    </font>
    <font>
      <b/>
      <sz val="13"/>
      <color theme="8" tint="0.59999389629810485"/>
      <name val="Avenir Next Condensed Regular"/>
    </font>
    <font>
      <sz val="13"/>
      <color theme="8" tint="0.79998168889431442"/>
      <name val="Avenir Next Condensed Regular"/>
    </font>
    <font>
      <sz val="13"/>
      <color theme="8" tint="0.59999389629810485"/>
      <name val="Avenir Next Condensed Regular"/>
    </font>
    <font>
      <b/>
      <sz val="13"/>
      <color rgb="FFEBDEF8"/>
      <name val="Avenir Next Condensed Regular"/>
    </font>
    <font>
      <b/>
      <i/>
      <sz val="13"/>
      <color theme="1"/>
      <name val="Avenir Next Condensed Regular"/>
    </font>
    <font>
      <sz val="13"/>
      <color theme="0"/>
      <name val="Avenir Next Condensed Regular"/>
    </font>
    <font>
      <b/>
      <sz val="13"/>
      <color theme="7" tint="0.39997558519241921"/>
      <name val="Avenir Next Condensed Regular"/>
    </font>
    <font>
      <b/>
      <sz val="13"/>
      <color theme="8" tint="-0.249977111117893"/>
      <name val="Avenir Next Condensed Regular"/>
    </font>
    <font>
      <sz val="13"/>
      <color theme="7" tint="0.79998168889431442"/>
      <name val="Avenir Next Condensed Regular"/>
    </font>
    <font>
      <sz val="12"/>
      <color theme="9" tint="0.79998168889431442"/>
      <name val="Avenir Next Condensed Regular"/>
    </font>
    <font>
      <b/>
      <sz val="12"/>
      <color theme="0"/>
      <name val="Avenir Next Condensed Regular"/>
    </font>
    <font>
      <b/>
      <sz val="14"/>
      <color rgb="FF00A7AB"/>
      <name val="Avenir Next Regular"/>
    </font>
    <font>
      <b/>
      <sz val="11"/>
      <color rgb="FF000000"/>
      <name val="Avenir Next Regular"/>
    </font>
    <font>
      <b/>
      <sz val="14"/>
      <color rgb="FF000000"/>
      <name val="Avenir Next Regular"/>
    </font>
    <font>
      <b/>
      <sz val="11"/>
      <color rgb="FF00A7AB"/>
      <name val="Avenir Next Regular"/>
    </font>
    <font>
      <sz val="11"/>
      <color rgb="FF000000"/>
      <name val="Avenir Next Regular"/>
    </font>
    <font>
      <b/>
      <sz val="12"/>
      <color theme="1"/>
      <name val="Avenir Next Regular"/>
    </font>
    <font>
      <sz val="8"/>
      <color rgb="FF000000"/>
      <name val="Avenir Next Regular"/>
    </font>
    <font>
      <b/>
      <sz val="8"/>
      <color rgb="FF000000"/>
      <name val="Avenir Next Regular"/>
    </font>
    <font>
      <sz val="12"/>
      <color rgb="FF000000"/>
      <name val="Avenir Next Regular"/>
    </font>
    <font>
      <b/>
      <sz val="20"/>
      <color theme="1"/>
      <name val="Avenir Next Condensed Regular"/>
    </font>
    <font>
      <b/>
      <sz val="20"/>
      <color rgb="FF00A7AB"/>
      <name val="Avenir Next Condensed Regular"/>
    </font>
    <font>
      <sz val="20"/>
      <color theme="1"/>
      <name val="Avenir Next Condensed Regular"/>
    </font>
    <font>
      <b/>
      <sz val="20"/>
      <color rgb="FF000000"/>
      <name val="Avenir Next Condensed Regular"/>
    </font>
    <font>
      <b/>
      <sz val="20"/>
      <color rgb="FF01A7AB"/>
      <name val="Avenir Next Condensed Regular"/>
    </font>
    <font>
      <sz val="20"/>
      <color rgb="FF000000"/>
      <name val="Avenir Next Condensed Regular"/>
    </font>
    <font>
      <b/>
      <sz val="13"/>
      <color rgb="FF9E0405"/>
      <name val="Avenir Next Condensed Regular"/>
    </font>
    <font>
      <sz val="12"/>
      <name val="Avenir Next Regular"/>
    </font>
    <font>
      <sz val="12"/>
      <color theme="1"/>
      <name val="Segoe UI Historic"/>
      <family val="2"/>
    </font>
    <font>
      <sz val="14"/>
      <color theme="1"/>
      <name val="Segoe UI Historic"/>
      <family val="2"/>
    </font>
    <font>
      <sz val="12"/>
      <color theme="0"/>
      <name val="Segoe UI Historic"/>
      <family val="2"/>
    </font>
    <font>
      <b/>
      <sz val="16"/>
      <color theme="5" tint="-0.499984740745262"/>
      <name val="Segoe UI Historic"/>
      <family val="2"/>
    </font>
    <font>
      <sz val="16"/>
      <color theme="1"/>
      <name val="Segoe UI Historic"/>
      <family val="2"/>
    </font>
    <font>
      <b/>
      <sz val="16"/>
      <color theme="0"/>
      <name val="Segoe UI Historic"/>
      <family val="2"/>
    </font>
    <font>
      <sz val="14"/>
      <color theme="0"/>
      <name val="Segoe UI Historic"/>
      <family val="2"/>
    </font>
    <font>
      <sz val="16"/>
      <color theme="0"/>
      <name val="Segoe UI Historic"/>
      <family val="2"/>
    </font>
    <font>
      <sz val="16"/>
      <color theme="8" tint="0.79998168889431442"/>
      <name val="Segoe UI Historic"/>
      <family val="2"/>
    </font>
    <font>
      <b/>
      <sz val="16"/>
      <color theme="1"/>
      <name val="Segoe UI Historic"/>
      <family val="2"/>
    </font>
    <font>
      <sz val="18"/>
      <color theme="1"/>
      <name val="Segoe UI Historic"/>
      <family val="2"/>
    </font>
    <font>
      <b/>
      <sz val="18"/>
      <color theme="7" tint="0.39997558519241921"/>
      <name val="Segoe UI Historic"/>
      <family val="2"/>
    </font>
    <font>
      <b/>
      <sz val="13"/>
      <color theme="1"/>
      <name val="Segoe UI Historic"/>
      <family val="2"/>
    </font>
    <font>
      <sz val="13"/>
      <color theme="1"/>
      <name val="Segoe UI Historic"/>
      <family val="2"/>
    </font>
    <font>
      <b/>
      <sz val="13"/>
      <color rgb="FF9C0006"/>
      <name val="Segoe UI Historic"/>
      <family val="2"/>
    </font>
    <font>
      <b/>
      <sz val="13"/>
      <color theme="7" tint="-0.249977111117893"/>
      <name val="Segoe UI Historic"/>
      <family val="2"/>
    </font>
    <font>
      <b/>
      <sz val="13"/>
      <color theme="9" tint="-0.249977111117893"/>
      <name val="Segoe UI Historic"/>
      <family val="2"/>
    </font>
    <font>
      <b/>
      <sz val="13"/>
      <name val="Segoe UI Historic"/>
      <family val="2"/>
    </font>
    <font>
      <sz val="12"/>
      <color theme="9" tint="-0.499984740745262"/>
      <name val="Avenir Next Condensed Regular"/>
    </font>
    <font>
      <b/>
      <sz val="12"/>
      <color theme="5" tint="-0.249977111117893"/>
      <name val="Avenir Next Condensed Regular"/>
    </font>
    <font>
      <sz val="12"/>
      <color theme="7" tint="-0.249977111117893"/>
      <name val="Avenir Next Condensed Regular"/>
    </font>
    <font>
      <b/>
      <sz val="12"/>
      <color theme="8" tint="-0.249977111117893"/>
      <name val="Avenir Next Condensed Regular"/>
    </font>
    <font>
      <sz val="12"/>
      <color theme="8" tint="-0.249977111117893"/>
      <name val="Avenir Next Condensed Regular"/>
    </font>
    <font>
      <b/>
      <sz val="14"/>
      <color theme="9" tint="-0.249977111117893"/>
      <name val="Avenir Next Condensed Regular"/>
    </font>
    <font>
      <b/>
      <sz val="13"/>
      <color rgb="FFFFD966"/>
      <name val="Avenir Next Condensed Regular"/>
    </font>
    <font>
      <sz val="11"/>
      <name val="Avenir Next Regular"/>
    </font>
    <font>
      <sz val="12"/>
      <color theme="0" tint="-0.499984740745262"/>
      <name val="Avenir Next Condensed Regular"/>
    </font>
    <font>
      <b/>
      <sz val="13"/>
      <color theme="8" tint="-0.499984740745262"/>
      <name val="Avenir Next Condensed Regular"/>
    </font>
    <font>
      <sz val="13"/>
      <color theme="8" tint="-0.499984740745262"/>
      <name val="Avenir Next Condensed Regular"/>
    </font>
    <font>
      <b/>
      <sz val="17"/>
      <color rgb="FF000000"/>
      <name val="Avenir Next Condensed Regular"/>
    </font>
    <font>
      <sz val="17"/>
      <color rgb="FF000000"/>
      <name val="Avenir Next Condensed Regular"/>
    </font>
    <font>
      <sz val="17"/>
      <color theme="1"/>
      <name val="Avenir Next Condensed Regular"/>
    </font>
    <font>
      <sz val="20"/>
      <name val="Avenir Next Condensed Regular"/>
    </font>
    <font>
      <sz val="20"/>
      <color theme="6" tint="-0.249977111117893"/>
      <name val="Avenir Next Condensed Regular"/>
    </font>
    <font>
      <b/>
      <sz val="20"/>
      <color theme="8" tint="-0.499984740745262"/>
      <name val="Avenir Next Condensed Regular"/>
    </font>
    <font>
      <b/>
      <sz val="20"/>
      <color rgb="FFC00000"/>
      <name val="Avenir Next Condensed Regular"/>
    </font>
    <font>
      <sz val="12"/>
      <color theme="6" tint="-0.249977111117893"/>
      <name val="Avenir Next Condensed Regular"/>
    </font>
    <font>
      <sz val="12"/>
      <name val="Avenir Next Condensed Regular"/>
    </font>
    <font>
      <sz val="12"/>
      <color theme="6" tint="0.79998168889431442"/>
      <name val="Calibri"/>
      <family val="2"/>
      <scheme val="minor"/>
    </font>
    <font>
      <b/>
      <sz val="14"/>
      <color theme="9" tint="-0.499984740745262"/>
      <name val="Avenir Next Condensed Regular"/>
    </font>
    <font>
      <sz val="20"/>
      <color theme="7" tint="0.79998168889431442"/>
      <name val="Avenir Next Condensed Regular"/>
    </font>
  </fonts>
  <fills count="60">
    <fill>
      <patternFill patternType="none"/>
    </fill>
    <fill>
      <patternFill patternType="gray125"/>
    </fill>
    <fill>
      <patternFill patternType="solid">
        <fgColor rgb="FFBDC0BF"/>
        <bgColor rgb="FF000000"/>
      </patternFill>
    </fill>
    <fill>
      <patternFill patternType="solid">
        <fgColor rgb="FFBDC0BF"/>
        <bgColor auto="1"/>
      </patternFill>
    </fill>
    <fill>
      <patternFill patternType="solid">
        <fgColor rgb="FFBFBFBF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rgb="FFF1DAF5"/>
        <bgColor rgb="FF000000"/>
      </patternFill>
    </fill>
    <fill>
      <patternFill patternType="solid">
        <fgColor rgb="FFF2D6FF"/>
        <bgColor rgb="FF000000"/>
      </patternFill>
    </fill>
    <fill>
      <patternFill patternType="solid">
        <fgColor rgb="FFFFF1CC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rgb="FFEBDEF8"/>
        <bgColor indexed="64"/>
      </patternFill>
    </fill>
    <fill>
      <patternFill patternType="solid">
        <fgColor rgb="FFB294D3"/>
        <bgColor indexed="64"/>
      </patternFill>
    </fill>
    <fill>
      <patternFill patternType="solid">
        <fgColor rgb="FFD7CAE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8ED197"/>
        <bgColor indexed="64"/>
      </patternFill>
    </fill>
    <fill>
      <patternFill patternType="solid">
        <fgColor rgb="FF99E1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C5"/>
        <bgColor indexed="64"/>
      </patternFill>
    </fill>
    <fill>
      <patternFill patternType="solid">
        <fgColor rgb="FFF2D6FF"/>
        <bgColor indexed="64"/>
      </patternFill>
    </fill>
    <fill>
      <patternFill patternType="solid">
        <fgColor rgb="FFE4D9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7F0E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rgb="FFD8CAE2"/>
        <bgColor indexed="64"/>
      </patternFill>
    </fill>
  </fills>
  <borders count="3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theme="9" tint="0.39994506668294322"/>
      </right>
      <top/>
      <bottom/>
      <diagonal/>
    </border>
    <border>
      <left style="medium">
        <color theme="9" tint="0.39994506668294322"/>
      </left>
      <right/>
      <top style="medium">
        <color theme="9" tint="0.39994506668294322"/>
      </top>
      <bottom/>
      <diagonal/>
    </border>
    <border>
      <left/>
      <right/>
      <top style="medium">
        <color theme="9" tint="0.39994506668294322"/>
      </top>
      <bottom/>
      <diagonal/>
    </border>
    <border>
      <left/>
      <right style="medium">
        <color theme="9" tint="0.39994506668294322"/>
      </right>
      <top style="medium">
        <color theme="9" tint="0.39994506668294322"/>
      </top>
      <bottom/>
      <diagonal/>
    </border>
    <border>
      <left style="medium">
        <color theme="9" tint="0.39991454817346722"/>
      </left>
      <right/>
      <top style="medium">
        <color theme="9" tint="0.39994506668294322"/>
      </top>
      <bottom/>
      <diagonal/>
    </border>
    <border>
      <left/>
      <right style="medium">
        <color theme="9" tint="0.39991454817346722"/>
      </right>
      <top style="medium">
        <color theme="9" tint="0.39994506668294322"/>
      </top>
      <bottom/>
      <diagonal/>
    </border>
    <border>
      <left style="medium">
        <color theme="9" tint="0.39991454817346722"/>
      </left>
      <right/>
      <top/>
      <bottom/>
      <diagonal/>
    </border>
    <border>
      <left/>
      <right/>
      <top style="medium">
        <color theme="8" tint="0.39994506668294322"/>
      </top>
      <bottom/>
      <diagonal/>
    </border>
    <border>
      <left style="medium">
        <color theme="8" tint="0.39994506668294322"/>
      </left>
      <right/>
      <top/>
      <bottom/>
      <diagonal/>
    </border>
    <border>
      <left style="medium">
        <color theme="8" tint="0.39991454817346722"/>
      </left>
      <right/>
      <top style="medium">
        <color theme="8" tint="0.39994506668294322"/>
      </top>
      <bottom/>
      <diagonal/>
    </border>
    <border>
      <left style="medium">
        <color theme="7" tint="0.39994506668294322"/>
      </left>
      <right/>
      <top style="medium">
        <color theme="7" tint="0.39994506668294322"/>
      </top>
      <bottom/>
      <diagonal/>
    </border>
    <border>
      <left/>
      <right/>
      <top style="medium">
        <color theme="7" tint="0.39994506668294322"/>
      </top>
      <bottom/>
      <diagonal/>
    </border>
    <border>
      <left style="medium">
        <color theme="7" tint="0.39994506668294322"/>
      </left>
      <right/>
      <top/>
      <bottom/>
      <diagonal/>
    </border>
    <border>
      <left style="medium">
        <color theme="9" tint="0.39991454817346722"/>
      </left>
      <right/>
      <top/>
      <bottom style="medium">
        <color theme="9" tint="0.39991454817346722"/>
      </bottom>
      <diagonal/>
    </border>
    <border>
      <left/>
      <right/>
      <top/>
      <bottom style="medium">
        <color theme="9" tint="0.39991454817346722"/>
      </bottom>
      <diagonal/>
    </border>
    <border>
      <left/>
      <right/>
      <top/>
      <bottom style="medium">
        <color theme="8" tint="0.399914548173467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ashed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rgb="FFB294D3"/>
      </left>
      <right/>
      <top style="medium">
        <color rgb="FFB294D3"/>
      </top>
      <bottom/>
      <diagonal/>
    </border>
    <border>
      <left/>
      <right/>
      <top style="medium">
        <color rgb="FFB294D3"/>
      </top>
      <bottom/>
      <diagonal/>
    </border>
    <border>
      <left/>
      <right style="medium">
        <color rgb="FFB294D3"/>
      </right>
      <top style="medium">
        <color rgb="FFB294D3"/>
      </top>
      <bottom/>
      <diagonal/>
    </border>
    <border>
      <left style="medium">
        <color rgb="FFB294D3"/>
      </left>
      <right/>
      <top/>
      <bottom/>
      <diagonal/>
    </border>
    <border>
      <left/>
      <right style="medium">
        <color rgb="FFB294D3"/>
      </right>
      <top/>
      <bottom/>
      <diagonal/>
    </border>
    <border>
      <left style="medium">
        <color rgb="FFB294D3"/>
      </left>
      <right/>
      <top/>
      <bottom style="medium">
        <color rgb="FFB294D3"/>
      </bottom>
      <diagonal/>
    </border>
    <border>
      <left/>
      <right/>
      <top/>
      <bottom style="medium">
        <color rgb="FFB294D3"/>
      </bottom>
      <diagonal/>
    </border>
    <border>
      <left/>
      <right style="medium">
        <color rgb="FFB294D3"/>
      </right>
      <top/>
      <bottom style="medium">
        <color rgb="FFB294D3"/>
      </bottom>
      <diagonal/>
    </border>
    <border>
      <left style="medium">
        <color theme="6" tint="0.39994506668294322"/>
      </left>
      <right style="medium">
        <color theme="6" tint="0.39994506668294322"/>
      </right>
      <top style="medium">
        <color theme="6" tint="0.39994506668294322"/>
      </top>
      <bottom/>
      <diagonal/>
    </border>
    <border>
      <left style="medium">
        <color theme="6" tint="0.39994506668294322"/>
      </left>
      <right style="medium">
        <color theme="6" tint="0.39994506668294322"/>
      </right>
      <top/>
      <bottom/>
      <diagonal/>
    </border>
    <border>
      <left style="medium">
        <color theme="6" tint="0.39994506668294322"/>
      </left>
      <right style="medium">
        <color theme="6" tint="0.39994506668294322"/>
      </right>
      <top/>
      <bottom style="medium">
        <color theme="6" tint="0.39994506668294322"/>
      </bottom>
      <diagonal/>
    </border>
    <border>
      <left/>
      <right/>
      <top style="medium">
        <color theme="9" tint="0.39991454817346722"/>
      </top>
      <bottom style="medium">
        <color theme="9" tint="0.39991454817346722"/>
      </bottom>
      <diagonal/>
    </border>
    <border>
      <left/>
      <right/>
      <top/>
      <bottom style="medium">
        <color theme="7" tint="0.39994506668294322"/>
      </bottom>
      <diagonal/>
    </border>
    <border>
      <left/>
      <right style="medium">
        <color theme="7" tint="0.39991454817346722"/>
      </right>
      <top style="medium">
        <color theme="7" tint="0.39994506668294322"/>
      </top>
      <bottom/>
      <diagonal/>
    </border>
    <border>
      <left/>
      <right style="medium">
        <color theme="7" tint="0.39991454817346722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theme="9" tint="0.39991454817346722"/>
      </left>
      <right/>
      <top style="medium">
        <color theme="9" tint="0.39991454817346722"/>
      </top>
      <bottom style="medium">
        <color theme="9" tint="0.39991454817346722"/>
      </bottom>
      <diagonal/>
    </border>
    <border>
      <left/>
      <right style="medium">
        <color theme="9" tint="0.39991454817346722"/>
      </right>
      <top style="medium">
        <color theme="9" tint="0.39991454817346722"/>
      </top>
      <bottom style="medium">
        <color theme="9" tint="0.39991454817346722"/>
      </bottom>
      <diagonal/>
    </border>
    <border>
      <left style="medium">
        <color theme="8" tint="0.39988402966399123"/>
      </left>
      <right/>
      <top/>
      <bottom/>
      <diagonal/>
    </border>
    <border>
      <left/>
      <right style="medium">
        <color theme="8" tint="0.39988402966399123"/>
      </right>
      <top/>
      <bottom/>
      <diagonal/>
    </border>
    <border>
      <left style="medium">
        <color theme="8" tint="0.39988402966399123"/>
      </left>
      <right/>
      <top/>
      <bottom style="medium">
        <color theme="8" tint="0.39991454817346722"/>
      </bottom>
      <diagonal/>
    </border>
    <border>
      <left/>
      <right style="medium">
        <color theme="8" tint="0.39988402966399123"/>
      </right>
      <top/>
      <bottom style="medium">
        <color theme="8" tint="0.39991454817346722"/>
      </bottom>
      <diagonal/>
    </border>
    <border>
      <left style="medium">
        <color theme="9" tint="0.39994506668294322"/>
      </left>
      <right/>
      <top/>
      <bottom/>
      <diagonal/>
    </border>
    <border>
      <left/>
      <right/>
      <top/>
      <bottom style="medium">
        <color theme="9" tint="0.39994506668294322"/>
      </bottom>
      <diagonal/>
    </border>
    <border>
      <left style="medium">
        <color theme="9" tint="0.39994506668294322"/>
      </left>
      <right/>
      <top/>
      <bottom style="thin">
        <color theme="9" tint="0.39991454817346722"/>
      </bottom>
      <diagonal/>
    </border>
    <border>
      <left/>
      <right/>
      <top/>
      <bottom style="thin">
        <color theme="9" tint="0.39991454817346722"/>
      </bottom>
      <diagonal/>
    </border>
    <border>
      <left/>
      <right style="medium">
        <color theme="9" tint="0.39991454817346722"/>
      </right>
      <top/>
      <bottom/>
      <diagonal/>
    </border>
    <border>
      <left/>
      <right style="medium">
        <color theme="9" tint="0.39991454817346722"/>
      </right>
      <top/>
      <bottom style="thin">
        <color theme="9" tint="0.39991454817346722"/>
      </bottom>
      <diagonal/>
    </border>
    <border>
      <left/>
      <right style="medium">
        <color theme="9" tint="0.39991454817346722"/>
      </right>
      <top/>
      <bottom style="medium">
        <color theme="9" tint="0.39994506668294322"/>
      </bottom>
      <diagonal/>
    </border>
    <border>
      <left/>
      <right/>
      <top style="medium">
        <color rgb="FFB294D3"/>
      </top>
      <bottom style="medium">
        <color rgb="FFB294D3"/>
      </bottom>
      <diagonal/>
    </border>
    <border>
      <left/>
      <right style="medium">
        <color rgb="FFB294D3"/>
      </right>
      <top style="medium">
        <color rgb="FFB294D3"/>
      </top>
      <bottom style="medium">
        <color rgb="FFB294D3"/>
      </bottom>
      <diagonal/>
    </border>
    <border>
      <left style="medium">
        <color theme="6" tint="0.39994506668294322"/>
      </left>
      <right style="medium">
        <color theme="6" tint="0.39991454817346722"/>
      </right>
      <top/>
      <bottom/>
      <diagonal/>
    </border>
    <border>
      <left style="medium">
        <color theme="6" tint="0.39994506668294322"/>
      </left>
      <right style="medium">
        <color theme="6" tint="0.39991454817346722"/>
      </right>
      <top/>
      <bottom style="medium">
        <color theme="6" tint="0.39991454817346722"/>
      </bottom>
      <diagonal/>
    </border>
    <border>
      <left style="medium">
        <color theme="6" tint="0.39991454817346722"/>
      </left>
      <right style="medium">
        <color theme="6" tint="0.39994506668294322"/>
      </right>
      <top style="medium">
        <color theme="6" tint="0.39991454817346722"/>
      </top>
      <bottom/>
      <diagonal/>
    </border>
    <border>
      <left style="medium">
        <color theme="6" tint="0.39991454817346722"/>
      </left>
      <right style="medium">
        <color theme="6" tint="0.39994506668294322"/>
      </right>
      <top/>
      <bottom/>
      <diagonal/>
    </border>
    <border>
      <left style="medium">
        <color theme="6" tint="0.39991454817346722"/>
      </left>
      <right style="medium">
        <color theme="6" tint="0.39994506668294322"/>
      </right>
      <top/>
      <bottom style="medium">
        <color theme="6" tint="0.39991454817346722"/>
      </bottom>
      <diagonal/>
    </border>
    <border>
      <left style="medium">
        <color theme="6" tint="0.39991454817346722"/>
      </left>
      <right/>
      <top style="medium">
        <color theme="6" tint="0.39991454817346722"/>
      </top>
      <bottom/>
      <diagonal/>
    </border>
    <border>
      <left style="medium">
        <color theme="6" tint="0.39991454817346722"/>
      </left>
      <right/>
      <top/>
      <bottom/>
      <diagonal/>
    </border>
    <border>
      <left/>
      <right style="medium">
        <color theme="9" tint="0.39994506668294322"/>
      </right>
      <top/>
      <bottom style="thin">
        <color theme="9" tint="0.39991454817346722"/>
      </bottom>
      <diagonal/>
    </border>
    <border>
      <left style="medium">
        <color theme="7" tint="0.39994506668294322"/>
      </left>
      <right/>
      <top/>
      <bottom style="thin">
        <color theme="7" tint="0.39991454817346722"/>
      </bottom>
      <diagonal/>
    </border>
    <border>
      <left/>
      <right/>
      <top/>
      <bottom style="thin">
        <color theme="7" tint="0.39991454817346722"/>
      </bottom>
      <diagonal/>
    </border>
    <border>
      <left style="medium">
        <color rgb="FFB294D3"/>
      </left>
      <right/>
      <top style="medium">
        <color rgb="FFB294D3"/>
      </top>
      <bottom style="medium">
        <color rgb="FFB294D3"/>
      </bottom>
      <diagonal/>
    </border>
    <border>
      <left style="medium">
        <color theme="9" tint="0.39991454817346722"/>
      </left>
      <right/>
      <top/>
      <bottom style="thin">
        <color theme="9" tint="0.39988402966399123"/>
      </bottom>
      <diagonal/>
    </border>
    <border>
      <left/>
      <right/>
      <top/>
      <bottom style="thin">
        <color theme="9" tint="0.39988402966399123"/>
      </bottom>
      <diagonal/>
    </border>
    <border>
      <left/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/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9" tint="0.39991454817346722"/>
      </left>
      <right/>
      <top/>
      <bottom style="medium">
        <color theme="9" tint="0.39994506668294322"/>
      </bottom>
      <diagonal/>
    </border>
    <border>
      <left style="medium">
        <color theme="9" tint="0.39991454817346722"/>
      </left>
      <right/>
      <top/>
      <bottom style="thin">
        <color theme="9" tint="0.39991454817346722"/>
      </bottom>
      <diagonal/>
    </border>
    <border>
      <left style="medium">
        <color rgb="FF8ED197"/>
      </left>
      <right style="thin">
        <color rgb="FF8ED197"/>
      </right>
      <top/>
      <bottom/>
      <diagonal/>
    </border>
    <border>
      <left style="thin">
        <color rgb="FF8ED197"/>
      </left>
      <right style="medium">
        <color rgb="FF8ED197"/>
      </right>
      <top/>
      <bottom/>
      <diagonal/>
    </border>
    <border>
      <left/>
      <right style="thin">
        <color rgb="FF8ED197"/>
      </right>
      <top/>
      <bottom/>
      <diagonal/>
    </border>
    <border>
      <left style="medium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8" tint="0.39994506668294322"/>
      </right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medium">
        <color theme="7" tint="0.39994506668294322"/>
      </left>
      <right/>
      <top/>
      <bottom style="medium">
        <color theme="7" tint="0.39994506668294322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/>
      <diagonal/>
    </border>
    <border>
      <left style="medium">
        <color rgb="FFB294D3"/>
      </left>
      <right/>
      <top/>
      <bottom style="medium">
        <color theme="7" tint="0.39994506668294322"/>
      </bottom>
      <diagonal/>
    </border>
    <border>
      <left style="double">
        <color indexed="64"/>
      </left>
      <right/>
      <top/>
      <bottom/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/>
      <diagonal/>
    </border>
    <border>
      <left/>
      <right/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/>
      <diagonal/>
    </border>
    <border>
      <left/>
      <right/>
      <top style="medium">
        <color theme="8" tint="-0.499984740745262"/>
      </top>
      <bottom/>
      <diagonal/>
    </border>
    <border>
      <left/>
      <right style="medium">
        <color theme="8" tint="-0.499984740745262"/>
      </right>
      <top style="medium">
        <color theme="8" tint="-0.499984740745262"/>
      </top>
      <bottom/>
      <diagonal/>
    </border>
    <border>
      <left style="medium">
        <color theme="8" tint="-0.499984740745262"/>
      </left>
      <right/>
      <top/>
      <bottom style="medium">
        <color theme="8" tint="-0.499984740745262"/>
      </bottom>
      <diagonal/>
    </border>
    <border>
      <left/>
      <right/>
      <top/>
      <bottom style="medium">
        <color theme="8" tint="-0.499984740745262"/>
      </bottom>
      <diagonal/>
    </border>
    <border>
      <left/>
      <right style="medium">
        <color theme="8" tint="-0.499984740745262"/>
      </right>
      <top/>
      <bottom style="medium">
        <color theme="8" tint="-0.499984740745262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 style="thin">
        <color rgb="FF8ED197"/>
      </right>
      <top style="medium">
        <color theme="9" tint="-0.499984740745262"/>
      </top>
      <bottom/>
      <diagonal/>
    </border>
    <border>
      <left style="thin">
        <color rgb="FF8ED197"/>
      </left>
      <right style="medium">
        <color rgb="FF8ED197"/>
      </right>
      <top style="medium">
        <color theme="9" tint="-0.499984740745262"/>
      </top>
      <bottom/>
      <diagonal/>
    </border>
    <border>
      <left style="medium">
        <color rgb="FF8ED197"/>
      </left>
      <right style="thin">
        <color rgb="FF8ED197"/>
      </right>
      <top style="medium">
        <color theme="9" tint="-0.499984740745262"/>
      </top>
      <bottom/>
      <diagonal/>
    </border>
    <border>
      <left style="thin">
        <color rgb="FF8ED197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 style="thin">
        <color rgb="FF8ED197"/>
      </left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 style="thin">
        <color rgb="FF8ED197"/>
      </right>
      <top/>
      <bottom style="medium">
        <color theme="9" tint="-0.499984740745262"/>
      </bottom>
      <diagonal/>
    </border>
    <border>
      <left style="thin">
        <color rgb="FF8ED197"/>
      </left>
      <right style="medium">
        <color rgb="FF8ED197"/>
      </right>
      <top/>
      <bottom style="medium">
        <color theme="9" tint="-0.499984740745262"/>
      </bottom>
      <diagonal/>
    </border>
    <border>
      <left style="medium">
        <color rgb="FF8ED197"/>
      </left>
      <right style="thin">
        <color rgb="FF8ED197"/>
      </right>
      <top/>
      <bottom style="medium">
        <color theme="9" tint="-0.499984740745262"/>
      </bottom>
      <diagonal/>
    </border>
    <border>
      <left style="thin">
        <color rgb="FF8ED197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/>
      <right style="medium">
        <color theme="7" tint="0.39991454817346722"/>
      </right>
      <top/>
      <bottom style="medium">
        <color theme="7" tint="0.39994506668294322"/>
      </bottom>
      <diagonal/>
    </border>
    <border>
      <left style="medium">
        <color theme="7" tint="0.39991454817346722"/>
      </left>
      <right/>
      <top style="medium">
        <color theme="7" tint="0.39994506668294322"/>
      </top>
      <bottom/>
      <diagonal/>
    </border>
    <border>
      <left style="medium">
        <color theme="7" tint="0.39991454817346722"/>
      </left>
      <right/>
      <top/>
      <bottom/>
      <diagonal/>
    </border>
    <border>
      <left style="medium">
        <color theme="7" tint="0.39991454817346722"/>
      </left>
      <right/>
      <top/>
      <bottom style="medium">
        <color theme="7" tint="0.39994506668294322"/>
      </bottom>
      <diagonal/>
    </border>
    <border>
      <left/>
      <right/>
      <top style="medium">
        <color theme="9" tint="0.39994506668294322"/>
      </top>
      <bottom style="medium">
        <color theme="9" tint="0.39994506668294322"/>
      </bottom>
      <diagonal/>
    </border>
    <border>
      <left/>
      <right/>
      <top style="medium">
        <color theme="9" tint="-0.499984740745262"/>
      </top>
      <bottom/>
      <diagonal/>
    </border>
    <border>
      <left style="medium">
        <color theme="9" tint="0.39991454817346722"/>
      </left>
      <right/>
      <top style="medium">
        <color theme="9" tint="-0.499984740745262"/>
      </top>
      <bottom/>
      <diagonal/>
    </border>
    <border>
      <left style="medium">
        <color theme="9" tint="0.39994506668294322"/>
      </left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thin">
        <color theme="9" tint="0.39988402966399123"/>
      </bottom>
      <diagonal/>
    </border>
    <border>
      <left/>
      <right style="medium">
        <color theme="9" tint="-0.499984740745262"/>
      </right>
      <top/>
      <bottom style="thin">
        <color theme="9" tint="0.39988402966399123"/>
      </bottom>
      <diagonal/>
    </border>
    <border>
      <left style="medium">
        <color theme="9" tint="-0.499984740745262"/>
      </left>
      <right/>
      <top/>
      <bottom style="medium">
        <color theme="9" tint="0.39991454817346722"/>
      </bottom>
      <diagonal/>
    </border>
    <border>
      <left/>
      <right style="medium">
        <color theme="9" tint="-0.499984740745262"/>
      </right>
      <top/>
      <bottom style="medium">
        <color theme="9" tint="0.39991454817346722"/>
      </bottom>
      <diagonal/>
    </border>
    <border>
      <left/>
      <right style="medium">
        <color theme="9" tint="-0.499984740745262"/>
      </right>
      <top style="medium">
        <color theme="9" tint="0.39991454817346722"/>
      </top>
      <bottom style="medium">
        <color theme="9" tint="0.39991454817346722"/>
      </bottom>
      <diagonal/>
    </border>
    <border>
      <left style="medium">
        <color theme="9" tint="-0.499984740745262"/>
      </left>
      <right/>
      <top style="medium">
        <color theme="9" tint="0.39994506668294322"/>
      </top>
      <bottom/>
      <diagonal/>
    </border>
    <border>
      <left/>
      <right style="medium">
        <color theme="9" tint="-0.499984740745262"/>
      </right>
      <top style="medium">
        <color theme="9" tint="0.39994506668294322"/>
      </top>
      <bottom/>
      <diagonal/>
    </border>
    <border>
      <left style="medium">
        <color theme="9" tint="-0.499984740745262"/>
      </left>
      <right/>
      <top/>
      <bottom style="thin">
        <color theme="9" tint="0.39991454817346722"/>
      </bottom>
      <diagonal/>
    </border>
    <border>
      <left/>
      <right style="medium">
        <color theme="9" tint="-0.499984740745262"/>
      </right>
      <top/>
      <bottom style="thin">
        <color theme="9" tint="0.39991454817346722"/>
      </bottom>
      <diagonal/>
    </border>
    <border>
      <left style="medium">
        <color theme="9" tint="-0.499984740745262"/>
      </left>
      <right/>
      <top/>
      <bottom style="medium">
        <color theme="9" tint="0.39994506668294322"/>
      </bottom>
      <diagonal/>
    </border>
    <border>
      <left/>
      <right style="medium">
        <color theme="9" tint="-0.499984740745262"/>
      </right>
      <top/>
      <bottom style="medium">
        <color theme="9" tint="0.39994506668294322"/>
      </bottom>
      <diagonal/>
    </border>
    <border>
      <left/>
      <right/>
      <top/>
      <bottom style="medium">
        <color theme="9" tint="-0.499984740745262"/>
      </bottom>
      <diagonal/>
    </border>
    <border>
      <left style="medium">
        <color theme="9" tint="0.39994506668294322"/>
      </left>
      <right/>
      <top/>
      <bottom style="medium">
        <color theme="9" tint="-0.499984740745262"/>
      </bottom>
      <diagonal/>
    </border>
    <border>
      <left style="medium">
        <color theme="9" tint="0.39991454817346722"/>
      </left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/>
      <right style="medium">
        <color theme="9" tint="0.3999145481734672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 style="medium">
        <color theme="9" tint="0.39994506668294322"/>
      </top>
      <bottom style="medium">
        <color theme="9" tint="0.39994506668294322"/>
      </bottom>
      <diagonal/>
    </border>
    <border>
      <left/>
      <right style="medium">
        <color theme="9" tint="-0.499984740745262"/>
      </right>
      <top style="medium">
        <color theme="9" tint="0.39994506668294322"/>
      </top>
      <bottom style="medium">
        <color theme="9" tint="0.39994506668294322"/>
      </bottom>
      <diagonal/>
    </border>
    <border>
      <left/>
      <right style="medium">
        <color theme="7" tint="0.39991454817346722"/>
      </right>
      <top/>
      <bottom style="thin">
        <color theme="7" tint="0.3999145481734672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6" tint="-0.499984740745262"/>
      </left>
      <right/>
      <top/>
      <bottom/>
      <diagonal/>
    </border>
    <border>
      <left/>
      <right/>
      <top/>
      <bottom style="medium">
        <color theme="6" tint="0.39994506668294322"/>
      </bottom>
      <diagonal/>
    </border>
    <border>
      <left style="medium">
        <color theme="0" tint="-0.24994659260841701"/>
      </left>
      <right/>
      <top/>
      <bottom style="medium">
        <color theme="6" tint="-0.499984740745262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6" tint="-0.499984740745262"/>
      </bottom>
      <diagonal/>
    </border>
    <border>
      <left style="medium">
        <color theme="8" tint="0.39991454817346722"/>
      </left>
      <right/>
      <top style="medium">
        <color theme="8" tint="-0.499984740745262"/>
      </top>
      <bottom/>
      <diagonal/>
    </border>
    <border>
      <left style="medium">
        <color theme="8" tint="-0.499984740745262"/>
      </left>
      <right/>
      <top/>
      <bottom/>
      <diagonal/>
    </border>
    <border>
      <left/>
      <right style="medium">
        <color theme="8" tint="-0.499984740745262"/>
      </right>
      <top/>
      <bottom/>
      <diagonal/>
    </border>
    <border>
      <left/>
      <right style="medium">
        <color theme="8" tint="-0.499984740745262"/>
      </right>
      <top/>
      <bottom style="medium">
        <color theme="8" tint="0.39991454817346722"/>
      </bottom>
      <diagonal/>
    </border>
    <border>
      <left/>
      <right style="medium">
        <color theme="8" tint="-0.499984740745262"/>
      </right>
      <top style="medium">
        <color theme="8" tint="0.39994506668294322"/>
      </top>
      <bottom/>
      <diagonal/>
    </border>
    <border>
      <left/>
      <right style="medium">
        <color theme="8" tint="0.39991454817346722"/>
      </right>
      <top/>
      <bottom style="medium">
        <color theme="8" tint="-0.499984740745262"/>
      </bottom>
      <diagonal/>
    </border>
    <border>
      <left style="medium">
        <color theme="8" tint="0.39988402966399123"/>
      </left>
      <right/>
      <top/>
      <bottom style="medium">
        <color theme="8" tint="-0.499984740745262"/>
      </bottom>
      <diagonal/>
    </border>
    <border>
      <left/>
      <right style="medium">
        <color theme="8" tint="0.39988402966399123"/>
      </right>
      <top/>
      <bottom style="medium">
        <color theme="8" tint="-0.499984740745262"/>
      </bottom>
      <diagonal/>
    </border>
    <border>
      <left style="medium">
        <color rgb="FFB294D3"/>
      </left>
      <right/>
      <top style="medium">
        <color rgb="FF7030A0"/>
      </top>
      <bottom/>
      <diagonal/>
    </border>
    <border>
      <left/>
      <right style="medium">
        <color rgb="FFB294D3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7030A0"/>
      </right>
      <top/>
      <bottom style="medium">
        <color rgb="FFB294D3"/>
      </bottom>
      <diagonal/>
    </border>
    <border>
      <left/>
      <right style="medium">
        <color rgb="FF7030A0"/>
      </right>
      <top style="medium">
        <color rgb="FFB294D3"/>
      </top>
      <bottom/>
      <diagonal/>
    </border>
    <border>
      <left style="medium">
        <color rgb="FFB294D3"/>
      </left>
      <right/>
      <top/>
      <bottom style="medium">
        <color rgb="FF7030A0"/>
      </bottom>
      <diagonal/>
    </border>
    <border>
      <left/>
      <right style="medium">
        <color rgb="FF7030A0"/>
      </right>
      <top style="medium">
        <color rgb="FFB294D3"/>
      </top>
      <bottom style="medium">
        <color rgb="FFB294D3"/>
      </bottom>
      <diagonal/>
    </border>
    <border>
      <left/>
      <right/>
      <top style="medium">
        <color rgb="FFFFD966"/>
      </top>
      <bottom/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/>
      <bottom style="thin">
        <color theme="5" tint="0.39994506668294322"/>
      </bottom>
      <diagonal/>
    </border>
    <border>
      <left style="medium">
        <color theme="5" tint="0.39994506668294322"/>
      </left>
      <right/>
      <top/>
      <bottom/>
      <diagonal/>
    </border>
    <border>
      <left/>
      <right style="medium">
        <color theme="5" tint="0.39994506668294322"/>
      </right>
      <top/>
      <bottom/>
      <diagonal/>
    </border>
    <border>
      <left style="medium">
        <color theme="5" tint="0.39994506668294322"/>
      </left>
      <right/>
      <top/>
      <bottom style="thin">
        <color theme="5" tint="0.39994506668294322"/>
      </bottom>
      <diagonal/>
    </border>
    <border>
      <left/>
      <right style="medium">
        <color theme="5" tint="0.39994506668294322"/>
      </right>
      <top/>
      <bottom style="thin">
        <color theme="5" tint="0.3999450666829432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 style="medium">
        <color theme="5" tint="0.39994506668294322"/>
      </left>
      <right/>
      <top style="medium">
        <color theme="5" tint="-0.499984740745262"/>
      </top>
      <bottom/>
      <diagonal/>
    </border>
    <border>
      <left/>
      <right style="medium">
        <color theme="5" tint="0.39994506668294322"/>
      </right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/>
      <right style="medium">
        <color theme="5" tint="-0.499984740745262"/>
      </right>
      <top/>
      <bottom style="thin">
        <color theme="5" tint="0.39994506668294322"/>
      </bottom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 style="medium">
        <color theme="5" tint="0.39994506668294322"/>
      </left>
      <right/>
      <top/>
      <bottom style="medium">
        <color theme="5" tint="-0.499984740745262"/>
      </bottom>
      <diagonal/>
    </border>
    <border>
      <left/>
      <right style="medium">
        <color theme="5" tint="0.39994506668294322"/>
      </right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/>
      <right style="medium">
        <color rgb="FF7030A0"/>
      </right>
      <top/>
      <bottom style="thin">
        <color rgb="FF7030A0"/>
      </bottom>
      <diagonal/>
    </border>
    <border>
      <left/>
      <right/>
      <top/>
      <bottom style="thin">
        <color rgb="FF7030A0"/>
      </bottom>
      <diagonal/>
    </border>
    <border>
      <left style="medium">
        <color rgb="FFB294D3"/>
      </left>
      <right/>
      <top/>
      <bottom style="thin">
        <color rgb="FF7030A0"/>
      </bottom>
      <diagonal/>
    </border>
    <border>
      <left/>
      <right style="medium">
        <color rgb="FFB294D3"/>
      </right>
      <top/>
      <bottom style="thin">
        <color rgb="FF7030A0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/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/>
      <right/>
      <top style="medium">
        <color rgb="FF7030A0"/>
      </top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5" tint="0.39991454817346722"/>
      </left>
      <right/>
      <top/>
      <bottom style="thin">
        <color theme="5" tint="0.39994506668294322"/>
      </bottom>
      <diagonal/>
    </border>
    <border>
      <left style="medium">
        <color theme="5" tint="0.39991454817346722"/>
      </left>
      <right/>
      <top/>
      <bottom/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/>
      <diagonal/>
    </border>
    <border>
      <left style="medium">
        <color theme="8" tint="-0.499984740745262"/>
      </left>
      <right style="medium">
        <color theme="8" tint="-0.499984740745262"/>
      </right>
      <top/>
      <bottom/>
      <diagonal/>
    </border>
    <border>
      <left style="medium">
        <color theme="6" tint="0.39994506668294322"/>
      </left>
      <right/>
      <top/>
      <bottom/>
      <diagonal/>
    </border>
    <border>
      <left style="medium">
        <color theme="8" tint="-0.499984740745262"/>
      </left>
      <right/>
      <top/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/>
      <right style="medium">
        <color theme="8" tint="-0.499984740745262"/>
      </right>
      <top/>
      <bottom style="thin">
        <color theme="8" tint="-0.499984740745262"/>
      </bottom>
      <diagonal/>
    </border>
    <border>
      <left style="medium">
        <color theme="8" tint="-0.499984740745262"/>
      </left>
      <right/>
      <top style="thin">
        <color theme="8" tint="-0.499984740745262"/>
      </top>
      <bottom/>
      <diagonal/>
    </border>
    <border>
      <left/>
      <right/>
      <top style="thin">
        <color theme="8" tint="-0.499984740745262"/>
      </top>
      <bottom/>
      <diagonal/>
    </border>
    <border>
      <left/>
      <right style="medium">
        <color theme="8" tint="-0.499984740745262"/>
      </right>
      <top style="thin">
        <color theme="8" tint="-0.499984740745262"/>
      </top>
      <bottom/>
      <diagonal/>
    </border>
    <border>
      <left style="medium">
        <color theme="7" tint="0.39991454817346722"/>
      </left>
      <right/>
      <top/>
      <bottom style="thin">
        <color theme="7" tint="0.39991454817346722"/>
      </bottom>
      <diagonal/>
    </border>
    <border>
      <left/>
      <right style="medium">
        <color theme="9" tint="-0.499984740745262"/>
      </right>
      <top/>
      <bottom style="thin">
        <color theme="9" tint="0.39994506668294322"/>
      </bottom>
      <diagonal/>
    </border>
    <border>
      <left/>
      <right/>
      <top/>
      <bottom style="thin">
        <color theme="9" tint="0.39994506668294322"/>
      </bottom>
      <diagonal/>
    </border>
    <border>
      <left style="medium">
        <color theme="9" tint="0.39991454817346722"/>
      </left>
      <right/>
      <top/>
      <bottom style="thin">
        <color theme="9" tint="0.39994506668294322"/>
      </bottom>
      <diagonal/>
    </border>
    <border>
      <left style="medium">
        <color theme="9" tint="0.39994506668294322"/>
      </left>
      <right/>
      <top/>
      <bottom style="thin">
        <color theme="9" tint="0.39994506668294322"/>
      </bottom>
      <diagonal/>
    </border>
    <border>
      <left style="medium">
        <color theme="0" tint="-0.24994659260841701"/>
      </left>
      <right/>
      <top style="medium">
        <color theme="6" tint="-0.499984740745262"/>
      </top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/>
      <right/>
      <top style="medium">
        <color theme="5" tint="-0.499984740745262"/>
      </top>
      <bottom style="thin">
        <color theme="5" tint="-0.499984740745262"/>
      </bottom>
      <diagonal/>
    </border>
    <border>
      <left/>
      <right style="medium">
        <color theme="8" tint="-0.499984740745262"/>
      </right>
      <top/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medium">
        <color theme="8" tint="0.39988402966399123"/>
      </left>
      <right/>
      <top/>
      <bottom style="thin">
        <color theme="8" tint="0.39994506668294322"/>
      </bottom>
      <diagonal/>
    </border>
    <border>
      <left/>
      <right style="medium">
        <color theme="8" tint="0.39988402966399123"/>
      </right>
      <top/>
      <bottom style="thin">
        <color theme="8" tint="0.39994506668294322"/>
      </bottom>
      <diagonal/>
    </border>
    <border>
      <left/>
      <right style="medium">
        <color theme="8" tint="0.39991454817346722"/>
      </right>
      <top/>
      <bottom style="thin">
        <color theme="8" tint="0.39994506668294322"/>
      </bottom>
      <diagonal/>
    </border>
    <border>
      <left style="medium">
        <color theme="8" tint="0.39994506668294322"/>
      </left>
      <right/>
      <top/>
      <bottom style="thin">
        <color theme="8" tint="0.39994506668294322"/>
      </bottom>
      <diagonal/>
    </border>
    <border>
      <left/>
      <right style="medium">
        <color theme="8" tint="0.39994506668294322"/>
      </right>
      <top/>
      <bottom style="thin">
        <color theme="8" tint="0.39994506668294322"/>
      </bottom>
      <diagonal/>
    </border>
    <border>
      <left/>
      <right style="medium">
        <color theme="5" tint="-0.499984740745262"/>
      </right>
      <top style="thin">
        <color theme="5" tint="0.39994506668294322"/>
      </top>
      <bottom/>
      <diagonal/>
    </border>
    <border>
      <left/>
      <right/>
      <top style="thin">
        <color theme="5" tint="0.39994506668294322"/>
      </top>
      <bottom/>
      <diagonal/>
    </border>
    <border>
      <left style="medium">
        <color theme="5" tint="0.39994506668294322"/>
      </left>
      <right/>
      <top style="thin">
        <color theme="5" tint="0.39994506668294322"/>
      </top>
      <bottom/>
      <diagonal/>
    </border>
    <border>
      <left/>
      <right style="medium">
        <color theme="5" tint="0.39994506668294322"/>
      </right>
      <top style="thin">
        <color theme="5" tint="0.39994506668294322"/>
      </top>
      <bottom/>
      <diagonal/>
    </border>
    <border>
      <left style="medium">
        <color theme="5" tint="0.39991454817346722"/>
      </left>
      <right/>
      <top style="thin">
        <color theme="5" tint="0.39994506668294322"/>
      </top>
      <bottom/>
      <diagonal/>
    </border>
    <border>
      <left/>
      <right style="medium">
        <color theme="5" tint="0.39994506668294322"/>
      </right>
      <top/>
      <bottom style="thin">
        <color theme="5" tint="0.39991454817346722"/>
      </bottom>
      <diagonal/>
    </border>
    <border>
      <left/>
      <right style="medium">
        <color theme="5" tint="0.39991454817346722"/>
      </right>
      <top style="thin">
        <color theme="5" tint="0.39994506668294322"/>
      </top>
      <bottom/>
      <diagonal/>
    </border>
    <border>
      <left/>
      <right style="medium">
        <color theme="9" tint="0.39991454817346722"/>
      </right>
      <top style="thin">
        <color theme="9" tint="0.39988402966399123"/>
      </top>
      <bottom/>
      <diagonal/>
    </border>
    <border>
      <left/>
      <right/>
      <top style="thin">
        <color theme="9" tint="0.39988402966399123"/>
      </top>
      <bottom/>
      <diagonal/>
    </border>
    <border>
      <left style="medium">
        <color theme="9" tint="0.39991454817346722"/>
      </left>
      <right/>
      <top style="thin">
        <color theme="9" tint="0.39988402966399123"/>
      </top>
      <bottom/>
      <diagonal/>
    </border>
    <border>
      <left/>
      <right style="medium">
        <color theme="9" tint="-0.499984740745262"/>
      </right>
      <top style="thin">
        <color theme="9" tint="0.39991454817346722"/>
      </top>
      <bottom/>
      <diagonal/>
    </border>
    <border>
      <left/>
      <right/>
      <top style="thin">
        <color theme="9" tint="0.39991454817346722"/>
      </top>
      <bottom/>
      <diagonal/>
    </border>
    <border>
      <left style="medium">
        <color theme="9" tint="0.39994506668294322"/>
      </left>
      <right/>
      <top style="thin">
        <color theme="9" tint="0.39991454817346722"/>
      </top>
      <bottom/>
      <diagonal/>
    </border>
    <border>
      <left style="medium">
        <color theme="9" tint="0.39991454817346722"/>
      </left>
      <right/>
      <top style="thin">
        <color theme="9" tint="0.39991454817346722"/>
      </top>
      <bottom/>
      <diagonal/>
    </border>
    <border>
      <left/>
      <right style="medium">
        <color theme="9" tint="0.39994506668294322"/>
      </right>
      <top style="thin">
        <color theme="9" tint="0.39991454817346722"/>
      </top>
      <bottom/>
      <diagonal/>
    </border>
    <border>
      <left/>
      <right style="medium">
        <color theme="9" tint="-0.499984740745262"/>
      </right>
      <top style="thin">
        <color theme="9" tint="0.39994506668294322"/>
      </top>
      <bottom/>
      <diagonal/>
    </border>
    <border>
      <left/>
      <right/>
      <top style="thin">
        <color theme="9" tint="0.39994506668294322"/>
      </top>
      <bottom/>
      <diagonal/>
    </border>
    <border>
      <left style="medium">
        <color theme="9" tint="0.39991454817346722"/>
      </left>
      <right/>
      <top style="thin">
        <color theme="9" tint="0.39994506668294322"/>
      </top>
      <bottom/>
      <diagonal/>
    </border>
    <border>
      <left style="medium">
        <color theme="9" tint="0.39994506668294322"/>
      </left>
      <right/>
      <top style="thin">
        <color theme="9" tint="0.39994506668294322"/>
      </top>
      <bottom/>
      <diagonal/>
    </border>
    <border>
      <left/>
      <right style="medium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medium">
        <color rgb="FF7030A0"/>
      </right>
      <top style="thin">
        <color rgb="FF7030A0"/>
      </top>
      <bottom/>
      <diagonal/>
    </border>
    <border>
      <left/>
      <right/>
      <top style="thin">
        <color rgb="FF7030A0"/>
      </top>
      <bottom/>
      <diagonal/>
    </border>
    <border>
      <left style="medium">
        <color rgb="FFB294D3"/>
      </left>
      <right/>
      <top style="thin">
        <color rgb="FF7030A0"/>
      </top>
      <bottom/>
      <diagonal/>
    </border>
    <border>
      <left/>
      <right style="medium">
        <color rgb="FFB294D3"/>
      </right>
      <top style="thin">
        <color rgb="FF7030A0"/>
      </top>
      <bottom/>
      <diagonal/>
    </border>
    <border>
      <left style="medium">
        <color theme="8" tint="-0.499984740745262"/>
      </left>
      <right style="medium">
        <color theme="8" tint="-0.499984740745262"/>
      </right>
      <top style="thin">
        <color theme="8" tint="-0.499984740745262"/>
      </top>
      <bottom/>
      <diagonal/>
    </border>
    <border>
      <left/>
      <right style="medium">
        <color theme="5" tint="0.39991454817346722"/>
      </right>
      <top/>
      <bottom/>
      <diagonal/>
    </border>
    <border>
      <left style="medium">
        <color theme="8" tint="-0.499984740745262"/>
      </left>
      <right style="medium">
        <color theme="8" tint="-0.499984740745262"/>
      </right>
      <top/>
      <bottom style="medium">
        <color theme="8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8" tint="0.39991454817346722"/>
      </right>
      <top style="medium">
        <color theme="8" tint="0.39994506668294322"/>
      </top>
      <bottom/>
      <diagonal/>
    </border>
    <border>
      <left/>
      <right style="medium">
        <color theme="0" tint="-0.24994659260841701"/>
      </right>
      <top style="medium">
        <color theme="6" tint="-0.499984740745262"/>
      </top>
      <bottom/>
      <diagonal/>
    </border>
    <border>
      <left/>
      <right style="medium">
        <color theme="0" tint="-0.24994659260841701"/>
      </right>
      <top/>
      <bottom/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/>
      <right style="medium">
        <color theme="6" tint="-0.499984740745262"/>
      </right>
      <top/>
      <bottom/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thin">
        <color theme="0" tint="-0.24994659260841701"/>
      </bottom>
      <diagonal/>
    </border>
    <border>
      <left style="dashDot">
        <color theme="0" tint="-0.24994659260841701"/>
      </left>
      <right/>
      <top/>
      <bottom/>
      <diagonal/>
    </border>
    <border>
      <left style="medium">
        <color theme="0" tint="-0.24994659260841701"/>
      </left>
      <right style="dashDot">
        <color theme="0" tint="-0.24994659260841701"/>
      </right>
      <top/>
      <bottom/>
      <diagonal/>
    </border>
    <border>
      <left style="dashDot">
        <color theme="0" tint="-0.24994659260841701"/>
      </left>
      <right/>
      <top/>
      <bottom style="thin">
        <color theme="0" tint="-0.24994659260841701"/>
      </bottom>
      <diagonal/>
    </border>
    <border>
      <left style="medium">
        <color theme="0" tint="-0.24994659260841701"/>
      </left>
      <right style="dashDot">
        <color theme="0" tint="-0.24994659260841701"/>
      </right>
      <top/>
      <bottom style="thin">
        <color theme="0" tint="-0.24994659260841701"/>
      </bottom>
      <diagonal/>
    </border>
    <border>
      <left style="dashDot">
        <color theme="0" tint="-0.24994659260841701"/>
      </left>
      <right/>
      <top style="thin">
        <color theme="0" tint="-0.24994659260841701"/>
      </top>
      <bottom/>
      <diagonal/>
    </border>
    <border>
      <left style="medium">
        <color theme="0" tint="-0.24994659260841701"/>
      </left>
      <right style="dashDot">
        <color theme="0" tint="-0.24994659260841701"/>
      </right>
      <top style="thin">
        <color theme="0" tint="-0.24994659260841701"/>
      </top>
      <bottom/>
      <diagonal/>
    </border>
    <border>
      <left style="dashDot">
        <color theme="0" tint="-0.24994659260841701"/>
      </left>
      <right style="medium">
        <color theme="6" tint="-0.499984740745262"/>
      </right>
      <top/>
      <bottom/>
      <diagonal/>
    </border>
    <border>
      <left style="dashDot">
        <color theme="0" tint="-0.24994659260841701"/>
      </left>
      <right style="medium">
        <color theme="6" tint="-0.499984740745262"/>
      </right>
      <top/>
      <bottom style="thin">
        <color theme="0" tint="-0.24994659260841701"/>
      </bottom>
      <diagonal/>
    </border>
    <border>
      <left/>
      <right style="medium">
        <color rgb="FFBFBFBF"/>
      </right>
      <top style="medium">
        <color theme="6" tint="-0.499984740745262"/>
      </top>
      <bottom/>
      <diagonal/>
    </border>
    <border>
      <left style="medium">
        <color rgb="FFBFBFBF"/>
      </left>
      <right/>
      <top style="medium">
        <color theme="6" tint="-0.499984740745262"/>
      </top>
      <bottom/>
      <diagonal/>
    </border>
    <border>
      <left/>
      <right/>
      <top style="medium">
        <color theme="6" tint="0.39994506668294322"/>
      </top>
      <bottom/>
      <diagonal/>
    </border>
    <border>
      <left style="medium">
        <color theme="6" tint="0.39994506668294322"/>
      </left>
      <right/>
      <top style="medium">
        <color theme="6" tint="0.39994506668294322"/>
      </top>
      <bottom/>
      <diagonal/>
    </border>
    <border>
      <left style="medium">
        <color theme="0" tint="-0.24994659260841701"/>
      </left>
      <right/>
      <top style="medium">
        <color theme="6" tint="0.39994506668294322"/>
      </top>
      <bottom/>
      <diagonal/>
    </border>
    <border>
      <left style="medium">
        <color theme="0" tint="-0.24994659260841701"/>
      </left>
      <right/>
      <top style="medium">
        <color theme="6" tint="0.39994506668294322"/>
      </top>
      <bottom style="medium">
        <color theme="6" tint="-0.499984740745262"/>
      </bottom>
      <diagonal/>
    </border>
    <border>
      <left style="medium">
        <color theme="0" tint="-0.24994659260841701"/>
      </left>
      <right/>
      <top style="medium">
        <color theme="6" tint="0.39994506668294322"/>
      </top>
      <bottom style="medium">
        <color theme="6" tint="0.39994506668294322"/>
      </bottom>
      <diagonal/>
    </border>
    <border>
      <left style="medium">
        <color theme="6" tint="0.39994506668294322"/>
      </left>
      <right/>
      <top/>
      <bottom style="medium">
        <color theme="6" tint="-0.499984740745262"/>
      </bottom>
      <diagonal/>
    </border>
    <border>
      <left/>
      <right style="medium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rgb="FFBFBFBF"/>
      </left>
      <right/>
      <top/>
      <bottom/>
      <diagonal/>
    </border>
    <border>
      <left style="medium">
        <color rgb="FFBFBFBF"/>
      </left>
      <right/>
      <top/>
      <bottom style="thin">
        <color theme="0" tint="-0.24994659260841701"/>
      </bottom>
      <diagonal/>
    </border>
    <border>
      <left/>
      <right style="medium">
        <color rgb="FFBFBFBF"/>
      </right>
      <top/>
      <bottom/>
      <diagonal/>
    </border>
    <border>
      <left style="medium">
        <color theme="5" tint="-0.499984740745262"/>
      </left>
      <right style="thin">
        <color theme="5" tint="-0.499984740745262"/>
      </right>
      <top style="medium">
        <color theme="5" tint="-0.499984740745262"/>
      </top>
      <bottom style="thin">
        <color theme="5" tint="-0.499984740745262"/>
      </bottom>
      <diagonal/>
    </border>
    <border>
      <left style="medium">
        <color theme="5" tint="-0.499984740745262"/>
      </left>
      <right style="thin">
        <color theme="5" tint="-0.499984740745262"/>
      </right>
      <top/>
      <bottom style="medium">
        <color theme="5" tint="-0.499984740745262"/>
      </bottom>
      <diagonal/>
    </border>
    <border>
      <left style="medium">
        <color theme="5" tint="-0.499984740745262"/>
      </left>
      <right style="thin">
        <color theme="5" tint="-0.499984740745262"/>
      </right>
      <top/>
      <bottom/>
      <diagonal/>
    </border>
    <border>
      <left style="dashDot">
        <color theme="5" tint="-0.499984740745262"/>
      </left>
      <right/>
      <top style="medium">
        <color theme="5" tint="-0.499984740745262"/>
      </top>
      <bottom style="thin">
        <color theme="5" tint="-0.499984740745262"/>
      </bottom>
      <diagonal/>
    </border>
    <border>
      <left style="dashDot">
        <color theme="5" tint="-0.499984740745262"/>
      </left>
      <right/>
      <top/>
      <bottom/>
      <diagonal/>
    </border>
    <border>
      <left style="dashDot">
        <color theme="5" tint="-0.499984740745262"/>
      </left>
      <right/>
      <top/>
      <bottom style="medium">
        <color theme="5" tint="-0.499984740745262"/>
      </bottom>
      <diagonal/>
    </border>
    <border>
      <left/>
      <right style="medium">
        <color theme="6" tint="0.39991454817346722"/>
      </right>
      <top style="medium">
        <color theme="6" tint="0.39991454817346722"/>
      </top>
      <bottom/>
      <diagonal/>
    </border>
    <border>
      <left/>
      <right style="medium">
        <color theme="6" tint="0.39991454817346722"/>
      </right>
      <top/>
      <bottom/>
      <diagonal/>
    </border>
    <border>
      <left/>
      <right style="medium">
        <color theme="6" tint="0.39991454817346722"/>
      </right>
      <top/>
      <bottom style="medium">
        <color theme="6" tint="0.39991454817346722"/>
      </bottom>
      <diagonal/>
    </border>
    <border>
      <left/>
      <right style="medium">
        <color theme="9" tint="0.39988402966399123"/>
      </right>
      <top/>
      <bottom/>
      <diagonal/>
    </border>
    <border>
      <left/>
      <right style="medium">
        <color theme="9" tint="0.39988402966399123"/>
      </right>
      <top/>
      <bottom style="thin">
        <color theme="9" tint="0.39988402966399123"/>
      </bottom>
      <diagonal/>
    </border>
    <border>
      <left/>
      <right style="medium">
        <color theme="9" tint="0.39988402966399123"/>
      </right>
      <top/>
      <bottom style="medium">
        <color theme="9" tint="-0.499984740745262"/>
      </bottom>
      <diagonal/>
    </border>
    <border>
      <left/>
      <right style="medium">
        <color theme="8" tint="-0.499984740745262"/>
      </right>
      <top style="medium">
        <color theme="8" tint="0.39991454817346722"/>
      </top>
      <bottom style="medium">
        <color theme="8" tint="-0.499984740745262"/>
      </bottom>
      <diagonal/>
    </border>
    <border>
      <left style="medium">
        <color theme="8" tint="0.39991454817346722"/>
      </left>
      <right/>
      <top/>
      <bottom/>
      <diagonal/>
    </border>
    <border>
      <left/>
      <right/>
      <top style="medium">
        <color theme="8" tint="0.39991454817346722"/>
      </top>
      <bottom style="medium">
        <color theme="8" tint="-0.499984740745262"/>
      </bottom>
      <diagonal/>
    </border>
    <border>
      <left style="medium">
        <color theme="6" tint="0.39994506668294322"/>
      </left>
      <right/>
      <top style="medium">
        <color theme="6" tint="0.39991454817346722"/>
      </top>
      <bottom/>
      <diagonal/>
    </border>
    <border>
      <left style="medium">
        <color theme="6" tint="0.39994506668294322"/>
      </left>
      <right/>
      <top/>
      <bottom style="medium">
        <color theme="6" tint="0.39991454817346722"/>
      </bottom>
      <diagonal/>
    </border>
    <border>
      <left/>
      <right style="medium">
        <color theme="6" tint="0.39994506668294322"/>
      </right>
      <top/>
      <bottom style="medium">
        <color theme="6" tint="0.39994506668294322"/>
      </bottom>
      <diagonal/>
    </border>
    <border>
      <left/>
      <right/>
      <top/>
      <bottom style="thin">
        <color rgb="FF00A7AB"/>
      </bottom>
      <diagonal/>
    </border>
    <border>
      <left style="thin">
        <color rgb="FF00A7AB"/>
      </left>
      <right style="thin">
        <color rgb="FF00A7AB"/>
      </right>
      <top style="thin">
        <color rgb="FF00A7AB"/>
      </top>
      <bottom style="thin">
        <color rgb="FF00A7AB"/>
      </bottom>
      <diagonal/>
    </border>
    <border>
      <left style="thin">
        <color rgb="FF00A7AB"/>
      </left>
      <right style="thin">
        <color rgb="FF00A7AB"/>
      </right>
      <top style="thin">
        <color rgb="FF00A7AB"/>
      </top>
      <bottom/>
      <diagonal/>
    </border>
    <border>
      <left style="thin">
        <color rgb="FF00A7AB"/>
      </left>
      <right style="thin">
        <color rgb="FF00A7AB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auto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rgb="FFB294D4"/>
      </left>
      <right/>
      <top/>
      <bottom style="thin">
        <color rgb="FF7030A0"/>
      </bottom>
      <diagonal/>
    </border>
    <border>
      <left/>
      <right style="medium">
        <color rgb="FFB294D4"/>
      </right>
      <top/>
      <bottom style="thin">
        <color rgb="FF7030A0"/>
      </bottom>
      <diagonal/>
    </border>
    <border>
      <left style="medium">
        <color theme="9" tint="-0.499984740745262"/>
      </left>
      <right/>
      <top style="thin">
        <color theme="9" tint="0.39991454817346722"/>
      </top>
      <bottom/>
      <diagonal/>
    </border>
    <border>
      <left/>
      <right style="medium">
        <color theme="9" tint="0.39994506668294322"/>
      </right>
      <top style="thin">
        <color theme="9" tint="0.39994506668294322"/>
      </top>
      <bottom/>
      <diagonal/>
    </border>
    <border>
      <left style="medium">
        <color theme="9" tint="-0.499984740745262"/>
      </left>
      <right/>
      <top style="thin">
        <color theme="9" tint="0.39994506668294322"/>
      </top>
      <bottom/>
      <diagonal/>
    </border>
    <border>
      <left style="medium">
        <color rgb="FFB294D4"/>
      </left>
      <right/>
      <top/>
      <bottom/>
      <diagonal/>
    </border>
    <border>
      <left/>
      <right style="medium">
        <color rgb="FFB294D4"/>
      </right>
      <top/>
      <bottom/>
      <diagonal/>
    </border>
    <border>
      <left style="medium">
        <color rgb="FFB294D4"/>
      </left>
      <right/>
      <top style="thin">
        <color rgb="FF7030A0"/>
      </top>
      <bottom/>
      <diagonal/>
    </border>
    <border>
      <left/>
      <right style="medium">
        <color rgb="FFB294D4"/>
      </right>
      <top style="thin">
        <color rgb="FF7030A0"/>
      </top>
      <bottom/>
      <diagonal/>
    </border>
    <border>
      <left/>
      <right style="medium">
        <color theme="9" tint="-0.499984740745262"/>
      </right>
      <top style="thin">
        <color theme="9" tint="0.399884029663991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6" tint="0.39994506668294322"/>
      </left>
      <right/>
      <top/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theme="6" tint="0.39994506668294322"/>
      </right>
      <top/>
      <bottom style="medium">
        <color theme="6" tint="-0.499984740745262"/>
      </bottom>
      <diagonal/>
    </border>
    <border>
      <left/>
      <right style="medium">
        <color theme="6" tint="0.39994506668294322"/>
      </right>
      <top style="medium">
        <color theme="6" tint="0.39994506668294322"/>
      </top>
      <bottom/>
      <diagonal/>
    </border>
    <border>
      <left/>
      <right style="medium">
        <color theme="6" tint="0.39994506668294322"/>
      </right>
      <top/>
      <bottom style="medium">
        <color theme="0" tint="-0.24994659260841701"/>
      </bottom>
      <diagonal/>
    </border>
    <border>
      <left/>
      <right style="medium">
        <color theme="6" tint="0.39994506668294322"/>
      </right>
      <top/>
      <bottom/>
      <diagonal/>
    </border>
    <border>
      <left style="medium">
        <color theme="9" tint="0.39988402966399123"/>
      </left>
      <right/>
      <top style="thin">
        <color theme="9" tint="0.39985351115451523"/>
      </top>
      <bottom/>
      <diagonal/>
    </border>
    <border>
      <left/>
      <right style="medium">
        <color theme="9" tint="0.39988402966399123"/>
      </right>
      <top style="thin">
        <color theme="9" tint="0.39985351115451523"/>
      </top>
      <bottom/>
      <diagonal/>
    </border>
    <border>
      <left/>
      <right/>
      <top style="thin">
        <color theme="9" tint="0.39985351115451523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rgb="FFB294D4"/>
      </left>
      <right/>
      <top style="medium">
        <color rgb="FF7030A0"/>
      </top>
      <bottom/>
      <diagonal/>
    </border>
    <border>
      <left style="medium">
        <color rgb="FFB294D4"/>
      </left>
      <right/>
      <top/>
      <bottom style="medium">
        <color rgb="FFB294D3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1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164" fontId="2" fillId="2" borderId="0" xfId="0" applyNumberFormat="1" applyFont="1" applyFill="1" applyAlignment="1">
      <alignment horizontal="center" vertical="center" wrapText="1"/>
    </xf>
    <xf numFmtId="165" fontId="2" fillId="2" borderId="0" xfId="0" applyNumberFormat="1" applyFont="1" applyFill="1" applyAlignment="1">
      <alignment horizontal="center" vertical="center" wrapText="1"/>
    </xf>
    <xf numFmtId="49" fontId="2" fillId="3" borderId="0" xfId="0" applyNumberFormat="1" applyFont="1" applyFill="1" applyAlignment="1">
      <alignment horizontal="center" vertical="center" wrapText="1"/>
    </xf>
    <xf numFmtId="10" fontId="2" fillId="3" borderId="0" xfId="2" applyNumberFormat="1" applyFont="1" applyFill="1" applyBorder="1" applyAlignment="1">
      <alignment horizontal="center" vertical="center" wrapText="1"/>
    </xf>
    <xf numFmtId="165" fontId="2" fillId="3" borderId="0" xfId="1" applyNumberFormat="1" applyFont="1" applyFill="1" applyBorder="1" applyAlignment="1">
      <alignment horizontal="center" vertical="center" wrapText="1"/>
    </xf>
    <xf numFmtId="164" fontId="2" fillId="4" borderId="0" xfId="1" applyNumberFormat="1" applyFont="1" applyFill="1" applyBorder="1" applyAlignment="1">
      <alignment vertical="center" wrapText="1"/>
    </xf>
    <xf numFmtId="49" fontId="2" fillId="5" borderId="1" xfId="0" applyNumberFormat="1" applyFont="1" applyFill="1" applyBorder="1" applyAlignment="1">
      <alignment horizontal="right" vertical="center" wrapText="1"/>
    </xf>
    <xf numFmtId="166" fontId="3" fillId="6" borderId="2" xfId="0" applyNumberFormat="1" applyFont="1" applyFill="1" applyBorder="1" applyAlignment="1">
      <alignment horizontal="center" vertical="center" wrapText="1"/>
    </xf>
    <xf numFmtId="1" fontId="3" fillId="7" borderId="0" xfId="0" applyNumberFormat="1" applyFont="1" applyFill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0" fontId="3" fillId="0" borderId="0" xfId="0" applyNumberFormat="1" applyFont="1" applyAlignment="1">
      <alignment horizontal="center" vertical="center" wrapText="1"/>
    </xf>
    <xf numFmtId="10" fontId="3" fillId="0" borderId="0" xfId="2" applyNumberFormat="1" applyFont="1" applyFill="1" applyBorder="1" applyAlignment="1">
      <alignment horizontal="center" vertical="center" wrapText="1"/>
    </xf>
    <xf numFmtId="165" fontId="3" fillId="0" borderId="0" xfId="1" applyNumberFormat="1" applyFont="1" applyFill="1" applyBorder="1" applyAlignment="1">
      <alignment horizontal="center" vertical="center" wrapText="1"/>
    </xf>
    <xf numFmtId="166" fontId="3" fillId="8" borderId="2" xfId="0" applyNumberFormat="1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167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3" fontId="3" fillId="0" borderId="4" xfId="0" applyNumberFormat="1" applyFont="1" applyBorder="1" applyAlignment="1">
      <alignment horizontal="center" vertical="center" wrapText="1"/>
    </xf>
    <xf numFmtId="10" fontId="3" fillId="0" borderId="4" xfId="2" applyNumberFormat="1" applyFont="1" applyFill="1" applyBorder="1" applyAlignment="1">
      <alignment horizontal="center" vertical="center" wrapText="1"/>
    </xf>
    <xf numFmtId="165" fontId="3" fillId="0" borderId="4" xfId="1" applyNumberFormat="1" applyFont="1" applyFill="1" applyBorder="1" applyAlignment="1">
      <alignment horizontal="center" vertical="center" wrapText="1"/>
    </xf>
    <xf numFmtId="0" fontId="6" fillId="0" borderId="0" xfId="0" applyFont="1"/>
    <xf numFmtId="0" fontId="3" fillId="0" borderId="0" xfId="0" applyFont="1" applyAlignment="1">
      <alignment vertical="top" wrapText="1"/>
    </xf>
    <xf numFmtId="0" fontId="3" fillId="20" borderId="22" xfId="0" applyFont="1" applyFill="1" applyBorder="1" applyAlignment="1">
      <alignment horizontal="center" vertical="center" wrapText="1"/>
    </xf>
    <xf numFmtId="0" fontId="3" fillId="21" borderId="23" xfId="0" applyFont="1" applyFill="1" applyBorder="1" applyAlignment="1">
      <alignment horizontal="center" vertical="center" wrapText="1"/>
    </xf>
    <xf numFmtId="167" fontId="3" fillId="20" borderId="21" xfId="0" applyNumberFormat="1" applyFont="1" applyFill="1" applyBorder="1" applyAlignment="1">
      <alignment horizontal="center" vertical="center" wrapText="1"/>
    </xf>
    <xf numFmtId="0" fontId="3" fillId="18" borderId="0" xfId="0" applyFont="1" applyFill="1" applyAlignment="1">
      <alignment horizontal="center" vertical="center" wrapText="1"/>
    </xf>
    <xf numFmtId="167" fontId="3" fillId="19" borderId="21" xfId="0" applyNumberFormat="1" applyFont="1" applyFill="1" applyBorder="1" applyAlignment="1">
      <alignment horizontal="center" vertical="center" wrapText="1"/>
    </xf>
    <xf numFmtId="167" fontId="3" fillId="19" borderId="22" xfId="0" applyNumberFormat="1" applyFont="1" applyFill="1" applyBorder="1" applyAlignment="1">
      <alignment horizontal="center" vertical="center" wrapText="1"/>
    </xf>
    <xf numFmtId="10" fontId="3" fillId="19" borderId="22" xfId="2" applyNumberFormat="1" applyFont="1" applyFill="1" applyBorder="1" applyAlignment="1">
      <alignment horizontal="center" vertical="center" wrapText="1"/>
    </xf>
    <xf numFmtId="0" fontId="3" fillId="19" borderId="22" xfId="0" applyFont="1" applyFill="1" applyBorder="1" applyAlignment="1">
      <alignment horizontal="center" vertical="center" wrapText="1"/>
    </xf>
    <xf numFmtId="10" fontId="3" fillId="19" borderId="24" xfId="2" applyNumberFormat="1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horizontal="center" vertical="center"/>
    </xf>
    <xf numFmtId="167" fontId="4" fillId="30" borderId="0" xfId="0" applyNumberFormat="1" applyFont="1" applyFill="1" applyAlignment="1">
      <alignment horizontal="center" vertical="center" wrapText="1"/>
    </xf>
    <xf numFmtId="167" fontId="4" fillId="30" borderId="4" xfId="0" applyNumberFormat="1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67" fontId="3" fillId="20" borderId="2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10" fontId="3" fillId="21" borderId="24" xfId="2" applyNumberFormat="1" applyFont="1" applyFill="1" applyBorder="1" applyAlignment="1">
      <alignment horizontal="center" vertical="center" wrapText="1"/>
    </xf>
    <xf numFmtId="169" fontId="3" fillId="20" borderId="2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12" fillId="31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center" vertical="center" wrapText="1"/>
    </xf>
    <xf numFmtId="0" fontId="11" fillId="11" borderId="0" xfId="0" applyFont="1" applyFill="1" applyAlignment="1">
      <alignment horizontal="center" vertical="center" wrapText="1"/>
    </xf>
    <xf numFmtId="0" fontId="9" fillId="17" borderId="0" xfId="0" applyFont="1" applyFill="1" applyAlignment="1">
      <alignment horizontal="center" vertical="center" wrapText="1"/>
    </xf>
    <xf numFmtId="9" fontId="9" fillId="16" borderId="0" xfId="2" applyFont="1" applyFill="1" applyBorder="1" applyAlignment="1">
      <alignment horizontal="center" vertical="center" wrapText="1"/>
    </xf>
    <xf numFmtId="0" fontId="9" fillId="17" borderId="37" xfId="0" applyFont="1" applyFill="1" applyBorder="1" applyAlignment="1">
      <alignment horizontal="center" vertical="center" wrapText="1"/>
    </xf>
    <xf numFmtId="0" fontId="9" fillId="32" borderId="28" xfId="0" quotePrefix="1" applyFont="1" applyFill="1" applyBorder="1" applyAlignment="1">
      <alignment horizontal="center" vertical="top" wrapText="1"/>
    </xf>
    <xf numFmtId="0" fontId="9" fillId="32" borderId="30" xfId="0" quotePrefix="1" applyFont="1" applyFill="1" applyBorder="1" applyAlignment="1">
      <alignment horizontal="center" vertical="top" wrapText="1"/>
    </xf>
    <xf numFmtId="0" fontId="9" fillId="33" borderId="29" xfId="0" applyFont="1" applyFill="1" applyBorder="1" applyAlignment="1">
      <alignment vertical="top" wrapText="1"/>
    </xf>
    <xf numFmtId="0" fontId="9" fillId="33" borderId="32" xfId="0" applyFont="1" applyFill="1" applyBorder="1" applyAlignment="1">
      <alignment vertical="top" wrapText="1"/>
    </xf>
    <xf numFmtId="3" fontId="3" fillId="0" borderId="0" xfId="0" applyNumberFormat="1" applyFont="1" applyAlignment="1">
      <alignment horizontal="center" vertical="center" wrapText="1"/>
    </xf>
    <xf numFmtId="165" fontId="3" fillId="0" borderId="40" xfId="1" applyNumberFormat="1" applyFont="1" applyFill="1" applyBorder="1" applyAlignment="1">
      <alignment horizontal="center" vertical="center" wrapText="1"/>
    </xf>
    <xf numFmtId="165" fontId="3" fillId="0" borderId="41" xfId="1" applyNumberFormat="1" applyFont="1" applyFill="1" applyBorder="1" applyAlignment="1">
      <alignment horizontal="center" vertical="center" wrapText="1"/>
    </xf>
    <xf numFmtId="49" fontId="13" fillId="5" borderId="1" xfId="0" applyNumberFormat="1" applyFont="1" applyFill="1" applyBorder="1" applyAlignment="1">
      <alignment horizontal="right" vertical="center" wrapText="1"/>
    </xf>
    <xf numFmtId="166" fontId="14" fillId="8" borderId="2" xfId="0" applyNumberFormat="1" applyFont="1" applyFill="1" applyBorder="1" applyAlignment="1">
      <alignment horizontal="center" vertical="center" wrapText="1"/>
    </xf>
    <xf numFmtId="49" fontId="2" fillId="35" borderId="0" xfId="0" applyNumberFormat="1" applyFont="1" applyFill="1" applyAlignment="1">
      <alignment vertical="center" wrapText="1"/>
    </xf>
    <xf numFmtId="0" fontId="6" fillId="35" borderId="0" xfId="0" applyFont="1" applyFill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 wrapText="1"/>
    </xf>
    <xf numFmtId="165" fontId="3" fillId="7" borderId="0" xfId="0" applyNumberFormat="1" applyFont="1" applyFill="1" applyAlignment="1">
      <alignment vertical="center" wrapText="1"/>
    </xf>
    <xf numFmtId="165" fontId="3" fillId="0" borderId="0" xfId="0" applyNumberFormat="1" applyFont="1" applyAlignment="1">
      <alignment vertical="center" wrapText="1"/>
    </xf>
    <xf numFmtId="165" fontId="8" fillId="0" borderId="0" xfId="0" applyNumberFormat="1" applyFont="1"/>
    <xf numFmtId="165" fontId="3" fillId="7" borderId="4" xfId="0" applyNumberFormat="1" applyFont="1" applyFill="1" applyBorder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165" fontId="4" fillId="30" borderId="0" xfId="0" applyNumberFormat="1" applyFont="1" applyFill="1" applyAlignment="1">
      <alignment horizontal="center" vertical="center" wrapText="1"/>
    </xf>
    <xf numFmtId="165" fontId="4" fillId="30" borderId="4" xfId="0" applyNumberFormat="1" applyFont="1" applyFill="1" applyBorder="1" applyAlignment="1">
      <alignment horizontal="center" vertical="center" wrapText="1"/>
    </xf>
    <xf numFmtId="165" fontId="3" fillId="7" borderId="0" xfId="0" applyNumberFormat="1" applyFont="1" applyFill="1" applyAlignment="1">
      <alignment horizontal="center" vertical="center" wrapText="1"/>
    </xf>
    <xf numFmtId="167" fontId="3" fillId="7" borderId="0" xfId="0" applyNumberFormat="1" applyFont="1" applyFill="1" applyAlignment="1">
      <alignment horizontal="center" vertical="center" wrapText="1"/>
    </xf>
    <xf numFmtId="167" fontId="3" fillId="7" borderId="4" xfId="0" applyNumberFormat="1" applyFont="1" applyFill="1" applyBorder="1" applyAlignment="1">
      <alignment horizontal="center" vertical="center" wrapText="1"/>
    </xf>
    <xf numFmtId="165" fontId="3" fillId="7" borderId="4" xfId="0" applyNumberFormat="1" applyFont="1" applyFill="1" applyBorder="1" applyAlignment="1">
      <alignment horizontal="center" vertical="center" wrapText="1"/>
    </xf>
    <xf numFmtId="165" fontId="8" fillId="0" borderId="0" xfId="0" applyNumberFormat="1" applyFont="1" applyAlignment="1">
      <alignment horizontal="center"/>
    </xf>
    <xf numFmtId="165" fontId="3" fillId="7" borderId="1" xfId="0" applyNumberFormat="1" applyFont="1" applyFill="1" applyBorder="1" applyAlignment="1">
      <alignment horizontal="center" vertical="center" wrapText="1"/>
    </xf>
    <xf numFmtId="165" fontId="3" fillId="7" borderId="3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 wrapText="1"/>
    </xf>
    <xf numFmtId="165" fontId="3" fillId="27" borderId="34" xfId="0" applyNumberFormat="1" applyFont="1" applyFill="1" applyBorder="1" applyAlignment="1">
      <alignment horizontal="center" vertical="top" wrapText="1"/>
    </xf>
    <xf numFmtId="165" fontId="3" fillId="27" borderId="34" xfId="0" applyNumberFormat="1" applyFont="1" applyFill="1" applyBorder="1" applyAlignment="1">
      <alignment horizontal="center" vertical="center" wrapText="1"/>
    </xf>
    <xf numFmtId="165" fontId="3" fillId="27" borderId="34" xfId="0" applyNumberFormat="1" applyFont="1" applyFill="1" applyBorder="1" applyAlignment="1">
      <alignment horizontal="center" wrapText="1"/>
    </xf>
    <xf numFmtId="165" fontId="3" fillId="27" borderId="34" xfId="2" applyNumberFormat="1" applyFont="1" applyFill="1" applyBorder="1" applyAlignment="1">
      <alignment horizontal="center" vertical="center" wrapText="1"/>
    </xf>
    <xf numFmtId="165" fontId="6" fillId="27" borderId="34" xfId="0" applyNumberFormat="1" applyFont="1" applyFill="1" applyBorder="1" applyAlignment="1">
      <alignment horizontal="center" vertical="center"/>
    </xf>
    <xf numFmtId="165" fontId="6" fillId="27" borderId="34" xfId="0" applyNumberFormat="1" applyFont="1" applyFill="1" applyBorder="1" applyAlignment="1">
      <alignment horizontal="center"/>
    </xf>
    <xf numFmtId="0" fontId="3" fillId="27" borderId="34" xfId="0" applyFont="1" applyFill="1" applyBorder="1" applyAlignment="1">
      <alignment horizontal="center" vertical="center" wrapText="1"/>
    </xf>
    <xf numFmtId="0" fontId="3" fillId="27" borderId="34" xfId="0" applyFont="1" applyFill="1" applyBorder="1" applyAlignment="1">
      <alignment horizontal="center" vertical="top" wrapText="1"/>
    </xf>
    <xf numFmtId="0" fontId="3" fillId="27" borderId="34" xfId="0" applyFont="1" applyFill="1" applyBorder="1" applyAlignment="1">
      <alignment horizontal="center" wrapText="1"/>
    </xf>
    <xf numFmtId="0" fontId="3" fillId="27" borderId="34" xfId="2" applyNumberFormat="1" applyFont="1" applyFill="1" applyBorder="1" applyAlignment="1">
      <alignment horizontal="center" vertical="center" wrapText="1"/>
    </xf>
    <xf numFmtId="0" fontId="6" fillId="27" borderId="34" xfId="0" applyFont="1" applyFill="1" applyBorder="1" applyAlignment="1">
      <alignment horizontal="center" vertical="center"/>
    </xf>
    <xf numFmtId="0" fontId="7" fillId="0" borderId="0" xfId="0" applyFont="1" applyAlignment="1">
      <alignment vertical="top" wrapText="1"/>
    </xf>
    <xf numFmtId="0" fontId="3" fillId="26" borderId="33" xfId="0" applyFont="1" applyFill="1" applyBorder="1" applyAlignment="1">
      <alignment horizontal="center" vertical="center" wrapText="1"/>
    </xf>
    <xf numFmtId="165" fontId="3" fillId="26" borderId="35" xfId="0" applyNumberFormat="1" applyFont="1" applyFill="1" applyBorder="1" applyAlignment="1">
      <alignment horizontal="center" vertical="center" wrapText="1"/>
    </xf>
    <xf numFmtId="0" fontId="3" fillId="26" borderId="35" xfId="0" applyFont="1" applyFill="1" applyBorder="1" applyAlignment="1">
      <alignment horizontal="center" vertical="center" wrapText="1"/>
    </xf>
    <xf numFmtId="0" fontId="7" fillId="25" borderId="57" xfId="0" applyFont="1" applyFill="1" applyBorder="1" applyAlignment="1">
      <alignment horizontal="right" vertical="center" wrapText="1"/>
    </xf>
    <xf numFmtId="0" fontId="7" fillId="25" borderId="58" xfId="0" applyFont="1" applyFill="1" applyBorder="1" applyAlignment="1">
      <alignment horizontal="center" vertical="center" wrapText="1"/>
    </xf>
    <xf numFmtId="165" fontId="3" fillId="26" borderId="61" xfId="0" applyNumberFormat="1" applyFont="1" applyFill="1" applyBorder="1" applyAlignment="1">
      <alignment horizontal="center" vertical="center" wrapText="1"/>
    </xf>
    <xf numFmtId="0" fontId="3" fillId="26" borderId="59" xfId="0" applyFont="1" applyFill="1" applyBorder="1" applyAlignment="1">
      <alignment horizontal="center" vertical="center" wrapText="1"/>
    </xf>
    <xf numFmtId="165" fontId="3" fillId="27" borderId="60" xfId="0" applyNumberFormat="1" applyFont="1" applyFill="1" applyBorder="1" applyAlignment="1">
      <alignment horizontal="center" vertical="center" wrapText="1"/>
    </xf>
    <xf numFmtId="0" fontId="3" fillId="26" borderId="62" xfId="0" applyFont="1" applyFill="1" applyBorder="1" applyAlignment="1">
      <alignment horizontal="center" vertical="center" wrapText="1"/>
    </xf>
    <xf numFmtId="1" fontId="3" fillId="27" borderId="63" xfId="0" applyNumberFormat="1" applyFont="1" applyFill="1" applyBorder="1" applyAlignment="1">
      <alignment horizontal="center" vertical="center" wrapText="1"/>
    </xf>
    <xf numFmtId="1" fontId="3" fillId="27" borderId="34" xfId="0" applyNumberFormat="1" applyFont="1" applyFill="1" applyBorder="1" applyAlignment="1">
      <alignment horizontal="center" vertical="center" wrapText="1"/>
    </xf>
    <xf numFmtId="1" fontId="3" fillId="26" borderId="35" xfId="0" applyNumberFormat="1" applyFont="1" applyFill="1" applyBorder="1" applyAlignment="1">
      <alignment horizontal="center" vertical="center" wrapText="1"/>
    </xf>
    <xf numFmtId="0" fontId="9" fillId="16" borderId="39" xfId="0" applyFont="1" applyFill="1" applyBorder="1" applyAlignment="1">
      <alignment horizontal="center" vertical="center" wrapText="1"/>
    </xf>
    <xf numFmtId="9" fontId="9" fillId="16" borderId="39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right"/>
    </xf>
    <xf numFmtId="0" fontId="8" fillId="15" borderId="15" xfId="0" applyFont="1" applyFill="1" applyBorder="1"/>
    <xf numFmtId="0" fontId="15" fillId="15" borderId="16" xfId="0" applyFont="1" applyFill="1" applyBorder="1" applyAlignment="1">
      <alignment horizontal="center" vertical="center" wrapText="1"/>
    </xf>
    <xf numFmtId="0" fontId="15" fillId="16" borderId="17" xfId="0" applyFont="1" applyFill="1" applyBorder="1" applyAlignment="1">
      <alignment horizontal="right"/>
    </xf>
    <xf numFmtId="165" fontId="8" fillId="17" borderId="0" xfId="0" applyNumberFormat="1" applyFont="1" applyFill="1" applyAlignment="1">
      <alignment horizontal="center" vertical="center"/>
    </xf>
    <xf numFmtId="0" fontId="8" fillId="15" borderId="84" xfId="0" applyFont="1" applyFill="1" applyBorder="1"/>
    <xf numFmtId="0" fontId="8" fillId="15" borderId="37" xfId="0" applyFont="1" applyFill="1" applyBorder="1"/>
    <xf numFmtId="165" fontId="8" fillId="17" borderId="0" xfId="0" applyNumberFormat="1" applyFont="1" applyFill="1" applyAlignment="1">
      <alignment horizontal="center"/>
    </xf>
    <xf numFmtId="0" fontId="15" fillId="15" borderId="84" xfId="0" applyFont="1" applyFill="1" applyBorder="1" applyAlignment="1">
      <alignment horizontal="right"/>
    </xf>
    <xf numFmtId="0" fontId="8" fillId="15" borderId="37" xfId="0" applyFont="1" applyFill="1" applyBorder="1" applyAlignment="1">
      <alignment horizontal="center"/>
    </xf>
    <xf numFmtId="9" fontId="9" fillId="16" borderId="37" xfId="2" applyFont="1" applyFill="1" applyBorder="1" applyAlignment="1">
      <alignment horizontal="center" vertical="center" wrapText="1"/>
    </xf>
    <xf numFmtId="0" fontId="9" fillId="17" borderId="28" xfId="0" applyFont="1" applyFill="1" applyBorder="1" applyAlignment="1">
      <alignment horizontal="center" vertical="center" wrapText="1"/>
    </xf>
    <xf numFmtId="0" fontId="3" fillId="26" borderId="61" xfId="0" applyFont="1" applyFill="1" applyBorder="1" applyAlignment="1">
      <alignment horizontal="center" vertical="center" wrapText="1"/>
    </xf>
    <xf numFmtId="0" fontId="15" fillId="15" borderId="120" xfId="0" applyFont="1" applyFill="1" applyBorder="1" applyAlignment="1">
      <alignment horizontal="center" vertical="center" wrapText="1"/>
    </xf>
    <xf numFmtId="165" fontId="8" fillId="17" borderId="121" xfId="0" applyNumberFormat="1" applyFont="1" applyFill="1" applyBorder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15" fillId="15" borderId="38" xfId="0" applyFont="1" applyFill="1" applyBorder="1" applyAlignment="1">
      <alignment horizontal="center" vertical="center" wrapText="1"/>
    </xf>
    <xf numFmtId="0" fontId="8" fillId="17" borderId="39" xfId="0" applyFont="1" applyFill="1" applyBorder="1" applyAlignment="1">
      <alignment horizontal="center" vertical="center"/>
    </xf>
    <xf numFmtId="0" fontId="8" fillId="15" borderId="119" xfId="0" applyFont="1" applyFill="1" applyBorder="1"/>
    <xf numFmtId="0" fontId="8" fillId="17" borderId="39" xfId="0" applyFont="1" applyFill="1" applyBorder="1" applyAlignment="1">
      <alignment horizontal="center"/>
    </xf>
    <xf numFmtId="0" fontId="8" fillId="15" borderId="119" xfId="0" applyFont="1" applyFill="1" applyBorder="1" applyAlignment="1">
      <alignment horizontal="center"/>
    </xf>
    <xf numFmtId="0" fontId="15" fillId="16" borderId="65" xfId="0" applyFont="1" applyFill="1" applyBorder="1" applyAlignment="1">
      <alignment horizontal="right"/>
    </xf>
    <xf numFmtId="165" fontId="8" fillId="17" borderId="66" xfId="0" applyNumberFormat="1" applyFont="1" applyFill="1" applyBorder="1" applyAlignment="1">
      <alignment horizontal="center"/>
    </xf>
    <xf numFmtId="0" fontId="8" fillId="17" borderId="147" xfId="0" applyFont="1" applyFill="1" applyBorder="1" applyAlignment="1">
      <alignment horizontal="center"/>
    </xf>
    <xf numFmtId="165" fontId="8" fillId="15" borderId="37" xfId="0" applyNumberFormat="1" applyFont="1" applyFill="1" applyBorder="1" applyAlignment="1">
      <alignment horizontal="center"/>
    </xf>
    <xf numFmtId="0" fontId="16" fillId="47" borderId="171" xfId="0" applyFont="1" applyFill="1" applyBorder="1" applyAlignment="1">
      <alignment horizontal="center" vertical="center" wrapText="1"/>
    </xf>
    <xf numFmtId="9" fontId="9" fillId="16" borderId="0" xfId="2" applyFont="1" applyFill="1" applyBorder="1" applyAlignment="1">
      <alignment vertical="center" wrapText="1"/>
    </xf>
    <xf numFmtId="9" fontId="9" fillId="16" borderId="37" xfId="2" applyFont="1" applyFill="1" applyBorder="1" applyAlignment="1">
      <alignment vertical="center" wrapText="1"/>
    </xf>
    <xf numFmtId="9" fontId="9" fillId="16" borderId="39" xfId="2" applyFont="1" applyFill="1" applyBorder="1" applyAlignment="1">
      <alignment vertical="center" wrapText="1"/>
    </xf>
    <xf numFmtId="0" fontId="19" fillId="42" borderId="102" xfId="0" applyFont="1" applyFill="1" applyBorder="1" applyAlignment="1">
      <alignment horizontal="center" vertical="center"/>
    </xf>
    <xf numFmtId="0" fontId="19" fillId="42" borderId="103" xfId="0" applyFont="1" applyFill="1" applyBorder="1" applyAlignment="1">
      <alignment horizontal="center" vertical="center"/>
    </xf>
    <xf numFmtId="0" fontId="19" fillId="42" borderId="0" xfId="0" applyFont="1" applyFill="1" applyAlignment="1">
      <alignment horizontal="center" vertical="center"/>
    </xf>
    <xf numFmtId="0" fontId="19" fillId="42" borderId="157" xfId="0" applyFont="1" applyFill="1" applyBorder="1" applyAlignment="1">
      <alignment horizontal="center" vertical="center"/>
    </xf>
    <xf numFmtId="0" fontId="0" fillId="12" borderId="156" xfId="0" applyFill="1" applyBorder="1"/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157" xfId="0" applyFill="1" applyBorder="1" applyAlignment="1">
      <alignment horizontal="center"/>
    </xf>
    <xf numFmtId="0" fontId="21" fillId="42" borderId="104" xfId="0" applyFont="1" applyFill="1" applyBorder="1" applyAlignment="1">
      <alignment horizontal="center" vertical="center"/>
    </xf>
    <xf numFmtId="1" fontId="21" fillId="42" borderId="105" xfId="0" applyNumberFormat="1" applyFont="1" applyFill="1" applyBorder="1" applyAlignment="1">
      <alignment horizontal="center" vertical="center"/>
    </xf>
    <xf numFmtId="1" fontId="21" fillId="42" borderId="106" xfId="0" applyNumberFormat="1" applyFont="1" applyFill="1" applyBorder="1" applyAlignment="1">
      <alignment horizontal="center" vertical="center"/>
    </xf>
    <xf numFmtId="37" fontId="0" fillId="14" borderId="157" xfId="0" applyNumberFormat="1" applyFill="1" applyBorder="1" applyAlignment="1">
      <alignment horizontal="center"/>
    </xf>
    <xf numFmtId="37" fontId="0" fillId="14" borderId="0" xfId="0" applyNumberForma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12" borderId="210" xfId="0" applyFill="1" applyBorder="1"/>
    <xf numFmtId="0" fontId="0" fillId="14" borderId="211" xfId="0" applyFill="1" applyBorder="1" applyAlignment="1">
      <alignment horizontal="center" vertical="center"/>
    </xf>
    <xf numFmtId="0" fontId="0" fillId="14" borderId="211" xfId="0" applyFill="1" applyBorder="1" applyAlignment="1">
      <alignment horizontal="center"/>
    </xf>
    <xf numFmtId="0" fontId="0" fillId="14" borderId="212" xfId="0" applyFill="1" applyBorder="1" applyAlignment="1">
      <alignment horizontal="center"/>
    </xf>
    <xf numFmtId="0" fontId="0" fillId="12" borderId="213" xfId="0" applyFill="1" applyBorder="1"/>
    <xf numFmtId="0" fontId="0" fillId="14" borderId="214" xfId="0" applyFill="1" applyBorder="1" applyAlignment="1">
      <alignment horizontal="center" vertical="center"/>
    </xf>
    <xf numFmtId="0" fontId="0" fillId="14" borderId="214" xfId="0" applyFill="1" applyBorder="1" applyAlignment="1">
      <alignment horizontal="center"/>
    </xf>
    <xf numFmtId="0" fontId="0" fillId="14" borderId="215" xfId="0" applyFill="1" applyBorder="1" applyAlignment="1">
      <alignment horizontal="center"/>
    </xf>
    <xf numFmtId="0" fontId="15" fillId="16" borderId="216" xfId="0" applyFont="1" applyFill="1" applyBorder="1" applyAlignment="1">
      <alignment horizontal="right"/>
    </xf>
    <xf numFmtId="0" fontId="20" fillId="42" borderId="0" xfId="0" applyFont="1" applyFill="1" applyAlignment="1">
      <alignment horizontal="centerContinuous" vertical="center"/>
    </xf>
    <xf numFmtId="0" fontId="0" fillId="12" borderId="211" xfId="0" applyFill="1" applyBorder="1"/>
    <xf numFmtId="0" fontId="0" fillId="12" borderId="214" xfId="0" applyFill="1" applyBorder="1"/>
    <xf numFmtId="0" fontId="21" fillId="42" borderId="105" xfId="0" applyFont="1" applyFill="1" applyBorder="1" applyAlignment="1">
      <alignment horizontal="center" vertical="center"/>
    </xf>
    <xf numFmtId="0" fontId="0" fillId="12" borderId="0" xfId="0" applyFill="1"/>
    <xf numFmtId="0" fontId="0" fillId="12" borderId="156" xfId="0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9" fillId="42" borderId="102" xfId="0" applyFont="1" applyFill="1" applyBorder="1" applyAlignment="1">
      <alignment horizontal="centerContinuous" vertical="center"/>
    </xf>
    <xf numFmtId="0" fontId="19" fillId="42" borderId="0" xfId="0" applyFont="1" applyFill="1" applyAlignment="1">
      <alignment horizontal="centerContinuous" vertical="center"/>
    </xf>
    <xf numFmtId="0" fontId="0" fillId="12" borderId="0" xfId="0" applyFill="1" applyAlignment="1">
      <alignment horizontal="centerContinuous"/>
    </xf>
    <xf numFmtId="0" fontId="0" fillId="12" borderId="211" xfId="0" applyFill="1" applyBorder="1" applyAlignment="1">
      <alignment horizontal="centerContinuous"/>
    </xf>
    <xf numFmtId="0" fontId="0" fillId="12" borderId="214" xfId="0" applyFill="1" applyBorder="1" applyAlignment="1">
      <alignment horizontal="centerContinuous"/>
    </xf>
    <xf numFmtId="0" fontId="21" fillId="42" borderId="104" xfId="0" applyFont="1" applyFill="1" applyBorder="1" applyAlignment="1">
      <alignment horizontal="centerContinuous" vertical="center"/>
    </xf>
    <xf numFmtId="0" fontId="21" fillId="42" borderId="105" xfId="0" applyFont="1" applyFill="1" applyBorder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19" fillId="42" borderId="101" xfId="0" applyFont="1" applyFill="1" applyBorder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12" borderId="210" xfId="0" applyFill="1" applyBorder="1" applyAlignment="1">
      <alignment horizontal="centerContinuous" vertical="center"/>
    </xf>
    <xf numFmtId="0" fontId="0" fillId="12" borderId="213" xfId="0" applyFill="1" applyBorder="1" applyAlignment="1">
      <alignment horizontal="centerContinuous" vertical="center"/>
    </xf>
    <xf numFmtId="0" fontId="0" fillId="12" borderId="0" xfId="0" applyFill="1" applyAlignment="1">
      <alignment horizontal="centerContinuous" vertical="center"/>
    </xf>
    <xf numFmtId="1" fontId="0" fillId="14" borderId="0" xfId="0" applyNumberFormat="1" applyFill="1" applyAlignment="1">
      <alignment horizontal="center" vertical="center"/>
    </xf>
    <xf numFmtId="1" fontId="23" fillId="14" borderId="0" xfId="0" applyNumberFormat="1" applyFont="1" applyFill="1" applyAlignment="1">
      <alignment horizontal="center" vertical="center"/>
    </xf>
    <xf numFmtId="37" fontId="23" fillId="14" borderId="157" xfId="0" applyNumberFormat="1" applyFont="1" applyFill="1" applyBorder="1" applyAlignment="1">
      <alignment horizontal="center" vertical="center"/>
    </xf>
    <xf numFmtId="164" fontId="3" fillId="17" borderId="0" xfId="0" applyNumberFormat="1" applyFont="1" applyFill="1" applyAlignment="1">
      <alignment horizontal="center" vertical="center" wrapText="1"/>
    </xf>
    <xf numFmtId="0" fontId="0" fillId="14" borderId="257" xfId="0" applyFill="1" applyBorder="1" applyAlignment="1">
      <alignment horizontal="center"/>
    </xf>
    <xf numFmtId="37" fontId="0" fillId="14" borderId="208" xfId="0" applyNumberFormat="1" applyFill="1" applyBorder="1" applyAlignment="1">
      <alignment horizontal="center"/>
    </xf>
    <xf numFmtId="37" fontId="0" fillId="14" borderId="157" xfId="0" applyNumberFormat="1" applyFill="1" applyBorder="1" applyAlignment="1">
      <alignment horizontal="center" vertical="center"/>
    </xf>
    <xf numFmtId="0" fontId="21" fillId="42" borderId="207" xfId="0" applyFont="1" applyFill="1" applyBorder="1" applyAlignment="1">
      <alignment horizontal="center" vertical="center" wrapText="1"/>
    </xf>
    <xf numFmtId="1" fontId="21" fillId="42" borderId="259" xfId="0" applyNumberFormat="1" applyFont="1" applyFill="1" applyBorder="1" applyAlignment="1">
      <alignment horizontal="center" vertical="center"/>
    </xf>
    <xf numFmtId="1" fontId="24" fillId="12" borderId="208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Continuous" vertical="center"/>
    </xf>
    <xf numFmtId="164" fontId="8" fillId="15" borderId="37" xfId="1" applyNumberFormat="1" applyFont="1" applyFill="1" applyBorder="1" applyAlignment="1">
      <alignment horizontal="center"/>
    </xf>
    <xf numFmtId="0" fontId="26" fillId="0" borderId="0" xfId="0" applyFont="1"/>
    <xf numFmtId="37" fontId="26" fillId="0" borderId="0" xfId="0" applyNumberFormat="1" applyFont="1"/>
    <xf numFmtId="165" fontId="8" fillId="15" borderId="37" xfId="0" applyNumberFormat="1" applyFont="1" applyFill="1" applyBorder="1"/>
    <xf numFmtId="3" fontId="8" fillId="15" borderId="37" xfId="0" applyNumberFormat="1" applyFont="1" applyFill="1" applyBorder="1" applyAlignment="1">
      <alignment horizontal="center"/>
    </xf>
    <xf numFmtId="0" fontId="3" fillId="0" borderId="0" xfId="2" applyNumberFormat="1" applyFont="1" applyFill="1" applyBorder="1" applyAlignment="1">
      <alignment horizontal="center" vertical="center" wrapText="1"/>
    </xf>
    <xf numFmtId="165" fontId="8" fillId="15" borderId="122" xfId="0" applyNumberFormat="1" applyFont="1" applyFill="1" applyBorder="1"/>
    <xf numFmtId="166" fontId="3" fillId="53" borderId="2" xfId="0" applyNumberFormat="1" applyFont="1" applyFill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5" fontId="6" fillId="0" borderId="0" xfId="0" applyNumberFormat="1" applyFont="1"/>
    <xf numFmtId="49" fontId="2" fillId="2" borderId="1" xfId="0" applyNumberFormat="1" applyFont="1" applyFill="1" applyBorder="1" applyAlignment="1">
      <alignment horizontal="center" vertical="center" wrapText="1"/>
    </xf>
    <xf numFmtId="0" fontId="7" fillId="25" borderId="298" xfId="0" applyFont="1" applyFill="1" applyBorder="1" applyAlignment="1">
      <alignment horizontal="right" vertical="center" wrapText="1"/>
    </xf>
    <xf numFmtId="0" fontId="7" fillId="25" borderId="299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6" fontId="3" fillId="7" borderId="0" xfId="0" applyNumberFormat="1" applyFont="1" applyFill="1" applyAlignment="1">
      <alignment horizontal="center" vertical="center" wrapText="1"/>
    </xf>
    <xf numFmtId="0" fontId="0" fillId="14" borderId="157" xfId="0" applyFill="1" applyBorder="1" applyAlignment="1">
      <alignment horizontal="center" vertical="center"/>
    </xf>
    <xf numFmtId="0" fontId="0" fillId="14" borderId="212" xfId="0" applyFill="1" applyBorder="1" applyAlignment="1">
      <alignment horizontal="center" vertical="center"/>
    </xf>
    <xf numFmtId="0" fontId="0" fillId="14" borderId="215" xfId="0" applyFill="1" applyBorder="1" applyAlignment="1">
      <alignment horizontal="center" vertical="center"/>
    </xf>
    <xf numFmtId="0" fontId="28" fillId="0" borderId="0" xfId="0" applyFont="1"/>
    <xf numFmtId="0" fontId="28" fillId="43" borderId="94" xfId="0" applyFont="1" applyFill="1" applyBorder="1"/>
    <xf numFmtId="0" fontId="30" fillId="0" borderId="0" xfId="0" applyFont="1"/>
    <xf numFmtId="164" fontId="30" fillId="0" borderId="0" xfId="0" applyNumberFormat="1" applyFont="1"/>
    <xf numFmtId="0" fontId="28" fillId="10" borderId="112" xfId="0" applyFont="1" applyFill="1" applyBorder="1" applyAlignment="1">
      <alignment horizontal="right"/>
    </xf>
    <xf numFmtId="165" fontId="28" fillId="11" borderId="0" xfId="0" applyNumberFormat="1" applyFont="1" applyFill="1" applyAlignment="1">
      <alignment horizontal="center" vertical="center"/>
    </xf>
    <xf numFmtId="10" fontId="29" fillId="11" borderId="300" xfId="2" applyNumberFormat="1" applyFont="1" applyFill="1" applyBorder="1" applyAlignment="1">
      <alignment horizontal="center" vertical="center"/>
    </xf>
    <xf numFmtId="165" fontId="28" fillId="11" borderId="0" xfId="0" applyNumberFormat="1" applyFont="1" applyFill="1" applyAlignment="1">
      <alignment horizontal="center"/>
    </xf>
    <xf numFmtId="10" fontId="31" fillId="11" borderId="300" xfId="2" applyNumberFormat="1" applyFont="1" applyFill="1" applyBorder="1" applyAlignment="1">
      <alignment horizontal="center" vertical="center"/>
    </xf>
    <xf numFmtId="164" fontId="28" fillId="11" borderId="11" xfId="0" applyNumberFormat="1" applyFont="1" applyFill="1" applyBorder="1"/>
    <xf numFmtId="10" fontId="31" fillId="11" borderId="0" xfId="2" applyNumberFormat="1" applyFont="1" applyFill="1" applyBorder="1" applyAlignment="1">
      <alignment horizontal="center" vertical="center"/>
    </xf>
    <xf numFmtId="165" fontId="31" fillId="10" borderId="11" xfId="0" applyNumberFormat="1" applyFont="1" applyFill="1" applyBorder="1" applyAlignment="1">
      <alignment horizontal="center"/>
    </xf>
    <xf numFmtId="10" fontId="31" fillId="10" borderId="128" xfId="2" applyNumberFormat="1" applyFont="1" applyFill="1" applyBorder="1" applyAlignment="1">
      <alignment horizontal="center" vertical="center"/>
    </xf>
    <xf numFmtId="0" fontId="32" fillId="10" borderId="112" xfId="0" applyFont="1" applyFill="1" applyBorder="1" applyAlignment="1">
      <alignment horizontal="right"/>
    </xf>
    <xf numFmtId="165" fontId="32" fillId="11" borderId="0" xfId="0" applyNumberFormat="1" applyFont="1" applyFill="1" applyAlignment="1">
      <alignment horizontal="center"/>
    </xf>
    <xf numFmtId="164" fontId="32" fillId="11" borderId="11" xfId="0" applyNumberFormat="1" applyFont="1" applyFill="1" applyBorder="1"/>
    <xf numFmtId="10" fontId="29" fillId="11" borderId="0" xfId="2" applyNumberFormat="1" applyFont="1" applyFill="1" applyBorder="1" applyAlignment="1">
      <alignment horizontal="center" vertical="center"/>
    </xf>
    <xf numFmtId="10" fontId="29" fillId="10" borderId="128" xfId="2" applyNumberFormat="1" applyFont="1" applyFill="1" applyBorder="1" applyAlignment="1">
      <alignment horizontal="center" vertical="center"/>
    </xf>
    <xf numFmtId="0" fontId="32" fillId="0" borderId="0" xfId="0" applyFont="1"/>
    <xf numFmtId="10" fontId="33" fillId="11" borderId="0" xfId="2" applyNumberFormat="1" applyFont="1" applyFill="1" applyBorder="1" applyAlignment="1">
      <alignment horizontal="center" vertical="center"/>
    </xf>
    <xf numFmtId="10" fontId="29" fillId="10" borderId="130" xfId="2" applyNumberFormat="1" applyFont="1" applyFill="1" applyBorder="1" applyAlignment="1">
      <alignment horizontal="center" vertical="center"/>
    </xf>
    <xf numFmtId="0" fontId="31" fillId="9" borderId="114" xfId="0" applyFont="1" applyFill="1" applyBorder="1" applyAlignment="1">
      <alignment horizontal="center" vertical="center" wrapText="1"/>
    </xf>
    <xf numFmtId="165" fontId="28" fillId="9" borderId="140" xfId="0" applyNumberFormat="1" applyFont="1" applyFill="1" applyBorder="1" applyAlignment="1">
      <alignment horizontal="center" vertical="center"/>
    </xf>
    <xf numFmtId="10" fontId="31" fillId="9" borderId="302" xfId="2" applyNumberFormat="1" applyFont="1" applyFill="1" applyBorder="1" applyAlignment="1">
      <alignment horizontal="center" vertical="center"/>
    </xf>
    <xf numFmtId="164" fontId="28" fillId="9" borderId="142" xfId="0" applyNumberFormat="1" applyFont="1" applyFill="1" applyBorder="1" applyAlignment="1">
      <alignment horizontal="center" vertical="center"/>
    </xf>
    <xf numFmtId="10" fontId="31" fillId="9" borderId="140" xfId="2" applyNumberFormat="1" applyFont="1" applyFill="1" applyBorder="1" applyAlignment="1">
      <alignment horizontal="center" vertical="center"/>
    </xf>
    <xf numFmtId="10" fontId="28" fillId="0" borderId="0" xfId="0" applyNumberFormat="1" applyFont="1"/>
    <xf numFmtId="164" fontId="28" fillId="11" borderId="0" xfId="0" applyNumberFormat="1" applyFont="1" applyFill="1"/>
    <xf numFmtId="164" fontId="28" fillId="10" borderId="11" xfId="0" applyNumberFormat="1" applyFont="1" applyFill="1" applyBorder="1"/>
    <xf numFmtId="164" fontId="32" fillId="11" borderId="0" xfId="0" applyNumberFormat="1" applyFont="1" applyFill="1"/>
    <xf numFmtId="164" fontId="32" fillId="10" borderId="11" xfId="0" applyNumberFormat="1" applyFont="1" applyFill="1" applyBorder="1"/>
    <xf numFmtId="10" fontId="32" fillId="0" borderId="0" xfId="0" applyNumberFormat="1" applyFont="1"/>
    <xf numFmtId="0" fontId="31" fillId="9" borderId="131" xfId="0" applyFont="1" applyFill="1" applyBorder="1" applyAlignment="1">
      <alignment horizontal="center" vertical="center" wrapText="1"/>
    </xf>
    <xf numFmtId="164" fontId="28" fillId="9" borderId="19" xfId="0" applyNumberFormat="1" applyFont="1" applyFill="1" applyBorder="1" applyAlignment="1">
      <alignment horizontal="center" vertical="center"/>
    </xf>
    <xf numFmtId="10" fontId="31" fillId="9" borderId="19" xfId="2" applyNumberFormat="1" applyFont="1" applyFill="1" applyBorder="1" applyAlignment="1">
      <alignment horizontal="center" vertical="center"/>
    </xf>
    <xf numFmtId="164" fontId="28" fillId="9" borderId="18" xfId="0" applyNumberFormat="1" applyFont="1" applyFill="1" applyBorder="1" applyAlignment="1">
      <alignment horizontal="center" vertical="center"/>
    </xf>
    <xf numFmtId="10" fontId="31" fillId="9" borderId="132" xfId="2" applyNumberFormat="1" applyFont="1" applyFill="1" applyBorder="1" applyAlignment="1">
      <alignment horizontal="center" vertical="center"/>
    </xf>
    <xf numFmtId="0" fontId="30" fillId="0" borderId="112" xfId="0" applyFont="1" applyBorder="1"/>
    <xf numFmtId="0" fontId="30" fillId="0" borderId="128" xfId="0" applyFont="1" applyBorder="1"/>
    <xf numFmtId="0" fontId="31" fillId="9" borderId="112" xfId="0" applyFont="1" applyFill="1" applyBorder="1" applyAlignment="1">
      <alignment horizontal="center" vertical="center" wrapText="1"/>
    </xf>
    <xf numFmtId="37" fontId="30" fillId="0" borderId="0" xfId="0" applyNumberFormat="1" applyFont="1"/>
    <xf numFmtId="37" fontId="28" fillId="11" borderId="0" xfId="0" applyNumberFormat="1" applyFont="1" applyFill="1" applyAlignment="1">
      <alignment horizontal="center" vertical="center"/>
    </xf>
    <xf numFmtId="37" fontId="28" fillId="11" borderId="11" xfId="0" applyNumberFormat="1" applyFont="1" applyFill="1" applyBorder="1" applyAlignment="1">
      <alignment horizontal="center" vertical="center"/>
    </xf>
    <xf numFmtId="10" fontId="31" fillId="11" borderId="52" xfId="2" applyNumberFormat="1" applyFont="1" applyFill="1" applyBorder="1" applyAlignment="1">
      <alignment horizontal="center" vertical="center"/>
    </xf>
    <xf numFmtId="37" fontId="28" fillId="10" borderId="0" xfId="0" applyNumberFormat="1" applyFont="1" applyFill="1" applyAlignment="1">
      <alignment horizontal="center" vertical="center"/>
    </xf>
    <xf numFmtId="37" fontId="32" fillId="11" borderId="0" xfId="0" applyNumberFormat="1" applyFont="1" applyFill="1" applyAlignment="1">
      <alignment horizontal="center" vertical="center"/>
    </xf>
    <xf numFmtId="37" fontId="32" fillId="11" borderId="11" xfId="0" applyNumberFormat="1" applyFont="1" applyFill="1" applyBorder="1" applyAlignment="1">
      <alignment horizontal="center" vertical="center"/>
    </xf>
    <xf numFmtId="10" fontId="29" fillId="11" borderId="52" xfId="2" applyNumberFormat="1" applyFont="1" applyFill="1" applyBorder="1" applyAlignment="1">
      <alignment horizontal="center" vertical="center"/>
    </xf>
    <xf numFmtId="37" fontId="32" fillId="10" borderId="0" xfId="0" applyNumberFormat="1" applyFont="1" applyFill="1" applyAlignment="1">
      <alignment horizontal="center" vertical="center"/>
    </xf>
    <xf numFmtId="10" fontId="29" fillId="10" borderId="137" xfId="2" applyNumberFormat="1" applyFont="1" applyFill="1" applyBorder="1" applyAlignment="1">
      <alignment horizontal="center" vertical="center"/>
    </xf>
    <xf numFmtId="0" fontId="31" fillId="9" borderId="112" xfId="0" applyFont="1" applyFill="1" applyBorder="1" applyAlignment="1">
      <alignment horizontal="center" vertical="center"/>
    </xf>
    <xf numFmtId="37" fontId="28" fillId="9" borderId="0" xfId="0" applyNumberFormat="1" applyFont="1" applyFill="1" applyAlignment="1">
      <alignment horizontal="center" vertical="center"/>
    </xf>
    <xf numFmtId="168" fontId="31" fillId="9" borderId="0" xfId="2" applyNumberFormat="1" applyFont="1" applyFill="1" applyBorder="1" applyAlignment="1">
      <alignment horizontal="center" vertical="center"/>
    </xf>
    <xf numFmtId="37" fontId="28" fillId="9" borderId="11" xfId="0" applyNumberFormat="1" applyFont="1" applyFill="1" applyBorder="1" applyAlignment="1">
      <alignment horizontal="center" vertical="center"/>
    </xf>
    <xf numFmtId="168" fontId="31" fillId="9" borderId="52" xfId="2" applyNumberFormat="1" applyFont="1" applyFill="1" applyBorder="1" applyAlignment="1">
      <alignment horizontal="center" vertical="center"/>
    </xf>
    <xf numFmtId="168" fontId="31" fillId="9" borderId="128" xfId="2" applyNumberFormat="1" applyFont="1" applyFill="1" applyBorder="1" applyAlignment="1">
      <alignment horizontal="center" vertical="center"/>
    </xf>
    <xf numFmtId="0" fontId="31" fillId="9" borderId="138" xfId="0" applyFont="1" applyFill="1" applyBorder="1" applyAlignment="1">
      <alignment horizontal="center" vertical="center"/>
    </xf>
    <xf numFmtId="0" fontId="31" fillId="9" borderId="139" xfId="0" applyFont="1" applyFill="1" applyBorder="1" applyAlignment="1">
      <alignment horizontal="center" vertical="center"/>
    </xf>
    <xf numFmtId="44" fontId="30" fillId="0" borderId="0" xfId="1" applyFont="1"/>
    <xf numFmtId="169" fontId="28" fillId="0" borderId="0" xfId="1" applyNumberFormat="1" applyFont="1"/>
    <xf numFmtId="169" fontId="28" fillId="11" borderId="0" xfId="0" applyNumberFormat="1" applyFont="1" applyFill="1" applyAlignment="1">
      <alignment horizontal="center" vertical="center"/>
    </xf>
    <xf numFmtId="169" fontId="31" fillId="11" borderId="0" xfId="2" applyNumberFormat="1" applyFont="1" applyFill="1" applyBorder="1" applyAlignment="1">
      <alignment horizontal="center" vertical="center"/>
    </xf>
    <xf numFmtId="169" fontId="28" fillId="11" borderId="48" xfId="0" applyNumberFormat="1" applyFont="1" applyFill="1" applyBorder="1" applyAlignment="1">
      <alignment horizontal="center" vertical="center"/>
    </xf>
    <xf numFmtId="169" fontId="28" fillId="11" borderId="11" xfId="0" applyNumberFormat="1" applyFont="1" applyFill="1" applyBorder="1" applyAlignment="1">
      <alignment horizontal="center" vertical="center"/>
    </xf>
    <xf numFmtId="169" fontId="28" fillId="10" borderId="0" xfId="0" applyNumberFormat="1" applyFont="1" applyFill="1" applyAlignment="1">
      <alignment horizontal="center" vertical="center"/>
    </xf>
    <xf numFmtId="169" fontId="31" fillId="10" borderId="128" xfId="2" applyNumberFormat="1" applyFont="1" applyFill="1" applyBorder="1" applyAlignment="1">
      <alignment horizontal="center" vertical="center"/>
    </xf>
    <xf numFmtId="169" fontId="32" fillId="11" borderId="0" xfId="0" applyNumberFormat="1" applyFont="1" applyFill="1" applyAlignment="1">
      <alignment horizontal="center" vertical="center"/>
    </xf>
    <xf numFmtId="169" fontId="32" fillId="11" borderId="48" xfId="0" applyNumberFormat="1" applyFont="1" applyFill="1" applyBorder="1" applyAlignment="1">
      <alignment horizontal="center" vertical="center"/>
    </xf>
    <xf numFmtId="169" fontId="32" fillId="11" borderId="11" xfId="0" applyNumberFormat="1" applyFont="1" applyFill="1" applyBorder="1" applyAlignment="1">
      <alignment horizontal="center" vertical="center"/>
    </xf>
    <xf numFmtId="169" fontId="29" fillId="11" borderId="0" xfId="2" applyNumberFormat="1" applyFont="1" applyFill="1" applyBorder="1" applyAlignment="1">
      <alignment horizontal="center" vertical="center"/>
    </xf>
    <xf numFmtId="169" fontId="32" fillId="10" borderId="0" xfId="0" applyNumberFormat="1" applyFont="1" applyFill="1" applyAlignment="1">
      <alignment horizontal="center" vertical="center"/>
    </xf>
    <xf numFmtId="169" fontId="32" fillId="0" borderId="0" xfId="1" applyNumberFormat="1" applyFont="1"/>
    <xf numFmtId="169" fontId="32" fillId="10" borderId="51" xfId="0" applyNumberFormat="1" applyFont="1" applyFill="1" applyBorder="1" applyAlignment="1">
      <alignment horizontal="center" vertical="center"/>
    </xf>
    <xf numFmtId="169" fontId="32" fillId="10" borderId="243" xfId="0" applyNumberFormat="1" applyFont="1" applyFill="1" applyBorder="1" applyAlignment="1">
      <alignment horizontal="center" vertical="center"/>
    </xf>
    <xf numFmtId="0" fontId="31" fillId="9" borderId="114" xfId="0" applyFont="1" applyFill="1" applyBorder="1" applyAlignment="1">
      <alignment horizontal="right" vertical="center" wrapText="1"/>
    </xf>
    <xf numFmtId="169" fontId="31" fillId="9" borderId="140" xfId="0" applyNumberFormat="1" applyFont="1" applyFill="1" applyBorder="1" applyAlignment="1">
      <alignment horizontal="center" vertical="center"/>
    </xf>
    <xf numFmtId="169" fontId="35" fillId="9" borderId="140" xfId="0" applyNumberFormat="1" applyFont="1" applyFill="1" applyBorder="1" applyAlignment="1">
      <alignment horizontal="center" vertical="center"/>
    </xf>
    <xf numFmtId="169" fontId="31" fillId="9" borderId="141" xfId="0" applyNumberFormat="1" applyFont="1" applyFill="1" applyBorder="1" applyAlignment="1">
      <alignment horizontal="center" vertical="center"/>
    </xf>
    <xf numFmtId="169" fontId="31" fillId="9" borderId="142" xfId="0" applyNumberFormat="1" applyFont="1" applyFill="1" applyBorder="1" applyAlignment="1">
      <alignment horizontal="center" vertical="center"/>
    </xf>
    <xf numFmtId="169" fontId="31" fillId="50" borderId="140" xfId="0" applyNumberFormat="1" applyFont="1" applyFill="1" applyBorder="1" applyAlignment="1">
      <alignment horizontal="center" vertical="center"/>
    </xf>
    <xf numFmtId="169" fontId="35" fillId="9" borderId="143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right" vertical="center" wrapText="1"/>
    </xf>
    <xf numFmtId="44" fontId="28" fillId="0" borderId="0" xfId="0" applyNumberFormat="1" applyFont="1" applyAlignment="1">
      <alignment horizontal="center" vertical="center"/>
    </xf>
    <xf numFmtId="168" fontId="29" fillId="11" borderId="0" xfId="2" applyNumberFormat="1" applyFont="1" applyFill="1" applyBorder="1" applyAlignment="1">
      <alignment horizontal="center"/>
    </xf>
    <xf numFmtId="164" fontId="32" fillId="11" borderId="48" xfId="0" applyNumberFormat="1" applyFont="1" applyFill="1" applyBorder="1"/>
    <xf numFmtId="164" fontId="32" fillId="10" borderId="48" xfId="0" applyNumberFormat="1" applyFont="1" applyFill="1" applyBorder="1"/>
    <xf numFmtId="168" fontId="29" fillId="10" borderId="128" xfId="2" applyNumberFormat="1" applyFont="1" applyFill="1" applyBorder="1" applyAlignment="1">
      <alignment horizontal="center"/>
    </xf>
    <xf numFmtId="0" fontId="31" fillId="9" borderId="138" xfId="0" applyFont="1" applyFill="1" applyBorder="1" applyAlignment="1">
      <alignment horizontal="right" vertical="center" wrapText="1"/>
    </xf>
    <xf numFmtId="164" fontId="28" fillId="9" borderId="49" xfId="0" applyNumberFormat="1" applyFont="1" applyFill="1" applyBorder="1"/>
    <xf numFmtId="10" fontId="31" fillId="9" borderId="49" xfId="2" applyNumberFormat="1" applyFont="1" applyFill="1" applyBorder="1" applyAlignment="1">
      <alignment horizontal="center"/>
    </xf>
    <xf numFmtId="10" fontId="31" fillId="9" borderId="139" xfId="2" applyNumberFormat="1" applyFont="1" applyFill="1" applyBorder="1" applyAlignment="1">
      <alignment horizontal="center"/>
    </xf>
    <xf numFmtId="0" fontId="31" fillId="0" borderId="145" xfId="0" applyFont="1" applyBorder="1" applyAlignment="1">
      <alignment horizontal="right" vertical="center" wrapText="1"/>
    </xf>
    <xf numFmtId="44" fontId="28" fillId="0" borderId="123" xfId="0" applyNumberFormat="1" applyFont="1" applyBorder="1"/>
    <xf numFmtId="0" fontId="28" fillId="0" borderId="123" xfId="0" applyFont="1" applyBorder="1"/>
    <xf numFmtId="0" fontId="28" fillId="0" borderId="146" xfId="0" applyFont="1" applyBorder="1"/>
    <xf numFmtId="0" fontId="28" fillId="11" borderId="0" xfId="0" applyFont="1" applyFill="1" applyAlignment="1">
      <alignment horizontal="center" vertical="center"/>
    </xf>
    <xf numFmtId="0" fontId="31" fillId="11" borderId="0" xfId="2" applyNumberFormat="1" applyFont="1" applyFill="1" applyBorder="1" applyAlignment="1">
      <alignment horizontal="center" vertical="center"/>
    </xf>
    <xf numFmtId="0" fontId="28" fillId="11" borderId="48" xfId="0" applyFont="1" applyFill="1" applyBorder="1" applyAlignment="1">
      <alignment horizontal="center" vertical="center"/>
    </xf>
    <xf numFmtId="0" fontId="28" fillId="11" borderId="11" xfId="0" applyFont="1" applyFill="1" applyBorder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0" fontId="31" fillId="10" borderId="128" xfId="2" applyNumberFormat="1" applyFont="1" applyFill="1" applyBorder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2" fillId="11" borderId="48" xfId="0" applyFont="1" applyFill="1" applyBorder="1" applyAlignment="1">
      <alignment horizontal="center" vertical="center"/>
    </xf>
    <xf numFmtId="0" fontId="32" fillId="11" borderId="11" xfId="0" applyFont="1" applyFill="1" applyBorder="1" applyAlignment="1">
      <alignment horizontal="center" vertical="center"/>
    </xf>
    <xf numFmtId="0" fontId="29" fillId="11" borderId="0" xfId="2" applyNumberFormat="1" applyFont="1" applyFill="1" applyBorder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29" fillId="10" borderId="128" xfId="2" applyNumberFormat="1" applyFont="1" applyFill="1" applyBorder="1" applyAlignment="1">
      <alignment horizontal="center" vertical="center"/>
    </xf>
    <xf numFmtId="0" fontId="33" fillId="11" borderId="0" xfId="2" applyNumberFormat="1" applyFont="1" applyFill="1" applyBorder="1" applyAlignment="1">
      <alignment horizontal="center" vertical="center"/>
    </xf>
    <xf numFmtId="0" fontId="31" fillId="10" borderId="128" xfId="0" applyFont="1" applyFill="1" applyBorder="1" applyAlignment="1">
      <alignment horizontal="center"/>
    </xf>
    <xf numFmtId="0" fontId="31" fillId="9" borderId="49" xfId="0" applyFont="1" applyFill="1" applyBorder="1" applyAlignment="1">
      <alignment horizontal="center" vertical="center"/>
    </xf>
    <xf numFmtId="0" fontId="28" fillId="0" borderId="112" xfId="0" applyFont="1" applyBorder="1"/>
    <xf numFmtId="0" fontId="28" fillId="0" borderId="128" xfId="0" applyFont="1" applyBorder="1"/>
    <xf numFmtId="169" fontId="31" fillId="50" borderId="143" xfId="0" applyNumberFormat="1" applyFont="1" applyFill="1" applyBorder="1" applyAlignment="1">
      <alignment vertical="center"/>
    </xf>
    <xf numFmtId="0" fontId="37" fillId="0" borderId="0" xfId="0" applyFont="1"/>
    <xf numFmtId="0" fontId="28" fillId="49" borderId="172" xfId="0" applyFont="1" applyFill="1" applyBorder="1"/>
    <xf numFmtId="0" fontId="29" fillId="0" borderId="0" xfId="0" applyFont="1" applyAlignment="1">
      <alignment horizontal="center" vertical="center"/>
    </xf>
    <xf numFmtId="0" fontId="29" fillId="30" borderId="291" xfId="0" applyFont="1" applyFill="1" applyBorder="1" applyAlignment="1">
      <alignment horizontal="center" vertical="center"/>
    </xf>
    <xf numFmtId="0" fontId="29" fillId="30" borderId="224" xfId="0" applyFont="1" applyFill="1" applyBorder="1" applyAlignment="1">
      <alignment horizontal="center" vertical="center"/>
    </xf>
    <xf numFmtId="0" fontId="29" fillId="30" borderId="294" xfId="0" applyFont="1" applyFill="1" applyBorder="1" applyAlignment="1">
      <alignment horizontal="centerContinuous" vertical="center"/>
    </xf>
    <xf numFmtId="0" fontId="29" fillId="30" borderId="224" xfId="0" applyFont="1" applyFill="1" applyBorder="1" applyAlignment="1">
      <alignment horizontal="centerContinuous" vertical="center"/>
    </xf>
    <xf numFmtId="0" fontId="29" fillId="0" borderId="0" xfId="0" applyFont="1" applyAlignment="1">
      <alignment vertical="center"/>
    </xf>
    <xf numFmtId="0" fontId="29" fillId="30" borderId="293" xfId="0" applyFont="1" applyFill="1" applyBorder="1" applyAlignment="1">
      <alignment horizontal="center" vertical="center"/>
    </xf>
    <xf numFmtId="165" fontId="29" fillId="30" borderId="0" xfId="0" applyNumberFormat="1" applyFont="1" applyFill="1" applyAlignment="1">
      <alignment horizontal="center" vertical="center"/>
    </xf>
    <xf numFmtId="165" fontId="29" fillId="30" borderId="295" xfId="0" applyNumberFormat="1" applyFont="1" applyFill="1" applyBorder="1" applyAlignment="1">
      <alignment horizontal="centerContinuous" vertical="center"/>
    </xf>
    <xf numFmtId="165" fontId="29" fillId="30" borderId="0" xfId="0" applyNumberFormat="1" applyFont="1" applyFill="1" applyAlignment="1">
      <alignment horizontal="centerContinuous" vertical="center"/>
    </xf>
    <xf numFmtId="169" fontId="29" fillId="0" borderId="0" xfId="0" applyNumberFormat="1" applyFont="1" applyAlignment="1">
      <alignment vertical="center"/>
    </xf>
    <xf numFmtId="0" fontId="29" fillId="30" borderId="292" xfId="0" applyFont="1" applyFill="1" applyBorder="1" applyAlignment="1">
      <alignment horizontal="center" vertical="center"/>
    </xf>
    <xf numFmtId="10" fontId="29" fillId="30" borderId="189" xfId="2" applyNumberFormat="1" applyFont="1" applyFill="1" applyBorder="1" applyAlignment="1">
      <alignment horizontal="center" vertical="center"/>
    </xf>
    <xf numFmtId="10" fontId="29" fillId="30" borderId="296" xfId="2" applyNumberFormat="1" applyFont="1" applyFill="1" applyBorder="1" applyAlignment="1">
      <alignment horizontal="centerContinuous" vertical="center"/>
    </xf>
    <xf numFmtId="165" fontId="29" fillId="30" borderId="192" xfId="0" applyNumberFormat="1" applyFont="1" applyFill="1" applyBorder="1" applyAlignment="1">
      <alignment horizontal="centerContinuous" vertical="center"/>
    </xf>
    <xf numFmtId="0" fontId="31" fillId="41" borderId="181" xfId="0" applyFont="1" applyFill="1" applyBorder="1" applyAlignment="1">
      <alignment horizontal="center" vertical="center" wrapText="1"/>
    </xf>
    <xf numFmtId="0" fontId="28" fillId="41" borderId="181" xfId="0" applyFont="1" applyFill="1" applyBorder="1" applyAlignment="1">
      <alignment horizontal="center" vertical="center" wrapText="1"/>
    </xf>
    <xf numFmtId="0" fontId="28" fillId="41" borderId="182" xfId="0" applyFont="1" applyFill="1" applyBorder="1" applyAlignment="1">
      <alignment horizontal="center" vertical="center" wrapText="1"/>
    </xf>
    <xf numFmtId="0" fontId="28" fillId="41" borderId="183" xfId="0" applyFont="1" applyFill="1" applyBorder="1" applyAlignment="1">
      <alignment horizontal="center" vertical="center" wrapText="1"/>
    </xf>
    <xf numFmtId="0" fontId="28" fillId="41" borderId="181" xfId="0" applyFont="1" applyFill="1" applyBorder="1" applyAlignment="1">
      <alignment horizontal="center" vertical="center"/>
    </xf>
    <xf numFmtId="0" fontId="28" fillId="41" borderId="182" xfId="0" applyFont="1" applyFill="1" applyBorder="1" applyAlignment="1">
      <alignment horizontal="center" vertical="center"/>
    </xf>
    <xf numFmtId="0" fontId="28" fillId="41" borderId="184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right"/>
    </xf>
    <xf numFmtId="164" fontId="28" fillId="30" borderId="0" xfId="0" applyNumberFormat="1" applyFont="1" applyFill="1"/>
    <xf numFmtId="10" fontId="31" fillId="30" borderId="0" xfId="2" applyNumberFormat="1" applyFont="1" applyFill="1" applyBorder="1" applyAlignment="1">
      <alignment horizontal="center" vertical="center"/>
    </xf>
    <xf numFmtId="164" fontId="28" fillId="30" borderId="176" xfId="0" applyNumberFormat="1" applyFont="1" applyFill="1" applyBorder="1"/>
    <xf numFmtId="10" fontId="31" fillId="30" borderId="177" xfId="2" applyNumberFormat="1" applyFont="1" applyFill="1" applyBorder="1" applyAlignment="1">
      <alignment horizontal="center" vertical="center"/>
    </xf>
    <xf numFmtId="164" fontId="28" fillId="48" borderId="0" xfId="0" applyNumberFormat="1" applyFont="1" applyFill="1"/>
    <xf numFmtId="10" fontId="31" fillId="48" borderId="186" xfId="2" applyNumberFormat="1" applyFont="1" applyFill="1" applyBorder="1" applyAlignment="1">
      <alignment horizontal="center" vertical="center"/>
    </xf>
    <xf numFmtId="0" fontId="32" fillId="48" borderId="0" xfId="0" applyFont="1" applyFill="1" applyAlignment="1">
      <alignment horizontal="right"/>
    </xf>
    <xf numFmtId="164" fontId="32" fillId="30" borderId="0" xfId="0" applyNumberFormat="1" applyFont="1" applyFill="1"/>
    <xf numFmtId="10" fontId="29" fillId="30" borderId="0" xfId="2" applyNumberFormat="1" applyFont="1" applyFill="1" applyBorder="1" applyAlignment="1">
      <alignment horizontal="center" vertical="center"/>
    </xf>
    <xf numFmtId="164" fontId="32" fillId="30" borderId="176" xfId="0" applyNumberFormat="1" applyFont="1" applyFill="1" applyBorder="1"/>
    <xf numFmtId="10" fontId="29" fillId="30" borderId="177" xfId="2" applyNumberFormat="1" applyFont="1" applyFill="1" applyBorder="1" applyAlignment="1">
      <alignment horizontal="center" vertical="center"/>
    </xf>
    <xf numFmtId="164" fontId="32" fillId="48" borderId="0" xfId="0" applyNumberFormat="1" applyFont="1" applyFill="1"/>
    <xf numFmtId="10" fontId="29" fillId="48" borderId="186" xfId="2" applyNumberFormat="1" applyFont="1" applyFill="1" applyBorder="1" applyAlignment="1">
      <alignment horizontal="center" vertical="center"/>
    </xf>
    <xf numFmtId="0" fontId="31" fillId="41" borderId="0" xfId="0" applyFont="1" applyFill="1" applyAlignment="1">
      <alignment horizontal="right"/>
    </xf>
    <xf numFmtId="164" fontId="28" fillId="41" borderId="0" xfId="0" applyNumberFormat="1" applyFont="1" applyFill="1"/>
    <xf numFmtId="10" fontId="31" fillId="41" borderId="0" xfId="2" applyNumberFormat="1" applyFont="1" applyFill="1" applyBorder="1" applyAlignment="1">
      <alignment horizontal="center"/>
    </xf>
    <xf numFmtId="164" fontId="28" fillId="41" borderId="176" xfId="0" applyNumberFormat="1" applyFont="1" applyFill="1" applyBorder="1"/>
    <xf numFmtId="10" fontId="31" fillId="41" borderId="177" xfId="2" applyNumberFormat="1" applyFont="1" applyFill="1" applyBorder="1" applyAlignment="1">
      <alignment horizontal="center"/>
    </xf>
    <xf numFmtId="10" fontId="31" fillId="41" borderId="186" xfId="2" applyNumberFormat="1" applyFont="1" applyFill="1" applyBorder="1" applyAlignment="1">
      <alignment horizontal="center"/>
    </xf>
    <xf numFmtId="0" fontId="28" fillId="0" borderId="186" xfId="0" applyFont="1" applyBorder="1"/>
    <xf numFmtId="0" fontId="28" fillId="30" borderId="0" xfId="0" applyFont="1" applyFill="1" applyAlignment="1">
      <alignment horizontal="center" vertical="center"/>
    </xf>
    <xf numFmtId="169" fontId="31" fillId="30" borderId="0" xfId="2" applyNumberFormat="1" applyFont="1" applyFill="1" applyBorder="1" applyAlignment="1">
      <alignment horizontal="center" vertical="center"/>
    </xf>
    <xf numFmtId="0" fontId="28" fillId="30" borderId="176" xfId="0" applyFont="1" applyFill="1" applyBorder="1" applyAlignment="1">
      <alignment horizontal="center" vertical="center"/>
    </xf>
    <xf numFmtId="0" fontId="28" fillId="48" borderId="176" xfId="0" applyFont="1" applyFill="1" applyBorder="1" applyAlignment="1">
      <alignment horizontal="center" vertical="center"/>
    </xf>
    <xf numFmtId="169" fontId="31" fillId="48" borderId="186" xfId="2" applyNumberFormat="1" applyFont="1" applyFill="1" applyBorder="1" applyAlignment="1">
      <alignment horizontal="center" vertical="center"/>
    </xf>
    <xf numFmtId="0" fontId="32" fillId="30" borderId="0" xfId="0" applyFont="1" applyFill="1" applyAlignment="1">
      <alignment horizontal="center" vertical="center"/>
    </xf>
    <xf numFmtId="169" fontId="29" fillId="30" borderId="0" xfId="2" applyNumberFormat="1" applyFont="1" applyFill="1" applyBorder="1" applyAlignment="1">
      <alignment horizontal="center" vertical="center"/>
    </xf>
    <xf numFmtId="0" fontId="32" fillId="30" borderId="176" xfId="0" applyFont="1" applyFill="1" applyBorder="1" applyAlignment="1">
      <alignment horizontal="center" vertical="center"/>
    </xf>
    <xf numFmtId="0" fontId="32" fillId="48" borderId="176" xfId="0" applyFont="1" applyFill="1" applyBorder="1" applyAlignment="1">
      <alignment horizontal="center" vertical="center"/>
    </xf>
    <xf numFmtId="169" fontId="29" fillId="48" borderId="186" xfId="2" applyNumberFormat="1" applyFont="1" applyFill="1" applyBorder="1" applyAlignment="1">
      <alignment horizontal="center" vertical="center"/>
    </xf>
    <xf numFmtId="0" fontId="31" fillId="41" borderId="189" xfId="0" applyFont="1" applyFill="1" applyBorder="1" applyAlignment="1">
      <alignment horizontal="right"/>
    </xf>
    <xf numFmtId="164" fontId="28" fillId="41" borderId="189" xfId="0" applyNumberFormat="1" applyFont="1" applyFill="1" applyBorder="1"/>
    <xf numFmtId="169" fontId="31" fillId="41" borderId="189" xfId="2" applyNumberFormat="1" applyFont="1" applyFill="1" applyBorder="1" applyAlignment="1">
      <alignment horizontal="center"/>
    </xf>
    <xf numFmtId="164" fontId="28" fillId="41" borderId="190" xfId="0" applyNumberFormat="1" applyFont="1" applyFill="1" applyBorder="1"/>
    <xf numFmtId="169" fontId="31" fillId="50" borderId="192" xfId="2" applyNumberFormat="1" applyFont="1" applyFill="1" applyBorder="1" applyAlignment="1">
      <alignment horizontal="center"/>
    </xf>
    <xf numFmtId="164" fontId="28" fillId="48" borderId="206" xfId="0" applyNumberFormat="1" applyFont="1" applyFill="1" applyBorder="1"/>
    <xf numFmtId="164" fontId="32" fillId="48" borderId="206" xfId="0" applyNumberFormat="1" applyFont="1" applyFill="1" applyBorder="1"/>
    <xf numFmtId="0" fontId="28" fillId="41" borderId="189" xfId="0" applyFont="1" applyFill="1" applyBorder="1" applyAlignment="1">
      <alignment horizontal="center"/>
    </xf>
    <xf numFmtId="0" fontId="28" fillId="41" borderId="190" xfId="0" applyFont="1" applyFill="1" applyBorder="1" applyAlignment="1">
      <alignment horizontal="center"/>
    </xf>
    <xf numFmtId="169" fontId="31" fillId="41" borderId="191" xfId="2" applyNumberFormat="1" applyFont="1" applyFill="1" applyBorder="1" applyAlignment="1">
      <alignment horizontal="center"/>
    </xf>
    <xf numFmtId="44" fontId="31" fillId="50" borderId="192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168" fontId="31" fillId="30" borderId="0" xfId="2" applyNumberFormat="1" applyFont="1" applyFill="1" applyBorder="1" applyAlignment="1">
      <alignment horizontal="center" vertical="center"/>
    </xf>
    <xf numFmtId="168" fontId="31" fillId="30" borderId="177" xfId="2" applyNumberFormat="1" applyFont="1" applyFill="1" applyBorder="1" applyAlignment="1">
      <alignment horizontal="center" vertical="center"/>
    </xf>
    <xf numFmtId="168" fontId="29" fillId="30" borderId="0" xfId="2" applyNumberFormat="1" applyFont="1" applyFill="1" applyBorder="1" applyAlignment="1">
      <alignment horizontal="center" vertical="center"/>
    </xf>
    <xf numFmtId="168" fontId="29" fillId="30" borderId="177" xfId="2" applyNumberFormat="1" applyFont="1" applyFill="1" applyBorder="1" applyAlignment="1">
      <alignment horizontal="center" vertical="center"/>
    </xf>
    <xf numFmtId="0" fontId="28" fillId="30" borderId="176" xfId="0" applyFont="1" applyFill="1" applyBorder="1" applyAlignment="1">
      <alignment horizontal="center"/>
    </xf>
    <xf numFmtId="0" fontId="28" fillId="48" borderId="206" xfId="0" applyFont="1" applyFill="1" applyBorder="1" applyAlignment="1">
      <alignment horizontal="center"/>
    </xf>
    <xf numFmtId="0" fontId="32" fillId="30" borderId="176" xfId="0" applyFont="1" applyFill="1" applyBorder="1" applyAlignment="1">
      <alignment horizontal="center"/>
    </xf>
    <xf numFmtId="0" fontId="32" fillId="48" borderId="206" xfId="0" applyFont="1" applyFill="1" applyBorder="1" applyAlignment="1">
      <alignment horizontal="center"/>
    </xf>
    <xf numFmtId="0" fontId="31" fillId="41" borderId="189" xfId="0" applyFont="1" applyFill="1" applyBorder="1" applyAlignment="1">
      <alignment horizontal="center"/>
    </xf>
    <xf numFmtId="44" fontId="31" fillId="41" borderId="189" xfId="1" applyFont="1" applyFill="1" applyBorder="1" applyAlignment="1">
      <alignment horizontal="center"/>
    </xf>
    <xf numFmtId="173" fontId="31" fillId="41" borderId="191" xfId="2" applyNumberFormat="1" applyFont="1" applyFill="1" applyBorder="1" applyAlignment="1">
      <alignment horizontal="center"/>
    </xf>
    <xf numFmtId="173" fontId="31" fillId="41" borderId="189" xfId="2" applyNumberFormat="1" applyFont="1" applyFill="1" applyBorder="1" applyAlignment="1">
      <alignment horizontal="center"/>
    </xf>
    <xf numFmtId="10" fontId="31" fillId="30" borderId="0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28" fillId="44" borderId="197" xfId="0" applyFont="1" applyFill="1" applyBorder="1" applyAlignment="1">
      <alignment horizontal="center"/>
    </xf>
    <xf numFmtId="0" fontId="31" fillId="36" borderId="198" xfId="0" applyFont="1" applyFill="1" applyBorder="1" applyAlignment="1">
      <alignment horizontal="centerContinuous" vertical="center"/>
    </xf>
    <xf numFmtId="0" fontId="31" fillId="36" borderId="223" xfId="0" applyFont="1" applyFill="1" applyBorder="1" applyAlignment="1">
      <alignment horizontal="centerContinuous" vertical="center"/>
    </xf>
    <xf numFmtId="0" fontId="31" fillId="36" borderId="287" xfId="0" applyFont="1" applyFill="1" applyBorder="1" applyAlignment="1">
      <alignment horizontal="centerContinuous" vertical="center"/>
    </xf>
    <xf numFmtId="0" fontId="34" fillId="0" borderId="0" xfId="0" applyFont="1" applyAlignment="1">
      <alignment horizontal="center" vertical="center"/>
    </xf>
    <xf numFmtId="0" fontId="28" fillId="44" borderId="97" xfId="0" applyFont="1" applyFill="1" applyBorder="1"/>
    <xf numFmtId="0" fontId="31" fillId="25" borderId="98" xfId="0" applyFont="1" applyFill="1" applyBorder="1" applyAlignment="1">
      <alignment horizontal="center" vertical="center" wrapText="1"/>
    </xf>
    <xf numFmtId="0" fontId="28" fillId="18" borderId="98" xfId="0" applyFont="1" applyFill="1" applyBorder="1" applyAlignment="1">
      <alignment horizontal="centerContinuous" vertical="center" wrapText="1"/>
    </xf>
    <xf numFmtId="0" fontId="28" fillId="18" borderId="279" xfId="0" applyFont="1" applyFill="1" applyBorder="1" applyAlignment="1">
      <alignment horizontal="centerContinuous" vertical="center" wrapText="1"/>
    </xf>
    <xf numFmtId="0" fontId="28" fillId="18" borderId="280" xfId="0" applyFont="1" applyFill="1" applyBorder="1" applyAlignment="1">
      <alignment horizontal="centerContinuous" vertical="center" wrapText="1"/>
    </xf>
    <xf numFmtId="0" fontId="28" fillId="18" borderId="265" xfId="0" applyFont="1" applyFill="1" applyBorder="1" applyAlignment="1">
      <alignment horizontal="centerContinuous" vertical="center" wrapText="1"/>
    </xf>
    <xf numFmtId="0" fontId="28" fillId="18" borderId="221" xfId="0" applyFont="1" applyFill="1" applyBorder="1" applyAlignment="1">
      <alignment horizontal="centerContinuous" vertical="center"/>
    </xf>
    <xf numFmtId="0" fontId="28" fillId="18" borderId="265" xfId="0" applyFont="1" applyFill="1" applyBorder="1" applyAlignment="1">
      <alignment horizontal="centerContinuous" vertical="center"/>
    </xf>
    <xf numFmtId="0" fontId="28" fillId="18" borderId="221" xfId="0" applyFont="1" applyFill="1" applyBorder="1" applyAlignment="1">
      <alignment horizontal="centerContinuous" vertical="center" wrapText="1"/>
    </xf>
    <xf numFmtId="0" fontId="28" fillId="25" borderId="221" xfId="0" applyFont="1" applyFill="1" applyBorder="1" applyAlignment="1">
      <alignment horizontal="center" vertical="center"/>
    </xf>
    <xf numFmtId="0" fontId="28" fillId="25" borderId="267" xfId="0" applyFont="1" applyFill="1" applyBorder="1" applyAlignment="1">
      <alignment horizontal="center" vertical="center"/>
    </xf>
    <xf numFmtId="0" fontId="28" fillId="44" borderId="151" xfId="0" applyFont="1" applyFill="1" applyBorder="1"/>
    <xf numFmtId="0" fontId="28" fillId="26" borderId="0" xfId="0" applyFont="1" applyFill="1" applyAlignment="1">
      <alignment horizontal="right" vertical="center"/>
    </xf>
    <xf numFmtId="9" fontId="39" fillId="27" borderId="0" xfId="0" applyNumberFormat="1" applyFont="1" applyFill="1" applyAlignment="1">
      <alignment horizontal="centerContinuous" vertical="center"/>
    </xf>
    <xf numFmtId="9" fontId="35" fillId="27" borderId="209" xfId="0" applyNumberFormat="1" applyFont="1" applyFill="1" applyBorder="1" applyAlignment="1">
      <alignment horizontal="centerContinuous" vertical="center"/>
    </xf>
    <xf numFmtId="9" fontId="39" fillId="27" borderId="209" xfId="0" applyNumberFormat="1" applyFont="1" applyFill="1" applyBorder="1" applyAlignment="1">
      <alignment horizontal="centerContinuous" vertical="center"/>
    </xf>
    <xf numFmtId="0" fontId="28" fillId="25" borderId="283" xfId="0" applyFont="1" applyFill="1" applyBorder="1" applyAlignment="1">
      <alignment horizontal="center" vertical="center"/>
    </xf>
    <xf numFmtId="0" fontId="28" fillId="25" borderId="268" xfId="0" applyFont="1" applyFill="1" applyBorder="1" applyAlignment="1">
      <alignment horizontal="center" vertical="center"/>
    </xf>
    <xf numFmtId="0" fontId="28" fillId="26" borderId="152" xfId="0" applyFont="1" applyFill="1" applyBorder="1" applyAlignment="1">
      <alignment horizontal="right" vertical="center"/>
    </xf>
    <xf numFmtId="0" fontId="28" fillId="25" borderId="285" xfId="0" applyFont="1" applyFill="1" applyBorder="1" applyAlignment="1">
      <alignment horizontal="center" vertical="center"/>
    </xf>
    <xf numFmtId="9" fontId="35" fillId="27" borderId="281" xfId="0" applyNumberFormat="1" applyFont="1" applyFill="1" applyBorder="1" applyAlignment="1">
      <alignment horizontal="centerContinuous" vertical="center"/>
    </xf>
    <xf numFmtId="9" fontId="39" fillId="27" borderId="282" xfId="0" applyNumberFormat="1" applyFont="1" applyFill="1" applyBorder="1" applyAlignment="1">
      <alignment horizontal="centerContinuous" vertical="center"/>
    </xf>
    <xf numFmtId="9" fontId="35" fillId="27" borderId="0" xfId="0" applyNumberFormat="1" applyFont="1" applyFill="1" applyAlignment="1">
      <alignment horizontal="centerContinuous" vertical="center"/>
    </xf>
    <xf numFmtId="9" fontId="39" fillId="27" borderId="281" xfId="0" applyNumberFormat="1" applyFont="1" applyFill="1" applyBorder="1" applyAlignment="1">
      <alignment horizontal="centerContinuous" vertical="center"/>
    </xf>
    <xf numFmtId="9" fontId="29" fillId="27" borderId="281" xfId="0" applyNumberFormat="1" applyFont="1" applyFill="1" applyBorder="1" applyAlignment="1">
      <alignment horizontal="centerContinuous" vertical="center"/>
    </xf>
    <xf numFmtId="0" fontId="28" fillId="44" borderId="99" xfId="0" applyFont="1" applyFill="1" applyBorder="1"/>
    <xf numFmtId="0" fontId="28" fillId="26" borderId="100" xfId="0" applyFont="1" applyFill="1" applyBorder="1" applyAlignment="1">
      <alignment horizontal="right" vertical="center"/>
    </xf>
    <xf numFmtId="44" fontId="39" fillId="27" borderId="100" xfId="0" applyNumberFormat="1" applyFont="1" applyFill="1" applyBorder="1" applyAlignment="1">
      <alignment horizontal="centerContinuous" vertical="center"/>
    </xf>
    <xf numFmtId="44" fontId="35" fillId="27" borderId="100" xfId="0" applyNumberFormat="1" applyFont="1" applyFill="1" applyBorder="1" applyAlignment="1">
      <alignment horizontal="centerContinuous" vertical="center"/>
    </xf>
    <xf numFmtId="44" fontId="29" fillId="27" borderId="100" xfId="0" applyNumberFormat="1" applyFont="1" applyFill="1" applyBorder="1" applyAlignment="1">
      <alignment horizontal="centerContinuous" vertical="center"/>
    </xf>
    <xf numFmtId="0" fontId="28" fillId="25" borderId="284" xfId="0" applyFont="1" applyFill="1" applyBorder="1" applyAlignment="1">
      <alignment horizontal="center" vertical="center"/>
    </xf>
    <xf numFmtId="0" fontId="28" fillId="25" borderId="269" xfId="0" applyFont="1" applyFill="1" applyBorder="1" applyAlignment="1">
      <alignment horizontal="center" vertical="center"/>
    </xf>
    <xf numFmtId="0" fontId="31" fillId="18" borderId="98" xfId="0" applyFont="1" applyFill="1" applyBorder="1" applyAlignment="1">
      <alignment horizontal="center" vertical="center" wrapText="1"/>
    </xf>
    <xf numFmtId="0" fontId="31" fillId="18" borderId="0" xfId="0" applyFont="1" applyFill="1" applyAlignment="1">
      <alignment horizontal="center" vertical="center" wrapText="1"/>
    </xf>
    <xf numFmtId="0" fontId="28" fillId="18" borderId="0" xfId="0" applyFont="1" applyFill="1" applyAlignment="1">
      <alignment horizontal="center" vertical="center" wrapText="1"/>
    </xf>
    <xf numFmtId="0" fontId="28" fillId="18" borderId="268" xfId="0" applyFont="1" applyFill="1" applyBorder="1" applyAlignment="1">
      <alignment horizontal="center" vertical="center" wrapText="1"/>
    </xf>
    <xf numFmtId="0" fontId="28" fillId="39" borderId="0" xfId="0" applyFont="1" applyFill="1" applyAlignment="1">
      <alignment horizontal="right" vertical="center"/>
    </xf>
    <xf numFmtId="0" fontId="31" fillId="37" borderId="71" xfId="0" applyFont="1" applyFill="1" applyBorder="1" applyAlignment="1">
      <alignment horizontal="center" vertical="center"/>
    </xf>
    <xf numFmtId="0" fontId="31" fillId="37" borderId="271" xfId="0" applyFont="1" applyFill="1" applyBorder="1" applyAlignment="1">
      <alignment horizontal="center" vertical="center"/>
    </xf>
    <xf numFmtId="0" fontId="31" fillId="37" borderId="272" xfId="0" applyFont="1" applyFill="1" applyBorder="1" applyAlignment="1">
      <alignment horizontal="center" vertical="center"/>
    </xf>
    <xf numFmtId="0" fontId="31" fillId="37" borderId="0" xfId="0" applyFont="1" applyFill="1" applyAlignment="1">
      <alignment horizontal="center" vertical="center"/>
    </xf>
    <xf numFmtId="0" fontId="31" fillId="39" borderId="71" xfId="0" applyFont="1" applyFill="1" applyBorder="1" applyAlignment="1">
      <alignment horizontal="center" vertical="center"/>
    </xf>
    <xf numFmtId="0" fontId="31" fillId="39" borderId="277" xfId="0" applyFont="1" applyFill="1" applyBorder="1" applyAlignment="1">
      <alignment horizontal="center" vertical="center"/>
    </xf>
    <xf numFmtId="0" fontId="35" fillId="37" borderId="71" xfId="0" applyFont="1" applyFill="1" applyBorder="1" applyAlignment="1">
      <alignment horizontal="center" vertical="center"/>
    </xf>
    <xf numFmtId="0" fontId="35" fillId="37" borderId="271" xfId="0" applyFont="1" applyFill="1" applyBorder="1" applyAlignment="1">
      <alignment horizontal="center" vertical="center"/>
    </xf>
    <xf numFmtId="0" fontId="35" fillId="37" borderId="272" xfId="0" applyFont="1" applyFill="1" applyBorder="1" applyAlignment="1">
      <alignment horizontal="center" vertical="center"/>
    </xf>
    <xf numFmtId="0" fontId="35" fillId="37" borderId="0" xfId="0" applyFont="1" applyFill="1" applyAlignment="1">
      <alignment horizontal="center" vertical="center"/>
    </xf>
    <xf numFmtId="0" fontId="28" fillId="39" borderId="81" xfId="0" applyFont="1" applyFill="1" applyBorder="1" applyAlignment="1">
      <alignment horizontal="right" vertical="center"/>
    </xf>
    <xf numFmtId="0" fontId="35" fillId="37" borderId="273" xfId="0" applyFont="1" applyFill="1" applyBorder="1" applyAlignment="1">
      <alignment horizontal="center" vertical="center"/>
    </xf>
    <xf numFmtId="0" fontId="35" fillId="37" borderId="81" xfId="0" applyFont="1" applyFill="1" applyBorder="1" applyAlignment="1">
      <alignment horizontal="center" vertical="center"/>
    </xf>
    <xf numFmtId="0" fontId="31" fillId="37" borderId="80" xfId="0" applyFont="1" applyFill="1" applyBorder="1" applyAlignment="1">
      <alignment horizontal="center" vertical="center"/>
    </xf>
    <xf numFmtId="0" fontId="31" fillId="37" borderId="273" xfId="0" applyFont="1" applyFill="1" applyBorder="1" applyAlignment="1">
      <alignment horizontal="center" vertical="center"/>
    </xf>
    <xf numFmtId="0" fontId="31" fillId="37" borderId="81" xfId="0" applyFont="1" applyFill="1" applyBorder="1" applyAlignment="1">
      <alignment horizontal="center" vertical="center"/>
    </xf>
    <xf numFmtId="0" fontId="31" fillId="39" borderId="80" xfId="0" applyFont="1" applyFill="1" applyBorder="1" applyAlignment="1">
      <alignment horizontal="center" vertical="center"/>
    </xf>
    <xf numFmtId="0" fontId="31" fillId="39" borderId="278" xfId="0" applyFont="1" applyFill="1" applyBorder="1" applyAlignment="1">
      <alignment horizontal="center" vertical="center"/>
    </xf>
    <xf numFmtId="0" fontId="31" fillId="37" borderId="85" xfId="0" applyFont="1" applyFill="1" applyBorder="1" applyAlignment="1">
      <alignment horizontal="center" vertical="center"/>
    </xf>
    <xf numFmtId="0" fontId="31" fillId="37" borderId="275" xfId="0" applyFont="1" applyFill="1" applyBorder="1" applyAlignment="1">
      <alignment horizontal="center" vertical="center"/>
    </xf>
    <xf numFmtId="0" fontId="31" fillId="37" borderId="276" xfId="0" applyFont="1" applyFill="1" applyBorder="1" applyAlignment="1">
      <alignment horizontal="center" vertical="center"/>
    </xf>
    <xf numFmtId="0" fontId="31" fillId="37" borderId="252" xfId="0" applyFont="1" applyFill="1" applyBorder="1" applyAlignment="1">
      <alignment horizontal="center" vertical="center"/>
    </xf>
    <xf numFmtId="0" fontId="31" fillId="18" borderId="72" xfId="0" applyFont="1" applyFill="1" applyBorder="1" applyAlignment="1">
      <alignment horizontal="right" vertical="center" wrapText="1"/>
    </xf>
    <xf numFmtId="0" fontId="29" fillId="18" borderId="72" xfId="0" applyFont="1" applyFill="1" applyBorder="1" applyAlignment="1">
      <alignment horizontal="center" vertical="center"/>
    </xf>
    <xf numFmtId="0" fontId="28" fillId="18" borderId="74" xfId="0" applyFont="1" applyFill="1" applyBorder="1" applyAlignment="1">
      <alignment horizontal="center" vertical="center"/>
    </xf>
    <xf numFmtId="0" fontId="28" fillId="18" borderId="268" xfId="0" applyFont="1" applyFill="1" applyBorder="1" applyAlignment="1">
      <alignment horizontal="center" vertical="center"/>
    </xf>
    <xf numFmtId="0" fontId="28" fillId="0" borderId="70" xfId="0" applyFont="1" applyBorder="1" applyAlignment="1">
      <alignment horizontal="center" vertical="center"/>
    </xf>
    <xf numFmtId="0" fontId="28" fillId="0" borderId="268" xfId="0" applyFont="1" applyBorder="1" applyAlignment="1">
      <alignment horizontal="center" vertical="center"/>
    </xf>
    <xf numFmtId="0" fontId="28" fillId="18" borderId="0" xfId="0" applyFont="1" applyFill="1" applyAlignment="1">
      <alignment horizontal="centerContinuous" vertical="center" wrapText="1"/>
    </xf>
    <xf numFmtId="0" fontId="28" fillId="18" borderId="290" xfId="0" applyFont="1" applyFill="1" applyBorder="1" applyAlignment="1">
      <alignment horizontal="centerContinuous" vertical="center" wrapText="1"/>
    </xf>
    <xf numFmtId="0" fontId="28" fillId="18" borderId="288" xfId="0" applyFont="1" applyFill="1" applyBorder="1" applyAlignment="1">
      <alignment horizontal="centerContinuous" vertical="center" wrapText="1"/>
    </xf>
    <xf numFmtId="0" fontId="28" fillId="18" borderId="266" xfId="0" applyFont="1" applyFill="1" applyBorder="1" applyAlignment="1">
      <alignment horizontal="centerContinuous" vertical="center" wrapText="1"/>
    </xf>
    <xf numFmtId="0" fontId="28" fillId="18" borderId="71" xfId="0" applyFont="1" applyFill="1" applyBorder="1" applyAlignment="1">
      <alignment horizontal="centerContinuous" vertical="center"/>
    </xf>
    <xf numFmtId="0" fontId="28" fillId="18" borderId="266" xfId="0" applyFont="1" applyFill="1" applyBorder="1" applyAlignment="1">
      <alignment horizontal="centerContinuous" vertical="center"/>
    </xf>
    <xf numFmtId="0" fontId="28" fillId="18" borderId="71" xfId="0" applyFont="1" applyFill="1" applyBorder="1" applyAlignment="1">
      <alignment horizontal="centerContinuous" vertical="center" wrapText="1"/>
    </xf>
    <xf numFmtId="0" fontId="31" fillId="39" borderId="268" xfId="0" applyFont="1" applyFill="1" applyBorder="1" applyAlignment="1">
      <alignment horizontal="center" vertical="center"/>
    </xf>
    <xf numFmtId="0" fontId="31" fillId="39" borderId="270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right" vertical="center"/>
    </xf>
    <xf numFmtId="0" fontId="31" fillId="18" borderId="0" xfId="0" applyFont="1" applyFill="1" applyAlignment="1">
      <alignment horizontal="center" vertical="center"/>
    </xf>
    <xf numFmtId="0" fontId="31" fillId="18" borderId="71" xfId="0" applyFont="1" applyFill="1" applyBorder="1" applyAlignment="1">
      <alignment horizontal="center" vertical="center"/>
    </xf>
    <xf numFmtId="0" fontId="31" fillId="18" borderId="73" xfId="0" applyFont="1" applyFill="1" applyBorder="1" applyAlignment="1">
      <alignment horizontal="center" vertical="center"/>
    </xf>
    <xf numFmtId="0" fontId="31" fillId="18" borderId="268" xfId="0" applyFont="1" applyFill="1" applyBorder="1" applyAlignment="1">
      <alignment horizontal="center" vertical="center"/>
    </xf>
    <xf numFmtId="0" fontId="31" fillId="18" borderId="100" xfId="0" applyFont="1" applyFill="1" applyBorder="1" applyAlignment="1">
      <alignment horizontal="right" vertical="center" wrapText="1"/>
    </xf>
    <xf numFmtId="0" fontId="31" fillId="37" borderId="0" xfId="0" applyFont="1" applyFill="1" applyAlignment="1">
      <alignment horizontal="centerContinuous" vertical="center"/>
    </xf>
    <xf numFmtId="0" fontId="31" fillId="37" borderId="288" xfId="0" applyFont="1" applyFill="1" applyBorder="1" applyAlignment="1">
      <alignment horizontal="centerContinuous" vertical="center"/>
    </xf>
    <xf numFmtId="0" fontId="31" fillId="37" borderId="266" xfId="0" applyFont="1" applyFill="1" applyBorder="1" applyAlignment="1">
      <alignment horizontal="centerContinuous" vertical="center"/>
    </xf>
    <xf numFmtId="0" fontId="31" fillId="37" borderId="71" xfId="0" applyFont="1" applyFill="1" applyBorder="1" applyAlignment="1">
      <alignment horizontal="centerContinuous" vertical="center"/>
    </xf>
    <xf numFmtId="0" fontId="31" fillId="39" borderId="71" xfId="0" applyFont="1" applyFill="1" applyBorder="1" applyAlignment="1">
      <alignment horizontal="centerContinuous" vertical="center"/>
    </xf>
    <xf numFmtId="0" fontId="31" fillId="39" borderId="268" xfId="0" applyFont="1" applyFill="1" applyBorder="1" applyAlignment="1">
      <alignment horizontal="centerContinuous" vertical="center"/>
    </xf>
    <xf numFmtId="0" fontId="31" fillId="37" borderId="81" xfId="0" applyFont="1" applyFill="1" applyBorder="1" applyAlignment="1">
      <alignment horizontal="centerContinuous" vertical="center"/>
    </xf>
    <xf numFmtId="0" fontId="31" fillId="37" borderId="289" xfId="0" applyFont="1" applyFill="1" applyBorder="1" applyAlignment="1">
      <alignment horizontal="centerContinuous" vertical="center"/>
    </xf>
    <xf numFmtId="0" fontId="31" fillId="37" borderId="80" xfId="0" applyFont="1" applyFill="1" applyBorder="1" applyAlignment="1">
      <alignment horizontal="centerContinuous" vertical="center"/>
    </xf>
    <xf numFmtId="0" fontId="31" fillId="39" borderId="80" xfId="0" applyFont="1" applyFill="1" applyBorder="1" applyAlignment="1">
      <alignment horizontal="centerContinuous" vertical="center"/>
    </xf>
    <xf numFmtId="0" fontId="31" fillId="39" borderId="270" xfId="0" applyFont="1" applyFill="1" applyBorder="1" applyAlignment="1">
      <alignment horizontal="centerContinuous" vertical="center"/>
    </xf>
    <xf numFmtId="0" fontId="31" fillId="37" borderId="252" xfId="0" applyFont="1" applyFill="1" applyBorder="1" applyAlignment="1">
      <alignment horizontal="centerContinuous" vertical="center"/>
    </xf>
    <xf numFmtId="0" fontId="31" fillId="37" borderId="85" xfId="0" applyFont="1" applyFill="1" applyBorder="1" applyAlignment="1">
      <alignment horizontal="centerContinuous" vertical="center"/>
    </xf>
    <xf numFmtId="0" fontId="31" fillId="37" borderId="251" xfId="0" applyFont="1" applyFill="1" applyBorder="1" applyAlignment="1">
      <alignment horizontal="centerContinuous" vertical="center"/>
    </xf>
    <xf numFmtId="0" fontId="31" fillId="18" borderId="72" xfId="0" applyFont="1" applyFill="1" applyBorder="1" applyAlignment="1">
      <alignment horizontal="centerContinuous" vertical="center"/>
    </xf>
    <xf numFmtId="0" fontId="31" fillId="18" borderId="222" xfId="0" applyFont="1" applyFill="1" applyBorder="1" applyAlignment="1">
      <alignment horizontal="centerContinuous" vertical="center"/>
    </xf>
    <xf numFmtId="0" fontId="31" fillId="18" borderId="268" xfId="0" applyFont="1" applyFill="1" applyBorder="1" applyAlignment="1">
      <alignment horizontal="centerContinuous" vertical="center"/>
    </xf>
    <xf numFmtId="0" fontId="28" fillId="18" borderId="71" xfId="0" applyFont="1" applyFill="1" applyBorder="1" applyAlignment="1">
      <alignment horizontal="center" vertical="center" wrapText="1"/>
    </xf>
    <xf numFmtId="10" fontId="31" fillId="37" borderId="0" xfId="2" applyNumberFormat="1" applyFont="1" applyFill="1" applyBorder="1" applyAlignment="1">
      <alignment horizontal="center" vertical="center"/>
    </xf>
    <xf numFmtId="174" fontId="31" fillId="37" borderId="0" xfId="0" applyNumberFormat="1" applyFont="1" applyFill="1" applyAlignment="1">
      <alignment horizontal="center" vertical="center"/>
    </xf>
    <xf numFmtId="10" fontId="31" fillId="37" borderId="288" xfId="2" applyNumberFormat="1" applyFont="1" applyFill="1" applyBorder="1" applyAlignment="1">
      <alignment horizontal="center" vertical="center"/>
    </xf>
    <xf numFmtId="174" fontId="35" fillId="37" borderId="266" xfId="0" applyNumberFormat="1" applyFont="1" applyFill="1" applyBorder="1" applyAlignment="1">
      <alignment horizontal="center" vertical="center"/>
    </xf>
    <xf numFmtId="10" fontId="31" fillId="37" borderId="71" xfId="2" applyNumberFormat="1" applyFont="1" applyFill="1" applyBorder="1" applyAlignment="1">
      <alignment horizontal="center" vertical="center"/>
    </xf>
    <xf numFmtId="174" fontId="31" fillId="37" borderId="266" xfId="0" applyNumberFormat="1" applyFont="1" applyFill="1" applyBorder="1" applyAlignment="1">
      <alignment horizontal="center" vertical="center"/>
    </xf>
    <xf numFmtId="10" fontId="31" fillId="39" borderId="71" xfId="2" applyNumberFormat="1" applyFont="1" applyFill="1" applyBorder="1" applyAlignment="1">
      <alignment horizontal="center" vertical="center"/>
    </xf>
    <xf numFmtId="0" fontId="31" fillId="37" borderId="266" xfId="0" applyFont="1" applyFill="1" applyBorder="1" applyAlignment="1">
      <alignment horizontal="center" vertical="center"/>
    </xf>
    <xf numFmtId="174" fontId="31" fillId="39" borderId="268" xfId="0" applyNumberFormat="1" applyFont="1" applyFill="1" applyBorder="1" applyAlignment="1">
      <alignment horizontal="center" vertical="center"/>
    </xf>
    <xf numFmtId="10" fontId="31" fillId="37" borderId="81" xfId="2" applyNumberFormat="1" applyFont="1" applyFill="1" applyBorder="1" applyAlignment="1">
      <alignment horizontal="center" vertical="center"/>
    </xf>
    <xf numFmtId="10" fontId="31" fillId="37" borderId="289" xfId="2" applyNumberFormat="1" applyFont="1" applyFill="1" applyBorder="1" applyAlignment="1">
      <alignment horizontal="center" vertical="center"/>
    </xf>
    <xf numFmtId="10" fontId="31" fillId="37" borderId="80" xfId="2" applyNumberFormat="1" applyFont="1" applyFill="1" applyBorder="1" applyAlignment="1">
      <alignment horizontal="center" vertical="center"/>
    </xf>
    <xf numFmtId="10" fontId="31" fillId="39" borderId="80" xfId="2" applyNumberFormat="1" applyFont="1" applyFill="1" applyBorder="1" applyAlignment="1">
      <alignment horizontal="center" vertical="center"/>
    </xf>
    <xf numFmtId="10" fontId="31" fillId="37" borderId="252" xfId="2" applyNumberFormat="1" applyFont="1" applyFill="1" applyBorder="1" applyAlignment="1">
      <alignment horizontal="center" vertical="center"/>
    </xf>
    <xf numFmtId="10" fontId="31" fillId="37" borderId="85" xfId="2" applyNumberFormat="1" applyFont="1" applyFill="1" applyBorder="1" applyAlignment="1">
      <alignment horizontal="center" vertical="center"/>
    </xf>
    <xf numFmtId="0" fontId="31" fillId="37" borderId="251" xfId="0" applyFont="1" applyFill="1" applyBorder="1" applyAlignment="1">
      <alignment horizontal="center" vertical="center"/>
    </xf>
    <xf numFmtId="10" fontId="31" fillId="18" borderId="100" xfId="2" applyNumberFormat="1" applyFont="1" applyFill="1" applyBorder="1" applyAlignment="1">
      <alignment horizontal="center" vertical="center"/>
    </xf>
    <xf numFmtId="0" fontId="31" fillId="18" borderId="100" xfId="2" applyNumberFormat="1" applyFont="1" applyFill="1" applyBorder="1" applyAlignment="1">
      <alignment horizontal="center" vertical="center"/>
    </xf>
    <xf numFmtId="10" fontId="31" fillId="18" borderId="100" xfId="2" applyNumberFormat="1" applyFont="1" applyFill="1" applyBorder="1" applyAlignment="1">
      <alignment horizontal="centerContinuous" vertical="center"/>
    </xf>
    <xf numFmtId="0" fontId="31" fillId="18" borderId="269" xfId="2" applyNumberFormat="1" applyFont="1" applyFill="1" applyBorder="1" applyAlignment="1">
      <alignment horizontal="center" vertical="center"/>
    </xf>
    <xf numFmtId="0" fontId="28" fillId="39" borderId="0" xfId="0" applyFont="1" applyFill="1" applyAlignment="1">
      <alignment horizontal="center" vertical="center"/>
    </xf>
    <xf numFmtId="10" fontId="35" fillId="37" borderId="0" xfId="0" applyNumberFormat="1" applyFont="1" applyFill="1" applyAlignment="1">
      <alignment horizontal="centerContinuous" vertical="center"/>
    </xf>
    <xf numFmtId="0" fontId="31" fillId="37" borderId="266" xfId="0" applyFont="1" applyFill="1" applyBorder="1" applyAlignment="1">
      <alignment vertical="center"/>
    </xf>
    <xf numFmtId="0" fontId="31" fillId="37" borderId="71" xfId="0" applyFont="1" applyFill="1" applyBorder="1" applyAlignment="1">
      <alignment vertical="center"/>
    </xf>
    <xf numFmtId="0" fontId="31" fillId="37" borderId="0" xfId="0" applyFont="1" applyFill="1" applyAlignment="1">
      <alignment vertical="center"/>
    </xf>
    <xf numFmtId="0" fontId="31" fillId="37" borderId="288" xfId="0" applyFont="1" applyFill="1" applyBorder="1" applyAlignment="1">
      <alignment horizontal="center" vertical="center"/>
    </xf>
    <xf numFmtId="10" fontId="36" fillId="37" borderId="0" xfId="2" applyNumberFormat="1" applyFont="1" applyFill="1" applyAlignment="1">
      <alignment horizontal="centerContinuous" vertical="center"/>
    </xf>
    <xf numFmtId="10" fontId="31" fillId="37" borderId="0" xfId="0" applyNumberFormat="1" applyFont="1" applyFill="1" applyAlignment="1">
      <alignment horizontal="centerContinuous" vertical="center"/>
    </xf>
    <xf numFmtId="10" fontId="35" fillId="37" borderId="288" xfId="2" applyNumberFormat="1" applyFont="1" applyFill="1" applyBorder="1" applyAlignment="1">
      <alignment horizontal="centerContinuous" vertical="center"/>
    </xf>
    <xf numFmtId="10" fontId="39" fillId="37" borderId="71" xfId="0" applyNumberFormat="1" applyFont="1" applyFill="1" applyBorder="1" applyAlignment="1">
      <alignment horizontal="centerContinuous" vertical="center"/>
    </xf>
    <xf numFmtId="0" fontId="28" fillId="39" borderId="81" xfId="0" applyFont="1" applyFill="1" applyBorder="1" applyAlignment="1">
      <alignment horizontal="center" vertical="center"/>
    </xf>
    <xf numFmtId="0" fontId="31" fillId="18" borderId="72" xfId="0" applyFont="1" applyFill="1" applyBorder="1" applyAlignment="1">
      <alignment horizontal="right"/>
    </xf>
    <xf numFmtId="10" fontId="29" fillId="18" borderId="72" xfId="0" applyNumberFormat="1" applyFont="1" applyFill="1" applyBorder="1" applyAlignment="1">
      <alignment horizontal="centerContinuous" vertical="center"/>
    </xf>
    <xf numFmtId="10" fontId="29" fillId="18" borderId="74" xfId="0" applyNumberFormat="1" applyFont="1" applyFill="1" applyBorder="1" applyAlignment="1">
      <alignment horizontal="centerContinuous" vertical="center"/>
    </xf>
    <xf numFmtId="10" fontId="29" fillId="18" borderId="222" xfId="0" applyNumberFormat="1" applyFont="1" applyFill="1" applyBorder="1" applyAlignment="1">
      <alignment horizontal="centerContinuous" vertical="center"/>
    </xf>
    <xf numFmtId="10" fontId="29" fillId="18" borderId="268" xfId="0" applyNumberFormat="1" applyFont="1" applyFill="1" applyBorder="1" applyAlignment="1">
      <alignment horizontal="centerContinuous" vertical="center"/>
    </xf>
    <xf numFmtId="168" fontId="31" fillId="37" borderId="0" xfId="2" applyNumberFormat="1" applyFont="1" applyFill="1" applyAlignment="1">
      <alignment horizontal="centerContinuous" vertical="center"/>
    </xf>
    <xf numFmtId="168" fontId="31" fillId="37" borderId="288" xfId="2" applyNumberFormat="1" applyFont="1" applyFill="1" applyBorder="1" applyAlignment="1">
      <alignment horizontal="centerContinuous" vertical="center"/>
    </xf>
    <xf numFmtId="168" fontId="31" fillId="37" borderId="266" xfId="2" applyNumberFormat="1" applyFont="1" applyFill="1" applyBorder="1" applyAlignment="1">
      <alignment horizontal="centerContinuous" vertical="center"/>
    </xf>
    <xf numFmtId="168" fontId="31" fillId="37" borderId="71" xfId="2" applyNumberFormat="1" applyFont="1" applyFill="1" applyBorder="1" applyAlignment="1">
      <alignment horizontal="centerContinuous" vertical="center"/>
    </xf>
    <xf numFmtId="168" fontId="31" fillId="39" borderId="71" xfId="2" applyNumberFormat="1" applyFont="1" applyFill="1" applyBorder="1" applyAlignment="1">
      <alignment horizontal="centerContinuous" vertical="center"/>
    </xf>
    <xf numFmtId="9" fontId="31" fillId="39" borderId="268" xfId="2" applyFont="1" applyFill="1" applyBorder="1" applyAlignment="1">
      <alignment horizontal="centerContinuous" vertical="center"/>
    </xf>
    <xf numFmtId="168" fontId="31" fillId="37" borderId="81" xfId="2" applyNumberFormat="1" applyFont="1" applyFill="1" applyBorder="1" applyAlignment="1">
      <alignment horizontal="centerContinuous" vertical="center"/>
    </xf>
    <xf numFmtId="168" fontId="31" fillId="37" borderId="289" xfId="2" applyNumberFormat="1" applyFont="1" applyFill="1" applyBorder="1" applyAlignment="1">
      <alignment horizontal="centerContinuous" vertical="center"/>
    </xf>
    <xf numFmtId="168" fontId="31" fillId="37" borderId="80" xfId="2" applyNumberFormat="1" applyFont="1" applyFill="1" applyBorder="1" applyAlignment="1">
      <alignment horizontal="centerContinuous" vertical="center"/>
    </xf>
    <xf numFmtId="168" fontId="31" fillId="37" borderId="252" xfId="2" applyNumberFormat="1" applyFont="1" applyFill="1" applyBorder="1" applyAlignment="1">
      <alignment horizontal="centerContinuous" vertical="center"/>
    </xf>
    <xf numFmtId="168" fontId="31" fillId="37" borderId="85" xfId="2" applyNumberFormat="1" applyFont="1" applyFill="1" applyBorder="1" applyAlignment="1">
      <alignment horizontal="centerContinuous" vertical="center"/>
    </xf>
    <xf numFmtId="168" fontId="31" fillId="37" borderId="251" xfId="2" applyNumberFormat="1" applyFont="1" applyFill="1" applyBorder="1" applyAlignment="1">
      <alignment horizontal="centerContinuous" vertical="center"/>
    </xf>
    <xf numFmtId="0" fontId="31" fillId="18" borderId="100" xfId="0" applyFont="1" applyFill="1" applyBorder="1" applyAlignment="1">
      <alignment horizontal="right"/>
    </xf>
    <xf numFmtId="168" fontId="31" fillId="18" borderId="100" xfId="2" applyNumberFormat="1" applyFont="1" applyFill="1" applyBorder="1" applyAlignment="1">
      <alignment horizontal="centerContinuous" vertical="center"/>
    </xf>
    <xf numFmtId="168" fontId="31" fillId="18" borderId="154" xfId="2" applyNumberFormat="1" applyFont="1" applyFill="1" applyBorder="1" applyAlignment="1">
      <alignment horizontal="centerContinuous" vertical="center"/>
    </xf>
    <xf numFmtId="168" fontId="31" fillId="18" borderId="153" xfId="2" applyNumberFormat="1" applyFont="1" applyFill="1" applyBorder="1" applyAlignment="1">
      <alignment horizontal="centerContinuous" vertical="center"/>
    </xf>
    <xf numFmtId="10" fontId="31" fillId="18" borderId="153" xfId="2" applyNumberFormat="1" applyFont="1" applyFill="1" applyBorder="1" applyAlignment="1">
      <alignment horizontal="centerContinuous" vertical="center"/>
    </xf>
    <xf numFmtId="10" fontId="31" fillId="18" borderId="269" xfId="2" applyNumberFormat="1" applyFont="1" applyFill="1" applyBorder="1" applyAlignment="1">
      <alignment horizontal="centerContinuous" vertical="center"/>
    </xf>
    <xf numFmtId="0" fontId="28" fillId="45" borderId="199" xfId="0" applyFont="1" applyFill="1" applyBorder="1"/>
    <xf numFmtId="0" fontId="31" fillId="12" borderId="199" xfId="0" applyFont="1" applyFill="1" applyBorder="1" applyAlignment="1">
      <alignment horizontal="centerContinuous" vertical="center"/>
    </xf>
    <xf numFmtId="0" fontId="31" fillId="12" borderId="200" xfId="0" applyFont="1" applyFill="1" applyBorder="1" applyAlignment="1">
      <alignment horizontal="centerContinuous" vertical="center"/>
    </xf>
    <xf numFmtId="0" fontId="31" fillId="12" borderId="201" xfId="0" applyFont="1" applyFill="1" applyBorder="1" applyAlignment="1">
      <alignment horizontal="centerContinuous" vertical="center"/>
    </xf>
    <xf numFmtId="0" fontId="31" fillId="12" borderId="102" xfId="0" applyFont="1" applyFill="1" applyBorder="1" applyAlignment="1">
      <alignment horizontal="center" vertical="center" wrapText="1"/>
    </xf>
    <xf numFmtId="0" fontId="28" fillId="12" borderId="102" xfId="0" applyFont="1" applyFill="1" applyBorder="1" applyAlignment="1">
      <alignment horizontal="center" vertical="center" wrapText="1"/>
    </xf>
    <xf numFmtId="0" fontId="28" fillId="12" borderId="155" xfId="0" applyFont="1" applyFill="1" applyBorder="1" applyAlignment="1">
      <alignment horizontal="center" vertical="center" wrapText="1"/>
    </xf>
    <xf numFmtId="0" fontId="28" fillId="12" borderId="102" xfId="0" applyFont="1" applyFill="1" applyBorder="1" applyAlignment="1">
      <alignment horizontal="center" vertical="center"/>
    </xf>
    <xf numFmtId="0" fontId="28" fillId="12" borderId="155" xfId="0" applyFont="1" applyFill="1" applyBorder="1" applyAlignment="1">
      <alignment horizontal="center" vertical="center"/>
    </xf>
    <xf numFmtId="0" fontId="28" fillId="12" borderId="103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right"/>
    </xf>
    <xf numFmtId="169" fontId="31" fillId="14" borderId="0" xfId="0" applyNumberFormat="1" applyFont="1" applyFill="1" applyAlignment="1">
      <alignment horizontal="center" vertical="center"/>
    </xf>
    <xf numFmtId="1" fontId="28" fillId="14" borderId="0" xfId="0" applyNumberFormat="1" applyFont="1" applyFill="1" applyAlignment="1">
      <alignment horizontal="center"/>
    </xf>
    <xf numFmtId="169" fontId="31" fillId="14" borderId="44" xfId="0" applyNumberFormat="1" applyFont="1" applyFill="1" applyBorder="1" applyAlignment="1">
      <alignment horizontal="center" vertical="center"/>
    </xf>
    <xf numFmtId="1" fontId="28" fillId="14" borderId="45" xfId="0" applyNumberFormat="1" applyFont="1" applyFill="1" applyBorder="1" applyAlignment="1">
      <alignment horizontal="center"/>
    </xf>
    <xf numFmtId="169" fontId="31" fillId="13" borderId="44" xfId="0" applyNumberFormat="1" applyFont="1" applyFill="1" applyBorder="1" applyAlignment="1">
      <alignment horizontal="center" vertical="center"/>
    </xf>
    <xf numFmtId="1" fontId="28" fillId="13" borderId="157" xfId="0" applyNumberFormat="1" applyFont="1" applyFill="1" applyBorder="1" applyAlignment="1">
      <alignment horizontal="center"/>
    </xf>
    <xf numFmtId="169" fontId="29" fillId="14" borderId="44" xfId="0" applyNumberFormat="1" applyFont="1" applyFill="1" applyBorder="1" applyAlignment="1">
      <alignment horizontal="center" vertical="center"/>
    </xf>
    <xf numFmtId="1" fontId="32" fillId="14" borderId="45" xfId="0" applyNumberFormat="1" applyFont="1" applyFill="1" applyBorder="1" applyAlignment="1">
      <alignment horizontal="center"/>
    </xf>
    <xf numFmtId="0" fontId="28" fillId="13" borderId="226" xfId="0" applyFont="1" applyFill="1" applyBorder="1" applyAlignment="1">
      <alignment horizontal="right"/>
    </xf>
    <xf numFmtId="169" fontId="31" fillId="14" borderId="226" xfId="0" applyNumberFormat="1" applyFont="1" applyFill="1" applyBorder="1" applyAlignment="1">
      <alignment horizontal="center" vertical="center"/>
    </xf>
    <xf numFmtId="1" fontId="28" fillId="14" borderId="226" xfId="0" applyNumberFormat="1" applyFont="1" applyFill="1" applyBorder="1" applyAlignment="1">
      <alignment horizontal="center"/>
    </xf>
    <xf numFmtId="169" fontId="31" fillId="14" borderId="227" xfId="0" applyNumberFormat="1" applyFont="1" applyFill="1" applyBorder="1" applyAlignment="1">
      <alignment horizontal="center" vertical="center"/>
    </xf>
    <xf numFmtId="1" fontId="28" fillId="14" borderId="228" xfId="0" applyNumberFormat="1" applyFont="1" applyFill="1" applyBorder="1" applyAlignment="1">
      <alignment horizontal="center"/>
    </xf>
    <xf numFmtId="169" fontId="31" fillId="13" borderId="227" xfId="0" applyNumberFormat="1" applyFont="1" applyFill="1" applyBorder="1" applyAlignment="1">
      <alignment horizontal="center" vertical="center"/>
    </xf>
    <xf numFmtId="1" fontId="28" fillId="13" borderId="225" xfId="0" applyNumberFormat="1" applyFont="1" applyFill="1" applyBorder="1" applyAlignment="1">
      <alignment horizontal="center"/>
    </xf>
    <xf numFmtId="0" fontId="31" fillId="12" borderId="20" xfId="0" applyFont="1" applyFill="1" applyBorder="1" applyAlignment="1">
      <alignment horizontal="right" vertical="center" wrapText="1"/>
    </xf>
    <xf numFmtId="169" fontId="31" fillId="12" borderId="20" xfId="0" applyNumberFormat="1" applyFont="1" applyFill="1" applyBorder="1" applyAlignment="1">
      <alignment horizontal="center" vertical="center"/>
    </xf>
    <xf numFmtId="1" fontId="28" fillId="12" borderId="20" xfId="0" applyNumberFormat="1" applyFont="1" applyFill="1" applyBorder="1" applyAlignment="1">
      <alignment horizontal="center" vertical="center"/>
    </xf>
    <xf numFmtId="169" fontId="31" fillId="12" borderId="46" xfId="0" applyNumberFormat="1" applyFont="1" applyFill="1" applyBorder="1" applyAlignment="1">
      <alignment horizontal="center" vertical="center"/>
    </xf>
    <xf numFmtId="1" fontId="28" fillId="12" borderId="47" xfId="0" applyNumberFormat="1" applyFont="1" applyFill="1" applyBorder="1" applyAlignment="1">
      <alignment horizontal="center" vertical="center"/>
    </xf>
    <xf numFmtId="1" fontId="28" fillId="12" borderId="158" xfId="0" applyNumberFormat="1" applyFont="1" applyFill="1" applyBorder="1" applyAlignment="1">
      <alignment horizontal="center" vertical="center"/>
    </xf>
    <xf numFmtId="0" fontId="28" fillId="0" borderId="305" xfId="0" applyFont="1" applyBorder="1"/>
    <xf numFmtId="0" fontId="28" fillId="0" borderId="303" xfId="0" applyFont="1" applyBorder="1"/>
    <xf numFmtId="0" fontId="29" fillId="12" borderId="0" xfId="0" applyFont="1" applyFill="1" applyAlignment="1">
      <alignment horizontal="center" vertical="center" wrapText="1"/>
    </xf>
    <xf numFmtId="0" fontId="29" fillId="12" borderId="304" xfId="0" applyFont="1" applyFill="1" applyBorder="1" applyAlignment="1">
      <alignment horizontal="center" vertical="center" wrapText="1"/>
    </xf>
    <xf numFmtId="0" fontId="29" fillId="12" borderId="0" xfId="0" applyFont="1" applyFill="1" applyAlignment="1">
      <alignment horizontal="center" vertical="center"/>
    </xf>
    <xf numFmtId="0" fontId="29" fillId="12" borderId="304" xfId="0" applyFont="1" applyFill="1" applyBorder="1" applyAlignment="1">
      <alignment horizontal="center" vertical="center"/>
    </xf>
    <xf numFmtId="0" fontId="29" fillId="12" borderId="157" xfId="0" applyFont="1" applyFill="1" applyBorder="1" applyAlignment="1">
      <alignment horizontal="center" vertical="center" wrapText="1"/>
    </xf>
    <xf numFmtId="0" fontId="29" fillId="0" borderId="0" xfId="0" applyFont="1"/>
    <xf numFmtId="1" fontId="31" fillId="14" borderId="0" xfId="0" applyNumberFormat="1" applyFont="1" applyFill="1" applyAlignment="1">
      <alignment horizontal="center"/>
    </xf>
    <xf numFmtId="1" fontId="31" fillId="14" borderId="45" xfId="0" applyNumberFormat="1" applyFont="1" applyFill="1" applyBorder="1" applyAlignment="1">
      <alignment horizontal="center"/>
    </xf>
    <xf numFmtId="1" fontId="31" fillId="13" borderId="157" xfId="0" applyNumberFormat="1" applyFont="1" applyFill="1" applyBorder="1" applyAlignment="1">
      <alignment horizontal="center"/>
    </xf>
    <xf numFmtId="0" fontId="32" fillId="13" borderId="0" xfId="0" applyFont="1" applyFill="1" applyAlignment="1">
      <alignment horizontal="right"/>
    </xf>
    <xf numFmtId="169" fontId="29" fillId="14" borderId="0" xfId="0" applyNumberFormat="1" applyFont="1" applyFill="1" applyAlignment="1">
      <alignment horizontal="center" vertical="center"/>
    </xf>
    <xf numFmtId="1" fontId="29" fillId="14" borderId="0" xfId="0" applyNumberFormat="1" applyFont="1" applyFill="1" applyAlignment="1">
      <alignment horizontal="center"/>
    </xf>
    <xf numFmtId="1" fontId="29" fillId="14" borderId="45" xfId="0" applyNumberFormat="1" applyFont="1" applyFill="1" applyBorder="1" applyAlignment="1">
      <alignment horizontal="center"/>
    </xf>
    <xf numFmtId="169" fontId="29" fillId="13" borderId="44" xfId="0" applyNumberFormat="1" applyFont="1" applyFill="1" applyBorder="1" applyAlignment="1">
      <alignment horizontal="center" vertical="center"/>
    </xf>
    <xf numFmtId="1" fontId="29" fillId="13" borderId="157" xfId="0" applyNumberFormat="1" applyFont="1" applyFill="1" applyBorder="1" applyAlignment="1">
      <alignment horizontal="center"/>
    </xf>
    <xf numFmtId="1" fontId="31" fillId="12" borderId="20" xfId="0" applyNumberFormat="1" applyFont="1" applyFill="1" applyBorder="1" applyAlignment="1">
      <alignment horizontal="center" vertical="center"/>
    </xf>
    <xf numFmtId="1" fontId="31" fillId="12" borderId="47" xfId="0" applyNumberFormat="1" applyFont="1" applyFill="1" applyBorder="1" applyAlignment="1">
      <alignment horizontal="center" vertical="center"/>
    </xf>
    <xf numFmtId="1" fontId="31" fillId="12" borderId="158" xfId="0" applyNumberFormat="1" applyFont="1" applyFill="1" applyBorder="1" applyAlignment="1">
      <alignment horizontal="center" vertical="center"/>
    </xf>
    <xf numFmtId="169" fontId="31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1" fontId="28" fillId="0" borderId="157" xfId="0" applyNumberFormat="1" applyFont="1" applyBorder="1" applyAlignment="1">
      <alignment horizontal="center" vertical="center"/>
    </xf>
    <xf numFmtId="0" fontId="28" fillId="12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/>
    </xf>
    <xf numFmtId="0" fontId="28" fillId="12" borderId="157" xfId="0" applyFont="1" applyFill="1" applyBorder="1" applyAlignment="1">
      <alignment horizontal="center" vertical="center" wrapText="1"/>
    </xf>
    <xf numFmtId="0" fontId="29" fillId="12" borderId="12" xfId="0" applyFont="1" applyFill="1" applyBorder="1" applyAlignment="1">
      <alignment horizontal="center" vertical="center" wrapText="1"/>
    </xf>
    <xf numFmtId="0" fontId="29" fillId="12" borderId="14" xfId="0" applyFont="1" applyFill="1" applyBorder="1" applyAlignment="1">
      <alignment horizontal="center" vertical="center" wrapText="1"/>
    </xf>
    <xf numFmtId="0" fontId="29" fillId="12" borderId="12" xfId="0" applyFont="1" applyFill="1" applyBorder="1" applyAlignment="1">
      <alignment horizontal="center" vertical="center"/>
    </xf>
    <xf numFmtId="0" fontId="29" fillId="12" borderId="14" xfId="0" applyFont="1" applyFill="1" applyBorder="1" applyAlignment="1">
      <alignment horizontal="center" vertical="center"/>
    </xf>
    <xf numFmtId="0" fontId="29" fillId="12" borderId="159" xfId="0" applyFont="1" applyFill="1" applyBorder="1" applyAlignment="1">
      <alignment horizontal="center" vertical="center" wrapText="1"/>
    </xf>
    <xf numFmtId="2" fontId="31" fillId="14" borderId="0" xfId="0" applyNumberFormat="1" applyFont="1" applyFill="1" applyAlignment="1">
      <alignment horizontal="center" vertical="center"/>
    </xf>
    <xf numFmtId="2" fontId="41" fillId="14" borderId="83" xfId="0" applyNumberFormat="1" applyFont="1" applyFill="1" applyBorder="1" applyAlignment="1">
      <alignment horizontal="center" vertical="center"/>
    </xf>
    <xf numFmtId="2" fontId="31" fillId="13" borderId="0" xfId="0" applyNumberFormat="1" applyFont="1" applyFill="1" applyAlignment="1">
      <alignment horizontal="center" vertical="center"/>
    </xf>
    <xf numFmtId="2" fontId="42" fillId="13" borderId="157" xfId="0" applyNumberFormat="1" applyFont="1" applyFill="1" applyBorder="1" applyAlignment="1">
      <alignment horizontal="center" vertical="center"/>
    </xf>
    <xf numFmtId="2" fontId="31" fillId="14" borderId="226" xfId="0" applyNumberFormat="1" applyFont="1" applyFill="1" applyBorder="1" applyAlignment="1">
      <alignment horizontal="center" vertical="center"/>
    </xf>
    <xf numFmtId="2" fontId="41" fillId="14" borderId="229" xfId="0" applyNumberFormat="1" applyFont="1" applyFill="1" applyBorder="1" applyAlignment="1">
      <alignment horizontal="center" vertical="center"/>
    </xf>
    <xf numFmtId="2" fontId="31" fillId="13" borderId="226" xfId="0" applyNumberFormat="1" applyFont="1" applyFill="1" applyBorder="1" applyAlignment="1">
      <alignment horizontal="center" vertical="center"/>
    </xf>
    <xf numFmtId="2" fontId="42" fillId="13" borderId="225" xfId="0" applyNumberFormat="1" applyFont="1" applyFill="1" applyBorder="1" applyAlignment="1">
      <alignment horizontal="center" vertical="center"/>
    </xf>
    <xf numFmtId="0" fontId="31" fillId="12" borderId="105" xfId="0" applyFont="1" applyFill="1" applyBorder="1" applyAlignment="1">
      <alignment horizontal="right" vertical="center" wrapText="1"/>
    </xf>
    <xf numFmtId="2" fontId="31" fillId="12" borderId="105" xfId="0" applyNumberFormat="1" applyFont="1" applyFill="1" applyBorder="1" applyAlignment="1">
      <alignment horizontal="center" vertical="center"/>
    </xf>
    <xf numFmtId="2" fontId="41" fillId="12" borderId="160" xfId="0" applyNumberFormat="1" applyFont="1" applyFill="1" applyBorder="1" applyAlignment="1">
      <alignment horizontal="center" vertical="center"/>
    </xf>
    <xf numFmtId="2" fontId="41" fillId="12" borderId="106" xfId="0" applyNumberFormat="1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157" xfId="0" applyFont="1" applyFill="1" applyBorder="1" applyAlignment="1">
      <alignment horizontal="center"/>
    </xf>
    <xf numFmtId="0" fontId="31" fillId="13" borderId="227" xfId="0" applyFont="1" applyFill="1" applyBorder="1" applyAlignment="1">
      <alignment horizontal="center" vertical="center"/>
    </xf>
    <xf numFmtId="0" fontId="31" fillId="13" borderId="225" xfId="0" applyFont="1" applyFill="1" applyBorder="1" applyAlignment="1">
      <alignment horizontal="center"/>
    </xf>
    <xf numFmtId="0" fontId="29" fillId="13" borderId="44" xfId="0" applyFont="1" applyFill="1" applyBorder="1" applyAlignment="1">
      <alignment horizontal="center" vertical="center"/>
    </xf>
    <xf numFmtId="0" fontId="29" fillId="13" borderId="157" xfId="0" applyFont="1" applyFill="1" applyBorder="1" applyAlignment="1">
      <alignment horizontal="center"/>
    </xf>
    <xf numFmtId="0" fontId="31" fillId="12" borderId="20" xfId="0" applyFont="1" applyFill="1" applyBorder="1" applyAlignment="1">
      <alignment horizontal="center" vertical="center"/>
    </xf>
    <xf numFmtId="0" fontId="31" fillId="12" borderId="158" xfId="0" applyFont="1" applyFill="1" applyBorder="1" applyAlignment="1">
      <alignment horizontal="center" vertical="center"/>
    </xf>
    <xf numFmtId="0" fontId="28" fillId="0" borderId="157" xfId="0" applyFont="1" applyBorder="1"/>
    <xf numFmtId="0" fontId="31" fillId="0" borderId="0" xfId="0" applyFont="1"/>
    <xf numFmtId="0" fontId="41" fillId="14" borderId="0" xfId="0" applyFont="1" applyFill="1" applyAlignment="1">
      <alignment horizontal="center" vertical="center"/>
    </xf>
    <xf numFmtId="9" fontId="43" fillId="14" borderId="0" xfId="2" applyFont="1" applyFill="1" applyBorder="1" applyAlignment="1">
      <alignment horizontal="center"/>
    </xf>
    <xf numFmtId="0" fontId="41" fillId="14" borderId="44" xfId="0" applyFont="1" applyFill="1" applyBorder="1" applyAlignment="1">
      <alignment horizontal="center" vertical="center"/>
    </xf>
    <xf numFmtId="9" fontId="43" fillId="14" borderId="45" xfId="2" applyFont="1" applyFill="1" applyBorder="1" applyAlignment="1">
      <alignment horizontal="center"/>
    </xf>
    <xf numFmtId="0" fontId="42" fillId="13" borderId="44" xfId="0" applyFont="1" applyFill="1" applyBorder="1" applyAlignment="1">
      <alignment horizontal="center" vertical="center"/>
    </xf>
    <xf numFmtId="9" fontId="44" fillId="13" borderId="157" xfId="2" applyFont="1" applyFill="1" applyBorder="1" applyAlignment="1">
      <alignment horizontal="center"/>
    </xf>
    <xf numFmtId="0" fontId="31" fillId="12" borderId="105" xfId="0" applyFont="1" applyFill="1" applyBorder="1" applyAlignment="1">
      <alignment horizontal="center" vertical="center"/>
    </xf>
    <xf numFmtId="168" fontId="28" fillId="12" borderId="105" xfId="2" applyNumberFormat="1" applyFont="1" applyFill="1" applyBorder="1" applyAlignment="1">
      <alignment horizontal="center" vertical="center"/>
    </xf>
    <xf numFmtId="0" fontId="31" fillId="12" borderId="161" xfId="0" applyFont="1" applyFill="1" applyBorder="1" applyAlignment="1">
      <alignment horizontal="center" vertical="center"/>
    </xf>
    <xf numFmtId="168" fontId="28" fillId="12" borderId="106" xfId="2" applyNumberFormat="1" applyFont="1" applyFill="1" applyBorder="1" applyAlignment="1">
      <alignment horizontal="center" vertical="center"/>
    </xf>
    <xf numFmtId="1" fontId="31" fillId="13" borderId="13" xfId="0" applyNumberFormat="1" applyFont="1" applyFill="1" applyBorder="1" applyAlignment="1">
      <alignment horizontal="center" vertical="center"/>
    </xf>
    <xf numFmtId="165" fontId="32" fillId="13" borderId="157" xfId="0" applyNumberFormat="1" applyFont="1" applyFill="1" applyBorder="1" applyAlignment="1">
      <alignment horizontal="center" vertical="center"/>
    </xf>
    <xf numFmtId="1" fontId="29" fillId="13" borderId="230" xfId="0" applyNumberFormat="1" applyFont="1" applyFill="1" applyBorder="1" applyAlignment="1">
      <alignment horizontal="center" vertical="center"/>
    </xf>
    <xf numFmtId="165" fontId="32" fillId="13" borderId="225" xfId="0" applyNumberFormat="1" applyFont="1" applyFill="1" applyBorder="1" applyAlignment="1">
      <alignment horizontal="center" vertical="center"/>
    </xf>
    <xf numFmtId="1" fontId="29" fillId="13" borderId="13" xfId="0" applyNumberFormat="1" applyFont="1" applyFill="1" applyBorder="1" applyAlignment="1">
      <alignment horizontal="center" vertical="center"/>
    </xf>
    <xf numFmtId="164" fontId="28" fillId="12" borderId="20" xfId="0" applyNumberFormat="1" applyFont="1" applyFill="1" applyBorder="1" applyAlignment="1">
      <alignment horizontal="center" vertical="center"/>
    </xf>
    <xf numFmtId="1" fontId="31" fillId="12" borderId="46" xfId="0" applyNumberFormat="1" applyFont="1" applyFill="1" applyBorder="1" applyAlignment="1">
      <alignment horizontal="center" vertical="center"/>
    </xf>
    <xf numFmtId="164" fontId="28" fillId="12" borderId="47" xfId="0" applyNumberFormat="1" applyFont="1" applyFill="1" applyBorder="1" applyAlignment="1">
      <alignment horizontal="center" vertical="center"/>
    </xf>
    <xf numFmtId="164" fontId="28" fillId="12" borderId="158" xfId="0" applyNumberFormat="1" applyFont="1" applyFill="1" applyBorder="1" applyAlignment="1">
      <alignment horizontal="center" vertical="center"/>
    </xf>
    <xf numFmtId="1" fontId="31" fillId="12" borderId="105" xfId="0" applyNumberFormat="1" applyFont="1" applyFill="1" applyBorder="1" applyAlignment="1">
      <alignment horizontal="center" vertical="center"/>
    </xf>
    <xf numFmtId="165" fontId="28" fillId="12" borderId="105" xfId="0" applyNumberFormat="1" applyFont="1" applyFill="1" applyBorder="1" applyAlignment="1">
      <alignment horizontal="center" vertical="center"/>
    </xf>
    <xf numFmtId="1" fontId="31" fillId="12" borderId="161" xfId="0" applyNumberFormat="1" applyFont="1" applyFill="1" applyBorder="1" applyAlignment="1">
      <alignment horizontal="center" vertical="center"/>
    </xf>
    <xf numFmtId="165" fontId="28" fillId="12" borderId="162" xfId="0" applyNumberFormat="1" applyFont="1" applyFill="1" applyBorder="1" applyAlignment="1">
      <alignment horizontal="center" vertical="center"/>
    </xf>
    <xf numFmtId="165" fontId="28" fillId="12" borderId="106" xfId="0" applyNumberFormat="1" applyFont="1" applyFill="1" applyBorder="1" applyAlignment="1">
      <alignment horizontal="center" vertical="center"/>
    </xf>
    <xf numFmtId="0" fontId="28" fillId="46" borderId="202" xfId="0" applyFont="1" applyFill="1" applyBorder="1"/>
    <xf numFmtId="0" fontId="31" fillId="0" borderId="0" xfId="0" applyFont="1" applyAlignment="1">
      <alignment horizontal="center" vertical="center"/>
    </xf>
    <xf numFmtId="0" fontId="31" fillId="23" borderId="89" xfId="0" applyFont="1" applyFill="1" applyBorder="1" applyAlignment="1">
      <alignment horizontal="center" vertical="center" wrapText="1"/>
    </xf>
    <xf numFmtId="0" fontId="28" fillId="23" borderId="89" xfId="0" applyFont="1" applyFill="1" applyBorder="1" applyAlignment="1">
      <alignment horizontal="center" vertical="center" wrapText="1"/>
    </xf>
    <xf numFmtId="10" fontId="31" fillId="23" borderId="89" xfId="0" applyNumberFormat="1" applyFont="1" applyFill="1" applyBorder="1" applyAlignment="1">
      <alignment horizontal="center" vertical="center" wrapText="1"/>
    </xf>
    <xf numFmtId="0" fontId="28" fillId="23" borderId="163" xfId="0" applyFont="1" applyFill="1" applyBorder="1" applyAlignment="1">
      <alignment horizontal="center" vertical="center" wrapText="1"/>
    </xf>
    <xf numFmtId="10" fontId="31" fillId="23" borderId="164" xfId="0" applyNumberFormat="1" applyFont="1" applyFill="1" applyBorder="1" applyAlignment="1">
      <alignment horizontal="center" vertical="center" wrapText="1"/>
    </xf>
    <xf numFmtId="0" fontId="28" fillId="23" borderId="89" xfId="0" applyFont="1" applyFill="1" applyBorder="1" applyAlignment="1">
      <alignment horizontal="center" vertical="center"/>
    </xf>
    <xf numFmtId="10" fontId="31" fillId="23" borderId="89" xfId="0" applyNumberFormat="1" applyFont="1" applyFill="1" applyBorder="1" applyAlignment="1">
      <alignment horizontal="center" vertical="center"/>
    </xf>
    <xf numFmtId="0" fontId="28" fillId="23" borderId="163" xfId="0" applyFont="1" applyFill="1" applyBorder="1" applyAlignment="1">
      <alignment horizontal="center" vertical="center"/>
    </xf>
    <xf numFmtId="10" fontId="31" fillId="23" borderId="164" xfId="0" applyNumberFormat="1" applyFont="1" applyFill="1" applyBorder="1" applyAlignment="1">
      <alignment horizontal="center" vertical="center"/>
    </xf>
    <xf numFmtId="10" fontId="31" fillId="23" borderId="90" xfId="0" applyNumberFormat="1" applyFont="1" applyFill="1" applyBorder="1" applyAlignment="1">
      <alignment horizontal="center" vertical="center"/>
    </xf>
    <xf numFmtId="0" fontId="28" fillId="24" borderId="0" xfId="0" applyFont="1" applyFill="1" applyAlignment="1">
      <alignment horizontal="right"/>
    </xf>
    <xf numFmtId="164" fontId="28" fillId="22" borderId="0" xfId="0" applyNumberFormat="1" applyFont="1" applyFill="1" applyAlignment="1">
      <alignment horizontal="center"/>
    </xf>
    <xf numFmtId="164" fontId="28" fillId="22" borderId="28" xfId="0" applyNumberFormat="1" applyFont="1" applyFill="1" applyBorder="1" applyAlignment="1">
      <alignment horizontal="center"/>
    </xf>
    <xf numFmtId="10" fontId="36" fillId="22" borderId="29" xfId="0" applyNumberFormat="1" applyFont="1" applyFill="1" applyBorder="1" applyAlignment="1">
      <alignment horizontal="center"/>
    </xf>
    <xf numFmtId="10" fontId="36" fillId="22" borderId="29" xfId="2" applyNumberFormat="1" applyFont="1" applyFill="1" applyBorder="1" applyAlignment="1">
      <alignment horizontal="center"/>
    </xf>
    <xf numFmtId="44" fontId="28" fillId="24" borderId="0" xfId="0" applyNumberFormat="1" applyFont="1" applyFill="1" applyAlignment="1">
      <alignment horizontal="center"/>
    </xf>
    <xf numFmtId="10" fontId="36" fillId="24" borderId="166" xfId="0" applyNumberFormat="1" applyFont="1" applyFill="1" applyBorder="1" applyAlignment="1">
      <alignment horizontal="center"/>
    </xf>
    <xf numFmtId="44" fontId="28" fillId="22" borderId="0" xfId="0" applyNumberFormat="1" applyFont="1" applyFill="1" applyAlignment="1">
      <alignment horizontal="center"/>
    </xf>
    <xf numFmtId="44" fontId="28" fillId="22" borderId="28" xfId="0" applyNumberFormat="1" applyFont="1" applyFill="1" applyBorder="1" applyAlignment="1">
      <alignment horizontal="center"/>
    </xf>
    <xf numFmtId="10" fontId="35" fillId="22" borderId="0" xfId="0" applyNumberFormat="1" applyFont="1" applyFill="1" applyAlignment="1">
      <alignment horizontal="center"/>
    </xf>
    <xf numFmtId="10" fontId="36" fillId="22" borderId="0" xfId="0" applyNumberFormat="1" applyFont="1" applyFill="1" applyAlignment="1">
      <alignment horizontal="center"/>
    </xf>
    <xf numFmtId="10" fontId="35" fillId="22" borderId="29" xfId="0" applyNumberFormat="1" applyFont="1" applyFill="1" applyBorder="1" applyAlignment="1">
      <alignment horizontal="center"/>
    </xf>
    <xf numFmtId="10" fontId="35" fillId="24" borderId="166" xfId="0" applyNumberFormat="1" applyFont="1" applyFill="1" applyBorder="1" applyAlignment="1">
      <alignment horizontal="center"/>
    </xf>
    <xf numFmtId="0" fontId="28" fillId="24" borderId="194" xfId="0" applyFont="1" applyFill="1" applyBorder="1" applyAlignment="1">
      <alignment horizontal="right"/>
    </xf>
    <xf numFmtId="10" fontId="35" fillId="22" borderId="254" xfId="0" applyNumberFormat="1" applyFont="1" applyFill="1" applyBorder="1" applyAlignment="1">
      <alignment horizontal="center"/>
    </xf>
    <xf numFmtId="44" fontId="28" fillId="22" borderId="29" xfId="0" applyNumberFormat="1" applyFont="1" applyFill="1" applyBorder="1" applyAlignment="1">
      <alignment horizontal="center"/>
    </xf>
    <xf numFmtId="44" fontId="28" fillId="24" borderId="166" xfId="0" applyNumberFormat="1" applyFont="1" applyFill="1" applyBorder="1" applyAlignment="1">
      <alignment horizontal="center"/>
    </xf>
    <xf numFmtId="0" fontId="29" fillId="23" borderId="31" xfId="0" applyFont="1" applyFill="1" applyBorder="1" applyAlignment="1">
      <alignment horizontal="right" vertical="center" wrapText="1"/>
    </xf>
    <xf numFmtId="0" fontId="28" fillId="0" borderId="166" xfId="0" applyFont="1" applyBorder="1"/>
    <xf numFmtId="0" fontId="31" fillId="23" borderId="26" xfId="0" applyFont="1" applyFill="1" applyBorder="1" applyAlignment="1">
      <alignment horizontal="center" vertical="center" wrapText="1"/>
    </xf>
    <xf numFmtId="0" fontId="28" fillId="23" borderId="26" xfId="0" applyFont="1" applyFill="1" applyBorder="1" applyAlignment="1">
      <alignment horizontal="center" vertical="center" wrapText="1"/>
    </xf>
    <xf numFmtId="10" fontId="31" fillId="23" borderId="26" xfId="0" applyNumberFormat="1" applyFont="1" applyFill="1" applyBorder="1" applyAlignment="1">
      <alignment horizontal="center" vertical="center" wrapText="1"/>
    </xf>
    <xf numFmtId="0" fontId="28" fillId="23" borderId="25" xfId="0" applyFont="1" applyFill="1" applyBorder="1" applyAlignment="1">
      <alignment horizontal="center" vertical="center" wrapText="1"/>
    </xf>
    <xf numFmtId="10" fontId="31" fillId="23" borderId="27" xfId="0" applyNumberFormat="1" applyFont="1" applyFill="1" applyBorder="1" applyAlignment="1">
      <alignment horizontal="center" vertical="center" wrapText="1"/>
    </xf>
    <xf numFmtId="0" fontId="28" fillId="23" borderId="26" xfId="0" applyFont="1" applyFill="1" applyBorder="1" applyAlignment="1">
      <alignment horizontal="center" vertical="center"/>
    </xf>
    <xf numFmtId="10" fontId="31" fillId="23" borderId="26" xfId="0" applyNumberFormat="1" applyFont="1" applyFill="1" applyBorder="1" applyAlignment="1">
      <alignment horizontal="center" vertical="center"/>
    </xf>
    <xf numFmtId="0" fontId="28" fillId="23" borderId="25" xfId="0" applyFont="1" applyFill="1" applyBorder="1" applyAlignment="1">
      <alignment horizontal="center" vertical="center"/>
    </xf>
    <xf numFmtId="10" fontId="31" fillId="23" borderId="27" xfId="0" applyNumberFormat="1" applyFont="1" applyFill="1" applyBorder="1" applyAlignment="1">
      <alignment horizontal="center" vertical="center"/>
    </xf>
    <xf numFmtId="10" fontId="31" fillId="23" borderId="168" xfId="0" applyNumberFormat="1" applyFont="1" applyFill="1" applyBorder="1" applyAlignment="1">
      <alignment horizontal="center" vertical="center"/>
    </xf>
    <xf numFmtId="10" fontId="35" fillId="22" borderId="29" xfId="2" applyNumberFormat="1" applyFont="1" applyFill="1" applyBorder="1" applyAlignment="1">
      <alignment horizontal="center"/>
    </xf>
    <xf numFmtId="10" fontId="35" fillId="24" borderId="166" xfId="2" applyNumberFormat="1" applyFont="1" applyFill="1" applyBorder="1" applyAlignment="1">
      <alignment horizontal="center"/>
    </xf>
    <xf numFmtId="0" fontId="29" fillId="23" borderId="92" xfId="0" applyFont="1" applyFill="1" applyBorder="1" applyAlignment="1">
      <alignment horizontal="right" vertical="center" wrapText="1"/>
    </xf>
    <xf numFmtId="10" fontId="29" fillId="23" borderId="89" xfId="0" applyNumberFormat="1" applyFont="1" applyFill="1" applyBorder="1" applyAlignment="1">
      <alignment horizontal="center" vertical="center" wrapText="1"/>
    </xf>
    <xf numFmtId="44" fontId="28" fillId="22" borderId="0" xfId="0" applyNumberFormat="1" applyFont="1" applyFill="1"/>
    <xf numFmtId="10" fontId="31" fillId="22" borderId="0" xfId="0" applyNumberFormat="1" applyFont="1" applyFill="1" applyAlignment="1">
      <alignment horizontal="center"/>
    </xf>
    <xf numFmtId="44" fontId="28" fillId="22" borderId="28" xfId="0" applyNumberFormat="1" applyFont="1" applyFill="1" applyBorder="1"/>
    <xf numFmtId="10" fontId="31" fillId="22" borderId="29" xfId="0" applyNumberFormat="1" applyFont="1" applyFill="1" applyBorder="1"/>
    <xf numFmtId="44" fontId="28" fillId="24" borderId="28" xfId="0" applyNumberFormat="1" applyFont="1" applyFill="1" applyBorder="1"/>
    <xf numFmtId="10" fontId="31" fillId="24" borderId="166" xfId="0" applyNumberFormat="1" applyFont="1" applyFill="1" applyBorder="1"/>
    <xf numFmtId="44" fontId="32" fillId="22" borderId="0" xfId="0" applyNumberFormat="1" applyFont="1" applyFill="1"/>
    <xf numFmtId="10" fontId="29" fillId="22" borderId="0" xfId="0" applyNumberFormat="1" applyFont="1" applyFill="1" applyAlignment="1">
      <alignment horizontal="center"/>
    </xf>
    <xf numFmtId="44" fontId="32" fillId="22" borderId="28" xfId="0" applyNumberFormat="1" applyFont="1" applyFill="1" applyBorder="1"/>
    <xf numFmtId="10" fontId="29" fillId="22" borderId="29" xfId="0" applyNumberFormat="1" applyFont="1" applyFill="1" applyBorder="1"/>
    <xf numFmtId="44" fontId="32" fillId="24" borderId="28" xfId="0" applyNumberFormat="1" applyFont="1" applyFill="1" applyBorder="1"/>
    <xf numFmtId="10" fontId="29" fillId="24" borderId="166" xfId="0" applyNumberFormat="1" applyFont="1" applyFill="1" applyBorder="1"/>
    <xf numFmtId="0" fontId="32" fillId="24" borderId="0" xfId="0" applyFont="1" applyFill="1" applyAlignment="1">
      <alignment horizontal="right"/>
    </xf>
    <xf numFmtId="0" fontId="32" fillId="24" borderId="194" xfId="0" applyFont="1" applyFill="1" applyBorder="1" applyAlignment="1">
      <alignment horizontal="right"/>
    </xf>
    <xf numFmtId="44" fontId="32" fillId="22" borderId="194" xfId="0" applyNumberFormat="1" applyFont="1" applyFill="1" applyBorder="1"/>
    <xf numFmtId="10" fontId="29" fillId="22" borderId="194" xfId="0" applyNumberFormat="1" applyFont="1" applyFill="1" applyBorder="1" applyAlignment="1">
      <alignment horizontal="center"/>
    </xf>
    <xf numFmtId="44" fontId="32" fillId="22" borderId="195" xfId="0" applyNumberFormat="1" applyFont="1" applyFill="1" applyBorder="1"/>
    <xf numFmtId="10" fontId="29" fillId="22" borderId="196" xfId="0" applyNumberFormat="1" applyFont="1" applyFill="1" applyBorder="1"/>
    <xf numFmtId="44" fontId="32" fillId="24" borderId="195" xfId="0" applyNumberFormat="1" applyFont="1" applyFill="1" applyBorder="1"/>
    <xf numFmtId="10" fontId="29" fillId="24" borderId="193" xfId="0" applyNumberFormat="1" applyFont="1" applyFill="1" applyBorder="1"/>
    <xf numFmtId="10" fontId="45" fillId="22" borderId="0" xfId="0" applyNumberFormat="1" applyFont="1" applyFill="1" applyAlignment="1">
      <alignment horizontal="center"/>
    </xf>
    <xf numFmtId="10" fontId="45" fillId="22" borderId="29" xfId="0" applyNumberFormat="1" applyFont="1" applyFill="1" applyBorder="1"/>
    <xf numFmtId="10" fontId="45" fillId="24" borderId="166" xfId="0" applyNumberFormat="1" applyFont="1" applyFill="1" applyBorder="1"/>
    <xf numFmtId="0" fontId="31" fillId="23" borderId="31" xfId="0" applyFont="1" applyFill="1" applyBorder="1" applyAlignment="1">
      <alignment horizontal="right" vertical="center" wrapText="1"/>
    </xf>
    <xf numFmtId="0" fontId="28" fillId="23" borderId="168" xfId="0" applyFont="1" applyFill="1" applyBorder="1" applyAlignment="1">
      <alignment horizontal="center" vertical="center"/>
    </xf>
    <xf numFmtId="10" fontId="31" fillId="22" borderId="0" xfId="0" applyNumberFormat="1" applyFont="1" applyFill="1"/>
    <xf numFmtId="10" fontId="29" fillId="22" borderId="0" xfId="0" applyNumberFormat="1" applyFont="1" applyFill="1"/>
    <xf numFmtId="169" fontId="32" fillId="22" borderId="0" xfId="0" applyNumberFormat="1" applyFont="1" applyFill="1"/>
    <xf numFmtId="169" fontId="32" fillId="22" borderId="28" xfId="0" applyNumberFormat="1" applyFont="1" applyFill="1" applyBorder="1"/>
    <xf numFmtId="169" fontId="32" fillId="24" borderId="28" xfId="0" applyNumberFormat="1" applyFont="1" applyFill="1" applyBorder="1"/>
    <xf numFmtId="10" fontId="31" fillId="22" borderId="29" xfId="2" applyNumberFormat="1" applyFont="1" applyFill="1" applyBorder="1" applyAlignment="1">
      <alignment horizontal="center"/>
    </xf>
    <xf numFmtId="10" fontId="31" fillId="24" borderId="166" xfId="2" applyNumberFormat="1" applyFont="1" applyFill="1" applyBorder="1" applyAlignment="1">
      <alignment horizontal="center"/>
    </xf>
    <xf numFmtId="44" fontId="32" fillId="22" borderId="0" xfId="0" applyNumberFormat="1" applyFont="1" applyFill="1" applyAlignment="1">
      <alignment horizontal="center"/>
    </xf>
    <xf numFmtId="10" fontId="29" fillId="22" borderId="29" xfId="2" applyNumberFormat="1" applyFont="1" applyFill="1" applyBorder="1" applyAlignment="1">
      <alignment horizontal="center"/>
    </xf>
    <xf numFmtId="44" fontId="32" fillId="22" borderId="28" xfId="0" applyNumberFormat="1" applyFont="1" applyFill="1" applyBorder="1" applyAlignment="1">
      <alignment horizontal="center"/>
    </xf>
    <xf numFmtId="44" fontId="32" fillId="24" borderId="0" xfId="0" applyNumberFormat="1" applyFont="1" applyFill="1" applyAlignment="1">
      <alignment horizontal="center"/>
    </xf>
    <xf numFmtId="10" fontId="45" fillId="24" borderId="166" xfId="2" applyNumberFormat="1" applyFont="1" applyFill="1" applyBorder="1" applyAlignment="1">
      <alignment horizontal="center"/>
    </xf>
    <xf numFmtId="10" fontId="29" fillId="24" borderId="166" xfId="2" applyNumberFormat="1" applyFont="1" applyFill="1" applyBorder="1" applyAlignment="1">
      <alignment horizontal="center"/>
    </xf>
    <xf numFmtId="44" fontId="32" fillId="22" borderId="194" xfId="0" applyNumberFormat="1" applyFont="1" applyFill="1" applyBorder="1" applyAlignment="1">
      <alignment horizontal="center"/>
    </xf>
    <xf numFmtId="10" fontId="29" fillId="22" borderId="196" xfId="2" applyNumberFormat="1" applyFont="1" applyFill="1" applyBorder="1" applyAlignment="1">
      <alignment horizontal="center"/>
    </xf>
    <xf numFmtId="44" fontId="32" fillId="22" borderId="195" xfId="0" applyNumberFormat="1" applyFont="1" applyFill="1" applyBorder="1" applyAlignment="1">
      <alignment horizontal="center"/>
    </xf>
    <xf numFmtId="44" fontId="32" fillId="24" borderId="194" xfId="0" applyNumberFormat="1" applyFont="1" applyFill="1" applyBorder="1" applyAlignment="1">
      <alignment horizontal="center"/>
    </xf>
    <xf numFmtId="10" fontId="29" fillId="24" borderId="193" xfId="2" applyNumberFormat="1" applyFont="1" applyFill="1" applyBorder="1" applyAlignment="1">
      <alignment horizontal="center"/>
    </xf>
    <xf numFmtId="0" fontId="31" fillId="23" borderId="92" xfId="0" applyFont="1" applyFill="1" applyBorder="1" applyAlignment="1">
      <alignment horizontal="right" vertical="center" wrapText="1"/>
    </xf>
    <xf numFmtId="44" fontId="28" fillId="23" borderId="92" xfId="0" applyNumberFormat="1" applyFont="1" applyFill="1" applyBorder="1" applyAlignment="1">
      <alignment horizontal="center" vertical="center"/>
    </xf>
    <xf numFmtId="10" fontId="31" fillId="23" borderId="92" xfId="2" applyNumberFormat="1" applyFont="1" applyFill="1" applyBorder="1" applyAlignment="1">
      <alignment horizontal="center" vertical="center"/>
    </xf>
    <xf numFmtId="44" fontId="28" fillId="23" borderId="169" xfId="0" applyNumberFormat="1" applyFont="1" applyFill="1" applyBorder="1" applyAlignment="1">
      <alignment horizontal="center" vertical="center"/>
    </xf>
    <xf numFmtId="10" fontId="29" fillId="23" borderId="93" xfId="2" applyNumberFormat="1" applyFont="1" applyFill="1" applyBorder="1" applyAlignment="1">
      <alignment horizontal="center" vertical="center"/>
    </xf>
    <xf numFmtId="0" fontId="31" fillId="28" borderId="107" xfId="0" applyFont="1" applyFill="1" applyBorder="1" applyAlignment="1">
      <alignment horizontal="center" vertical="center" wrapText="1"/>
    </xf>
    <xf numFmtId="0" fontId="28" fillId="28" borderId="108" xfId="0" applyFont="1" applyFill="1" applyBorder="1" applyAlignment="1">
      <alignment horizontal="center" vertical="center" wrapText="1"/>
    </xf>
    <xf numFmtId="0" fontId="28" fillId="28" borderId="109" xfId="0" applyFont="1" applyFill="1" applyBorder="1" applyAlignment="1">
      <alignment horizontal="center" vertical="center" wrapText="1"/>
    </xf>
    <xf numFmtId="0" fontId="28" fillId="28" borderId="110" xfId="0" applyFont="1" applyFill="1" applyBorder="1" applyAlignment="1">
      <alignment horizontal="center" vertical="center" wrapText="1"/>
    </xf>
    <xf numFmtId="0" fontId="28" fillId="28" borderId="110" xfId="0" applyFont="1" applyFill="1" applyBorder="1" applyAlignment="1">
      <alignment horizontal="center" vertical="center"/>
    </xf>
    <xf numFmtId="0" fontId="28" fillId="28" borderId="111" xfId="0" applyFont="1" applyFill="1" applyBorder="1" applyAlignment="1">
      <alignment horizontal="center" vertical="center" wrapText="1"/>
    </xf>
    <xf numFmtId="0" fontId="28" fillId="29" borderId="112" xfId="0" applyFont="1" applyFill="1" applyBorder="1" applyAlignment="1">
      <alignment horizontal="right" vertical="center"/>
    </xf>
    <xf numFmtId="165" fontId="31" fillId="38" borderId="79" xfId="0" applyNumberFormat="1" applyFont="1" applyFill="1" applyBorder="1" applyAlignment="1">
      <alignment horizontal="center" vertical="center"/>
    </xf>
    <xf numFmtId="17" fontId="28" fillId="38" borderId="78" xfId="0" applyNumberFormat="1" applyFont="1" applyFill="1" applyBorder="1" applyAlignment="1">
      <alignment horizontal="center" vertical="center"/>
    </xf>
    <xf numFmtId="165" fontId="31" fillId="38" borderId="77" xfId="0" applyNumberFormat="1" applyFont="1" applyFill="1" applyBorder="1" applyAlignment="1">
      <alignment horizontal="center" vertical="center"/>
    </xf>
    <xf numFmtId="164" fontId="31" fillId="38" borderId="77" xfId="1" applyNumberFormat="1" applyFont="1" applyFill="1" applyBorder="1" applyAlignment="1">
      <alignment horizontal="center" vertical="center"/>
    </xf>
    <xf numFmtId="172" fontId="28" fillId="38" borderId="78" xfId="0" applyNumberFormat="1" applyFont="1" applyFill="1" applyBorder="1" applyAlignment="1">
      <alignment horizontal="center" vertical="center"/>
    </xf>
    <xf numFmtId="17" fontId="28" fillId="38" borderId="113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38" borderId="78" xfId="0" applyFont="1" applyFill="1" applyBorder="1" applyAlignment="1">
      <alignment horizontal="center" vertical="center"/>
    </xf>
    <xf numFmtId="14" fontId="28" fillId="38" borderId="78" xfId="0" applyNumberFormat="1" applyFont="1" applyFill="1" applyBorder="1" applyAlignment="1">
      <alignment horizontal="center" vertical="center"/>
    </xf>
    <xf numFmtId="170" fontId="28" fillId="38" borderId="78" xfId="0" applyNumberFormat="1" applyFont="1" applyFill="1" applyBorder="1" applyAlignment="1">
      <alignment horizontal="center" vertical="center"/>
    </xf>
    <xf numFmtId="170" fontId="28" fillId="38" borderId="113" xfId="0" applyNumberFormat="1" applyFont="1" applyFill="1" applyBorder="1" applyAlignment="1">
      <alignment horizontal="center" vertical="center"/>
    </xf>
    <xf numFmtId="165" fontId="31" fillId="38" borderId="77" xfId="1" applyNumberFormat="1" applyFont="1" applyFill="1" applyBorder="1" applyAlignment="1">
      <alignment horizontal="center" vertical="center"/>
    </xf>
    <xf numFmtId="0" fontId="31" fillId="38" borderId="79" xfId="0" applyFont="1" applyFill="1" applyBorder="1" applyAlignment="1">
      <alignment horizontal="center" vertical="center"/>
    </xf>
    <xf numFmtId="0" fontId="31" fillId="38" borderId="77" xfId="0" applyFont="1" applyFill="1" applyBorder="1" applyAlignment="1">
      <alignment horizontal="center" vertical="center"/>
    </xf>
    <xf numFmtId="171" fontId="28" fillId="38" borderId="78" xfId="0" applyNumberFormat="1" applyFont="1" applyFill="1" applyBorder="1" applyAlignment="1">
      <alignment horizontal="center" vertical="center"/>
    </xf>
    <xf numFmtId="6" fontId="31" fillId="38" borderId="77" xfId="0" applyNumberFormat="1" applyFont="1" applyFill="1" applyBorder="1" applyAlignment="1">
      <alignment horizontal="center" vertical="center"/>
    </xf>
    <xf numFmtId="3" fontId="31" fillId="38" borderId="79" xfId="0" applyNumberFormat="1" applyFont="1" applyFill="1" applyBorder="1" applyAlignment="1">
      <alignment horizontal="center" vertical="center"/>
    </xf>
    <xf numFmtId="0" fontId="28" fillId="28" borderId="112" xfId="0" applyFont="1" applyFill="1" applyBorder="1" applyAlignment="1">
      <alignment horizontal="right"/>
    </xf>
    <xf numFmtId="0" fontId="31" fillId="28" borderId="114" xfId="0" applyFont="1" applyFill="1" applyBorder="1" applyAlignment="1">
      <alignment horizontal="center" vertical="center" wrapText="1"/>
    </xf>
    <xf numFmtId="0" fontId="47" fillId="42" borderId="101" xfId="0" applyFont="1" applyFill="1" applyBorder="1" applyAlignment="1">
      <alignment horizontal="centerContinuous" vertical="center"/>
    </xf>
    <xf numFmtId="0" fontId="47" fillId="42" borderId="102" xfId="0" applyFont="1" applyFill="1" applyBorder="1" applyAlignment="1">
      <alignment horizontal="centerContinuous" vertical="center"/>
    </xf>
    <xf numFmtId="0" fontId="47" fillId="42" borderId="102" xfId="0" applyFont="1" applyFill="1" applyBorder="1" applyAlignment="1">
      <alignment horizontal="center" vertical="center"/>
    </xf>
    <xf numFmtId="0" fontId="48" fillId="42" borderId="207" xfId="0" applyFont="1" applyFill="1" applyBorder="1" applyAlignment="1">
      <alignment horizontal="center" vertical="center" wrapText="1"/>
    </xf>
    <xf numFmtId="0" fontId="28" fillId="12" borderId="156" xfId="0" applyFont="1" applyFill="1" applyBorder="1" applyAlignment="1">
      <alignment horizontal="centerContinuous" vertical="center"/>
    </xf>
    <xf numFmtId="0" fontId="28" fillId="12" borderId="0" xfId="0" applyFont="1" applyFill="1" applyAlignment="1">
      <alignment horizontal="centerContinuous" vertical="center"/>
    </xf>
    <xf numFmtId="1" fontId="28" fillId="14" borderId="0" xfId="0" applyNumberFormat="1" applyFont="1" applyFill="1" applyAlignment="1">
      <alignment horizontal="center" vertical="center"/>
    </xf>
    <xf numFmtId="1" fontId="32" fillId="14" borderId="0" xfId="0" applyNumberFormat="1" applyFont="1" applyFill="1" applyAlignment="1">
      <alignment horizontal="center" vertical="center"/>
    </xf>
    <xf numFmtId="1" fontId="29" fillId="12" borderId="208" xfId="0" applyNumberFormat="1" applyFont="1" applyFill="1" applyBorder="1" applyAlignment="1">
      <alignment horizontal="center" vertical="center"/>
    </xf>
    <xf numFmtId="0" fontId="48" fillId="42" borderId="104" xfId="0" applyFont="1" applyFill="1" applyBorder="1" applyAlignment="1">
      <alignment horizontal="centerContinuous" vertical="center"/>
    </xf>
    <xf numFmtId="0" fontId="48" fillId="42" borderId="105" xfId="0" applyFont="1" applyFill="1" applyBorder="1" applyAlignment="1">
      <alignment horizontal="centerContinuous" vertical="center"/>
    </xf>
    <xf numFmtId="1" fontId="48" fillId="42" borderId="105" xfId="0" applyNumberFormat="1" applyFont="1" applyFill="1" applyBorder="1" applyAlignment="1">
      <alignment horizontal="center" vertical="center"/>
    </xf>
    <xf numFmtId="0" fontId="34" fillId="45" borderId="260" xfId="0" applyFont="1" applyFill="1" applyBorder="1" applyAlignment="1">
      <alignment horizontal="centerContinuous" vertical="center"/>
    </xf>
    <xf numFmtId="0" fontId="34" fillId="45" borderId="261" xfId="0" applyFont="1" applyFill="1" applyBorder="1" applyAlignment="1">
      <alignment horizontal="centerContinuous" vertical="center"/>
    </xf>
    <xf numFmtId="0" fontId="34" fillId="45" borderId="262" xfId="0" applyFont="1" applyFill="1" applyBorder="1" applyAlignment="1">
      <alignment horizontal="centerContinuous" vertical="center"/>
    </xf>
    <xf numFmtId="0" fontId="47" fillId="42" borderId="1" xfId="0" applyFont="1" applyFill="1" applyBorder="1" applyAlignment="1">
      <alignment horizontal="center" vertical="center"/>
    </xf>
    <xf numFmtId="0" fontId="47" fillId="42" borderId="0" xfId="0" applyFont="1" applyFill="1" applyAlignment="1">
      <alignment horizontal="center" vertical="center"/>
    </xf>
    <xf numFmtId="0" fontId="47" fillId="42" borderId="2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1" fontId="31" fillId="14" borderId="2" xfId="0" applyNumberFormat="1" applyFont="1" applyFill="1" applyBorder="1" applyAlignment="1">
      <alignment horizontal="center" vertical="center"/>
    </xf>
    <xf numFmtId="9" fontId="31" fillId="14" borderId="2" xfId="2" applyFont="1" applyFill="1" applyBorder="1" applyAlignment="1">
      <alignment horizontal="center" vertical="center"/>
    </xf>
    <xf numFmtId="168" fontId="31" fillId="14" borderId="2" xfId="2" applyNumberFormat="1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" fontId="28" fillId="0" borderId="2" xfId="0" applyNumberFormat="1" applyFont="1" applyBorder="1" applyAlignment="1">
      <alignment horizontal="center" vertical="center"/>
    </xf>
    <xf numFmtId="9" fontId="28" fillId="0" borderId="2" xfId="2" applyFont="1" applyFill="1" applyBorder="1" applyAlignment="1">
      <alignment horizontal="center" vertical="center"/>
    </xf>
    <xf numFmtId="168" fontId="28" fillId="0" borderId="2" xfId="2" applyNumberFormat="1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" fontId="28" fillId="0" borderId="263" xfId="0" applyNumberFormat="1" applyFont="1" applyBorder="1" applyAlignment="1">
      <alignment horizontal="center" vertical="center"/>
    </xf>
    <xf numFmtId="9" fontId="28" fillId="0" borderId="263" xfId="2" applyFont="1" applyFill="1" applyBorder="1" applyAlignment="1">
      <alignment horizontal="center" vertical="center"/>
    </xf>
    <xf numFmtId="168" fontId="28" fillId="0" borderId="263" xfId="2" applyNumberFormat="1" applyFont="1" applyFill="1" applyBorder="1" applyAlignment="1">
      <alignment horizontal="center" vertical="center"/>
    </xf>
    <xf numFmtId="0" fontId="34" fillId="52" borderId="260" xfId="0" applyFont="1" applyFill="1" applyBorder="1" applyAlignment="1">
      <alignment horizontal="centerContinuous" vertical="center"/>
    </xf>
    <xf numFmtId="0" fontId="34" fillId="52" borderId="261" xfId="0" applyFont="1" applyFill="1" applyBorder="1" applyAlignment="1">
      <alignment horizontal="centerContinuous" vertical="center"/>
    </xf>
    <xf numFmtId="0" fontId="34" fillId="52" borderId="262" xfId="0" applyFont="1" applyFill="1" applyBorder="1" applyAlignment="1">
      <alignment horizontal="centerContinuous" vertical="center"/>
    </xf>
    <xf numFmtId="0" fontId="47" fillId="51" borderId="1" xfId="0" applyFont="1" applyFill="1" applyBorder="1" applyAlignment="1">
      <alignment horizontal="center" vertical="center"/>
    </xf>
    <xf numFmtId="0" fontId="47" fillId="51" borderId="0" xfId="0" applyFont="1" applyFill="1" applyAlignment="1">
      <alignment horizontal="center" vertical="center"/>
    </xf>
    <xf numFmtId="0" fontId="47" fillId="51" borderId="2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31" fillId="17" borderId="0" xfId="0" applyFont="1" applyFill="1" applyAlignment="1">
      <alignment horizontal="center" vertical="center"/>
    </xf>
    <xf numFmtId="10" fontId="31" fillId="17" borderId="2" xfId="2" applyNumberFormat="1" applyFont="1" applyFill="1" applyBorder="1" applyAlignment="1">
      <alignment horizontal="center" vertical="center"/>
    </xf>
    <xf numFmtId="169" fontId="31" fillId="17" borderId="2" xfId="2" applyNumberFormat="1" applyFont="1" applyFill="1" applyBorder="1" applyAlignment="1">
      <alignment horizontal="center" vertical="center"/>
    </xf>
    <xf numFmtId="3" fontId="31" fillId="17" borderId="2" xfId="2" applyNumberFormat="1" applyFont="1" applyFill="1" applyBorder="1" applyAlignment="1">
      <alignment horizontal="center" vertical="center"/>
    </xf>
    <xf numFmtId="10" fontId="28" fillId="0" borderId="2" xfId="2" applyNumberFormat="1" applyFont="1" applyBorder="1" applyAlignment="1">
      <alignment horizontal="center" vertical="center"/>
    </xf>
    <xf numFmtId="169" fontId="28" fillId="0" borderId="2" xfId="2" applyNumberFormat="1" applyFont="1" applyBorder="1" applyAlignment="1">
      <alignment horizontal="center" vertical="center"/>
    </xf>
    <xf numFmtId="3" fontId="28" fillId="0" borderId="2" xfId="2" applyNumberFormat="1" applyFont="1" applyBorder="1" applyAlignment="1">
      <alignment horizontal="center" vertical="center"/>
    </xf>
    <xf numFmtId="10" fontId="28" fillId="0" borderId="263" xfId="2" applyNumberFormat="1" applyFont="1" applyBorder="1" applyAlignment="1">
      <alignment horizontal="center" vertical="center"/>
    </xf>
    <xf numFmtId="169" fontId="28" fillId="0" borderId="263" xfId="2" applyNumberFormat="1" applyFont="1" applyBorder="1" applyAlignment="1">
      <alignment horizontal="center" vertical="center"/>
    </xf>
    <xf numFmtId="3" fontId="28" fillId="0" borderId="263" xfId="2" applyNumberFormat="1" applyFont="1" applyBorder="1" applyAlignment="1">
      <alignment horizontal="center" vertical="center"/>
    </xf>
    <xf numFmtId="0" fontId="34" fillId="49" borderId="260" xfId="0" applyFont="1" applyFill="1" applyBorder="1" applyAlignment="1">
      <alignment horizontal="centerContinuous" vertical="center"/>
    </xf>
    <xf numFmtId="0" fontId="34" fillId="49" borderId="261" xfId="0" applyFont="1" applyFill="1" applyBorder="1" applyAlignment="1">
      <alignment horizontal="centerContinuous" vertical="center"/>
    </xf>
    <xf numFmtId="0" fontId="34" fillId="49" borderId="262" xfId="0" applyFont="1" applyFill="1" applyBorder="1" applyAlignment="1">
      <alignment horizontal="centerContinuous" vertical="center"/>
    </xf>
    <xf numFmtId="0" fontId="47" fillId="40" borderId="1" xfId="0" applyFont="1" applyFill="1" applyBorder="1" applyAlignment="1">
      <alignment horizontal="center" vertical="center"/>
    </xf>
    <xf numFmtId="0" fontId="47" fillId="40" borderId="0" xfId="0" applyFont="1" applyFill="1" applyAlignment="1">
      <alignment horizontal="center" vertical="center"/>
    </xf>
    <xf numFmtId="0" fontId="47" fillId="40" borderId="2" xfId="0" applyFont="1" applyFill="1" applyBorder="1" applyAlignment="1">
      <alignment horizontal="center" vertical="center"/>
    </xf>
    <xf numFmtId="0" fontId="38" fillId="30" borderId="1" xfId="0" applyFont="1" applyFill="1" applyBorder="1" applyAlignment="1">
      <alignment horizontal="center" vertical="center"/>
    </xf>
    <xf numFmtId="0" fontId="31" fillId="30" borderId="0" xfId="0" applyFont="1" applyFill="1" applyAlignment="1">
      <alignment horizontal="center" vertical="center"/>
    </xf>
    <xf numFmtId="10" fontId="31" fillId="30" borderId="2" xfId="2" applyNumberFormat="1" applyFont="1" applyFill="1" applyBorder="1" applyAlignment="1">
      <alignment horizontal="center" vertical="center"/>
    </xf>
    <xf numFmtId="0" fontId="40" fillId="9" borderId="107" xfId="0" applyFont="1" applyFill="1" applyBorder="1" applyAlignment="1">
      <alignment horizontal="center" vertical="center" wrapText="1"/>
    </xf>
    <xf numFmtId="0" fontId="37" fillId="9" borderId="124" xfId="0" applyFont="1" applyFill="1" applyBorder="1" applyAlignment="1">
      <alignment horizontal="center" vertical="center" wrapText="1"/>
    </xf>
    <xf numFmtId="0" fontId="37" fillId="9" borderId="125" xfId="0" applyFont="1" applyFill="1" applyBorder="1" applyAlignment="1">
      <alignment horizontal="center" vertical="center" wrapText="1"/>
    </xf>
    <xf numFmtId="0" fontId="37" fillId="9" borderId="124" xfId="0" applyFont="1" applyFill="1" applyBorder="1" applyAlignment="1">
      <alignment horizontal="center" vertical="center"/>
    </xf>
    <xf numFmtId="0" fontId="37" fillId="9" borderId="125" xfId="0" applyFont="1" applyFill="1" applyBorder="1" applyAlignment="1">
      <alignment horizontal="center" vertical="center"/>
    </xf>
    <xf numFmtId="0" fontId="37" fillId="9" borderId="126" xfId="0" applyFont="1" applyFill="1" applyBorder="1" applyAlignment="1">
      <alignment horizontal="center" vertical="center"/>
    </xf>
    <xf numFmtId="0" fontId="37" fillId="9" borderId="127" xfId="0" applyFont="1" applyFill="1" applyBorder="1" applyAlignment="1">
      <alignment horizontal="center" vertical="center" wrapText="1"/>
    </xf>
    <xf numFmtId="10" fontId="37" fillId="0" borderId="0" xfId="0" applyNumberFormat="1" applyFont="1"/>
    <xf numFmtId="0" fontId="51" fillId="0" borderId="0" xfId="0" applyFont="1"/>
    <xf numFmtId="0" fontId="40" fillId="9" borderId="112" xfId="0" applyFont="1" applyFill="1" applyBorder="1" applyAlignment="1">
      <alignment horizontal="center" vertical="center" wrapText="1"/>
    </xf>
    <xf numFmtId="0" fontId="37" fillId="9" borderId="0" xfId="0" applyFont="1" applyFill="1" applyAlignment="1">
      <alignment horizontal="center" vertical="center" wrapText="1"/>
    </xf>
    <xf numFmtId="0" fontId="37" fillId="9" borderId="11" xfId="0" applyFont="1" applyFill="1" applyBorder="1" applyAlignment="1">
      <alignment horizontal="center" vertical="center" wrapText="1"/>
    </xf>
    <xf numFmtId="0" fontId="37" fillId="9" borderId="0" xfId="0" applyFont="1" applyFill="1" applyAlignment="1">
      <alignment horizontal="center" vertical="center"/>
    </xf>
    <xf numFmtId="0" fontId="37" fillId="9" borderId="11" xfId="0" applyFont="1" applyFill="1" applyBorder="1" applyAlignment="1">
      <alignment horizontal="center" vertical="center"/>
    </xf>
    <xf numFmtId="0" fontId="37" fillId="9" borderId="48" xfId="0" applyFont="1" applyFill="1" applyBorder="1" applyAlignment="1">
      <alignment horizontal="center" vertical="center"/>
    </xf>
    <xf numFmtId="0" fontId="37" fillId="9" borderId="128" xfId="0" applyFont="1" applyFill="1" applyBorder="1" applyAlignment="1">
      <alignment horizontal="center" vertical="center" wrapText="1"/>
    </xf>
    <xf numFmtId="0" fontId="40" fillId="9" borderId="134" xfId="0" applyFont="1" applyFill="1" applyBorder="1" applyAlignment="1">
      <alignment horizontal="center" vertical="center" wrapText="1"/>
    </xf>
    <xf numFmtId="0" fontId="37" fillId="9" borderId="7" xfId="0" applyFont="1" applyFill="1" applyBorder="1" applyAlignment="1">
      <alignment horizontal="center" vertical="center" wrapText="1"/>
    </xf>
    <xf numFmtId="0" fontId="37" fillId="9" borderId="9" xfId="0" applyFont="1" applyFill="1" applyBorder="1" applyAlignment="1">
      <alignment horizontal="center" vertical="center" wrapText="1"/>
    </xf>
    <xf numFmtId="0" fontId="37" fillId="9" borderId="10" xfId="0" applyFont="1" applyFill="1" applyBorder="1" applyAlignment="1">
      <alignment horizontal="center" vertical="center" wrapText="1"/>
    </xf>
    <xf numFmtId="0" fontId="37" fillId="9" borderId="7" xfId="0" applyFont="1" applyFill="1" applyBorder="1" applyAlignment="1">
      <alignment horizontal="center" vertical="center"/>
    </xf>
    <xf numFmtId="0" fontId="37" fillId="9" borderId="9" xfId="0" applyFont="1" applyFill="1" applyBorder="1" applyAlignment="1">
      <alignment horizontal="center" vertical="center"/>
    </xf>
    <xf numFmtId="0" fontId="37" fillId="9" borderId="135" xfId="0" applyFont="1" applyFill="1" applyBorder="1" applyAlignment="1">
      <alignment horizontal="center" vertical="center" wrapText="1"/>
    </xf>
    <xf numFmtId="0" fontId="37" fillId="9" borderId="6" xfId="0" applyFont="1" applyFill="1" applyBorder="1" applyAlignment="1">
      <alignment horizontal="center" vertical="center" wrapText="1"/>
    </xf>
    <xf numFmtId="0" fontId="37" fillId="9" borderId="8" xfId="0" applyFont="1" applyFill="1" applyBorder="1" applyAlignment="1">
      <alignment horizontal="center" vertical="center" wrapText="1"/>
    </xf>
    <xf numFmtId="0" fontId="37" fillId="9" borderId="6" xfId="0" applyFont="1" applyFill="1" applyBorder="1" applyAlignment="1">
      <alignment horizontal="center" vertical="center"/>
    </xf>
    <xf numFmtId="169" fontId="37" fillId="0" borderId="0" xfId="1" applyNumberFormat="1" applyFont="1"/>
    <xf numFmtId="0" fontId="37" fillId="9" borderId="144" xfId="0" applyFont="1" applyFill="1" applyBorder="1" applyAlignment="1">
      <alignment horizontal="center" vertical="center" wrapText="1"/>
    </xf>
    <xf numFmtId="0" fontId="40" fillId="41" borderId="181" xfId="0" applyFont="1" applyFill="1" applyBorder="1" applyAlignment="1">
      <alignment horizontal="center" vertical="center" wrapText="1"/>
    </xf>
    <xf numFmtId="0" fontId="37" fillId="41" borderId="181" xfId="0" applyFont="1" applyFill="1" applyBorder="1" applyAlignment="1">
      <alignment horizontal="center" vertical="center" wrapText="1"/>
    </xf>
    <xf numFmtId="0" fontId="37" fillId="41" borderId="182" xfId="0" applyFont="1" applyFill="1" applyBorder="1" applyAlignment="1">
      <alignment horizontal="center" vertical="center" wrapText="1"/>
    </xf>
    <xf numFmtId="0" fontId="37" fillId="41" borderId="183" xfId="0" applyFont="1" applyFill="1" applyBorder="1" applyAlignment="1">
      <alignment horizontal="center" vertical="center" wrapText="1"/>
    </xf>
    <xf numFmtId="0" fontId="37" fillId="41" borderId="181" xfId="0" applyFont="1" applyFill="1" applyBorder="1" applyAlignment="1">
      <alignment horizontal="center" vertical="center"/>
    </xf>
    <xf numFmtId="0" fontId="37" fillId="41" borderId="182" xfId="0" applyFont="1" applyFill="1" applyBorder="1" applyAlignment="1">
      <alignment horizontal="center" vertical="center"/>
    </xf>
    <xf numFmtId="0" fontId="37" fillId="41" borderId="184" xfId="0" applyFont="1" applyFill="1" applyBorder="1" applyAlignment="1">
      <alignment horizontal="center" vertical="center" wrapText="1"/>
    </xf>
    <xf numFmtId="0" fontId="40" fillId="41" borderId="0" xfId="0" applyFont="1" applyFill="1" applyAlignment="1">
      <alignment horizontal="center" vertical="center" wrapText="1"/>
    </xf>
    <xf numFmtId="0" fontId="37" fillId="41" borderId="0" xfId="0" applyFont="1" applyFill="1" applyAlignment="1">
      <alignment horizontal="center" vertical="center" wrapText="1"/>
    </xf>
    <xf numFmtId="0" fontId="37" fillId="41" borderId="176" xfId="0" applyFont="1" applyFill="1" applyBorder="1" applyAlignment="1">
      <alignment horizontal="center" vertical="center" wrapText="1"/>
    </xf>
    <xf numFmtId="0" fontId="37" fillId="41" borderId="177" xfId="0" applyFont="1" applyFill="1" applyBorder="1" applyAlignment="1">
      <alignment horizontal="center" vertical="center" wrapText="1"/>
    </xf>
    <xf numFmtId="0" fontId="37" fillId="41" borderId="0" xfId="0" applyFont="1" applyFill="1" applyAlignment="1">
      <alignment horizontal="center" vertical="center"/>
    </xf>
    <xf numFmtId="0" fontId="37" fillId="41" borderId="176" xfId="0" applyFont="1" applyFill="1" applyBorder="1" applyAlignment="1">
      <alignment horizontal="center" vertical="center"/>
    </xf>
    <xf numFmtId="0" fontId="37" fillId="41" borderId="186" xfId="0" applyFont="1" applyFill="1" applyBorder="1" applyAlignment="1">
      <alignment horizontal="center" vertical="center" wrapText="1"/>
    </xf>
    <xf numFmtId="10" fontId="35" fillId="37" borderId="71" xfId="0" applyNumberFormat="1" applyFont="1" applyFill="1" applyBorder="1" applyAlignment="1">
      <alignment horizontal="centerContinuous" vertical="center"/>
    </xf>
    <xf numFmtId="168" fontId="35" fillId="37" borderId="71" xfId="2" applyNumberFormat="1" applyFont="1" applyFill="1" applyBorder="1" applyAlignment="1">
      <alignment horizontal="centerContinuous" vertical="center"/>
    </xf>
    <xf numFmtId="0" fontId="29" fillId="37" borderId="71" xfId="0" applyFont="1" applyFill="1" applyBorder="1" applyAlignment="1">
      <alignment horizontal="center" vertical="center"/>
    </xf>
    <xf numFmtId="0" fontId="29" fillId="37" borderId="271" xfId="0" applyFont="1" applyFill="1" applyBorder="1" applyAlignment="1">
      <alignment horizontal="center" vertical="center"/>
    </xf>
    <xf numFmtId="0" fontId="29" fillId="37" borderId="272" xfId="0" applyFont="1" applyFill="1" applyBorder="1" applyAlignment="1">
      <alignment horizontal="center" vertical="center"/>
    </xf>
    <xf numFmtId="0" fontId="29" fillId="37" borderId="0" xfId="0" applyFont="1" applyFill="1" applyAlignment="1">
      <alignment horizontal="center" vertical="center"/>
    </xf>
    <xf numFmtId="0" fontId="29" fillId="37" borderId="80" xfId="0" applyFont="1" applyFill="1" applyBorder="1" applyAlignment="1">
      <alignment horizontal="center" vertical="center"/>
    </xf>
    <xf numFmtId="0" fontId="29" fillId="37" borderId="273" xfId="0" applyFont="1" applyFill="1" applyBorder="1" applyAlignment="1">
      <alignment horizontal="center" vertical="center"/>
    </xf>
    <xf numFmtId="0" fontId="29" fillId="37" borderId="274" xfId="0" applyFont="1" applyFill="1" applyBorder="1" applyAlignment="1">
      <alignment horizontal="center" vertical="center"/>
    </xf>
    <xf numFmtId="0" fontId="29" fillId="37" borderId="81" xfId="0" applyFont="1" applyFill="1" applyBorder="1" applyAlignment="1">
      <alignment horizontal="center" vertical="center"/>
    </xf>
    <xf numFmtId="0" fontId="29" fillId="37" borderId="85" xfId="0" applyFont="1" applyFill="1" applyBorder="1" applyAlignment="1">
      <alignment horizontal="center" vertical="center"/>
    </xf>
    <xf numFmtId="0" fontId="29" fillId="37" borderId="275" xfId="0" applyFont="1" applyFill="1" applyBorder="1" applyAlignment="1">
      <alignment horizontal="center" vertical="center"/>
    </xf>
    <xf numFmtId="0" fontId="29" fillId="37" borderId="276" xfId="0" applyFont="1" applyFill="1" applyBorder="1" applyAlignment="1">
      <alignment horizontal="center" vertical="center"/>
    </xf>
    <xf numFmtId="0" fontId="29" fillId="37" borderId="252" xfId="0" applyFont="1" applyFill="1" applyBorder="1" applyAlignment="1">
      <alignment horizontal="center" vertical="center"/>
    </xf>
    <xf numFmtId="166" fontId="3" fillId="6" borderId="0" xfId="0" applyNumberFormat="1" applyFont="1" applyFill="1" applyAlignment="1">
      <alignment horizontal="center" vertical="center" wrapText="1"/>
    </xf>
    <xf numFmtId="166" fontId="3" fillId="8" borderId="0" xfId="0" applyNumberFormat="1" applyFont="1" applyFill="1" applyAlignment="1">
      <alignment horizontal="center" vertical="center" wrapText="1"/>
    </xf>
    <xf numFmtId="166" fontId="14" fillId="8" borderId="0" xfId="0" applyNumberFormat="1" applyFont="1" applyFill="1" applyAlignment="1">
      <alignment horizontal="center" vertical="center" wrapText="1"/>
    </xf>
    <xf numFmtId="0" fontId="7" fillId="25" borderId="306" xfId="0" applyFont="1" applyFill="1" applyBorder="1" applyAlignment="1">
      <alignment vertical="top" wrapText="1"/>
    </xf>
    <xf numFmtId="0" fontId="7" fillId="25" borderId="307" xfId="0" applyFont="1" applyFill="1" applyBorder="1" applyAlignment="1">
      <alignment horizontal="center" vertical="center" wrapText="1"/>
    </xf>
    <xf numFmtId="0" fontId="3" fillId="26" borderId="297" xfId="0" applyFont="1" applyFill="1" applyBorder="1" applyAlignment="1">
      <alignment horizontal="center" vertical="center" wrapText="1"/>
    </xf>
    <xf numFmtId="165" fontId="3" fillId="26" borderId="308" xfId="0" applyNumberFormat="1" applyFont="1" applyFill="1" applyBorder="1" applyAlignment="1">
      <alignment horizontal="center" vertical="center" wrapText="1"/>
    </xf>
    <xf numFmtId="0" fontId="7" fillId="25" borderId="0" xfId="0" applyFont="1" applyFill="1" applyAlignment="1">
      <alignment vertical="top" wrapText="1"/>
    </xf>
    <xf numFmtId="0" fontId="7" fillId="25" borderId="0" xfId="0" applyFont="1" applyFill="1" applyAlignment="1">
      <alignment horizontal="center" vertical="center" wrapText="1"/>
    </xf>
    <xf numFmtId="9" fontId="35" fillId="37" borderId="71" xfId="2" applyFont="1" applyFill="1" applyBorder="1" applyAlignment="1">
      <alignment horizontal="centerContinuous" vertical="center"/>
    </xf>
    <xf numFmtId="0" fontId="53" fillId="54" borderId="0" xfId="0" applyFont="1" applyFill="1" applyAlignment="1">
      <alignment horizontal="left" vertical="center" wrapText="1"/>
    </xf>
    <xf numFmtId="49" fontId="54" fillId="54" borderId="0" xfId="0" applyNumberFormat="1" applyFont="1" applyFill="1" applyAlignment="1">
      <alignment horizontal="left" vertical="center"/>
    </xf>
    <xf numFmtId="0" fontId="55" fillId="54" borderId="0" xfId="0" applyFont="1" applyFill="1" applyAlignment="1">
      <alignment horizontal="left" vertical="center"/>
    </xf>
    <xf numFmtId="49" fontId="56" fillId="54" borderId="309" xfId="0" applyNumberFormat="1" applyFont="1" applyFill="1" applyBorder="1" applyAlignment="1">
      <alignment horizontal="left" vertical="center"/>
    </xf>
    <xf numFmtId="2" fontId="54" fillId="54" borderId="310" xfId="0" applyNumberFormat="1" applyFont="1" applyFill="1" applyBorder="1" applyAlignment="1">
      <alignment horizontal="center" vertical="center" wrapText="1"/>
    </xf>
    <xf numFmtId="49" fontId="56" fillId="54" borderId="311" xfId="0" applyNumberFormat="1" applyFont="1" applyFill="1" applyBorder="1" applyAlignment="1">
      <alignment horizontal="left" vertical="center"/>
    </xf>
    <xf numFmtId="3" fontId="57" fillId="54" borderId="311" xfId="0" applyNumberFormat="1" applyFont="1" applyFill="1" applyBorder="1" applyAlignment="1">
      <alignment horizontal="right" vertical="center"/>
    </xf>
    <xf numFmtId="10" fontId="57" fillId="54" borderId="312" xfId="0" applyNumberFormat="1" applyFont="1" applyFill="1" applyBorder="1" applyAlignment="1">
      <alignment horizontal="right" vertical="center"/>
    </xf>
    <xf numFmtId="3" fontId="54" fillId="55" borderId="310" xfId="0" applyNumberFormat="1" applyFont="1" applyFill="1" applyBorder="1" applyAlignment="1">
      <alignment horizontal="left" vertical="center"/>
    </xf>
    <xf numFmtId="3" fontId="54" fillId="55" borderId="310" xfId="0" applyNumberFormat="1" applyFont="1" applyFill="1" applyBorder="1" applyAlignment="1">
      <alignment horizontal="right" vertical="center"/>
    </xf>
    <xf numFmtId="10" fontId="54" fillId="55" borderId="310" xfId="0" applyNumberFormat="1" applyFont="1" applyFill="1" applyBorder="1" applyAlignment="1">
      <alignment horizontal="right" vertical="center"/>
    </xf>
    <xf numFmtId="0" fontId="58" fillId="0" borderId="0" xfId="0" applyFont="1"/>
    <xf numFmtId="49" fontId="56" fillId="54" borderId="312" xfId="0" applyNumberFormat="1" applyFont="1" applyFill="1" applyBorder="1" applyAlignment="1">
      <alignment horizontal="left" vertical="center"/>
    </xf>
    <xf numFmtId="3" fontId="57" fillId="54" borderId="312" xfId="0" applyNumberFormat="1" applyFont="1" applyFill="1" applyBorder="1" applyAlignment="1">
      <alignment horizontal="right" vertical="center"/>
    </xf>
    <xf numFmtId="10" fontId="57" fillId="0" borderId="312" xfId="0" applyNumberFormat="1" applyFont="1" applyBorder="1" applyAlignment="1">
      <alignment horizontal="right" vertical="center"/>
    </xf>
    <xf numFmtId="3" fontId="58" fillId="0" borderId="0" xfId="0" applyNumberFormat="1" applyFont="1"/>
    <xf numFmtId="3" fontId="54" fillId="56" borderId="310" xfId="0" applyNumberFormat="1" applyFont="1" applyFill="1" applyBorder="1" applyAlignment="1">
      <alignment horizontal="left" vertical="center"/>
    </xf>
    <xf numFmtId="3" fontId="57" fillId="56" borderId="310" xfId="0" applyNumberFormat="1" applyFont="1" applyFill="1" applyBorder="1" applyAlignment="1">
      <alignment horizontal="right" vertical="center"/>
    </xf>
    <xf numFmtId="10" fontId="57" fillId="56" borderId="310" xfId="0" applyNumberFormat="1" applyFont="1" applyFill="1" applyBorder="1" applyAlignment="1">
      <alignment horizontal="right" vertical="center"/>
    </xf>
    <xf numFmtId="3" fontId="8" fillId="0" borderId="0" xfId="0" applyNumberFormat="1" applyFont="1"/>
    <xf numFmtId="3" fontId="57" fillId="55" borderId="310" xfId="0" applyNumberFormat="1" applyFont="1" applyFill="1" applyBorder="1" applyAlignment="1">
      <alignment horizontal="right" vertical="center"/>
    </xf>
    <xf numFmtId="10" fontId="57" fillId="55" borderId="310" xfId="0" applyNumberFormat="1" applyFont="1" applyFill="1" applyBorder="1" applyAlignment="1">
      <alignment horizontal="right" vertical="center"/>
    </xf>
    <xf numFmtId="3" fontId="57" fillId="0" borderId="310" xfId="0" applyNumberFormat="1" applyFont="1" applyBorder="1" applyAlignment="1">
      <alignment horizontal="right" vertical="center"/>
    </xf>
    <xf numFmtId="10" fontId="57" fillId="0" borderId="310" xfId="0" applyNumberFormat="1" applyFont="1" applyBorder="1" applyAlignment="1">
      <alignment horizontal="right" vertical="center"/>
    </xf>
    <xf numFmtId="0" fontId="59" fillId="57" borderId="313" xfId="0" applyFont="1" applyFill="1" applyBorder="1"/>
    <xf numFmtId="3" fontId="60" fillId="57" borderId="314" xfId="0" applyNumberFormat="1" applyFont="1" applyFill="1" applyBorder="1"/>
    <xf numFmtId="173" fontId="59" fillId="57" borderId="314" xfId="0" applyNumberFormat="1" applyFont="1" applyFill="1" applyBorder="1"/>
    <xf numFmtId="173" fontId="59" fillId="0" borderId="87" xfId="0" applyNumberFormat="1" applyFont="1" applyBorder="1"/>
    <xf numFmtId="1" fontId="60" fillId="0" borderId="0" xfId="0" applyNumberFormat="1" applyFont="1"/>
    <xf numFmtId="0" fontId="61" fillId="0" borderId="0" xfId="0" applyFont="1"/>
    <xf numFmtId="173" fontId="59" fillId="0" borderId="0" xfId="0" applyNumberFormat="1" applyFont="1"/>
    <xf numFmtId="0" fontId="59" fillId="57" borderId="87" xfId="0" applyFont="1" applyFill="1" applyBorder="1"/>
    <xf numFmtId="173" fontId="59" fillId="57" borderId="0" xfId="0" applyNumberFormat="1" applyFont="1" applyFill="1"/>
    <xf numFmtId="0" fontId="61" fillId="57" borderId="0" xfId="0" applyFont="1" applyFill="1"/>
    <xf numFmtId="0" fontId="59" fillId="0" borderId="0" xfId="0" applyFont="1"/>
    <xf numFmtId="9" fontId="59" fillId="57" borderId="0" xfId="2" applyFont="1" applyFill="1" applyBorder="1"/>
    <xf numFmtId="9" fontId="61" fillId="57" borderId="0" xfId="2" applyFont="1" applyFill="1" applyBorder="1"/>
    <xf numFmtId="9" fontId="59" fillId="0" borderId="87" xfId="2" applyFont="1" applyFill="1" applyBorder="1"/>
    <xf numFmtId="9" fontId="59" fillId="0" borderId="0" xfId="2" applyFont="1" applyFill="1" applyBorder="1"/>
    <xf numFmtId="9" fontId="61" fillId="0" borderId="0" xfId="2" applyFont="1" applyFill="1" applyBorder="1"/>
    <xf numFmtId="0" fontId="59" fillId="57" borderId="315" xfId="0" applyFont="1" applyFill="1" applyBorder="1"/>
    <xf numFmtId="9" fontId="59" fillId="57" borderId="316" xfId="2" applyFont="1" applyFill="1" applyBorder="1"/>
    <xf numFmtId="9" fontId="61" fillId="57" borderId="316" xfId="2" applyFont="1" applyFill="1" applyBorder="1"/>
    <xf numFmtId="0" fontId="37" fillId="0" borderId="318" xfId="0" applyFont="1" applyBorder="1" applyAlignment="1">
      <alignment horizontal="center" vertical="center"/>
    </xf>
    <xf numFmtId="42" fontId="37" fillId="0" borderId="318" xfId="1" applyNumberFormat="1" applyFont="1" applyBorder="1" applyAlignment="1">
      <alignment vertical="center"/>
    </xf>
    <xf numFmtId="0" fontId="37" fillId="0" borderId="0" xfId="0" applyFont="1" applyAlignment="1">
      <alignment vertical="center"/>
    </xf>
    <xf numFmtId="44" fontId="37" fillId="0" borderId="318" xfId="1" applyFont="1" applyBorder="1" applyAlignment="1">
      <alignment vertical="center"/>
    </xf>
    <xf numFmtId="44" fontId="37" fillId="0" borderId="318" xfId="0" applyNumberFormat="1" applyFont="1" applyBorder="1" applyAlignment="1">
      <alignment vertical="center"/>
    </xf>
    <xf numFmtId="9" fontId="37" fillId="0" borderId="319" xfId="2" applyFont="1" applyBorder="1" applyAlignment="1">
      <alignment horizontal="center" vertical="center"/>
    </xf>
    <xf numFmtId="10" fontId="37" fillId="0" borderId="318" xfId="0" applyNumberFormat="1" applyFont="1" applyBorder="1" applyAlignment="1">
      <alignment horizontal="center" vertical="center"/>
    </xf>
    <xf numFmtId="0" fontId="63" fillId="54" borderId="0" xfId="0" applyFont="1" applyFill="1" applyAlignment="1">
      <alignment horizontal="left" vertical="center" wrapText="1"/>
    </xf>
    <xf numFmtId="0" fontId="64" fillId="0" borderId="0" xfId="0" applyFont="1"/>
    <xf numFmtId="49" fontId="65" fillId="54" borderId="0" xfId="0" applyNumberFormat="1" applyFont="1" applyFill="1" applyAlignment="1">
      <alignment horizontal="left" vertical="center"/>
    </xf>
    <xf numFmtId="0" fontId="65" fillId="54" borderId="0" xfId="0" applyFont="1" applyFill="1" applyAlignment="1">
      <alignment horizontal="left" vertical="center"/>
    </xf>
    <xf numFmtId="49" fontId="63" fillId="54" borderId="309" xfId="0" applyNumberFormat="1" applyFont="1" applyFill="1" applyBorder="1" applyAlignment="1">
      <alignment horizontal="left" vertical="center"/>
    </xf>
    <xf numFmtId="0" fontId="65" fillId="54" borderId="310" xfId="0" applyFont="1" applyFill="1" applyBorder="1" applyAlignment="1">
      <alignment horizontal="center" vertical="center" wrapText="1"/>
    </xf>
    <xf numFmtId="2" fontId="65" fillId="54" borderId="310" xfId="0" applyNumberFormat="1" applyFont="1" applyFill="1" applyBorder="1" applyAlignment="1">
      <alignment horizontal="center" vertical="center" wrapText="1"/>
    </xf>
    <xf numFmtId="49" fontId="63" fillId="54" borderId="311" xfId="0" applyNumberFormat="1" applyFont="1" applyFill="1" applyBorder="1" applyAlignment="1">
      <alignment horizontal="left" vertical="center"/>
    </xf>
    <xf numFmtId="3" fontId="67" fillId="54" borderId="311" xfId="0" applyNumberFormat="1" applyFont="1" applyFill="1" applyBorder="1" applyAlignment="1">
      <alignment horizontal="right" vertical="center"/>
    </xf>
    <xf numFmtId="10" fontId="67" fillId="54" borderId="312" xfId="0" applyNumberFormat="1" applyFont="1" applyFill="1" applyBorder="1" applyAlignment="1">
      <alignment horizontal="right" vertical="center"/>
    </xf>
    <xf numFmtId="10" fontId="67" fillId="54" borderId="311" xfId="2" applyNumberFormat="1" applyFont="1" applyFill="1" applyBorder="1" applyAlignment="1">
      <alignment horizontal="right" vertical="center"/>
    </xf>
    <xf numFmtId="9" fontId="67" fillId="54" borderId="311" xfId="2" applyFont="1" applyFill="1" applyBorder="1" applyAlignment="1">
      <alignment horizontal="right" vertical="center"/>
    </xf>
    <xf numFmtId="3" fontId="65" fillId="55" borderId="310" xfId="0" applyNumberFormat="1" applyFont="1" applyFill="1" applyBorder="1" applyAlignment="1">
      <alignment horizontal="left" vertical="center"/>
    </xf>
    <xf numFmtId="0" fontId="62" fillId="0" borderId="0" xfId="0" applyFont="1"/>
    <xf numFmtId="3" fontId="65" fillId="55" borderId="310" xfId="0" applyNumberFormat="1" applyFont="1" applyFill="1" applyBorder="1" applyAlignment="1">
      <alignment horizontal="right" vertical="center"/>
    </xf>
    <xf numFmtId="10" fontId="65" fillId="55" borderId="310" xfId="0" applyNumberFormat="1" applyFont="1" applyFill="1" applyBorder="1" applyAlignment="1">
      <alignment horizontal="right" vertical="center"/>
    </xf>
    <xf numFmtId="49" fontId="63" fillId="54" borderId="312" xfId="0" applyNumberFormat="1" applyFont="1" applyFill="1" applyBorder="1" applyAlignment="1">
      <alignment horizontal="left" vertical="center"/>
    </xf>
    <xf numFmtId="3" fontId="67" fillId="54" borderId="312" xfId="0" applyNumberFormat="1" applyFont="1" applyFill="1" applyBorder="1" applyAlignment="1">
      <alignment horizontal="right" vertical="center"/>
    </xf>
    <xf numFmtId="10" fontId="67" fillId="0" borderId="312" xfId="0" applyNumberFormat="1" applyFont="1" applyBorder="1" applyAlignment="1">
      <alignment horizontal="right" vertical="center"/>
    </xf>
    <xf numFmtId="3" fontId="62" fillId="0" borderId="0" xfId="0" applyNumberFormat="1" applyFont="1"/>
    <xf numFmtId="3" fontId="65" fillId="56" borderId="310" xfId="0" applyNumberFormat="1" applyFont="1" applyFill="1" applyBorder="1" applyAlignment="1">
      <alignment horizontal="left" vertical="center"/>
    </xf>
    <xf numFmtId="3" fontId="67" fillId="56" borderId="310" xfId="0" applyNumberFormat="1" applyFont="1" applyFill="1" applyBorder="1" applyAlignment="1">
      <alignment horizontal="right" vertical="center"/>
    </xf>
    <xf numFmtId="10" fontId="67" fillId="56" borderId="310" xfId="0" applyNumberFormat="1" applyFont="1" applyFill="1" applyBorder="1" applyAlignment="1">
      <alignment horizontal="right" vertical="center"/>
    </xf>
    <xf numFmtId="9" fontId="64" fillId="0" borderId="0" xfId="0" applyNumberFormat="1" applyFont="1"/>
    <xf numFmtId="9" fontId="62" fillId="0" borderId="0" xfId="0" applyNumberFormat="1" applyFont="1"/>
    <xf numFmtId="3" fontId="64" fillId="0" borderId="0" xfId="0" applyNumberFormat="1" applyFont="1"/>
    <xf numFmtId="3" fontId="67" fillId="55" borderId="310" xfId="0" applyNumberFormat="1" applyFont="1" applyFill="1" applyBorder="1" applyAlignment="1">
      <alignment horizontal="right" vertical="center"/>
    </xf>
    <xf numFmtId="10" fontId="67" fillId="55" borderId="310" xfId="0" applyNumberFormat="1" applyFont="1" applyFill="1" applyBorder="1" applyAlignment="1">
      <alignment horizontal="right" vertical="center"/>
    </xf>
    <xf numFmtId="3" fontId="67" fillId="0" borderId="310" xfId="0" applyNumberFormat="1" applyFont="1" applyBorder="1" applyAlignment="1">
      <alignment horizontal="right" vertical="center"/>
    </xf>
    <xf numFmtId="10" fontId="67" fillId="0" borderId="310" xfId="0" applyNumberFormat="1" applyFont="1" applyBorder="1" applyAlignment="1">
      <alignment horizontal="right" vertical="center"/>
    </xf>
    <xf numFmtId="10" fontId="37" fillId="0" borderId="0" xfId="0" applyNumberFormat="1" applyFont="1" applyAlignment="1">
      <alignment horizontal="center" vertical="center"/>
    </xf>
    <xf numFmtId="174" fontId="37" fillId="0" borderId="318" xfId="0" applyNumberFormat="1" applyFont="1" applyBorder="1" applyAlignment="1">
      <alignment horizontal="center" vertical="center"/>
    </xf>
    <xf numFmtId="0" fontId="9" fillId="17" borderId="0" xfId="0" quotePrefix="1" applyFont="1" applyFill="1" applyAlignment="1">
      <alignment horizontal="center" vertical="center" wrapText="1"/>
    </xf>
    <xf numFmtId="0" fontId="32" fillId="10" borderId="129" xfId="0" applyFont="1" applyFill="1" applyBorder="1" applyAlignment="1">
      <alignment horizontal="right"/>
    </xf>
    <xf numFmtId="165" fontId="32" fillId="11" borderId="69" xfId="0" applyNumberFormat="1" applyFont="1" applyFill="1" applyBorder="1" applyAlignment="1">
      <alignment horizontal="center"/>
    </xf>
    <xf numFmtId="10" fontId="29" fillId="11" borderId="301" xfId="2" applyNumberFormat="1" applyFont="1" applyFill="1" applyBorder="1" applyAlignment="1">
      <alignment horizontal="center" vertical="center"/>
    </xf>
    <xf numFmtId="164" fontId="32" fillId="11" borderId="68" xfId="0" applyNumberFormat="1" applyFont="1" applyFill="1" applyBorder="1"/>
    <xf numFmtId="10" fontId="29" fillId="11" borderId="69" xfId="2" applyNumberFormat="1" applyFont="1" applyFill="1" applyBorder="1" applyAlignment="1">
      <alignment horizontal="center" vertical="center"/>
    </xf>
    <xf numFmtId="165" fontId="29" fillId="10" borderId="68" xfId="0" applyNumberFormat="1" applyFont="1" applyFill="1" applyBorder="1" applyAlignment="1">
      <alignment horizontal="center"/>
    </xf>
    <xf numFmtId="164" fontId="32" fillId="11" borderId="69" xfId="0" applyNumberFormat="1" applyFont="1" applyFill="1" applyBorder="1"/>
    <xf numFmtId="164" fontId="32" fillId="10" borderId="68" xfId="0" applyNumberFormat="1" applyFont="1" applyFill="1" applyBorder="1"/>
    <xf numFmtId="0" fontId="32" fillId="10" borderId="136" xfId="0" applyFont="1" applyFill="1" applyBorder="1" applyAlignment="1">
      <alignment horizontal="right"/>
    </xf>
    <xf numFmtId="37" fontId="32" fillId="11" borderId="51" xfId="0" applyNumberFormat="1" applyFont="1" applyFill="1" applyBorder="1" applyAlignment="1">
      <alignment horizontal="center" vertical="center"/>
    </xf>
    <xf numFmtId="10" fontId="29" fillId="11" borderId="51" xfId="2" applyNumberFormat="1" applyFont="1" applyFill="1" applyBorder="1" applyAlignment="1">
      <alignment horizontal="center" vertical="center"/>
    </xf>
    <xf numFmtId="37" fontId="32" fillId="11" borderId="76" xfId="0" applyNumberFormat="1" applyFont="1" applyFill="1" applyBorder="1" applyAlignment="1">
      <alignment horizontal="center" vertical="center"/>
    </xf>
    <xf numFmtId="10" fontId="29" fillId="11" borderId="53" xfId="2" applyNumberFormat="1" applyFont="1" applyFill="1" applyBorder="1" applyAlignment="1">
      <alignment horizontal="center" vertical="center"/>
    </xf>
    <xf numFmtId="37" fontId="32" fillId="10" borderId="51" xfId="0" applyNumberFormat="1" applyFont="1" applyFill="1" applyBorder="1" applyAlignment="1">
      <alignment horizontal="center" vertical="center"/>
    </xf>
    <xf numFmtId="169" fontId="32" fillId="11" borderId="51" xfId="0" applyNumberFormat="1" applyFont="1" applyFill="1" applyBorder="1" applyAlignment="1">
      <alignment horizontal="center" vertical="center"/>
    </xf>
    <xf numFmtId="169" fontId="29" fillId="11" borderId="51" xfId="2" applyNumberFormat="1" applyFont="1" applyFill="1" applyBorder="1" applyAlignment="1">
      <alignment horizontal="center" vertical="center"/>
    </xf>
    <xf numFmtId="169" fontId="32" fillId="11" borderId="50" xfId="0" applyNumberFormat="1" applyFont="1" applyFill="1" applyBorder="1" applyAlignment="1">
      <alignment horizontal="center" vertical="center"/>
    </xf>
    <xf numFmtId="169" fontId="32" fillId="11" borderId="76" xfId="0" applyNumberFormat="1" applyFont="1" applyFill="1" applyBorder="1" applyAlignment="1">
      <alignment horizontal="center" vertical="center"/>
    </xf>
    <xf numFmtId="169" fontId="29" fillId="11" borderId="64" xfId="2" applyNumberFormat="1" applyFont="1" applyFill="1" applyBorder="1" applyAlignment="1">
      <alignment horizontal="center" vertical="center"/>
    </xf>
    <xf numFmtId="169" fontId="29" fillId="10" borderId="137" xfId="2" applyNumberFormat="1" applyFont="1" applyFill="1" applyBorder="1" applyAlignment="1">
      <alignment horizontal="center" vertical="center"/>
    </xf>
    <xf numFmtId="164" fontId="32" fillId="11" borderId="218" xfId="0" applyNumberFormat="1" applyFont="1" applyFill="1" applyBorder="1"/>
    <xf numFmtId="168" fontId="29" fillId="11" borderId="218" xfId="2" applyNumberFormat="1" applyFont="1" applyFill="1" applyBorder="1" applyAlignment="1">
      <alignment horizontal="center"/>
    </xf>
    <xf numFmtId="164" fontId="32" fillId="11" borderId="219" xfId="0" applyNumberFormat="1" applyFont="1" applyFill="1" applyBorder="1"/>
    <xf numFmtId="164" fontId="32" fillId="11" borderId="220" xfId="0" applyNumberFormat="1" applyFont="1" applyFill="1" applyBorder="1"/>
    <xf numFmtId="164" fontId="32" fillId="10" borderId="220" xfId="0" applyNumberFormat="1" applyFont="1" applyFill="1" applyBorder="1"/>
    <xf numFmtId="168" fontId="29" fillId="10" borderId="217" xfId="2" applyNumberFormat="1" applyFont="1" applyFill="1" applyBorder="1" applyAlignment="1">
      <alignment horizontal="center"/>
    </xf>
    <xf numFmtId="169" fontId="32" fillId="11" borderId="50" xfId="0" applyNumberFormat="1" applyFont="1" applyFill="1" applyBorder="1" applyAlignment="1">
      <alignment horizontal="center"/>
    </xf>
    <xf numFmtId="169" fontId="32" fillId="11" borderId="76" xfId="0" applyNumberFormat="1" applyFont="1" applyFill="1" applyBorder="1" applyAlignment="1">
      <alignment horizontal="center"/>
    </xf>
    <xf numFmtId="169" fontId="32" fillId="10" borderId="51" xfId="0" applyNumberFormat="1" applyFont="1" applyFill="1" applyBorder="1" applyAlignment="1">
      <alignment horizontal="center"/>
    </xf>
    <xf numFmtId="0" fontId="32" fillId="48" borderId="175" xfId="0" applyFont="1" applyFill="1" applyBorder="1" applyAlignment="1">
      <alignment horizontal="right"/>
    </xf>
    <xf numFmtId="164" fontId="32" fillId="30" borderId="175" xfId="0" applyNumberFormat="1" applyFont="1" applyFill="1" applyBorder="1"/>
    <xf numFmtId="10" fontId="29" fillId="30" borderId="175" xfId="2" applyNumberFormat="1" applyFont="1" applyFill="1" applyBorder="1" applyAlignment="1">
      <alignment horizontal="center" vertical="center"/>
    </xf>
    <xf numFmtId="164" fontId="32" fillId="30" borderId="178" xfId="0" applyNumberFormat="1" applyFont="1" applyFill="1" applyBorder="1"/>
    <xf numFmtId="10" fontId="29" fillId="30" borderId="179" xfId="2" applyNumberFormat="1" applyFont="1" applyFill="1" applyBorder="1" applyAlignment="1">
      <alignment horizontal="center" vertical="center"/>
    </xf>
    <xf numFmtId="164" fontId="32" fillId="48" borderId="175" xfId="0" applyNumberFormat="1" applyFont="1" applyFill="1" applyBorder="1"/>
    <xf numFmtId="10" fontId="29" fillId="48" borderId="187" xfId="2" applyNumberFormat="1" applyFont="1" applyFill="1" applyBorder="1" applyAlignment="1">
      <alignment horizontal="center" vertical="center"/>
    </xf>
    <xf numFmtId="0" fontId="32" fillId="30" borderId="175" xfId="0" applyFont="1" applyFill="1" applyBorder="1" applyAlignment="1">
      <alignment horizontal="center" vertical="center"/>
    </xf>
    <xf numFmtId="169" fontId="29" fillId="30" borderId="175" xfId="2" applyNumberFormat="1" applyFont="1" applyFill="1" applyBorder="1" applyAlignment="1">
      <alignment horizontal="center" vertical="center"/>
    </xf>
    <xf numFmtId="0" fontId="32" fillId="30" borderId="178" xfId="0" applyFont="1" applyFill="1" applyBorder="1" applyAlignment="1">
      <alignment horizontal="center" vertical="center"/>
    </xf>
    <xf numFmtId="0" fontId="32" fillId="48" borderId="178" xfId="0" applyFont="1" applyFill="1" applyBorder="1" applyAlignment="1">
      <alignment horizontal="center" vertical="center"/>
    </xf>
    <xf numFmtId="169" fontId="29" fillId="48" borderId="187" xfId="2" applyNumberFormat="1" applyFont="1" applyFill="1" applyBorder="1" applyAlignment="1">
      <alignment horizontal="center" vertical="center"/>
    </xf>
    <xf numFmtId="164" fontId="32" fillId="48" borderId="205" xfId="0" applyNumberFormat="1" applyFont="1" applyFill="1" applyBorder="1"/>
    <xf numFmtId="168" fontId="29" fillId="30" borderId="175" xfId="2" applyNumberFormat="1" applyFont="1" applyFill="1" applyBorder="1" applyAlignment="1">
      <alignment horizontal="center" vertical="center"/>
    </xf>
    <xf numFmtId="168" fontId="29" fillId="30" borderId="179" xfId="2" applyNumberFormat="1" applyFont="1" applyFill="1" applyBorder="1" applyAlignment="1">
      <alignment horizontal="center" vertical="center"/>
    </xf>
    <xf numFmtId="0" fontId="32" fillId="30" borderId="178" xfId="0" applyFont="1" applyFill="1" applyBorder="1" applyAlignment="1">
      <alignment horizontal="center"/>
    </xf>
    <xf numFmtId="0" fontId="32" fillId="48" borderId="205" xfId="0" applyFont="1" applyFill="1" applyBorder="1" applyAlignment="1">
      <alignment horizontal="center"/>
    </xf>
    <xf numFmtId="0" fontId="32" fillId="13" borderId="226" xfId="0" applyFont="1" applyFill="1" applyBorder="1" applyAlignment="1">
      <alignment horizontal="right"/>
    </xf>
    <xf numFmtId="169" fontId="29" fillId="14" borderId="226" xfId="0" applyNumberFormat="1" applyFont="1" applyFill="1" applyBorder="1" applyAlignment="1">
      <alignment horizontal="center" vertical="center"/>
    </xf>
    <xf numFmtId="1" fontId="29" fillId="14" borderId="226" xfId="0" applyNumberFormat="1" applyFont="1" applyFill="1" applyBorder="1" applyAlignment="1">
      <alignment horizontal="center"/>
    </xf>
    <xf numFmtId="169" fontId="29" fillId="14" borderId="227" xfId="0" applyNumberFormat="1" applyFont="1" applyFill="1" applyBorder="1" applyAlignment="1">
      <alignment horizontal="center" vertical="center"/>
    </xf>
    <xf numFmtId="1" fontId="29" fillId="14" borderId="228" xfId="0" applyNumberFormat="1" applyFont="1" applyFill="1" applyBorder="1" applyAlignment="1">
      <alignment horizontal="center"/>
    </xf>
    <xf numFmtId="169" fontId="29" fillId="13" borderId="227" xfId="0" applyNumberFormat="1" applyFont="1" applyFill="1" applyBorder="1" applyAlignment="1">
      <alignment horizontal="center" vertical="center"/>
    </xf>
    <xf numFmtId="1" fontId="29" fillId="13" borderId="225" xfId="0" applyNumberFormat="1" applyFont="1" applyFill="1" applyBorder="1" applyAlignment="1">
      <alignment horizontal="center"/>
    </xf>
    <xf numFmtId="10" fontId="29" fillId="22" borderId="194" xfId="0" applyNumberFormat="1" applyFont="1" applyFill="1" applyBorder="1"/>
    <xf numFmtId="176" fontId="6" fillId="0" borderId="0" xfId="0" applyNumberFormat="1" applyFont="1"/>
    <xf numFmtId="10" fontId="39" fillId="37" borderId="0" xfId="0" applyNumberFormat="1" applyFont="1" applyFill="1" applyAlignment="1">
      <alignment horizontal="centerContinuous" vertical="center"/>
    </xf>
    <xf numFmtId="10" fontId="68" fillId="22" borderId="29" xfId="2" applyNumberFormat="1" applyFont="1" applyFill="1" applyBorder="1" applyAlignment="1">
      <alignment horizontal="center"/>
    </xf>
    <xf numFmtId="174" fontId="31" fillId="37" borderId="81" xfId="0" applyNumberFormat="1" applyFont="1" applyFill="1" applyBorder="1" applyAlignment="1">
      <alignment horizontal="center" vertical="center"/>
    </xf>
    <xf numFmtId="1" fontId="31" fillId="37" borderId="273" xfId="0" applyNumberFormat="1" applyFont="1" applyFill="1" applyBorder="1" applyAlignment="1">
      <alignment horizontal="center" vertical="center"/>
    </xf>
    <xf numFmtId="1" fontId="37" fillId="0" borderId="318" xfId="0" applyNumberFormat="1" applyFont="1" applyBorder="1" applyAlignment="1">
      <alignment horizontal="center" vertical="center"/>
    </xf>
    <xf numFmtId="10" fontId="68" fillId="22" borderId="0" xfId="0" applyNumberFormat="1" applyFont="1" applyFill="1" applyAlignment="1">
      <alignment horizontal="center"/>
    </xf>
    <xf numFmtId="0" fontId="31" fillId="37" borderId="321" xfId="0" applyFont="1" applyFill="1" applyBorder="1" applyAlignment="1">
      <alignment horizontal="center" vertical="center"/>
    </xf>
    <xf numFmtId="168" fontId="31" fillId="39" borderId="80" xfId="2" applyNumberFormat="1" applyFont="1" applyFill="1" applyBorder="1" applyAlignment="1">
      <alignment horizontal="centerContinuous" vertical="center"/>
    </xf>
    <xf numFmtId="10" fontId="35" fillId="37" borderId="80" xfId="0" applyNumberFormat="1" applyFont="1" applyFill="1" applyBorder="1" applyAlignment="1">
      <alignment horizontal="centerContinuous" vertical="center"/>
    </xf>
    <xf numFmtId="0" fontId="35" fillId="37" borderId="81" xfId="0" applyFont="1" applyFill="1" applyBorder="1" applyAlignment="1">
      <alignment horizontal="centerContinuous" vertical="center"/>
    </xf>
    <xf numFmtId="9" fontId="31" fillId="37" borderId="289" xfId="0" applyNumberFormat="1" applyFont="1" applyFill="1" applyBorder="1" applyAlignment="1">
      <alignment horizontal="center" vertical="center"/>
    </xf>
    <xf numFmtId="9" fontId="35" fillId="37" borderId="85" xfId="0" applyNumberFormat="1" applyFont="1" applyFill="1" applyBorder="1" applyAlignment="1">
      <alignment horizontal="centerContinuous" vertical="center"/>
    </xf>
    <xf numFmtId="10" fontId="39" fillId="37" borderId="252" xfId="0" applyNumberFormat="1" applyFont="1" applyFill="1" applyBorder="1" applyAlignment="1">
      <alignment horizontal="centerContinuous" vertical="center"/>
    </xf>
    <xf numFmtId="0" fontId="39" fillId="37" borderId="252" xfId="0" applyFont="1" applyFill="1" applyBorder="1" applyAlignment="1">
      <alignment horizontal="centerContinuous" vertical="center"/>
    </xf>
    <xf numFmtId="1" fontId="48" fillId="42" borderId="259" xfId="0" applyNumberFormat="1" applyFont="1" applyFill="1" applyBorder="1" applyAlignment="1">
      <alignment horizontal="center" vertical="center"/>
    </xf>
    <xf numFmtId="165" fontId="31" fillId="9" borderId="142" xfId="0" applyNumberFormat="1" applyFont="1" applyFill="1" applyBorder="1" applyAlignment="1">
      <alignment horizontal="center" vertical="center"/>
    </xf>
    <xf numFmtId="0" fontId="31" fillId="37" borderId="274" xfId="0" applyFont="1" applyFill="1" applyBorder="1" applyAlignment="1">
      <alignment horizontal="center" vertical="center"/>
    </xf>
    <xf numFmtId="0" fontId="9" fillId="17" borderId="0" xfId="2" applyNumberFormat="1" applyFont="1" applyFill="1" applyBorder="1" applyAlignment="1">
      <alignment vertical="center" wrapText="1"/>
    </xf>
    <xf numFmtId="0" fontId="9" fillId="17" borderId="86" xfId="2" applyNumberFormat="1" applyFont="1" applyFill="1" applyBorder="1" applyAlignment="1">
      <alignment vertical="center" wrapText="1"/>
    </xf>
    <xf numFmtId="0" fontId="9" fillId="17" borderId="37" xfId="2" applyNumberFormat="1" applyFont="1" applyFill="1" applyBorder="1" applyAlignment="1">
      <alignment vertical="center" wrapText="1"/>
    </xf>
    <xf numFmtId="9" fontId="7" fillId="16" borderId="37" xfId="2" applyFont="1" applyFill="1" applyBorder="1" applyAlignment="1">
      <alignment vertical="center" wrapText="1"/>
    </xf>
    <xf numFmtId="10" fontId="29" fillId="11" borderId="239" xfId="2" applyNumberFormat="1" applyFont="1" applyFill="1" applyBorder="1" applyAlignment="1">
      <alignment horizontal="center" vertical="center"/>
    </xf>
    <xf numFmtId="164" fontId="32" fillId="11" borderId="241" xfId="0" applyNumberFormat="1" applyFont="1" applyFill="1" applyBorder="1"/>
    <xf numFmtId="10" fontId="29" fillId="11" borderId="240" xfId="2" applyNumberFormat="1" applyFont="1" applyFill="1" applyBorder="1" applyAlignment="1">
      <alignment horizontal="center" vertical="center"/>
    </xf>
    <xf numFmtId="169" fontId="32" fillId="11" borderId="243" xfId="0" applyNumberFormat="1" applyFont="1" applyFill="1" applyBorder="1" applyAlignment="1">
      <alignment horizontal="center" vertical="center"/>
    </xf>
    <xf numFmtId="169" fontId="29" fillId="11" borderId="243" xfId="2" applyNumberFormat="1" applyFont="1" applyFill="1" applyBorder="1" applyAlignment="1">
      <alignment horizontal="center" vertical="center"/>
    </xf>
    <xf numFmtId="169" fontId="32" fillId="11" borderId="244" xfId="0" applyNumberFormat="1" applyFont="1" applyFill="1" applyBorder="1" applyAlignment="1">
      <alignment horizontal="center" vertical="center"/>
    </xf>
    <xf numFmtId="169" fontId="32" fillId="11" borderId="245" xfId="0" applyNumberFormat="1" applyFont="1" applyFill="1" applyBorder="1" applyAlignment="1">
      <alignment horizontal="center" vertical="center"/>
    </xf>
    <xf numFmtId="169" fontId="29" fillId="11" borderId="246" xfId="2" applyNumberFormat="1" applyFont="1" applyFill="1" applyBorder="1" applyAlignment="1">
      <alignment horizontal="center" vertical="center"/>
    </xf>
    <xf numFmtId="169" fontId="29" fillId="10" borderId="242" xfId="2" applyNumberFormat="1" applyFont="1" applyFill="1" applyBorder="1" applyAlignment="1">
      <alignment horizontal="center" vertical="center"/>
    </xf>
    <xf numFmtId="164" fontId="32" fillId="11" borderId="248" xfId="0" applyNumberFormat="1" applyFont="1" applyFill="1" applyBorder="1"/>
    <xf numFmtId="168" fontId="29" fillId="11" borderId="248" xfId="2" applyNumberFormat="1" applyFont="1" applyFill="1" applyBorder="1" applyAlignment="1">
      <alignment horizontal="center"/>
    </xf>
    <xf numFmtId="164" fontId="32" fillId="11" borderId="249" xfId="0" applyNumberFormat="1" applyFont="1" applyFill="1" applyBorder="1"/>
    <xf numFmtId="164" fontId="32" fillId="11" borderId="250" xfId="0" applyNumberFormat="1" applyFont="1" applyFill="1" applyBorder="1"/>
    <xf numFmtId="164" fontId="32" fillId="10" borderId="250" xfId="0" applyNumberFormat="1" applyFont="1" applyFill="1" applyBorder="1"/>
    <xf numFmtId="168" fontId="29" fillId="10" borderId="247" xfId="2" applyNumberFormat="1" applyFont="1" applyFill="1" applyBorder="1" applyAlignment="1">
      <alignment horizontal="center"/>
    </xf>
    <xf numFmtId="169" fontId="32" fillId="11" borderId="244" xfId="0" applyNumberFormat="1" applyFont="1" applyFill="1" applyBorder="1" applyAlignment="1">
      <alignment horizontal="center"/>
    </xf>
    <xf numFmtId="169" fontId="32" fillId="11" borderId="245" xfId="0" applyNumberFormat="1" applyFont="1" applyFill="1" applyBorder="1" applyAlignment="1">
      <alignment horizontal="center"/>
    </xf>
    <xf numFmtId="169" fontId="32" fillId="10" borderId="243" xfId="0" applyNumberFormat="1" applyFont="1" applyFill="1" applyBorder="1" applyAlignment="1">
      <alignment horizontal="center"/>
    </xf>
    <xf numFmtId="164" fontId="32" fillId="30" borderId="233" xfId="0" applyNumberFormat="1" applyFont="1" applyFill="1" applyBorder="1"/>
    <xf numFmtId="10" fontId="29" fillId="30" borderId="233" xfId="2" applyNumberFormat="1" applyFont="1" applyFill="1" applyBorder="1" applyAlignment="1">
      <alignment horizontal="center" vertical="center"/>
    </xf>
    <xf numFmtId="164" fontId="32" fillId="30" borderId="234" xfId="0" applyNumberFormat="1" applyFont="1" applyFill="1" applyBorder="1"/>
    <xf numFmtId="10" fontId="29" fillId="30" borderId="235" xfId="2" applyNumberFormat="1" applyFont="1" applyFill="1" applyBorder="1" applyAlignment="1">
      <alignment horizontal="center" vertical="center"/>
    </xf>
    <xf numFmtId="164" fontId="32" fillId="48" borderId="233" xfId="0" applyNumberFormat="1" applyFont="1" applyFill="1" applyBorder="1"/>
    <xf numFmtId="10" fontId="29" fillId="48" borderId="232" xfId="2" applyNumberFormat="1" applyFont="1" applyFill="1" applyBorder="1" applyAlignment="1">
      <alignment horizontal="center" vertical="center"/>
    </xf>
    <xf numFmtId="0" fontId="32" fillId="30" borderId="233" xfId="0" applyFont="1" applyFill="1" applyBorder="1" applyAlignment="1">
      <alignment horizontal="center" vertical="center"/>
    </xf>
    <xf numFmtId="169" fontId="29" fillId="30" borderId="233" xfId="2" applyNumberFormat="1" applyFont="1" applyFill="1" applyBorder="1" applyAlignment="1">
      <alignment horizontal="center" vertical="center"/>
    </xf>
    <xf numFmtId="0" fontId="32" fillId="30" borderId="234" xfId="0" applyFont="1" applyFill="1" applyBorder="1" applyAlignment="1">
      <alignment horizontal="center" vertical="center"/>
    </xf>
    <xf numFmtId="169" fontId="29" fillId="30" borderId="238" xfId="2" applyNumberFormat="1" applyFont="1" applyFill="1" applyBorder="1" applyAlignment="1">
      <alignment horizontal="center" vertical="center"/>
    </xf>
    <xf numFmtId="0" fontId="32" fillId="48" borderId="234" xfId="0" applyFont="1" applyFill="1" applyBorder="1" applyAlignment="1">
      <alignment horizontal="center" vertical="center"/>
    </xf>
    <xf numFmtId="169" fontId="29" fillId="48" borderId="232" xfId="2" applyNumberFormat="1" applyFont="1" applyFill="1" applyBorder="1" applyAlignment="1">
      <alignment horizontal="center" vertical="center"/>
    </xf>
    <xf numFmtId="164" fontId="32" fillId="48" borderId="236" xfId="0" applyNumberFormat="1" applyFont="1" applyFill="1" applyBorder="1"/>
    <xf numFmtId="168" fontId="29" fillId="30" borderId="233" xfId="2" applyNumberFormat="1" applyFont="1" applyFill="1" applyBorder="1" applyAlignment="1">
      <alignment horizontal="center" vertical="center"/>
    </xf>
    <xf numFmtId="168" fontId="29" fillId="30" borderId="235" xfId="2" applyNumberFormat="1" applyFont="1" applyFill="1" applyBorder="1" applyAlignment="1">
      <alignment horizontal="center" vertical="center"/>
    </xf>
    <xf numFmtId="0" fontId="32" fillId="30" borderId="234" xfId="0" applyFont="1" applyFill="1" applyBorder="1" applyAlignment="1">
      <alignment horizontal="center"/>
    </xf>
    <xf numFmtId="0" fontId="32" fillId="48" borderId="236" xfId="0" applyFont="1" applyFill="1" applyBorder="1" applyAlignment="1">
      <alignment horizontal="center"/>
    </xf>
    <xf numFmtId="10" fontId="29" fillId="30" borderId="0" xfId="2" applyNumberFormat="1" applyFont="1" applyFill="1" applyAlignment="1">
      <alignment horizontal="center"/>
    </xf>
    <xf numFmtId="164" fontId="32" fillId="48" borderId="234" xfId="0" applyNumberFormat="1" applyFont="1" applyFill="1" applyBorder="1"/>
    <xf numFmtId="0" fontId="32" fillId="30" borderId="233" xfId="0" applyFont="1" applyFill="1" applyBorder="1" applyAlignment="1">
      <alignment horizontal="center"/>
    </xf>
    <xf numFmtId="164" fontId="28" fillId="22" borderId="194" xfId="0" applyNumberFormat="1" applyFont="1" applyFill="1" applyBorder="1" applyAlignment="1">
      <alignment horizontal="center"/>
    </xf>
    <xf numFmtId="164" fontId="28" fillId="59" borderId="194" xfId="0" applyNumberFormat="1" applyFont="1" applyFill="1" applyBorder="1" applyAlignment="1">
      <alignment horizontal="center"/>
    </xf>
    <xf numFmtId="164" fontId="28" fillId="22" borderId="322" xfId="0" applyNumberFormat="1" applyFont="1" applyFill="1" applyBorder="1" applyAlignment="1">
      <alignment horizontal="center"/>
    </xf>
    <xf numFmtId="164" fontId="28" fillId="24" borderId="0" xfId="0" applyNumberFormat="1" applyFont="1" applyFill="1" applyAlignment="1">
      <alignment horizontal="center"/>
    </xf>
    <xf numFmtId="10" fontId="68" fillId="22" borderId="194" xfId="0" applyNumberFormat="1" applyFont="1" applyFill="1" applyBorder="1" applyAlignment="1">
      <alignment horizontal="center"/>
    </xf>
    <xf numFmtId="44" fontId="32" fillId="22" borderId="254" xfId="0" applyNumberFormat="1" applyFont="1" applyFill="1" applyBorder="1"/>
    <xf numFmtId="10" fontId="29" fillId="22" borderId="254" xfId="0" applyNumberFormat="1" applyFont="1" applyFill="1" applyBorder="1"/>
    <xf numFmtId="44" fontId="32" fillId="22" borderId="255" xfId="0" applyNumberFormat="1" applyFont="1" applyFill="1" applyBorder="1"/>
    <xf numFmtId="10" fontId="29" fillId="22" borderId="256" xfId="0" applyNumberFormat="1" applyFont="1" applyFill="1" applyBorder="1"/>
    <xf numFmtId="44" fontId="32" fillId="24" borderId="255" xfId="0" applyNumberFormat="1" applyFont="1" applyFill="1" applyBorder="1"/>
    <xf numFmtId="10" fontId="29" fillId="24" borderId="253" xfId="0" applyNumberFormat="1" applyFont="1" applyFill="1" applyBorder="1"/>
    <xf numFmtId="164" fontId="32" fillId="23" borderId="92" xfId="0" applyNumberFormat="1" applyFont="1" applyFill="1" applyBorder="1" applyAlignment="1">
      <alignment horizontal="center" vertical="center"/>
    </xf>
    <xf numFmtId="10" fontId="68" fillId="23" borderId="92" xfId="0" applyNumberFormat="1" applyFont="1" applyFill="1" applyBorder="1" applyAlignment="1">
      <alignment horizontal="center" vertical="center"/>
    </xf>
    <xf numFmtId="10" fontId="35" fillId="23" borderId="93" xfId="0" applyNumberFormat="1" applyFont="1" applyFill="1" applyBorder="1" applyAlignment="1">
      <alignment horizontal="center" vertical="center"/>
    </xf>
    <xf numFmtId="10" fontId="35" fillId="59" borderId="193" xfId="0" applyNumberFormat="1" applyFont="1" applyFill="1" applyBorder="1" applyAlignment="1">
      <alignment horizontal="center"/>
    </xf>
    <xf numFmtId="10" fontId="35" fillId="23" borderId="92" xfId="0" applyNumberFormat="1" applyFont="1" applyFill="1" applyBorder="1" applyAlignment="1">
      <alignment horizontal="center" vertical="center"/>
    </xf>
    <xf numFmtId="0" fontId="32" fillId="24" borderId="254" xfId="0" applyFont="1" applyFill="1" applyBorder="1" applyAlignment="1">
      <alignment horizontal="right"/>
    </xf>
    <xf numFmtId="169" fontId="32" fillId="22" borderId="254" xfId="0" applyNumberFormat="1" applyFont="1" applyFill="1" applyBorder="1"/>
    <xf numFmtId="169" fontId="32" fillId="22" borderId="255" xfId="0" applyNumberFormat="1" applyFont="1" applyFill="1" applyBorder="1"/>
    <xf numFmtId="169" fontId="32" fillId="24" borderId="255" xfId="0" applyNumberFormat="1" applyFont="1" applyFill="1" applyBorder="1"/>
    <xf numFmtId="10" fontId="35" fillId="22" borderId="323" xfId="0" applyNumberFormat="1" applyFont="1" applyFill="1" applyBorder="1" applyAlignment="1">
      <alignment horizontal="center"/>
    </xf>
    <xf numFmtId="10" fontId="68" fillId="22" borderId="323" xfId="0" applyNumberFormat="1" applyFont="1" applyFill="1" applyBorder="1" applyAlignment="1">
      <alignment horizontal="center"/>
    </xf>
    <xf numFmtId="0" fontId="32" fillId="10" borderId="324" xfId="0" applyFont="1" applyFill="1" applyBorder="1" applyAlignment="1">
      <alignment horizontal="right"/>
    </xf>
    <xf numFmtId="165" fontId="29" fillId="10" borderId="241" xfId="0" applyNumberFormat="1" applyFont="1" applyFill="1" applyBorder="1" applyAlignment="1">
      <alignment horizontal="center"/>
    </xf>
    <xf numFmtId="168" fontId="29" fillId="11" borderId="325" xfId="2" applyNumberFormat="1" applyFont="1" applyFill="1" applyBorder="1" applyAlignment="1">
      <alignment horizontal="center"/>
    </xf>
    <xf numFmtId="174" fontId="31" fillId="37" borderId="251" xfId="0" applyNumberFormat="1" applyFont="1" applyFill="1" applyBorder="1" applyAlignment="1">
      <alignment horizontal="center" vertical="center"/>
    </xf>
    <xf numFmtId="174" fontId="31" fillId="37" borderId="252" xfId="0" applyNumberFormat="1" applyFont="1" applyFill="1" applyBorder="1" applyAlignment="1">
      <alignment horizontal="center" vertical="center"/>
    </xf>
    <xf numFmtId="10" fontId="35" fillId="37" borderId="85" xfId="0" applyNumberFormat="1" applyFont="1" applyFill="1" applyBorder="1" applyAlignment="1">
      <alignment horizontal="centerContinuous" vertical="center"/>
    </xf>
    <xf numFmtId="0" fontId="35" fillId="37" borderId="251" xfId="0" applyFont="1" applyFill="1" applyBorder="1" applyAlignment="1">
      <alignment horizontal="centerContinuous" vertical="center"/>
    </xf>
    <xf numFmtId="1" fontId="31" fillId="37" borderId="275" xfId="0" applyNumberFormat="1" applyFont="1" applyFill="1" applyBorder="1" applyAlignment="1">
      <alignment horizontal="center" vertical="center"/>
    </xf>
    <xf numFmtId="169" fontId="29" fillId="11" borderId="5" xfId="2" applyNumberFormat="1" applyFont="1" applyFill="1" applyBorder="1" applyAlignment="1">
      <alignment horizontal="center" vertical="center"/>
    </xf>
    <xf numFmtId="169" fontId="29" fillId="10" borderId="128" xfId="2" applyNumberFormat="1" applyFont="1" applyFill="1" applyBorder="1" applyAlignment="1">
      <alignment horizontal="center" vertical="center"/>
    </xf>
    <xf numFmtId="0" fontId="32" fillId="11" borderId="48" xfId="0" applyFont="1" applyFill="1" applyBorder="1" applyAlignment="1">
      <alignment horizontal="center"/>
    </xf>
    <xf numFmtId="0" fontId="32" fillId="11" borderId="11" xfId="0" applyFont="1" applyFill="1" applyBorder="1" applyAlignment="1">
      <alignment horizontal="center"/>
    </xf>
    <xf numFmtId="0" fontId="32" fillId="10" borderId="0" xfId="0" applyFont="1" applyFill="1" applyAlignment="1">
      <alignment horizontal="center"/>
    </xf>
    <xf numFmtId="0" fontId="32" fillId="10" borderId="326" xfId="0" applyFont="1" applyFill="1" applyBorder="1" applyAlignment="1">
      <alignment horizontal="right"/>
    </xf>
    <xf numFmtId="0" fontId="32" fillId="11" borderId="248" xfId="0" applyFont="1" applyFill="1" applyBorder="1" applyAlignment="1">
      <alignment horizontal="center" vertical="center"/>
    </xf>
    <xf numFmtId="0" fontId="31" fillId="11" borderId="248" xfId="2" applyNumberFormat="1" applyFont="1" applyFill="1" applyBorder="1" applyAlignment="1">
      <alignment horizontal="center" vertical="center"/>
    </xf>
    <xf numFmtId="0" fontId="32" fillId="11" borderId="250" xfId="0" applyFont="1" applyFill="1" applyBorder="1" applyAlignment="1">
      <alignment horizontal="center"/>
    </xf>
    <xf numFmtId="0" fontId="32" fillId="11" borderId="249" xfId="0" applyFont="1" applyFill="1" applyBorder="1" applyAlignment="1">
      <alignment horizontal="center"/>
    </xf>
    <xf numFmtId="0" fontId="29" fillId="11" borderId="248" xfId="2" applyNumberFormat="1" applyFont="1" applyFill="1" applyBorder="1" applyAlignment="1">
      <alignment horizontal="center" vertical="center"/>
    </xf>
    <xf numFmtId="0" fontId="32" fillId="10" borderId="248" xfId="0" applyFont="1" applyFill="1" applyBorder="1" applyAlignment="1">
      <alignment horizontal="center"/>
    </xf>
    <xf numFmtId="0" fontId="29" fillId="10" borderId="247" xfId="2" applyNumberFormat="1" applyFont="1" applyFill="1" applyBorder="1" applyAlignment="1">
      <alignment horizontal="center" vertical="center"/>
    </xf>
    <xf numFmtId="0" fontId="29" fillId="11" borderId="5" xfId="2" applyNumberFormat="1" applyFont="1" applyFill="1" applyBorder="1" applyAlignment="1">
      <alignment horizontal="center" vertical="center"/>
    </xf>
    <xf numFmtId="169" fontId="32" fillId="11" borderId="48" xfId="0" applyNumberFormat="1" applyFont="1" applyFill="1" applyBorder="1" applyAlignment="1">
      <alignment horizontal="center"/>
    </xf>
    <xf numFmtId="169" fontId="32" fillId="11" borderId="11" xfId="0" applyNumberFormat="1" applyFont="1" applyFill="1" applyBorder="1" applyAlignment="1">
      <alignment horizontal="center"/>
    </xf>
    <xf numFmtId="169" fontId="32" fillId="10" borderId="0" xfId="0" applyNumberFormat="1" applyFont="1" applyFill="1" applyAlignment="1">
      <alignment horizontal="center"/>
    </xf>
    <xf numFmtId="169" fontId="29" fillId="30" borderId="177" xfId="2" applyNumberFormat="1" applyFont="1" applyFill="1" applyBorder="1" applyAlignment="1">
      <alignment horizontal="center" vertical="center"/>
    </xf>
    <xf numFmtId="169" fontId="29" fillId="30" borderId="258" xfId="2" applyNumberFormat="1" applyFont="1" applyFill="1" applyBorder="1" applyAlignment="1">
      <alignment horizontal="center" vertical="center"/>
    </xf>
    <xf numFmtId="10" fontId="29" fillId="30" borderId="0" xfId="2" applyNumberFormat="1" applyFont="1" applyFill="1" applyBorder="1" applyAlignment="1">
      <alignment horizontal="center"/>
    </xf>
    <xf numFmtId="164" fontId="32" fillId="48" borderId="176" xfId="0" applyNumberFormat="1" applyFont="1" applyFill="1" applyBorder="1"/>
    <xf numFmtId="0" fontId="32" fillId="30" borderId="0" xfId="0" applyFont="1" applyFill="1" applyAlignment="1">
      <alignment horizontal="center"/>
    </xf>
    <xf numFmtId="0" fontId="0" fillId="14" borderId="214" xfId="0" quotePrefix="1" applyFill="1" applyBorder="1" applyAlignment="1">
      <alignment horizontal="center"/>
    </xf>
    <xf numFmtId="165" fontId="29" fillId="10" borderId="11" xfId="0" applyNumberFormat="1" applyFont="1" applyFill="1" applyBorder="1" applyAlignment="1">
      <alignment horizontal="center"/>
    </xf>
    <xf numFmtId="10" fontId="29" fillId="30" borderId="237" xfId="2" applyNumberFormat="1" applyFont="1" applyFill="1" applyBorder="1" applyAlignment="1">
      <alignment horizontal="center"/>
    </xf>
    <xf numFmtId="168" fontId="29" fillId="11" borderId="5" xfId="2" applyNumberFormat="1" applyFont="1" applyFill="1" applyBorder="1" applyAlignment="1">
      <alignment horizontal="center"/>
    </xf>
    <xf numFmtId="164" fontId="28" fillId="22" borderId="254" xfId="0" applyNumberFormat="1" applyFont="1" applyFill="1" applyBorder="1" applyAlignment="1">
      <alignment horizontal="center"/>
    </xf>
    <xf numFmtId="164" fontId="28" fillId="22" borderId="329" xfId="0" applyNumberFormat="1" applyFont="1" applyFill="1" applyBorder="1" applyAlignment="1">
      <alignment horizontal="center"/>
    </xf>
    <xf numFmtId="10" fontId="35" fillId="22" borderId="330" xfId="0" applyNumberFormat="1" applyFont="1" applyFill="1" applyBorder="1" applyAlignment="1">
      <alignment horizontal="center"/>
    </xf>
    <xf numFmtId="10" fontId="68" fillId="22" borderId="330" xfId="0" applyNumberFormat="1" applyFont="1" applyFill="1" applyBorder="1" applyAlignment="1">
      <alignment horizontal="center"/>
    </xf>
    <xf numFmtId="164" fontId="28" fillId="59" borderId="254" xfId="0" applyNumberFormat="1" applyFont="1" applyFill="1" applyBorder="1" applyAlignment="1">
      <alignment horizontal="center"/>
    </xf>
    <xf numFmtId="10" fontId="68" fillId="59" borderId="253" xfId="0" applyNumberFormat="1" applyFont="1" applyFill="1" applyBorder="1" applyAlignment="1">
      <alignment horizontal="center"/>
    </xf>
    <xf numFmtId="10" fontId="29" fillId="24" borderId="253" xfId="2" applyNumberFormat="1" applyFont="1" applyFill="1" applyBorder="1" applyAlignment="1">
      <alignment horizontal="center"/>
    </xf>
    <xf numFmtId="169" fontId="32" fillId="24" borderId="0" xfId="0" applyNumberFormat="1" applyFont="1" applyFill="1" applyAlignment="1">
      <alignment horizontal="right"/>
    </xf>
    <xf numFmtId="169" fontId="32" fillId="0" borderId="0" xfId="0" applyNumberFormat="1" applyFont="1"/>
    <xf numFmtId="0" fontId="31" fillId="0" borderId="0" xfId="2" applyNumberFormat="1" applyFont="1" applyFill="1" applyBorder="1" applyAlignment="1">
      <alignment horizontal="center" vertical="center"/>
    </xf>
    <xf numFmtId="1" fontId="31" fillId="0" borderId="0" xfId="2" applyNumberFormat="1" applyFont="1" applyFill="1" applyBorder="1" applyAlignment="1">
      <alignment horizontal="center" vertical="center"/>
    </xf>
    <xf numFmtId="0" fontId="31" fillId="14" borderId="2" xfId="1" applyNumberFormat="1" applyFont="1" applyFill="1" applyBorder="1" applyAlignment="1">
      <alignment horizontal="center" vertical="center"/>
    </xf>
    <xf numFmtId="0" fontId="31" fillId="14" borderId="263" xfId="1" applyNumberFormat="1" applyFont="1" applyFill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wrapText="1"/>
    </xf>
    <xf numFmtId="0" fontId="71" fillId="0" borderId="0" xfId="0" applyFont="1"/>
    <xf numFmtId="176" fontId="72" fillId="0" borderId="0" xfId="0" applyNumberFormat="1" applyFont="1"/>
    <xf numFmtId="0" fontId="70" fillId="0" borderId="0" xfId="0" applyFont="1" applyAlignment="1">
      <alignment vertical="center"/>
    </xf>
    <xf numFmtId="0" fontId="73" fillId="0" borderId="0" xfId="0" applyFont="1" applyAlignment="1">
      <alignment horizontal="center" vertical="center"/>
    </xf>
    <xf numFmtId="0" fontId="73" fillId="0" borderId="0" xfId="0" applyFont="1"/>
    <xf numFmtId="0" fontId="73" fillId="0" borderId="0" xfId="0" applyFont="1" applyAlignment="1">
      <alignment horizontal="center"/>
    </xf>
    <xf numFmtId="0" fontId="74" fillId="0" borderId="0" xfId="0" applyFont="1" applyAlignment="1">
      <alignment horizontal="center"/>
    </xf>
    <xf numFmtId="165" fontId="73" fillId="0" borderId="0" xfId="1" applyNumberFormat="1" applyFont="1" applyAlignment="1">
      <alignment vertical="center"/>
    </xf>
    <xf numFmtId="165" fontId="73" fillId="0" borderId="0" xfId="0" applyNumberFormat="1" applyFont="1"/>
    <xf numFmtId="0" fontId="75" fillId="0" borderId="0" xfId="0" applyFont="1" applyAlignment="1">
      <alignment horizontal="centerContinuous" vertical="center"/>
    </xf>
    <xf numFmtId="0" fontId="76" fillId="0" borderId="0" xfId="0" applyFont="1" applyAlignment="1">
      <alignment vertical="center"/>
    </xf>
    <xf numFmtId="0" fontId="76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1" fontId="79" fillId="0" borderId="0" xfId="0" applyNumberFormat="1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0" fillId="0" borderId="0" xfId="0" applyFont="1" applyAlignment="1">
      <alignment horizontal="center"/>
    </xf>
    <xf numFmtId="0" fontId="74" fillId="0" borderId="0" xfId="0" applyFont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37" fontId="80" fillId="0" borderId="0" xfId="0" applyNumberFormat="1" applyFont="1" applyAlignment="1">
      <alignment horizontal="center" vertical="center"/>
    </xf>
    <xf numFmtId="0" fontId="81" fillId="0" borderId="0" xfId="0" applyFont="1" applyAlignment="1">
      <alignment vertical="center"/>
    </xf>
    <xf numFmtId="1" fontId="81" fillId="0" borderId="0" xfId="0" applyNumberFormat="1" applyFont="1" applyAlignment="1">
      <alignment horizontal="center" vertical="center"/>
    </xf>
    <xf numFmtId="37" fontId="80" fillId="0" borderId="0" xfId="0" applyNumberFormat="1" applyFont="1" applyAlignment="1">
      <alignment horizontal="center"/>
    </xf>
    <xf numFmtId="0" fontId="82" fillId="0" borderId="0" xfId="0" applyFont="1" applyAlignment="1">
      <alignment vertical="center" wrapText="1"/>
    </xf>
    <xf numFmtId="0" fontId="83" fillId="0" borderId="0" xfId="0" applyFont="1" applyAlignment="1">
      <alignment horizontal="center" vertical="center" wrapText="1"/>
    </xf>
    <xf numFmtId="0" fontId="83" fillId="0" borderId="0" xfId="0" applyFont="1" applyAlignment="1">
      <alignment horizontal="centerContinuous" vertical="center" wrapText="1"/>
    </xf>
    <xf numFmtId="0" fontId="83" fillId="0" borderId="0" xfId="0" applyFont="1" applyAlignment="1">
      <alignment horizontal="centerContinuous" vertical="center"/>
    </xf>
    <xf numFmtId="0" fontId="83" fillId="0" borderId="0" xfId="0" applyFont="1" applyAlignment="1">
      <alignment vertical="center"/>
    </xf>
    <xf numFmtId="9" fontId="84" fillId="0" borderId="0" xfId="0" applyNumberFormat="1" applyFont="1" applyAlignment="1">
      <alignment horizontal="center" vertical="center"/>
    </xf>
    <xf numFmtId="9" fontId="85" fillId="0" borderId="0" xfId="0" applyNumberFormat="1" applyFont="1" applyAlignment="1">
      <alignment horizontal="center" vertical="center"/>
    </xf>
    <xf numFmtId="9" fontId="85" fillId="0" borderId="0" xfId="0" applyNumberFormat="1" applyFont="1" applyAlignment="1">
      <alignment horizontal="centerContinuous" vertical="center"/>
    </xf>
    <xf numFmtId="9" fontId="86" fillId="0" borderId="0" xfId="0" applyNumberFormat="1" applyFont="1" applyAlignment="1">
      <alignment horizontal="centerContinuous" vertical="center"/>
    </xf>
    <xf numFmtId="9" fontId="87" fillId="0" borderId="0" xfId="0" applyNumberFormat="1" applyFont="1" applyAlignment="1">
      <alignment horizontal="centerContinuous" vertical="center"/>
    </xf>
    <xf numFmtId="44" fontId="84" fillId="0" borderId="0" xfId="0" applyNumberFormat="1" applyFont="1" applyAlignment="1">
      <alignment horizontal="center" vertical="center"/>
    </xf>
    <xf numFmtId="44" fontId="85" fillId="0" borderId="0" xfId="0" applyNumberFormat="1" applyFont="1" applyAlignment="1">
      <alignment horizontal="center" vertical="center"/>
    </xf>
    <xf numFmtId="44" fontId="85" fillId="0" borderId="0" xfId="0" applyNumberFormat="1" applyFont="1" applyAlignment="1">
      <alignment horizontal="centerContinuous" vertical="center"/>
    </xf>
    <xf numFmtId="44" fontId="86" fillId="0" borderId="0" xfId="0" applyNumberFormat="1" applyFont="1" applyAlignment="1">
      <alignment horizontal="centerContinuous" vertical="center"/>
    </xf>
    <xf numFmtId="44" fontId="87" fillId="0" borderId="0" xfId="0" applyNumberFormat="1" applyFont="1" applyAlignment="1">
      <alignment horizontal="centerContinuous" vertical="center"/>
    </xf>
    <xf numFmtId="0" fontId="79" fillId="0" borderId="0" xfId="0" applyFont="1" applyAlignment="1">
      <alignment horizontal="center"/>
    </xf>
    <xf numFmtId="0" fontId="79" fillId="0" borderId="0" xfId="0" applyFont="1" applyAlignment="1">
      <alignment horizontal="left"/>
    </xf>
    <xf numFmtId="0" fontId="79" fillId="0" borderId="0" xfId="0" applyFont="1"/>
    <xf numFmtId="168" fontId="8" fillId="0" borderId="0" xfId="2" applyNumberFormat="1" applyFont="1"/>
    <xf numFmtId="0" fontId="8" fillId="0" borderId="0" xfId="0" applyFont="1" applyAlignment="1">
      <alignment horizontal="center" wrapText="1"/>
    </xf>
    <xf numFmtId="164" fontId="28" fillId="24" borderId="28" xfId="0" applyNumberFormat="1" applyFont="1" applyFill="1" applyBorder="1" applyAlignment="1">
      <alignment horizontal="center"/>
    </xf>
    <xf numFmtId="10" fontId="68" fillId="37" borderId="71" xfId="0" applyNumberFormat="1" applyFont="1" applyFill="1" applyBorder="1" applyAlignment="1">
      <alignment horizontal="centerContinuous" vertical="center"/>
    </xf>
    <xf numFmtId="0" fontId="35" fillId="37" borderId="0" xfId="0" applyFont="1" applyFill="1" applyAlignment="1">
      <alignment horizontal="centerContinuous" vertical="center"/>
    </xf>
    <xf numFmtId="10" fontId="31" fillId="39" borderId="71" xfId="0" applyNumberFormat="1" applyFont="1" applyFill="1" applyBorder="1" applyAlignment="1">
      <alignment horizontal="centerContinuous" vertical="center"/>
    </xf>
    <xf numFmtId="10" fontId="31" fillId="39" borderId="71" xfId="2" applyNumberFormat="1" applyFont="1" applyFill="1" applyBorder="1" applyAlignment="1">
      <alignment horizontal="centerContinuous" vertical="center"/>
    </xf>
    <xf numFmtId="10" fontId="31" fillId="39" borderId="268" xfId="0" applyNumberFormat="1" applyFont="1" applyFill="1" applyBorder="1" applyAlignment="1">
      <alignment horizontal="centerContinuous" vertical="center"/>
    </xf>
    <xf numFmtId="10" fontId="31" fillId="39" borderId="80" xfId="2" applyNumberFormat="1" applyFont="1" applyFill="1" applyBorder="1" applyAlignment="1">
      <alignment horizontal="centerContinuous" vertical="center"/>
    </xf>
    <xf numFmtId="10" fontId="31" fillId="39" borderId="270" xfId="0" applyNumberFormat="1" applyFont="1" applyFill="1" applyBorder="1" applyAlignment="1">
      <alignment horizontal="centerContinuous" vertical="center"/>
    </xf>
    <xf numFmtId="44" fontId="32" fillId="30" borderId="0" xfId="0" applyNumberFormat="1" applyFont="1" applyFill="1"/>
    <xf numFmtId="0" fontId="32" fillId="30" borderId="0" xfId="0" applyFont="1" applyFill="1"/>
    <xf numFmtId="44" fontId="32" fillId="30" borderId="176" xfId="0" applyNumberFormat="1" applyFont="1" applyFill="1" applyBorder="1"/>
    <xf numFmtId="0" fontId="32" fillId="30" borderId="177" xfId="0" applyFont="1" applyFill="1" applyBorder="1"/>
    <xf numFmtId="165" fontId="8" fillId="0" borderId="0" xfId="0" applyNumberFormat="1" applyFont="1" applyAlignment="1">
      <alignment horizontal="center" vertical="center"/>
    </xf>
    <xf numFmtId="164" fontId="32" fillId="10" borderId="241" xfId="0" applyNumberFormat="1" applyFont="1" applyFill="1" applyBorder="1"/>
    <xf numFmtId="10" fontId="31" fillId="10" borderId="331" xfId="2" applyNumberFormat="1" applyFont="1" applyFill="1" applyBorder="1" applyAlignment="1">
      <alignment horizontal="center" vertical="center"/>
    </xf>
    <xf numFmtId="10" fontId="29" fillId="30" borderId="177" xfId="2" applyNumberFormat="1" applyFont="1" applyFill="1" applyBorder="1" applyAlignment="1">
      <alignment horizontal="center"/>
    </xf>
    <xf numFmtId="0" fontId="37" fillId="17" borderId="0" xfId="0" applyFont="1" applyFill="1" applyAlignment="1">
      <alignment horizontal="center" vertical="center"/>
    </xf>
    <xf numFmtId="0" fontId="37" fillId="0" borderId="334" xfId="0" applyFont="1" applyBorder="1" applyAlignment="1">
      <alignment vertical="center"/>
    </xf>
    <xf numFmtId="177" fontId="37" fillId="0" borderId="2" xfId="0" applyNumberFormat="1" applyFont="1" applyBorder="1" applyAlignment="1">
      <alignment horizontal="center" vertical="center"/>
    </xf>
    <xf numFmtId="0" fontId="37" fillId="0" borderId="335" xfId="0" applyFont="1" applyBorder="1" applyAlignment="1">
      <alignment vertical="center"/>
    </xf>
    <xf numFmtId="44" fontId="37" fillId="0" borderId="336" xfId="1" applyFont="1" applyBorder="1" applyAlignment="1">
      <alignment vertical="center"/>
    </xf>
    <xf numFmtId="177" fontId="37" fillId="0" borderId="263" xfId="0" applyNumberFormat="1" applyFont="1" applyBorder="1" applyAlignment="1">
      <alignment horizontal="center" vertical="center"/>
    </xf>
    <xf numFmtId="0" fontId="37" fillId="0" borderId="333" xfId="0" applyFont="1" applyBorder="1" applyAlignment="1">
      <alignment horizontal="center" vertical="center"/>
    </xf>
    <xf numFmtId="0" fontId="37" fillId="0" borderId="261" xfId="0" applyFont="1" applyBorder="1" applyAlignment="1">
      <alignment horizontal="center" vertical="center"/>
    </xf>
    <xf numFmtId="175" fontId="37" fillId="0" borderId="2" xfId="2" applyNumberFormat="1" applyFont="1" applyBorder="1" applyAlignment="1">
      <alignment horizontal="center" vertical="center"/>
    </xf>
    <xf numFmtId="175" fontId="37" fillId="0" borderId="263" xfId="2" applyNumberFormat="1" applyFont="1" applyBorder="1" applyAlignment="1">
      <alignment horizontal="center" vertical="center"/>
    </xf>
    <xf numFmtId="0" fontId="37" fillId="0" borderId="336" xfId="0" applyFont="1" applyBorder="1" applyAlignment="1">
      <alignment horizontal="center" vertical="center"/>
    </xf>
    <xf numFmtId="0" fontId="37" fillId="17" borderId="4" xfId="0" applyFont="1" applyFill="1" applyBorder="1" applyAlignment="1">
      <alignment horizontal="center" vertical="center"/>
    </xf>
    <xf numFmtId="0" fontId="37" fillId="0" borderId="341" xfId="0" applyFont="1" applyBorder="1" applyAlignment="1">
      <alignment horizontal="center" vertical="center"/>
    </xf>
    <xf numFmtId="0" fontId="37" fillId="0" borderId="2" xfId="0" applyFont="1" applyBorder="1" applyAlignment="1">
      <alignment vertical="center"/>
    </xf>
    <xf numFmtId="0" fontId="37" fillId="0" borderId="4" xfId="0" applyFont="1" applyBorder="1" applyAlignment="1">
      <alignment vertical="center"/>
    </xf>
    <xf numFmtId="0" fontId="37" fillId="0" borderId="263" xfId="0" applyFont="1" applyBorder="1" applyAlignment="1">
      <alignment vertical="center"/>
    </xf>
    <xf numFmtId="0" fontId="37" fillId="14" borderId="4" xfId="0" applyFont="1" applyFill="1" applyBorder="1" applyAlignment="1">
      <alignment vertical="center"/>
    </xf>
    <xf numFmtId="0" fontId="37" fillId="14" borderId="0" xfId="0" applyFont="1" applyFill="1" applyAlignment="1">
      <alignment vertical="center"/>
    </xf>
    <xf numFmtId="177" fontId="37" fillId="0" borderId="348" xfId="0" applyNumberFormat="1" applyFont="1" applyBorder="1" applyAlignment="1">
      <alignment horizontal="center" vertical="center"/>
    </xf>
    <xf numFmtId="9" fontId="37" fillId="0" borderId="337" xfId="0" applyNumberFormat="1" applyFont="1" applyBorder="1" applyAlignment="1">
      <alignment horizontal="center" vertical="center"/>
    </xf>
    <xf numFmtId="10" fontId="37" fillId="0" borderId="336" xfId="0" applyNumberFormat="1" applyFont="1" applyBorder="1" applyAlignment="1">
      <alignment horizontal="center" vertical="center"/>
    </xf>
    <xf numFmtId="175" fontId="37" fillId="0" borderId="348" xfId="2" applyNumberFormat="1" applyFont="1" applyBorder="1" applyAlignment="1">
      <alignment horizontal="center" vertical="center"/>
    </xf>
    <xf numFmtId="0" fontId="37" fillId="0" borderId="334" xfId="0" applyFont="1" applyBorder="1" applyAlignment="1">
      <alignment horizontal="right" vertical="center"/>
    </xf>
    <xf numFmtId="0" fontId="37" fillId="0" borderId="335" xfId="0" applyFont="1" applyBorder="1" applyAlignment="1">
      <alignment horizontal="right" vertical="center"/>
    </xf>
    <xf numFmtId="0" fontId="37" fillId="14" borderId="2" xfId="0" applyFont="1" applyFill="1" applyBorder="1" applyAlignment="1">
      <alignment vertical="center"/>
    </xf>
    <xf numFmtId="0" fontId="37" fillId="14" borderId="263" xfId="0" applyFont="1" applyFill="1" applyBorder="1" applyAlignment="1">
      <alignment vertical="center"/>
    </xf>
    <xf numFmtId="174" fontId="37" fillId="0" borderId="318" xfId="0" quotePrefix="1" applyNumberFormat="1" applyFont="1" applyBorder="1" applyAlignment="1">
      <alignment horizontal="center" vertical="center"/>
    </xf>
    <xf numFmtId="174" fontId="37" fillId="0" borderId="341" xfId="0" applyNumberFormat="1" applyFont="1" applyBorder="1" applyAlignment="1">
      <alignment horizontal="center" vertical="center"/>
    </xf>
    <xf numFmtId="174" fontId="37" fillId="0" borderId="336" xfId="0" applyNumberFormat="1" applyFont="1" applyBorder="1" applyAlignment="1">
      <alignment horizontal="center" vertical="center"/>
    </xf>
    <xf numFmtId="0" fontId="37" fillId="14" borderId="261" xfId="0" applyFont="1" applyFill="1" applyBorder="1" applyAlignment="1">
      <alignment vertical="center"/>
    </xf>
    <xf numFmtId="0" fontId="37" fillId="14" borderId="262" xfId="0" applyFont="1" applyFill="1" applyBorder="1" applyAlignment="1">
      <alignment vertical="center"/>
    </xf>
    <xf numFmtId="176" fontId="37" fillId="0" borderId="0" xfId="0" applyNumberFormat="1" applyFont="1" applyAlignment="1">
      <alignment vertical="center"/>
    </xf>
    <xf numFmtId="10" fontId="37" fillId="0" borderId="0" xfId="2" applyNumberFormat="1" applyFont="1" applyBorder="1" applyAlignment="1">
      <alignment horizontal="center" vertical="center"/>
    </xf>
    <xf numFmtId="42" fontId="37" fillId="0" borderId="336" xfId="1" applyNumberFormat="1" applyFont="1" applyBorder="1" applyAlignment="1">
      <alignment vertical="center"/>
    </xf>
    <xf numFmtId="176" fontId="37" fillId="0" borderId="4" xfId="0" applyNumberFormat="1" applyFont="1" applyBorder="1" applyAlignment="1">
      <alignment vertical="center"/>
    </xf>
    <xf numFmtId="165" fontId="37" fillId="0" borderId="4" xfId="1" applyNumberFormat="1" applyFont="1" applyBorder="1" applyAlignment="1">
      <alignment vertical="center"/>
    </xf>
    <xf numFmtId="9" fontId="37" fillId="0" borderId="345" xfId="2" applyFont="1" applyBorder="1" applyAlignment="1">
      <alignment horizontal="center" vertical="center"/>
    </xf>
    <xf numFmtId="9" fontId="37" fillId="0" borderId="346" xfId="2" applyFont="1" applyBorder="1" applyAlignment="1">
      <alignment horizontal="center" vertical="center"/>
    </xf>
    <xf numFmtId="178" fontId="37" fillId="0" borderId="0" xfId="0" applyNumberFormat="1" applyFont="1" applyAlignment="1">
      <alignment horizontal="center" vertical="center"/>
    </xf>
    <xf numFmtId="0" fontId="37" fillId="0" borderId="2" xfId="2" applyNumberFormat="1" applyFont="1" applyBorder="1" applyAlignment="1">
      <alignment horizontal="center" vertical="center"/>
    </xf>
    <xf numFmtId="178" fontId="37" fillId="0" borderId="4" xfId="0" applyNumberFormat="1" applyFont="1" applyBorder="1" applyAlignment="1">
      <alignment horizontal="center" vertical="center"/>
    </xf>
    <xf numFmtId="0" fontId="37" fillId="0" borderId="263" xfId="2" applyNumberFormat="1" applyFont="1" applyBorder="1" applyAlignment="1">
      <alignment horizontal="center" vertical="center"/>
    </xf>
    <xf numFmtId="10" fontId="37" fillId="0" borderId="341" xfId="0" applyNumberFormat="1" applyFont="1" applyBorder="1" applyAlignment="1">
      <alignment horizontal="center" vertical="center"/>
    </xf>
    <xf numFmtId="1" fontId="37" fillId="0" borderId="341" xfId="0" applyNumberFormat="1" applyFont="1" applyBorder="1" applyAlignment="1">
      <alignment horizontal="center" vertical="center"/>
    </xf>
    <xf numFmtId="1" fontId="37" fillId="0" borderId="336" xfId="0" applyNumberFormat="1" applyFont="1" applyBorder="1" applyAlignment="1">
      <alignment horizontal="center" vertical="center"/>
    </xf>
    <xf numFmtId="10" fontId="31" fillId="14" borderId="0" xfId="2" applyNumberFormat="1" applyFont="1" applyFill="1" applyBorder="1" applyAlignment="1">
      <alignment horizontal="center" vertical="center"/>
    </xf>
    <xf numFmtId="10" fontId="31" fillId="14" borderId="4" xfId="2" applyNumberFormat="1" applyFont="1" applyFill="1" applyBorder="1" applyAlignment="1">
      <alignment horizontal="center" vertical="center"/>
    </xf>
    <xf numFmtId="169" fontId="49" fillId="14" borderId="0" xfId="1" applyNumberFormat="1" applyFont="1" applyFill="1" applyBorder="1" applyAlignment="1">
      <alignment horizontal="center" vertical="center"/>
    </xf>
    <xf numFmtId="169" fontId="49" fillId="14" borderId="4" xfId="1" applyNumberFormat="1" applyFont="1" applyFill="1" applyBorder="1" applyAlignment="1">
      <alignment horizontal="center" vertical="center"/>
    </xf>
    <xf numFmtId="0" fontId="90" fillId="17" borderId="4" xfId="0" applyFont="1" applyFill="1" applyBorder="1" applyAlignment="1">
      <alignment horizontal="center" vertical="center"/>
    </xf>
    <xf numFmtId="0" fontId="49" fillId="14" borderId="347" xfId="0" applyFont="1" applyFill="1" applyBorder="1" applyAlignment="1">
      <alignment horizontal="right" vertical="center"/>
    </xf>
    <xf numFmtId="0" fontId="49" fillId="14" borderId="340" xfId="0" applyFont="1" applyFill="1" applyBorder="1" applyAlignment="1">
      <alignment horizontal="right" vertical="center"/>
    </xf>
    <xf numFmtId="0" fontId="49" fillId="14" borderId="0" xfId="2" applyNumberFormat="1" applyFont="1" applyFill="1" applyBorder="1" applyAlignment="1">
      <alignment horizontal="center" vertical="center"/>
    </xf>
    <xf numFmtId="0" fontId="91" fillId="14" borderId="351" xfId="2" applyNumberFormat="1" applyFont="1" applyFill="1" applyBorder="1" applyAlignment="1">
      <alignment horizontal="center" vertical="center"/>
    </xf>
    <xf numFmtId="0" fontId="49" fillId="14" borderId="320" xfId="0" applyFont="1" applyFill="1" applyBorder="1" applyAlignment="1">
      <alignment horizontal="right" vertical="center"/>
    </xf>
    <xf numFmtId="0" fontId="49" fillId="14" borderId="4" xfId="2" applyNumberFormat="1" applyFont="1" applyFill="1" applyBorder="1" applyAlignment="1">
      <alignment horizontal="center" vertical="center"/>
    </xf>
    <xf numFmtId="0" fontId="91" fillId="14" borderId="352" xfId="2" applyNumberFormat="1" applyFont="1" applyFill="1" applyBorder="1" applyAlignment="1">
      <alignment horizontal="center" vertical="center"/>
    </xf>
    <xf numFmtId="9" fontId="49" fillId="14" borderId="0" xfId="2" applyFont="1" applyFill="1" applyBorder="1" applyAlignment="1">
      <alignment horizontal="center" vertical="center"/>
    </xf>
    <xf numFmtId="9" fontId="49" fillId="14" borderId="4" xfId="2" applyFont="1" applyFill="1" applyBorder="1" applyAlignment="1">
      <alignment horizontal="center" vertical="center"/>
    </xf>
    <xf numFmtId="169" fontId="49" fillId="14" borderId="349" xfId="1" applyNumberFormat="1" applyFont="1" applyFill="1" applyBorder="1" applyAlignment="1">
      <alignment horizontal="center" vertical="center"/>
    </xf>
    <xf numFmtId="9" fontId="37" fillId="17" borderId="340" xfId="2" applyFont="1" applyFill="1" applyBorder="1" applyAlignment="1">
      <alignment horizontal="center" vertical="center"/>
    </xf>
    <xf numFmtId="9" fontId="37" fillId="17" borderId="320" xfId="2" applyFont="1" applyFill="1" applyBorder="1" applyAlignment="1">
      <alignment horizontal="center" vertical="center"/>
    </xf>
    <xf numFmtId="0" fontId="92" fillId="14" borderId="352" xfId="0" applyFont="1" applyFill="1" applyBorder="1" applyAlignment="1">
      <alignment vertical="center"/>
    </xf>
    <xf numFmtId="168" fontId="49" fillId="14" borderId="0" xfId="2" applyNumberFormat="1" applyFont="1" applyFill="1" applyBorder="1" applyAlignment="1">
      <alignment horizontal="center" vertical="center"/>
    </xf>
    <xf numFmtId="168" fontId="49" fillId="14" borderId="349" xfId="2" applyNumberFormat="1" applyFont="1" applyFill="1" applyBorder="1" applyAlignment="1">
      <alignment horizontal="center" vertical="center"/>
    </xf>
    <xf numFmtId="168" fontId="92" fillId="14" borderId="352" xfId="2" applyNumberFormat="1" applyFont="1" applyFill="1" applyBorder="1" applyAlignment="1">
      <alignment horizontal="center" vertical="center"/>
    </xf>
    <xf numFmtId="1" fontId="49" fillId="14" borderId="349" xfId="2" applyNumberFormat="1" applyFont="1" applyFill="1" applyBorder="1" applyAlignment="1">
      <alignment horizontal="center" vertical="center"/>
    </xf>
    <xf numFmtId="1" fontId="49" fillId="14" borderId="0" xfId="2" applyNumberFormat="1" applyFont="1" applyFill="1" applyBorder="1" applyAlignment="1">
      <alignment horizontal="center" vertical="center"/>
    </xf>
    <xf numFmtId="1" fontId="49" fillId="14" borderId="4" xfId="2" applyNumberFormat="1" applyFont="1" applyFill="1" applyBorder="1" applyAlignment="1">
      <alignment horizontal="center" vertical="center"/>
    </xf>
    <xf numFmtId="0" fontId="92" fillId="14" borderId="4" xfId="0" applyFont="1" applyFill="1" applyBorder="1" applyAlignment="1">
      <alignment vertical="center"/>
    </xf>
    <xf numFmtId="0" fontId="92" fillId="14" borderId="320" xfId="0" applyFont="1" applyFill="1" applyBorder="1" applyAlignment="1">
      <alignment horizontal="right" vertical="center"/>
    </xf>
    <xf numFmtId="0" fontId="31" fillId="14" borderId="1" xfId="0" applyFont="1" applyFill="1" applyBorder="1" applyAlignment="1">
      <alignment horizontal="right" vertical="center"/>
    </xf>
    <xf numFmtId="0" fontId="31" fillId="14" borderId="3" xfId="0" applyFont="1" applyFill="1" applyBorder="1" applyAlignment="1">
      <alignment horizontal="right" vertical="center"/>
    </xf>
    <xf numFmtId="2" fontId="49" fillId="14" borderId="349" xfId="2" applyNumberFormat="1" applyFont="1" applyFill="1" applyBorder="1" applyAlignment="1">
      <alignment horizontal="center" vertical="center"/>
    </xf>
    <xf numFmtId="2" fontId="49" fillId="14" borderId="0" xfId="2" applyNumberFormat="1" applyFont="1" applyFill="1" applyBorder="1" applyAlignment="1">
      <alignment horizontal="center" vertical="center"/>
    </xf>
    <xf numFmtId="2" fontId="49" fillId="14" borderId="4" xfId="2" applyNumberFormat="1" applyFont="1" applyFill="1" applyBorder="1" applyAlignment="1">
      <alignment horizontal="center" vertical="center"/>
    </xf>
    <xf numFmtId="10" fontId="49" fillId="14" borderId="349" xfId="2" applyNumberFormat="1" applyFont="1" applyFill="1" applyBorder="1" applyAlignment="1">
      <alignment horizontal="center" vertical="center"/>
    </xf>
    <xf numFmtId="10" fontId="49" fillId="14" borderId="0" xfId="2" applyNumberFormat="1" applyFont="1" applyFill="1" applyBorder="1" applyAlignment="1">
      <alignment horizontal="center" vertical="center"/>
    </xf>
    <xf numFmtId="10" fontId="49" fillId="14" borderId="4" xfId="2" applyNumberFormat="1" applyFont="1" applyFill="1" applyBorder="1" applyAlignment="1">
      <alignment horizontal="center" vertical="center"/>
    </xf>
    <xf numFmtId="174" fontId="49" fillId="14" borderId="0" xfId="2" applyNumberFormat="1" applyFont="1" applyFill="1" applyBorder="1" applyAlignment="1">
      <alignment horizontal="center" vertical="center"/>
    </xf>
    <xf numFmtId="169" fontId="37" fillId="0" borderId="345" xfId="1" applyNumberFormat="1" applyFont="1" applyBorder="1" applyAlignment="1">
      <alignment horizontal="center" vertical="center"/>
    </xf>
    <xf numFmtId="169" fontId="37" fillId="0" borderId="319" xfId="1" applyNumberFormat="1" applyFont="1" applyBorder="1" applyAlignment="1">
      <alignment horizontal="center" vertical="center"/>
    </xf>
    <xf numFmtId="169" fontId="37" fillId="0" borderId="346" xfId="1" applyNumberFormat="1" applyFont="1" applyBorder="1" applyAlignment="1">
      <alignment horizontal="center" vertical="center"/>
    </xf>
    <xf numFmtId="0" fontId="91" fillId="14" borderId="351" xfId="0" applyFont="1" applyFill="1" applyBorder="1" applyAlignment="1">
      <alignment horizontal="center" vertical="center"/>
    </xf>
    <xf numFmtId="0" fontId="91" fillId="14" borderId="352" xfId="0" applyFont="1" applyFill="1" applyBorder="1" applyAlignment="1">
      <alignment horizontal="center" vertical="center"/>
    </xf>
    <xf numFmtId="169" fontId="90" fillId="17" borderId="340" xfId="1" applyNumberFormat="1" applyFont="1" applyFill="1" applyBorder="1" applyAlignment="1">
      <alignment horizontal="center" vertical="center"/>
    </xf>
    <xf numFmtId="169" fontId="90" fillId="17" borderId="320" xfId="1" applyNumberFormat="1" applyFont="1" applyFill="1" applyBorder="1" applyAlignment="1">
      <alignment horizontal="center" vertical="center"/>
    </xf>
    <xf numFmtId="169" fontId="91" fillId="14" borderId="350" xfId="2" applyNumberFormat="1" applyFont="1" applyFill="1" applyBorder="1" applyAlignment="1">
      <alignment horizontal="center" vertical="center"/>
    </xf>
    <xf numFmtId="169" fontId="91" fillId="14" borderId="351" xfId="0" applyNumberFormat="1" applyFont="1" applyFill="1" applyBorder="1" applyAlignment="1">
      <alignment horizontal="center" vertical="center"/>
    </xf>
    <xf numFmtId="169" fontId="91" fillId="14" borderId="352" xfId="0" applyNumberFormat="1" applyFont="1" applyFill="1" applyBorder="1" applyAlignment="1">
      <alignment horizontal="center" vertical="center"/>
    </xf>
    <xf numFmtId="0" fontId="91" fillId="14" borderId="350" xfId="0" applyFont="1" applyFill="1" applyBorder="1" applyAlignment="1">
      <alignment horizontal="center" vertical="center"/>
    </xf>
    <xf numFmtId="174" fontId="90" fillId="17" borderId="0" xfId="0" applyNumberFormat="1" applyFont="1" applyFill="1" applyAlignment="1">
      <alignment horizontal="center" vertical="center"/>
    </xf>
    <xf numFmtId="174" fontId="90" fillId="17" borderId="0" xfId="0" quotePrefix="1" applyNumberFormat="1" applyFont="1" applyFill="1" applyAlignment="1">
      <alignment horizontal="center" vertical="center"/>
    </xf>
    <xf numFmtId="174" fontId="90" fillId="17" borderId="4" xfId="0" applyNumberFormat="1" applyFont="1" applyFill="1" applyBorder="1" applyAlignment="1">
      <alignment horizontal="center" vertical="center"/>
    </xf>
    <xf numFmtId="10" fontId="90" fillId="17" borderId="338" xfId="2" applyNumberFormat="1" applyFont="1" applyFill="1" applyBorder="1" applyAlignment="1">
      <alignment horizontal="center" vertical="center"/>
    </xf>
    <xf numFmtId="10" fontId="90" fillId="17" borderId="339" xfId="2" applyNumberFormat="1" applyFont="1" applyFill="1" applyBorder="1" applyAlignment="1">
      <alignment horizontal="center" vertical="center"/>
    </xf>
    <xf numFmtId="10" fontId="90" fillId="17" borderId="4" xfId="0" applyNumberFormat="1" applyFont="1" applyFill="1" applyBorder="1" applyAlignment="1">
      <alignment horizontal="center" vertical="center"/>
    </xf>
    <xf numFmtId="178" fontId="37" fillId="27" borderId="2" xfId="2" applyNumberFormat="1" applyFont="1" applyFill="1" applyBorder="1" applyAlignment="1">
      <alignment horizontal="center" vertical="center"/>
    </xf>
    <xf numFmtId="178" fontId="37" fillId="27" borderId="263" xfId="2" applyNumberFormat="1" applyFont="1" applyFill="1" applyBorder="1" applyAlignment="1">
      <alignment horizontal="center" vertical="center"/>
    </xf>
    <xf numFmtId="1" fontId="37" fillId="27" borderId="2" xfId="0" applyNumberFormat="1" applyFont="1" applyFill="1" applyBorder="1" applyAlignment="1">
      <alignment horizontal="center" vertical="center"/>
    </xf>
    <xf numFmtId="1" fontId="37" fillId="27" borderId="263" xfId="0" applyNumberFormat="1" applyFont="1" applyFill="1" applyBorder="1" applyAlignment="1">
      <alignment horizontal="center" vertical="center"/>
    </xf>
    <xf numFmtId="0" fontId="37" fillId="27" borderId="263" xfId="0" applyFont="1" applyFill="1" applyBorder="1" applyAlignment="1">
      <alignment vertical="center"/>
    </xf>
    <xf numFmtId="0" fontId="31" fillId="27" borderId="263" xfId="0" applyFont="1" applyFill="1" applyBorder="1" applyAlignment="1">
      <alignment horizontal="center" vertical="center"/>
    </xf>
    <xf numFmtId="178" fontId="37" fillId="27" borderId="348" xfId="0" applyNumberFormat="1" applyFont="1" applyFill="1" applyBorder="1" applyAlignment="1">
      <alignment horizontal="center" vertical="center"/>
    </xf>
    <xf numFmtId="178" fontId="37" fillId="27" borderId="2" xfId="0" applyNumberFormat="1" applyFont="1" applyFill="1" applyBorder="1" applyAlignment="1">
      <alignment horizontal="center" vertical="center"/>
    </xf>
    <xf numFmtId="178" fontId="37" fillId="27" borderId="263" xfId="0" applyNumberFormat="1" applyFont="1" applyFill="1" applyBorder="1" applyAlignment="1">
      <alignment horizontal="center" vertical="center"/>
    </xf>
    <xf numFmtId="0" fontId="93" fillId="11" borderId="332" xfId="0" applyFont="1" applyFill="1" applyBorder="1" applyAlignment="1">
      <alignment horizontal="center" vertical="center"/>
    </xf>
    <xf numFmtId="175" fontId="37" fillId="14" borderId="2" xfId="2" applyNumberFormat="1" applyFont="1" applyFill="1" applyBorder="1" applyAlignment="1">
      <alignment horizontal="center" vertical="center"/>
    </xf>
    <xf numFmtId="10" fontId="37" fillId="0" borderId="0" xfId="0" quotePrefix="1" applyNumberFormat="1" applyFont="1" applyAlignment="1">
      <alignment horizontal="center" vertical="center"/>
    </xf>
    <xf numFmtId="10" fontId="37" fillId="0" borderId="4" xfId="0" applyNumberFormat="1" applyFont="1" applyBorder="1" applyAlignment="1">
      <alignment horizontal="center" vertical="center"/>
    </xf>
    <xf numFmtId="175" fontId="37" fillId="14" borderId="263" xfId="2" applyNumberFormat="1" applyFont="1" applyFill="1" applyBorder="1" applyAlignment="1">
      <alignment horizontal="center" vertical="center"/>
    </xf>
    <xf numFmtId="0" fontId="37" fillId="22" borderId="0" xfId="0" applyFont="1" applyFill="1" applyAlignment="1">
      <alignment vertical="center"/>
    </xf>
    <xf numFmtId="168" fontId="31" fillId="22" borderId="0" xfId="2" applyNumberFormat="1" applyFont="1" applyFill="1" applyBorder="1" applyAlignment="1">
      <alignment horizontal="center" vertical="center"/>
    </xf>
    <xf numFmtId="0" fontId="37" fillId="22" borderId="0" xfId="0" applyFont="1" applyFill="1" applyAlignment="1">
      <alignment horizontal="center" vertical="center"/>
    </xf>
    <xf numFmtId="9" fontId="37" fillId="22" borderId="0" xfId="2" applyFont="1" applyFill="1" applyBorder="1" applyAlignment="1">
      <alignment horizontal="center" vertical="center"/>
    </xf>
    <xf numFmtId="168" fontId="37" fillId="22" borderId="0" xfId="2" applyNumberFormat="1" applyFont="1" applyFill="1" applyBorder="1" applyAlignment="1">
      <alignment horizontal="center" vertical="center"/>
    </xf>
    <xf numFmtId="0" fontId="31" fillId="22" borderId="0" xfId="0" applyFont="1" applyFill="1" applyAlignment="1">
      <alignment horizontal="center" vertical="center"/>
    </xf>
    <xf numFmtId="0" fontId="37" fillId="22" borderId="0" xfId="0" applyFont="1" applyFill="1" applyAlignment="1">
      <alignment horizontal="right" vertical="center"/>
    </xf>
    <xf numFmtId="9" fontId="37" fillId="27" borderId="263" xfId="2" applyFont="1" applyFill="1" applyBorder="1" applyAlignment="1">
      <alignment horizontal="center" vertical="center"/>
    </xf>
    <xf numFmtId="0" fontId="37" fillId="11" borderId="334" xfId="0" applyFont="1" applyFill="1" applyBorder="1" applyAlignment="1">
      <alignment horizontal="right" vertical="center"/>
    </xf>
    <xf numFmtId="0" fontId="37" fillId="11" borderId="335" xfId="0" applyFont="1" applyFill="1" applyBorder="1" applyAlignment="1">
      <alignment horizontal="right" vertical="center"/>
    </xf>
    <xf numFmtId="0" fontId="88" fillId="11" borderId="334" xfId="0" applyFont="1" applyFill="1" applyBorder="1" applyAlignment="1">
      <alignment horizontal="right" vertical="center"/>
    </xf>
    <xf numFmtId="0" fontId="88" fillId="11" borderId="335" xfId="0" applyFont="1" applyFill="1" applyBorder="1" applyAlignment="1">
      <alignment horizontal="right"/>
    </xf>
    <xf numFmtId="9" fontId="91" fillId="14" borderId="352" xfId="2" applyFont="1" applyFill="1" applyBorder="1" applyAlignment="1">
      <alignment horizontal="center" vertical="center"/>
    </xf>
    <xf numFmtId="10" fontId="37" fillId="17" borderId="4" xfId="2" applyNumberFormat="1" applyFont="1" applyFill="1" applyBorder="1" applyAlignment="1">
      <alignment horizontal="center" vertical="center"/>
    </xf>
    <xf numFmtId="10" fontId="90" fillId="17" borderId="0" xfId="2" applyNumberFormat="1" applyFont="1" applyFill="1" applyAlignment="1">
      <alignment horizontal="center" vertical="center"/>
    </xf>
    <xf numFmtId="10" fontId="90" fillId="17" borderId="4" xfId="2" applyNumberFormat="1" applyFont="1" applyFill="1" applyBorder="1" applyAlignment="1">
      <alignment horizontal="center" vertical="center"/>
    </xf>
    <xf numFmtId="9" fontId="37" fillId="27" borderId="2" xfId="2" applyFont="1" applyFill="1" applyBorder="1" applyAlignment="1">
      <alignment horizontal="center" vertical="center"/>
    </xf>
    <xf numFmtId="9" fontId="91" fillId="14" borderId="350" xfId="2" applyFont="1" applyFill="1" applyBorder="1" applyAlignment="1">
      <alignment horizontal="center" vertical="center"/>
    </xf>
    <xf numFmtId="9" fontId="91" fillId="14" borderId="351" xfId="2" applyFont="1" applyFill="1" applyBorder="1" applyAlignment="1">
      <alignment horizontal="center" vertical="center"/>
    </xf>
    <xf numFmtId="174" fontId="91" fillId="14" borderId="351" xfId="0" applyNumberFormat="1" applyFont="1" applyFill="1" applyBorder="1" applyAlignment="1">
      <alignment horizontal="center" vertical="center"/>
    </xf>
    <xf numFmtId="1" fontId="90" fillId="17" borderId="0" xfId="0" applyNumberFormat="1" applyFont="1" applyFill="1" applyAlignment="1">
      <alignment horizontal="center" vertical="center"/>
    </xf>
    <xf numFmtId="1" fontId="90" fillId="17" borderId="4" xfId="0" applyNumberFormat="1" applyFont="1" applyFill="1" applyBorder="1" applyAlignment="1">
      <alignment horizontal="center" vertical="center"/>
    </xf>
    <xf numFmtId="1" fontId="91" fillId="14" borderId="350" xfId="0" applyNumberFormat="1" applyFont="1" applyFill="1" applyBorder="1" applyAlignment="1">
      <alignment horizontal="center" vertical="center"/>
    </xf>
    <xf numFmtId="1" fontId="37" fillId="27" borderId="348" xfId="0" applyNumberFormat="1" applyFont="1" applyFill="1" applyBorder="1" applyAlignment="1">
      <alignment horizontal="center" vertical="center"/>
    </xf>
    <xf numFmtId="1" fontId="91" fillId="14" borderId="351" xfId="0" applyNumberFormat="1" applyFont="1" applyFill="1" applyBorder="1" applyAlignment="1">
      <alignment horizontal="center" vertical="center"/>
    </xf>
    <xf numFmtId="1" fontId="91" fillId="14" borderId="352" xfId="0" applyNumberFormat="1" applyFont="1" applyFill="1" applyBorder="1" applyAlignment="1">
      <alignment horizontal="center" vertical="center"/>
    </xf>
    <xf numFmtId="179" fontId="37" fillId="27" borderId="348" xfId="0" applyNumberFormat="1" applyFont="1" applyFill="1" applyBorder="1" applyAlignment="1">
      <alignment horizontal="center" vertical="center"/>
    </xf>
    <xf numFmtId="179" fontId="37" fillId="27" borderId="2" xfId="0" applyNumberFormat="1" applyFont="1" applyFill="1" applyBorder="1" applyAlignment="1">
      <alignment horizontal="center" vertical="center"/>
    </xf>
    <xf numFmtId="179" fontId="37" fillId="27" borderId="263" xfId="0" applyNumberFormat="1" applyFont="1" applyFill="1" applyBorder="1" applyAlignment="1">
      <alignment horizontal="center" vertical="center"/>
    </xf>
    <xf numFmtId="164" fontId="32" fillId="10" borderId="0" xfId="0" applyNumberFormat="1" applyFont="1" applyFill="1"/>
    <xf numFmtId="177" fontId="37" fillId="27" borderId="2" xfId="0" applyNumberFormat="1" applyFont="1" applyFill="1" applyBorder="1" applyAlignment="1">
      <alignment horizontal="center" vertical="center"/>
    </xf>
    <xf numFmtId="177" fontId="37" fillId="27" borderId="263" xfId="0" applyNumberFormat="1" applyFont="1" applyFill="1" applyBorder="1" applyAlignment="1">
      <alignment horizontal="center" vertical="center"/>
    </xf>
    <xf numFmtId="0" fontId="37" fillId="30" borderId="334" xfId="0" applyFont="1" applyFill="1" applyBorder="1" applyAlignment="1">
      <alignment horizontal="right" vertical="center"/>
    </xf>
    <xf numFmtId="0" fontId="37" fillId="30" borderId="335" xfId="0" applyFont="1" applyFill="1" applyBorder="1" applyAlignment="1">
      <alignment horizontal="right" vertical="center"/>
    </xf>
    <xf numFmtId="174" fontId="31" fillId="22" borderId="0" xfId="2" applyNumberFormat="1" applyFont="1" applyFill="1" applyBorder="1" applyAlignment="1">
      <alignment horizontal="center" vertical="center"/>
    </xf>
    <xf numFmtId="1" fontId="31" fillId="37" borderId="0" xfId="0" applyNumberFormat="1" applyFont="1" applyFill="1" applyAlignment="1">
      <alignment horizontal="center" vertical="center"/>
    </xf>
    <xf numFmtId="168" fontId="29" fillId="11" borderId="0" xfId="2" applyNumberFormat="1" applyFont="1" applyFill="1" applyBorder="1" applyAlignment="1">
      <alignment horizontal="center" vertical="center"/>
    </xf>
    <xf numFmtId="168" fontId="29" fillId="11" borderId="52" xfId="2" applyNumberFormat="1" applyFont="1" applyFill="1" applyBorder="1" applyAlignment="1">
      <alignment horizontal="center" vertical="center"/>
    </xf>
    <xf numFmtId="10" fontId="9" fillId="16" borderId="39" xfId="2" applyNumberFormat="1" applyFont="1" applyFill="1" applyBorder="1" applyAlignment="1">
      <alignment horizontal="center" vertical="center" wrapText="1"/>
    </xf>
    <xf numFmtId="10" fontId="9" fillId="16" borderId="37" xfId="2" applyNumberFormat="1" applyFont="1" applyFill="1" applyBorder="1" applyAlignment="1">
      <alignment horizontal="center" vertical="center" wrapText="1"/>
    </xf>
    <xf numFmtId="1" fontId="29" fillId="18" borderId="72" xfId="0" applyNumberFormat="1" applyFont="1" applyFill="1" applyBorder="1" applyAlignment="1">
      <alignment horizontal="center" vertical="center"/>
    </xf>
    <xf numFmtId="1" fontId="94" fillId="42" borderId="105" xfId="0" applyNumberFormat="1" applyFont="1" applyFill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10" fontId="29" fillId="0" borderId="185" xfId="2" applyNumberFormat="1" applyFont="1" applyFill="1" applyBorder="1" applyAlignment="1">
      <alignment horizontal="center" vertical="center"/>
    </xf>
    <xf numFmtId="1" fontId="31" fillId="14" borderId="2" xfId="1" applyNumberFormat="1" applyFont="1" applyFill="1" applyBorder="1" applyAlignment="1">
      <alignment horizontal="center" vertical="center"/>
    </xf>
    <xf numFmtId="1" fontId="37" fillId="0" borderId="2" xfId="2" applyNumberFormat="1" applyFont="1" applyBorder="1" applyAlignment="1">
      <alignment horizontal="center" vertical="center"/>
    </xf>
    <xf numFmtId="165" fontId="69" fillId="17" borderId="0" xfId="0" applyNumberFormat="1" applyFont="1" applyFill="1" applyAlignment="1">
      <alignment horizontal="center"/>
    </xf>
    <xf numFmtId="0" fontId="69" fillId="17" borderId="39" xfId="0" applyFont="1" applyFill="1" applyBorder="1" applyAlignment="1">
      <alignment horizontal="center"/>
    </xf>
    <xf numFmtId="10" fontId="29" fillId="22" borderId="0" xfId="2" applyNumberFormat="1" applyFont="1" applyFill="1" applyBorder="1" applyAlignment="1">
      <alignment horizontal="center"/>
    </xf>
    <xf numFmtId="10" fontId="29" fillId="22" borderId="328" xfId="2" applyNumberFormat="1" applyFont="1" applyFill="1" applyBorder="1" applyAlignment="1">
      <alignment horizontal="center"/>
    </xf>
    <xf numFmtId="10" fontId="29" fillId="22" borderId="194" xfId="2" applyNumberFormat="1" applyFont="1" applyFill="1" applyBorder="1" applyAlignment="1">
      <alignment horizontal="center"/>
    </xf>
    <xf numFmtId="10" fontId="29" fillId="22" borderId="323" xfId="2" applyNumberFormat="1" applyFont="1" applyFill="1" applyBorder="1" applyAlignment="1">
      <alignment horizontal="center"/>
    </xf>
    <xf numFmtId="10" fontId="29" fillId="22" borderId="254" xfId="2" applyNumberFormat="1" applyFont="1" applyFill="1" applyBorder="1" applyAlignment="1">
      <alignment horizontal="center"/>
    </xf>
    <xf numFmtId="10" fontId="29" fillId="22" borderId="330" xfId="2" applyNumberFormat="1" applyFont="1" applyFill="1" applyBorder="1" applyAlignment="1">
      <alignment horizontal="center"/>
    </xf>
    <xf numFmtId="44" fontId="32" fillId="23" borderId="92" xfId="0" applyNumberFormat="1" applyFont="1" applyFill="1" applyBorder="1" applyAlignment="1">
      <alignment horizontal="center" vertical="center"/>
    </xf>
    <xf numFmtId="10" fontId="29" fillId="23" borderId="92" xfId="2" applyNumberFormat="1" applyFont="1" applyFill="1" applyBorder="1" applyAlignment="1">
      <alignment horizontal="center" vertical="center"/>
    </xf>
    <xf numFmtId="9" fontId="29" fillId="27" borderId="0" xfId="0" applyNumberFormat="1" applyFont="1" applyFill="1" applyAlignment="1">
      <alignment horizontal="centerContinuous" vertical="center"/>
    </xf>
    <xf numFmtId="44" fontId="39" fillId="27" borderId="72" xfId="0" applyNumberFormat="1" applyFont="1" applyFill="1" applyBorder="1" applyAlignment="1">
      <alignment horizontal="centerContinuous" vertical="center"/>
    </xf>
    <xf numFmtId="44" fontId="39" fillId="27" borderId="354" xfId="0" applyNumberFormat="1" applyFont="1" applyFill="1" applyBorder="1" applyAlignment="1">
      <alignment horizontal="centerContinuous" vertical="center"/>
    </xf>
    <xf numFmtId="44" fontId="35" fillId="27" borderId="72" xfId="0" applyNumberFormat="1" applyFont="1" applyFill="1" applyBorder="1" applyAlignment="1">
      <alignment horizontal="centerContinuous" vertical="center"/>
    </xf>
    <xf numFmtId="44" fontId="35" fillId="27" borderId="354" xfId="0" applyNumberFormat="1" applyFont="1" applyFill="1" applyBorder="1" applyAlignment="1">
      <alignment horizontal="centerContinuous" vertical="center"/>
    </xf>
    <xf numFmtId="44" fontId="29" fillId="27" borderId="353" xfId="0" applyNumberFormat="1" applyFont="1" applyFill="1" applyBorder="1" applyAlignment="1">
      <alignment horizontal="centerContinuous" vertical="center"/>
    </xf>
    <xf numFmtId="3" fontId="60" fillId="57" borderId="314" xfId="1" applyNumberFormat="1" applyFont="1" applyFill="1" applyBorder="1"/>
    <xf numFmtId="3" fontId="57" fillId="0" borderId="312" xfId="0" applyNumberFormat="1" applyFont="1" applyBorder="1" applyAlignment="1">
      <alignment horizontal="right" vertical="center"/>
    </xf>
    <xf numFmtId="3" fontId="95" fillId="0" borderId="312" xfId="0" applyNumberFormat="1" applyFont="1" applyBorder="1" applyAlignment="1">
      <alignment horizontal="right" vertical="center"/>
    </xf>
    <xf numFmtId="0" fontId="35" fillId="37" borderId="266" xfId="0" applyFont="1" applyFill="1" applyBorder="1" applyAlignment="1">
      <alignment horizontal="centerContinuous" vertical="center"/>
    </xf>
    <xf numFmtId="1" fontId="37" fillId="0" borderId="355" xfId="0" applyNumberFormat="1" applyFont="1" applyBorder="1" applyAlignment="1">
      <alignment horizontal="center" vertical="center"/>
    </xf>
    <xf numFmtId="10" fontId="31" fillId="11" borderId="5" xfId="2" applyNumberFormat="1" applyFont="1" applyFill="1" applyBorder="1" applyAlignment="1">
      <alignment horizontal="center" vertical="center"/>
    </xf>
    <xf numFmtId="165" fontId="31" fillId="9" borderId="77" xfId="0" applyNumberFormat="1" applyFont="1" applyFill="1" applyBorder="1" applyAlignment="1">
      <alignment horizontal="center" vertical="center"/>
    </xf>
    <xf numFmtId="170" fontId="28" fillId="9" borderId="78" xfId="0" applyNumberFormat="1" applyFont="1" applyFill="1" applyBorder="1" applyAlignment="1">
      <alignment horizontal="center" vertical="center"/>
    </xf>
    <xf numFmtId="0" fontId="28" fillId="9" borderId="113" xfId="0" applyFont="1" applyFill="1" applyBorder="1" applyAlignment="1">
      <alignment horizontal="center" vertical="center"/>
    </xf>
    <xf numFmtId="170" fontId="28" fillId="9" borderId="113" xfId="0" applyNumberFormat="1" applyFont="1" applyFill="1" applyBorder="1" applyAlignment="1">
      <alignment horizontal="center" vertical="center"/>
    </xf>
    <xf numFmtId="0" fontId="28" fillId="9" borderId="78" xfId="0" applyFont="1" applyFill="1" applyBorder="1" applyAlignment="1">
      <alignment horizontal="center" vertical="center"/>
    </xf>
    <xf numFmtId="165" fontId="32" fillId="11" borderId="11" xfId="0" applyNumberFormat="1" applyFont="1" applyFill="1" applyBorder="1" applyAlignment="1">
      <alignment horizontal="center"/>
    </xf>
    <xf numFmtId="165" fontId="32" fillId="11" borderId="68" xfId="0" applyNumberFormat="1" applyFont="1" applyFill="1" applyBorder="1" applyAlignment="1">
      <alignment horizontal="center"/>
    </xf>
    <xf numFmtId="0" fontId="41" fillId="14" borderId="226" xfId="0" applyFont="1" applyFill="1" applyBorder="1" applyAlignment="1">
      <alignment horizontal="center" vertical="center"/>
    </xf>
    <xf numFmtId="9" fontId="43" fillId="14" borderId="226" xfId="2" applyFont="1" applyFill="1" applyBorder="1" applyAlignment="1">
      <alignment horizontal="center"/>
    </xf>
    <xf numFmtId="0" fontId="41" fillId="14" borderId="227" xfId="0" applyFont="1" applyFill="1" applyBorder="1" applyAlignment="1">
      <alignment horizontal="center" vertical="center"/>
    </xf>
    <xf numFmtId="9" fontId="43" fillId="14" borderId="228" xfId="2" applyFont="1" applyFill="1" applyBorder="1" applyAlignment="1">
      <alignment horizontal="center"/>
    </xf>
    <xf numFmtId="0" fontId="42" fillId="13" borderId="227" xfId="0" applyFont="1" applyFill="1" applyBorder="1" applyAlignment="1">
      <alignment horizontal="center" vertical="center"/>
    </xf>
    <xf numFmtId="9" fontId="44" fillId="13" borderId="225" xfId="2" applyFont="1" applyFill="1" applyBorder="1" applyAlignment="1">
      <alignment horizontal="center"/>
    </xf>
    <xf numFmtId="169" fontId="32" fillId="22" borderId="0" xfId="0" applyNumberFormat="1" applyFont="1" applyFill="1" applyAlignment="1">
      <alignment horizontal="center" vertical="center"/>
    </xf>
    <xf numFmtId="44" fontId="32" fillId="22" borderId="0" xfId="0" applyNumberFormat="1" applyFont="1" applyFill="1" applyAlignment="1">
      <alignment horizontal="center" vertical="center"/>
    </xf>
    <xf numFmtId="44" fontId="32" fillId="22" borderId="194" xfId="0" applyNumberFormat="1" applyFont="1" applyFill="1" applyBorder="1" applyAlignment="1">
      <alignment horizontal="center" vertical="center"/>
    </xf>
    <xf numFmtId="44" fontId="32" fillId="22" borderId="254" xfId="0" applyNumberFormat="1" applyFont="1" applyFill="1" applyBorder="1" applyAlignment="1">
      <alignment horizontal="center" vertical="center"/>
    </xf>
    <xf numFmtId="44" fontId="32" fillId="22" borderId="28" xfId="0" applyNumberFormat="1" applyFont="1" applyFill="1" applyBorder="1" applyAlignment="1">
      <alignment horizontal="center" vertical="center"/>
    </xf>
    <xf numFmtId="169" fontId="32" fillId="22" borderId="195" xfId="0" applyNumberFormat="1" applyFont="1" applyFill="1" applyBorder="1" applyAlignment="1">
      <alignment horizontal="right" vertical="center"/>
    </xf>
    <xf numFmtId="169" fontId="32" fillId="22" borderId="255" xfId="0" applyNumberFormat="1" applyFont="1" applyFill="1" applyBorder="1" applyAlignment="1">
      <alignment horizontal="right" vertical="center"/>
    </xf>
    <xf numFmtId="169" fontId="32" fillId="22" borderId="322" xfId="0" applyNumberFormat="1" applyFont="1" applyFill="1" applyBorder="1" applyAlignment="1">
      <alignment horizontal="right" vertical="center"/>
    </xf>
    <xf numFmtId="169" fontId="32" fillId="22" borderId="329" xfId="0" applyNumberFormat="1" applyFont="1" applyFill="1" applyBorder="1" applyAlignment="1">
      <alignment horizontal="right" vertical="center"/>
    </xf>
    <xf numFmtId="44" fontId="32" fillId="22" borderId="327" xfId="0" applyNumberFormat="1" applyFont="1" applyFill="1" applyBorder="1" applyAlignment="1">
      <alignment horizontal="center" vertical="center"/>
    </xf>
    <xf numFmtId="169" fontId="32" fillId="22" borderId="322" xfId="0" applyNumberFormat="1" applyFont="1" applyFill="1" applyBorder="1" applyAlignment="1">
      <alignment horizontal="center" vertical="center"/>
    </xf>
    <xf numFmtId="169" fontId="32" fillId="22" borderId="329" xfId="0" applyNumberFormat="1" applyFont="1" applyFill="1" applyBorder="1" applyAlignment="1">
      <alignment horizontal="center" vertical="center"/>
    </xf>
    <xf numFmtId="169" fontId="32" fillId="22" borderId="28" xfId="0" applyNumberFormat="1" applyFont="1" applyFill="1" applyBorder="1" applyAlignment="1">
      <alignment horizontal="center" vertical="center"/>
    </xf>
    <xf numFmtId="169" fontId="32" fillId="22" borderId="195" xfId="0" applyNumberFormat="1" applyFont="1" applyFill="1" applyBorder="1" applyAlignment="1">
      <alignment horizontal="center" vertical="center"/>
    </xf>
    <xf numFmtId="169" fontId="32" fillId="22" borderId="255" xfId="0" applyNumberFormat="1" applyFont="1" applyFill="1" applyBorder="1" applyAlignment="1">
      <alignment horizontal="center" vertical="center"/>
    </xf>
    <xf numFmtId="44" fontId="32" fillId="24" borderId="0" xfId="0" applyNumberFormat="1" applyFont="1" applyFill="1" applyAlignment="1">
      <alignment horizontal="center" vertical="center"/>
    </xf>
    <xf numFmtId="0" fontId="31" fillId="14" borderId="0" xfId="0" applyFont="1" applyFill="1" applyAlignment="1">
      <alignment horizontal="right" vertical="center"/>
    </xf>
    <xf numFmtId="9" fontId="37" fillId="0" borderId="341" xfId="2" applyFont="1" applyBorder="1" applyAlignment="1">
      <alignment horizontal="center" vertical="center"/>
    </xf>
    <xf numFmtId="9" fontId="37" fillId="0" borderId="318" xfId="2" applyFont="1" applyBorder="1" applyAlignment="1">
      <alignment horizontal="center" vertical="center"/>
    </xf>
    <xf numFmtId="9" fontId="37" fillId="0" borderId="336" xfId="2" applyFont="1" applyBorder="1" applyAlignment="1">
      <alignment horizontal="center" vertical="center"/>
    </xf>
    <xf numFmtId="0" fontId="31" fillId="22" borderId="0" xfId="2" applyNumberFormat="1" applyFont="1" applyFill="1" applyBorder="1" applyAlignment="1">
      <alignment horizontal="center" vertical="center"/>
    </xf>
    <xf numFmtId="0" fontId="31" fillId="37" borderId="209" xfId="0" applyFont="1" applyFill="1" applyBorder="1" applyAlignment="1">
      <alignment vertical="center"/>
    </xf>
    <xf numFmtId="10" fontId="35" fillId="37" borderId="209" xfId="0" applyNumberFormat="1" applyFont="1" applyFill="1" applyBorder="1" applyAlignment="1">
      <alignment horizontal="centerContinuous" vertical="center"/>
    </xf>
    <xf numFmtId="10" fontId="35" fillId="37" borderId="209" xfId="2" applyNumberFormat="1" applyFont="1" applyFill="1" applyBorder="1" applyAlignment="1">
      <alignment horizontal="centerContinuous" vertical="center"/>
    </xf>
    <xf numFmtId="9" fontId="68" fillId="27" borderId="0" xfId="0" applyNumberFormat="1" applyFont="1" applyFill="1" applyAlignment="1">
      <alignment horizontal="centerContinuous" vertical="center"/>
    </xf>
    <xf numFmtId="44" fontId="68" fillId="27" borderId="72" xfId="0" applyNumberFormat="1" applyFont="1" applyFill="1" applyBorder="1" applyAlignment="1">
      <alignment horizontal="centerContinuous" vertical="center"/>
    </xf>
    <xf numFmtId="9" fontId="96" fillId="39" borderId="340" xfId="2" applyFont="1" applyFill="1" applyBorder="1" applyAlignment="1">
      <alignment horizontal="center" vertical="center"/>
    </xf>
    <xf numFmtId="9" fontId="96" fillId="39" borderId="320" xfId="2" applyFont="1" applyFill="1" applyBorder="1" applyAlignment="1">
      <alignment horizontal="center" vertical="center"/>
    </xf>
    <xf numFmtId="1" fontId="96" fillId="39" borderId="4" xfId="0" applyNumberFormat="1" applyFont="1" applyFill="1" applyBorder="1" applyAlignment="1">
      <alignment horizontal="center" vertical="center"/>
    </xf>
    <xf numFmtId="1" fontId="97" fillId="14" borderId="0" xfId="0" applyNumberFormat="1" applyFont="1" applyFill="1" applyAlignment="1">
      <alignment horizontal="center" vertical="center"/>
    </xf>
    <xf numFmtId="165" fontId="98" fillId="14" borderId="0" xfId="0" applyNumberFormat="1" applyFont="1" applyFill="1" applyAlignment="1">
      <alignment horizontal="center" vertical="center"/>
    </xf>
    <xf numFmtId="1" fontId="97" fillId="14" borderId="13" xfId="0" applyNumberFormat="1" applyFont="1" applyFill="1" applyBorder="1" applyAlignment="1">
      <alignment horizontal="center" vertical="center"/>
    </xf>
    <xf numFmtId="165" fontId="98" fillId="14" borderId="82" xfId="0" applyNumberFormat="1" applyFont="1" applyFill="1" applyBorder="1" applyAlignment="1">
      <alignment horizontal="center" vertical="center"/>
    </xf>
    <xf numFmtId="1" fontId="97" fillId="14" borderId="226" xfId="0" applyNumberFormat="1" applyFont="1" applyFill="1" applyBorder="1" applyAlignment="1">
      <alignment horizontal="center" vertical="center"/>
    </xf>
    <xf numFmtId="165" fontId="98" fillId="14" borderId="226" xfId="0" applyNumberFormat="1" applyFont="1" applyFill="1" applyBorder="1" applyAlignment="1">
      <alignment horizontal="center" vertical="center"/>
    </xf>
    <xf numFmtId="1" fontId="97" fillId="14" borderId="230" xfId="0" applyNumberFormat="1" applyFont="1" applyFill="1" applyBorder="1" applyAlignment="1">
      <alignment horizontal="center" vertical="center"/>
    </xf>
    <xf numFmtId="165" fontId="98" fillId="14" borderId="231" xfId="0" applyNumberFormat="1" applyFont="1" applyFill="1" applyBorder="1" applyAlignment="1">
      <alignment horizontal="center" vertical="center"/>
    </xf>
    <xf numFmtId="165" fontId="98" fillId="14" borderId="82" xfId="1" applyNumberFormat="1" applyFont="1" applyFill="1" applyBorder="1" applyAlignment="1">
      <alignment horizontal="center" vertical="center"/>
    </xf>
    <xf numFmtId="0" fontId="97" fillId="14" borderId="0" xfId="0" applyFont="1" applyFill="1" applyAlignment="1">
      <alignment horizontal="center" vertical="center"/>
    </xf>
    <xf numFmtId="9" fontId="98" fillId="14" borderId="0" xfId="2" applyFont="1" applyFill="1" applyBorder="1" applyAlignment="1">
      <alignment horizontal="center"/>
    </xf>
    <xf numFmtId="0" fontId="97" fillId="14" borderId="44" xfId="0" applyFont="1" applyFill="1" applyBorder="1" applyAlignment="1">
      <alignment horizontal="center" vertical="center"/>
    </xf>
    <xf numFmtId="9" fontId="98" fillId="14" borderId="45" xfId="2" applyFont="1" applyFill="1" applyBorder="1" applyAlignment="1">
      <alignment horizontal="center"/>
    </xf>
    <xf numFmtId="0" fontId="97" fillId="13" borderId="44" xfId="0" applyFont="1" applyFill="1" applyBorder="1" applyAlignment="1">
      <alignment horizontal="center" vertical="center"/>
    </xf>
    <xf numFmtId="9" fontId="98" fillId="13" borderId="157" xfId="2" applyFont="1" applyFill="1" applyBorder="1" applyAlignment="1">
      <alignment horizontal="center"/>
    </xf>
    <xf numFmtId="0" fontId="97" fillId="14" borderId="0" xfId="0" applyFont="1" applyFill="1" applyAlignment="1">
      <alignment horizontal="center"/>
    </xf>
    <xf numFmtId="0" fontId="97" fillId="14" borderId="45" xfId="0" applyFont="1" applyFill="1" applyBorder="1" applyAlignment="1">
      <alignment horizontal="center"/>
    </xf>
    <xf numFmtId="0" fontId="97" fillId="14" borderId="226" xfId="0" applyFont="1" applyFill="1" applyBorder="1" applyAlignment="1">
      <alignment horizontal="center" vertical="center"/>
    </xf>
    <xf numFmtId="0" fontId="97" fillId="14" borderId="226" xfId="0" applyFont="1" applyFill="1" applyBorder="1" applyAlignment="1">
      <alignment horizontal="center"/>
    </xf>
    <xf numFmtId="0" fontId="97" fillId="14" borderId="227" xfId="0" applyFont="1" applyFill="1" applyBorder="1" applyAlignment="1">
      <alignment horizontal="center" vertical="center"/>
    </xf>
    <xf numFmtId="0" fontId="97" fillId="14" borderId="228" xfId="0" applyFont="1" applyFill="1" applyBorder="1" applyAlignment="1">
      <alignment horizontal="center"/>
    </xf>
    <xf numFmtId="0" fontId="97" fillId="14" borderId="45" xfId="0" quotePrefix="1" applyFont="1" applyFill="1" applyBorder="1" applyAlignment="1">
      <alignment horizontal="center"/>
    </xf>
    <xf numFmtId="44" fontId="35" fillId="27" borderId="356" xfId="0" applyNumberFormat="1" applyFont="1" applyFill="1" applyBorder="1" applyAlignment="1">
      <alignment horizontal="centerContinuous" vertical="center"/>
    </xf>
    <xf numFmtId="9" fontId="68" fillId="27" borderId="100" xfId="0" applyNumberFormat="1" applyFont="1" applyFill="1" applyBorder="1" applyAlignment="1">
      <alignment horizontal="centerContinuous" vertical="center"/>
    </xf>
    <xf numFmtId="9" fontId="39" fillId="27" borderId="286" xfId="0" applyNumberFormat="1" applyFont="1" applyFill="1" applyBorder="1" applyAlignment="1">
      <alignment horizontal="centerContinuous" vertical="center"/>
    </xf>
    <xf numFmtId="9" fontId="35" fillId="27" borderId="286" xfId="0" applyNumberFormat="1" applyFont="1" applyFill="1" applyBorder="1" applyAlignment="1">
      <alignment horizontal="centerContinuous" vertical="center"/>
    </xf>
    <xf numFmtId="0" fontId="68" fillId="27" borderId="0" xfId="0" applyFont="1" applyFill="1" applyAlignment="1">
      <alignment horizontal="centerContinuous" vertical="center"/>
    </xf>
    <xf numFmtId="0" fontId="39" fillId="27" borderId="209" xfId="0" applyFont="1" applyFill="1" applyBorder="1" applyAlignment="1">
      <alignment horizontal="centerContinuous" vertical="center"/>
    </xf>
    <xf numFmtId="0" fontId="35" fillId="27" borderId="209" xfId="0" applyFont="1" applyFill="1" applyBorder="1" applyAlignment="1">
      <alignment horizontal="centerContinuous" vertical="center"/>
    </xf>
    <xf numFmtId="9" fontId="39" fillId="27" borderId="357" xfId="0" applyNumberFormat="1" applyFont="1" applyFill="1" applyBorder="1" applyAlignment="1">
      <alignment horizontal="centerContinuous" vertical="center"/>
    </xf>
    <xf numFmtId="44" fontId="39" fillId="27" borderId="358" xfId="0" applyNumberFormat="1" applyFont="1" applyFill="1" applyBorder="1" applyAlignment="1">
      <alignment horizontal="centerContinuous" vertical="center"/>
    </xf>
    <xf numFmtId="9" fontId="39" fillId="27" borderId="359" xfId="0" applyNumberFormat="1" applyFont="1" applyFill="1" applyBorder="1" applyAlignment="1">
      <alignment horizontal="centerContinuous" vertical="center"/>
    </xf>
    <xf numFmtId="44" fontId="39" fillId="27" borderId="356" xfId="0" applyNumberFormat="1" applyFont="1" applyFill="1" applyBorder="1" applyAlignment="1">
      <alignment horizontal="centerContinuous" vertical="center"/>
    </xf>
    <xf numFmtId="175" fontId="37" fillId="22" borderId="0" xfId="2" applyNumberFormat="1" applyFont="1" applyFill="1" applyAlignment="1">
      <alignment horizontal="center" vertical="center"/>
    </xf>
    <xf numFmtId="0" fontId="31" fillId="14" borderId="340" xfId="0" applyFont="1" applyFill="1" applyBorder="1" applyAlignment="1">
      <alignment horizontal="right" vertical="center"/>
    </xf>
    <xf numFmtId="175" fontId="37" fillId="14" borderId="351" xfId="2" applyNumberFormat="1" applyFont="1" applyFill="1" applyBorder="1" applyAlignment="1">
      <alignment horizontal="center" vertical="center"/>
    </xf>
    <xf numFmtId="0" fontId="31" fillId="14" borderId="320" xfId="0" applyFont="1" applyFill="1" applyBorder="1" applyAlignment="1">
      <alignment horizontal="right" vertical="center"/>
    </xf>
    <xf numFmtId="175" fontId="37" fillId="14" borderId="352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0" fontId="6" fillId="0" borderId="0" xfId="2" applyNumberFormat="1" applyFont="1" applyAlignment="1">
      <alignment horizontal="center"/>
    </xf>
    <xf numFmtId="10" fontId="6" fillId="0" borderId="0" xfId="2" applyNumberFormat="1" applyFont="1" applyAlignment="1">
      <alignment horizontal="center" vertical="center"/>
    </xf>
    <xf numFmtId="165" fontId="32" fillId="11" borderId="360" xfId="0" applyNumberFormat="1" applyFont="1" applyFill="1" applyBorder="1" applyAlignment="1">
      <alignment horizontal="center"/>
    </xf>
    <xf numFmtId="10" fontId="29" fillId="11" borderId="361" xfId="2" applyNumberFormat="1" applyFont="1" applyFill="1" applyBorder="1" applyAlignment="1">
      <alignment horizontal="center" vertical="center"/>
    </xf>
    <xf numFmtId="165" fontId="28" fillId="11" borderId="362" xfId="0" applyNumberFormat="1" applyFont="1" applyFill="1" applyBorder="1" applyAlignment="1">
      <alignment horizontal="center"/>
    </xf>
    <xf numFmtId="165" fontId="3" fillId="7" borderId="0" xfId="0" applyNumberFormat="1" applyFont="1" applyFill="1" applyAlignment="1">
      <alignment horizontal="right" vertical="center" wrapText="1"/>
    </xf>
    <xf numFmtId="165" fontId="99" fillId="2" borderId="314" xfId="0" applyNumberFormat="1" applyFont="1" applyFill="1" applyBorder="1" applyAlignment="1">
      <alignment horizontal="center" vertical="center" wrapText="1"/>
    </xf>
    <xf numFmtId="0" fontId="99" fillId="2" borderId="314" xfId="0" applyFont="1" applyFill="1" applyBorder="1" applyAlignment="1">
      <alignment horizontal="center" vertical="center" wrapText="1"/>
    </xf>
    <xf numFmtId="164" fontId="99" fillId="2" borderId="314" xfId="0" applyNumberFormat="1" applyFont="1" applyFill="1" applyBorder="1" applyAlignment="1">
      <alignment horizontal="center" vertical="center" wrapText="1"/>
    </xf>
    <xf numFmtId="49" fontId="99" fillId="2" borderId="314" xfId="0" applyNumberFormat="1" applyFont="1" applyFill="1" applyBorder="1" applyAlignment="1">
      <alignment horizontal="center" vertical="center" wrapText="1"/>
    </xf>
    <xf numFmtId="49" fontId="99" fillId="3" borderId="314" xfId="0" applyNumberFormat="1" applyFont="1" applyFill="1" applyBorder="1" applyAlignment="1">
      <alignment horizontal="center" vertical="center" wrapText="1"/>
    </xf>
    <xf numFmtId="10" fontId="99" fillId="3" borderId="314" xfId="2" applyNumberFormat="1" applyFont="1" applyFill="1" applyBorder="1" applyAlignment="1">
      <alignment horizontal="center" vertical="center" wrapText="1"/>
    </xf>
    <xf numFmtId="165" fontId="99" fillId="3" borderId="314" xfId="1" applyNumberFormat="1" applyFont="1" applyFill="1" applyBorder="1" applyAlignment="1">
      <alignment horizontal="center" vertical="center" wrapText="1"/>
    </xf>
    <xf numFmtId="164" fontId="99" fillId="4" borderId="314" xfId="1" applyNumberFormat="1" applyFont="1" applyFill="1" applyBorder="1" applyAlignment="1">
      <alignment horizontal="center" vertical="center" wrapText="1"/>
    </xf>
    <xf numFmtId="0" fontId="100" fillId="18" borderId="314" xfId="0" applyFont="1" applyFill="1" applyBorder="1" applyAlignment="1">
      <alignment horizontal="center" vertical="center" wrapText="1"/>
    </xf>
    <xf numFmtId="0" fontId="101" fillId="35" borderId="317" xfId="0" applyFont="1" applyFill="1" applyBorder="1" applyAlignment="1">
      <alignment horizontal="center" vertical="center" wrapText="1"/>
    </xf>
    <xf numFmtId="49" fontId="99" fillId="5" borderId="87" xfId="0" applyNumberFormat="1" applyFont="1" applyFill="1" applyBorder="1" applyAlignment="1">
      <alignment horizontal="center" vertical="center" shrinkToFit="1"/>
    </xf>
    <xf numFmtId="49" fontId="99" fillId="5" borderId="315" xfId="0" applyNumberFormat="1" applyFont="1" applyFill="1" applyBorder="1" applyAlignment="1">
      <alignment horizontal="center" vertical="center" shrinkToFit="1"/>
    </xf>
    <xf numFmtId="167" fontId="102" fillId="7" borderId="0" xfId="0" applyNumberFormat="1" applyFont="1" applyFill="1" applyAlignment="1">
      <alignment horizontal="center" vertical="center" shrinkToFit="1"/>
    </xf>
    <xf numFmtId="0" fontId="102" fillId="7" borderId="0" xfId="0" applyFont="1" applyFill="1" applyAlignment="1">
      <alignment horizontal="center" vertical="center" shrinkToFit="1"/>
    </xf>
    <xf numFmtId="167" fontId="103" fillId="30" borderId="0" xfId="0" applyNumberFormat="1" applyFont="1" applyFill="1" applyAlignment="1">
      <alignment horizontal="center" vertical="center" shrinkToFit="1"/>
    </xf>
    <xf numFmtId="164" fontId="102" fillId="0" borderId="0" xfId="0" applyNumberFormat="1" applyFont="1" applyAlignment="1">
      <alignment horizontal="center" vertical="center" shrinkToFit="1"/>
    </xf>
    <xf numFmtId="167" fontId="102" fillId="0" borderId="0" xfId="0" applyNumberFormat="1" applyFont="1" applyAlignment="1">
      <alignment horizontal="center" vertical="center" shrinkToFit="1"/>
    </xf>
    <xf numFmtId="0" fontId="102" fillId="0" borderId="0" xfId="0" applyFont="1" applyAlignment="1">
      <alignment horizontal="center" vertical="center" shrinkToFit="1"/>
    </xf>
    <xf numFmtId="1" fontId="102" fillId="0" borderId="0" xfId="0" applyNumberFormat="1" applyFont="1" applyAlignment="1">
      <alignment horizontal="center" vertical="center" shrinkToFit="1"/>
    </xf>
    <xf numFmtId="10" fontId="102" fillId="0" borderId="0" xfId="0" applyNumberFormat="1" applyFont="1" applyAlignment="1">
      <alignment horizontal="center" vertical="center" shrinkToFit="1"/>
    </xf>
    <xf numFmtId="10" fontId="102" fillId="0" borderId="0" xfId="2" applyNumberFormat="1" applyFont="1" applyFill="1" applyBorder="1" applyAlignment="1">
      <alignment horizontal="center" vertical="center" shrinkToFit="1"/>
    </xf>
    <xf numFmtId="165" fontId="102" fillId="0" borderId="0" xfId="1" applyNumberFormat="1" applyFont="1" applyFill="1" applyBorder="1" applyAlignment="1">
      <alignment horizontal="center" vertical="center" shrinkToFit="1"/>
    </xf>
    <xf numFmtId="167" fontId="104" fillId="19" borderId="21" xfId="0" applyNumberFormat="1" applyFont="1" applyFill="1" applyBorder="1" applyAlignment="1">
      <alignment horizontal="center" vertical="center" shrinkToFit="1"/>
    </xf>
    <xf numFmtId="167" fontId="104" fillId="20" borderId="21" xfId="0" applyNumberFormat="1" applyFont="1" applyFill="1" applyBorder="1" applyAlignment="1">
      <alignment horizontal="center" vertical="center" shrinkToFit="1"/>
    </xf>
    <xf numFmtId="167" fontId="104" fillId="19" borderId="22" xfId="0" applyNumberFormat="1" applyFont="1" applyFill="1" applyBorder="1" applyAlignment="1">
      <alignment horizontal="center" vertical="center" shrinkToFit="1"/>
    </xf>
    <xf numFmtId="167" fontId="104" fillId="20" borderId="22" xfId="0" applyNumberFormat="1" applyFont="1" applyFill="1" applyBorder="1" applyAlignment="1">
      <alignment horizontal="center" vertical="center" shrinkToFit="1"/>
    </xf>
    <xf numFmtId="167" fontId="67" fillId="7" borderId="0" xfId="0" applyNumberFormat="1" applyFont="1" applyFill="1" applyAlignment="1">
      <alignment horizontal="center" vertical="center" shrinkToFit="1"/>
    </xf>
    <xf numFmtId="0" fontId="67" fillId="7" borderId="0" xfId="0" applyFont="1" applyFill="1" applyAlignment="1">
      <alignment horizontal="center" vertical="center" shrinkToFit="1"/>
    </xf>
    <xf numFmtId="164" fontId="67" fillId="0" borderId="0" xfId="0" applyNumberFormat="1" applyFont="1" applyAlignment="1">
      <alignment horizontal="center" vertical="center" shrinkToFit="1"/>
    </xf>
    <xf numFmtId="167" fontId="67" fillId="0" borderId="0" xfId="0" applyNumberFormat="1" applyFont="1" applyAlignment="1">
      <alignment horizontal="center" vertical="center" shrinkToFit="1"/>
    </xf>
    <xf numFmtId="0" fontId="67" fillId="0" borderId="0" xfId="0" applyFont="1" applyAlignment="1">
      <alignment horizontal="center" vertical="center" shrinkToFit="1"/>
    </xf>
    <xf numFmtId="1" fontId="67" fillId="0" borderId="0" xfId="0" applyNumberFormat="1" applyFont="1" applyAlignment="1">
      <alignment horizontal="center" vertical="center" shrinkToFit="1"/>
    </xf>
    <xf numFmtId="10" fontId="67" fillId="0" borderId="0" xfId="0" applyNumberFormat="1" applyFont="1" applyAlignment="1">
      <alignment horizontal="center" vertical="center" shrinkToFit="1"/>
    </xf>
    <xf numFmtId="10" fontId="67" fillId="0" borderId="0" xfId="2" applyNumberFormat="1" applyFont="1" applyFill="1" applyBorder="1" applyAlignment="1">
      <alignment horizontal="center" vertical="center" shrinkToFit="1"/>
    </xf>
    <xf numFmtId="165" fontId="67" fillId="0" borderId="0" xfId="1" applyNumberFormat="1" applyFont="1" applyFill="1" applyBorder="1" applyAlignment="1">
      <alignment horizontal="center" vertical="center" shrinkToFit="1"/>
    </xf>
    <xf numFmtId="0" fontId="104" fillId="20" borderId="22" xfId="0" applyFont="1" applyFill="1" applyBorder="1" applyAlignment="1">
      <alignment horizontal="center" vertical="center" shrinkToFit="1"/>
    </xf>
    <xf numFmtId="0" fontId="104" fillId="19" borderId="22" xfId="0" applyFont="1" applyFill="1" applyBorder="1" applyAlignment="1">
      <alignment horizontal="center" vertical="center" shrinkToFit="1"/>
    </xf>
    <xf numFmtId="169" fontId="104" fillId="20" borderId="22" xfId="0" applyNumberFormat="1" applyFont="1" applyFill="1" applyBorder="1" applyAlignment="1">
      <alignment horizontal="center" vertical="center" shrinkToFit="1"/>
    </xf>
    <xf numFmtId="0" fontId="104" fillId="21" borderId="23" xfId="0" applyFont="1" applyFill="1" applyBorder="1" applyAlignment="1">
      <alignment horizontal="center" vertical="center" shrinkToFit="1"/>
    </xf>
    <xf numFmtId="167" fontId="67" fillId="7" borderId="316" xfId="0" applyNumberFormat="1" applyFont="1" applyFill="1" applyBorder="1" applyAlignment="1">
      <alignment horizontal="center" vertical="center" shrinkToFit="1"/>
    </xf>
    <xf numFmtId="0" fontId="67" fillId="7" borderId="316" xfId="0" applyFont="1" applyFill="1" applyBorder="1" applyAlignment="1">
      <alignment horizontal="center" vertical="center" shrinkToFit="1"/>
    </xf>
    <xf numFmtId="167" fontId="103" fillId="30" borderId="316" xfId="0" applyNumberFormat="1" applyFont="1" applyFill="1" applyBorder="1" applyAlignment="1">
      <alignment horizontal="center" vertical="center" shrinkToFit="1"/>
    </xf>
    <xf numFmtId="164" fontId="67" fillId="0" borderId="316" xfId="0" applyNumberFormat="1" applyFont="1" applyBorder="1" applyAlignment="1">
      <alignment horizontal="center" vertical="center" shrinkToFit="1"/>
    </xf>
    <xf numFmtId="167" fontId="67" fillId="0" borderId="316" xfId="0" applyNumberFormat="1" applyFont="1" applyBorder="1" applyAlignment="1">
      <alignment horizontal="center" vertical="center" shrinkToFit="1"/>
    </xf>
    <xf numFmtId="0" fontId="67" fillId="0" borderId="316" xfId="0" applyFont="1" applyBorder="1" applyAlignment="1">
      <alignment horizontal="center" vertical="center" shrinkToFit="1"/>
    </xf>
    <xf numFmtId="1" fontId="67" fillId="0" borderId="316" xfId="0" applyNumberFormat="1" applyFont="1" applyBorder="1" applyAlignment="1">
      <alignment horizontal="center" vertical="center" shrinkToFit="1"/>
    </xf>
    <xf numFmtId="10" fontId="67" fillId="0" borderId="316" xfId="0" applyNumberFormat="1" applyFont="1" applyBorder="1" applyAlignment="1">
      <alignment horizontal="center" vertical="center" shrinkToFit="1"/>
    </xf>
    <xf numFmtId="10" fontId="67" fillId="0" borderId="316" xfId="2" applyNumberFormat="1" applyFont="1" applyFill="1" applyBorder="1" applyAlignment="1">
      <alignment horizontal="center" vertical="center" shrinkToFit="1"/>
    </xf>
    <xf numFmtId="165" fontId="67" fillId="0" borderId="316" xfId="1" applyNumberFormat="1" applyFont="1" applyFill="1" applyBorder="1" applyAlignment="1">
      <alignment horizontal="center" vertical="center" shrinkToFit="1"/>
    </xf>
    <xf numFmtId="10" fontId="105" fillId="19" borderId="24" xfId="2" applyNumberFormat="1" applyFont="1" applyFill="1" applyBorder="1" applyAlignment="1">
      <alignment horizontal="center" vertical="center" shrinkToFit="1"/>
    </xf>
    <xf numFmtId="10" fontId="104" fillId="21" borderId="24" xfId="2" applyNumberFormat="1" applyFont="1" applyFill="1" applyBorder="1" applyAlignment="1">
      <alignment horizontal="center" vertical="center" shrinkToFit="1"/>
    </xf>
    <xf numFmtId="0" fontId="37" fillId="0" borderId="341" xfId="2" applyNumberFormat="1" applyFont="1" applyBorder="1" applyAlignment="1">
      <alignment horizontal="center" vertical="center"/>
    </xf>
    <xf numFmtId="0" fontId="37" fillId="0" borderId="318" xfId="2" applyNumberFormat="1" applyFont="1" applyBorder="1" applyAlignment="1">
      <alignment horizontal="center" vertical="center"/>
    </xf>
    <xf numFmtId="0" fontId="37" fillId="0" borderId="336" xfId="2" applyNumberFormat="1" applyFont="1" applyBorder="1" applyAlignment="1">
      <alignment horizontal="center" vertical="center"/>
    </xf>
    <xf numFmtId="0" fontId="49" fillId="14" borderId="349" xfId="1" applyNumberFormat="1" applyFont="1" applyFill="1" applyBorder="1" applyAlignment="1">
      <alignment horizontal="center" vertical="center"/>
    </xf>
    <xf numFmtId="0" fontId="49" fillId="14" borderId="0" xfId="1" applyNumberFormat="1" applyFont="1" applyFill="1" applyBorder="1" applyAlignment="1">
      <alignment horizontal="center" vertical="center"/>
    </xf>
    <xf numFmtId="1" fontId="37" fillId="0" borderId="341" xfId="2" applyNumberFormat="1" applyFont="1" applyBorder="1" applyAlignment="1">
      <alignment horizontal="center" vertical="center"/>
    </xf>
    <xf numFmtId="1" fontId="37" fillId="0" borderId="318" xfId="2" applyNumberFormat="1" applyFont="1" applyBorder="1" applyAlignment="1">
      <alignment horizontal="center" vertical="center"/>
    </xf>
    <xf numFmtId="1" fontId="37" fillId="0" borderId="336" xfId="2" applyNumberFormat="1" applyFont="1" applyBorder="1" applyAlignment="1">
      <alignment horizontal="center" vertical="center"/>
    </xf>
    <xf numFmtId="10" fontId="37" fillId="0" borderId="341" xfId="2" applyNumberFormat="1" applyFont="1" applyBorder="1" applyAlignment="1">
      <alignment horizontal="center" vertical="center"/>
    </xf>
    <xf numFmtId="10" fontId="37" fillId="0" borderId="318" xfId="2" applyNumberFormat="1" applyFont="1" applyBorder="1" applyAlignment="1">
      <alignment horizontal="center" vertical="center"/>
    </xf>
    <xf numFmtId="10" fontId="37" fillId="0" borderId="336" xfId="2" applyNumberFormat="1" applyFont="1" applyBorder="1" applyAlignment="1">
      <alignment horizontal="center" vertical="center"/>
    </xf>
    <xf numFmtId="0" fontId="29" fillId="30" borderId="0" xfId="0" applyFont="1" applyFill="1"/>
    <xf numFmtId="10" fontId="36" fillId="37" borderId="71" xfId="2" applyNumberFormat="1" applyFont="1" applyFill="1" applyBorder="1" applyAlignment="1">
      <alignment horizontal="center" vertical="center"/>
    </xf>
    <xf numFmtId="2" fontId="106" fillId="26" borderId="347" xfId="1" applyNumberFormat="1" applyFont="1" applyFill="1" applyBorder="1" applyAlignment="1">
      <alignment horizontal="center" vertical="center"/>
    </xf>
    <xf numFmtId="2" fontId="106" fillId="26" borderId="340" xfId="0" applyNumberFormat="1" applyFont="1" applyFill="1" applyBorder="1" applyAlignment="1">
      <alignment horizontal="center" vertical="center"/>
    </xf>
    <xf numFmtId="2" fontId="106" fillId="26" borderId="320" xfId="0" applyNumberFormat="1" applyFont="1" applyFill="1" applyBorder="1" applyAlignment="1">
      <alignment horizontal="center" vertical="center"/>
    </xf>
    <xf numFmtId="10" fontId="106" fillId="26" borderId="347" xfId="0" applyNumberFormat="1" applyFont="1" applyFill="1" applyBorder="1" applyAlignment="1">
      <alignment horizontal="center" vertical="center"/>
    </xf>
    <xf numFmtId="10" fontId="106" fillId="26" borderId="0" xfId="0" applyNumberFormat="1" applyFont="1" applyFill="1" applyAlignment="1">
      <alignment horizontal="center" vertical="center"/>
    </xf>
    <xf numFmtId="10" fontId="106" fillId="26" borderId="4" xfId="0" applyNumberFormat="1" applyFont="1" applyFill="1" applyBorder="1" applyAlignment="1">
      <alignment horizontal="center" vertical="center"/>
    </xf>
    <xf numFmtId="0" fontId="0" fillId="14" borderId="0" xfId="0" quotePrefix="1" applyFill="1" applyAlignment="1">
      <alignment horizontal="center" vertical="center"/>
    </xf>
    <xf numFmtId="168" fontId="91" fillId="14" borderId="350" xfId="2" applyNumberFormat="1" applyFont="1" applyFill="1" applyBorder="1" applyAlignment="1">
      <alignment horizontal="center" vertical="center"/>
    </xf>
    <xf numFmtId="168" fontId="91" fillId="14" borderId="351" xfId="2" applyNumberFormat="1" applyFont="1" applyFill="1" applyBorder="1" applyAlignment="1">
      <alignment horizontal="center" vertical="center"/>
    </xf>
    <xf numFmtId="168" fontId="49" fillId="14" borderId="4" xfId="2" applyNumberFormat="1" applyFont="1" applyFill="1" applyBorder="1" applyAlignment="1">
      <alignment horizontal="center" vertical="center"/>
    </xf>
    <xf numFmtId="168" fontId="91" fillId="14" borderId="352" xfId="2" applyNumberFormat="1" applyFont="1" applyFill="1" applyBorder="1" applyAlignment="1">
      <alignment horizontal="center" vertical="center"/>
    </xf>
    <xf numFmtId="168" fontId="37" fillId="0" borderId="341" xfId="2" applyNumberFormat="1" applyFont="1" applyBorder="1" applyAlignment="1">
      <alignment horizontal="center" vertical="center"/>
    </xf>
    <xf numFmtId="168" fontId="37" fillId="0" borderId="318" xfId="2" applyNumberFormat="1" applyFont="1" applyBorder="1" applyAlignment="1">
      <alignment horizontal="center" vertical="center"/>
    </xf>
    <xf numFmtId="168" fontId="37" fillId="0" borderId="336" xfId="2" applyNumberFormat="1" applyFont="1" applyBorder="1" applyAlignment="1">
      <alignment horizontal="center" vertical="center"/>
    </xf>
    <xf numFmtId="9" fontId="37" fillId="27" borderId="348" xfId="2" applyFont="1" applyFill="1" applyBorder="1" applyAlignment="1">
      <alignment horizontal="center" vertical="center"/>
    </xf>
    <xf numFmtId="168" fontId="37" fillId="27" borderId="2" xfId="2" applyNumberFormat="1" applyFont="1" applyFill="1" applyBorder="1" applyAlignment="1">
      <alignment horizontal="center" vertical="center"/>
    </xf>
    <xf numFmtId="168" fontId="37" fillId="27" borderId="263" xfId="2" applyNumberFormat="1" applyFont="1" applyFill="1" applyBorder="1" applyAlignment="1">
      <alignment horizontal="center" vertical="center"/>
    </xf>
    <xf numFmtId="10" fontId="31" fillId="9" borderId="143" xfId="2" applyNumberFormat="1" applyFont="1" applyFill="1" applyBorder="1" applyAlignment="1">
      <alignment horizontal="center" vertical="center"/>
    </xf>
    <xf numFmtId="1" fontId="91" fillId="14" borderId="350" xfId="2" applyNumberFormat="1" applyFont="1" applyFill="1" applyBorder="1" applyAlignment="1">
      <alignment horizontal="center" vertical="center"/>
    </xf>
    <xf numFmtId="1" fontId="91" fillId="14" borderId="351" xfId="2" applyNumberFormat="1" applyFont="1" applyFill="1" applyBorder="1" applyAlignment="1">
      <alignment horizontal="center" vertical="center"/>
    </xf>
    <xf numFmtId="1" fontId="91" fillId="14" borderId="352" xfId="2" applyNumberFormat="1" applyFont="1" applyFill="1" applyBorder="1" applyAlignment="1">
      <alignment horizontal="center" vertical="center"/>
    </xf>
    <xf numFmtId="1" fontId="97" fillId="14" borderId="44" xfId="0" applyNumberFormat="1" applyFont="1" applyFill="1" applyBorder="1" applyAlignment="1">
      <alignment horizontal="center" vertical="center"/>
    </xf>
    <xf numFmtId="2" fontId="37" fillId="0" borderId="341" xfId="0" applyNumberFormat="1" applyFont="1" applyBorder="1" applyAlignment="1">
      <alignment horizontal="center" vertical="center"/>
    </xf>
    <xf numFmtId="2" fontId="37" fillId="0" borderId="318" xfId="0" applyNumberFormat="1" applyFont="1" applyBorder="1" applyAlignment="1">
      <alignment horizontal="center" vertical="center"/>
    </xf>
    <xf numFmtId="2" fontId="37" fillId="0" borderId="336" xfId="0" applyNumberFormat="1" applyFont="1" applyBorder="1" applyAlignment="1">
      <alignment horizontal="center" vertical="center"/>
    </xf>
    <xf numFmtId="2" fontId="96" fillId="39" borderId="0" xfId="0" applyNumberFormat="1" applyFont="1" applyFill="1" applyAlignment="1">
      <alignment horizontal="center" vertical="center"/>
    </xf>
    <xf numFmtId="2" fontId="96" fillId="39" borderId="4" xfId="0" applyNumberFormat="1" applyFont="1" applyFill="1" applyBorder="1" applyAlignment="1">
      <alignment horizontal="center" vertical="center"/>
    </xf>
    <xf numFmtId="2" fontId="91" fillId="14" borderId="350" xfId="0" applyNumberFormat="1" applyFont="1" applyFill="1" applyBorder="1" applyAlignment="1">
      <alignment horizontal="center" vertical="center"/>
    </xf>
    <xf numFmtId="2" fontId="91" fillId="14" borderId="351" xfId="0" applyNumberFormat="1" applyFont="1" applyFill="1" applyBorder="1" applyAlignment="1">
      <alignment horizontal="center" vertical="center"/>
    </xf>
    <xf numFmtId="2" fontId="91" fillId="14" borderId="352" xfId="0" applyNumberFormat="1" applyFont="1" applyFill="1" applyBorder="1" applyAlignment="1">
      <alignment horizontal="center" vertical="center"/>
    </xf>
    <xf numFmtId="0" fontId="49" fillId="14" borderId="347" xfId="0" applyFont="1" applyFill="1" applyBorder="1" applyAlignment="1">
      <alignment horizontal="center" vertical="center"/>
    </xf>
    <xf numFmtId="0" fontId="49" fillId="14" borderId="340" xfId="0" applyFont="1" applyFill="1" applyBorder="1" applyAlignment="1">
      <alignment horizontal="center" vertical="center"/>
    </xf>
    <xf numFmtId="0" fontId="49" fillId="14" borderId="320" xfId="0" applyFont="1" applyFill="1" applyBorder="1" applyAlignment="1">
      <alignment horizontal="center" vertical="center"/>
    </xf>
    <xf numFmtId="176" fontId="37" fillId="0" borderId="0" xfId="1" applyNumberFormat="1" applyFont="1" applyBorder="1" applyAlignment="1">
      <alignment vertical="center"/>
    </xf>
    <xf numFmtId="165" fontId="37" fillId="0" borderId="318" xfId="1" applyNumberFormat="1" applyFont="1" applyBorder="1" applyAlignment="1">
      <alignment vertical="center"/>
    </xf>
    <xf numFmtId="165" fontId="37" fillId="0" borderId="336" xfId="1" applyNumberFormat="1" applyFont="1" applyBorder="1" applyAlignment="1">
      <alignment vertical="center"/>
    </xf>
    <xf numFmtId="10" fontId="37" fillId="0" borderId="0" xfId="2" applyNumberFormat="1" applyFont="1" applyAlignment="1">
      <alignment vertical="center"/>
    </xf>
    <xf numFmtId="10" fontId="31" fillId="14" borderId="2" xfId="2" applyNumberFormat="1" applyFont="1" applyFill="1" applyBorder="1" applyAlignment="1">
      <alignment horizontal="center" vertical="center"/>
    </xf>
    <xf numFmtId="0" fontId="31" fillId="14" borderId="260" xfId="0" applyFont="1" applyFill="1" applyBorder="1" applyAlignment="1">
      <alignment horizontal="right" vertical="center"/>
    </xf>
    <xf numFmtId="10" fontId="31" fillId="14" borderId="262" xfId="2" applyNumberFormat="1" applyFont="1" applyFill="1" applyBorder="1" applyAlignment="1">
      <alignment horizontal="center" vertical="center"/>
    </xf>
    <xf numFmtId="10" fontId="31" fillId="14" borderId="263" xfId="2" applyNumberFormat="1" applyFont="1" applyFill="1" applyBorder="1" applyAlignment="1">
      <alignment horizontal="center" vertical="center"/>
    </xf>
    <xf numFmtId="0" fontId="108" fillId="0" borderId="0" xfId="0" applyFont="1"/>
    <xf numFmtId="0" fontId="108" fillId="0" borderId="0" xfId="0" applyFont="1" applyAlignment="1">
      <alignment horizontal="center" vertical="center"/>
    </xf>
    <xf numFmtId="0" fontId="108" fillId="0" borderId="0" xfId="0" applyFont="1" applyAlignment="1">
      <alignment horizontal="center" vertical="center" wrapText="1"/>
    </xf>
    <xf numFmtId="37" fontId="108" fillId="0" borderId="0" xfId="0" applyNumberFormat="1" applyFont="1"/>
    <xf numFmtId="1" fontId="108" fillId="0" borderId="0" xfId="0" applyNumberFormat="1" applyFont="1" applyAlignment="1">
      <alignment horizontal="center" vertical="center"/>
    </xf>
    <xf numFmtId="2" fontId="29" fillId="14" borderId="0" xfId="0" applyNumberFormat="1" applyFont="1" applyFill="1" applyAlignment="1">
      <alignment horizontal="center" vertical="center"/>
    </xf>
    <xf numFmtId="2" fontId="29" fillId="14" borderId="83" xfId="0" applyNumberFormat="1" applyFont="1" applyFill="1" applyBorder="1" applyAlignment="1">
      <alignment horizontal="center" vertical="center"/>
    </xf>
    <xf numFmtId="2" fontId="29" fillId="13" borderId="0" xfId="0" applyNumberFormat="1" applyFont="1" applyFill="1" applyAlignment="1">
      <alignment horizontal="center" vertical="center"/>
    </xf>
    <xf numFmtId="2" fontId="29" fillId="13" borderId="157" xfId="0" applyNumberFormat="1" applyFont="1" applyFill="1" applyBorder="1" applyAlignment="1">
      <alignment horizontal="center" vertical="center"/>
    </xf>
    <xf numFmtId="44" fontId="32" fillId="24" borderId="194" xfId="0" applyNumberFormat="1" applyFont="1" applyFill="1" applyBorder="1" applyAlignment="1">
      <alignment horizontal="center" vertical="center"/>
    </xf>
    <xf numFmtId="44" fontId="32" fillId="24" borderId="254" xfId="0" applyNumberFormat="1" applyFont="1" applyFill="1" applyBorder="1" applyAlignment="1">
      <alignment horizontal="center" vertical="center"/>
    </xf>
    <xf numFmtId="0" fontId="89" fillId="30" borderId="344" xfId="0" applyFont="1" applyFill="1" applyBorder="1" applyAlignment="1">
      <alignment horizontal="center" vertical="center"/>
    </xf>
    <xf numFmtId="0" fontId="89" fillId="30" borderId="0" xfId="0" applyFont="1" applyFill="1" applyAlignment="1">
      <alignment horizontal="center" vertical="center"/>
    </xf>
    <xf numFmtId="178" fontId="37" fillId="27" borderId="0" xfId="2" applyNumberFormat="1" applyFont="1" applyFill="1" applyBorder="1" applyAlignment="1">
      <alignment horizontal="center" vertical="center"/>
    </xf>
    <xf numFmtId="177" fontId="37" fillId="27" borderId="0" xfId="0" applyNumberFormat="1" applyFont="1" applyFill="1" applyAlignment="1">
      <alignment horizontal="center" vertical="center"/>
    </xf>
    <xf numFmtId="9" fontId="37" fillId="27" borderId="0" xfId="2" applyFont="1" applyFill="1" applyBorder="1" applyAlignment="1">
      <alignment horizontal="center" vertical="center"/>
    </xf>
    <xf numFmtId="1" fontId="37" fillId="27" borderId="0" xfId="0" applyNumberFormat="1" applyFont="1" applyFill="1" applyAlignment="1">
      <alignment horizontal="center" vertical="center"/>
    </xf>
    <xf numFmtId="178" fontId="37" fillId="27" borderId="0" xfId="0" applyNumberFormat="1" applyFont="1" applyFill="1" applyAlignment="1">
      <alignment horizontal="center" vertical="center"/>
    </xf>
    <xf numFmtId="179" fontId="37" fillId="27" borderId="0" xfId="0" applyNumberFormat="1" applyFont="1" applyFill="1" applyAlignment="1">
      <alignment horizontal="center" vertical="center"/>
    </xf>
    <xf numFmtId="168" fontId="37" fillId="27" borderId="0" xfId="2" applyNumberFormat="1" applyFont="1" applyFill="1" applyBorder="1" applyAlignment="1">
      <alignment horizontal="center" vertical="center"/>
    </xf>
    <xf numFmtId="178" fontId="37" fillId="27" borderId="4" xfId="2" applyNumberFormat="1" applyFont="1" applyFill="1" applyBorder="1" applyAlignment="1">
      <alignment horizontal="center" vertical="center"/>
    </xf>
    <xf numFmtId="0" fontId="90" fillId="17" borderId="0" xfId="0" applyFont="1" applyFill="1" applyAlignment="1">
      <alignment horizontal="center" vertical="center"/>
    </xf>
    <xf numFmtId="0" fontId="90" fillId="27" borderId="4" xfId="0" applyFont="1" applyFill="1" applyBorder="1" applyAlignment="1">
      <alignment horizontal="center" vertical="center"/>
    </xf>
    <xf numFmtId="0" fontId="106" fillId="27" borderId="0" xfId="0" applyFont="1" applyFill="1" applyAlignment="1">
      <alignment horizontal="center" vertical="center"/>
    </xf>
    <xf numFmtId="0" fontId="93" fillId="11" borderId="343" xfId="0" applyFont="1" applyFill="1" applyBorder="1" applyAlignment="1">
      <alignment horizontal="center" vertical="center"/>
    </xf>
    <xf numFmtId="0" fontId="37" fillId="30" borderId="365" xfId="0" applyFont="1" applyFill="1" applyBorder="1" applyAlignment="1">
      <alignment horizontal="right" vertical="center"/>
    </xf>
    <xf numFmtId="0" fontId="37" fillId="30" borderId="363" xfId="0" applyFont="1" applyFill="1" applyBorder="1" applyAlignment="1">
      <alignment horizontal="right" vertical="center"/>
    </xf>
    <xf numFmtId="0" fontId="37" fillId="30" borderId="364" xfId="0" applyFont="1" applyFill="1" applyBorder="1" applyAlignment="1">
      <alignment horizontal="right" vertical="center"/>
    </xf>
    <xf numFmtId="0" fontId="37" fillId="11" borderId="363" xfId="0" applyFont="1" applyFill="1" applyBorder="1" applyAlignment="1">
      <alignment horizontal="center" vertical="center"/>
    </xf>
    <xf numFmtId="0" fontId="37" fillId="11" borderId="364" xfId="0" applyFont="1" applyFill="1" applyBorder="1" applyAlignment="1">
      <alignment horizontal="center" vertical="center"/>
    </xf>
    <xf numFmtId="0" fontId="88" fillId="11" borderId="365" xfId="0" applyFont="1" applyFill="1" applyBorder="1" applyAlignment="1">
      <alignment horizontal="center" vertical="center"/>
    </xf>
    <xf numFmtId="0" fontId="88" fillId="11" borderId="363" xfId="0" applyFont="1" applyFill="1" applyBorder="1" applyAlignment="1">
      <alignment horizontal="center" vertical="center"/>
    </xf>
    <xf numFmtId="0" fontId="88" fillId="11" borderId="364" xfId="0" applyFont="1" applyFill="1" applyBorder="1" applyAlignment="1">
      <alignment horizontal="center"/>
    </xf>
    <xf numFmtId="0" fontId="37" fillId="11" borderId="365" xfId="0" applyFont="1" applyFill="1" applyBorder="1" applyAlignment="1">
      <alignment horizontal="center" vertical="center"/>
    </xf>
    <xf numFmtId="0" fontId="37" fillId="11" borderId="352" xfId="0" applyFont="1" applyFill="1" applyBorder="1" applyAlignment="1">
      <alignment horizontal="center" vertical="center"/>
    </xf>
    <xf numFmtId="0" fontId="37" fillId="30" borderId="365" xfId="0" applyFont="1" applyFill="1" applyBorder="1" applyAlignment="1">
      <alignment horizontal="center" vertical="center"/>
    </xf>
    <xf numFmtId="0" fontId="37" fillId="30" borderId="363" xfId="0" applyFont="1" applyFill="1" applyBorder="1" applyAlignment="1">
      <alignment horizontal="center" vertical="center"/>
    </xf>
    <xf numFmtId="0" fontId="37" fillId="30" borderId="364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363" xfId="0" applyFont="1" applyBorder="1" applyAlignment="1">
      <alignment horizontal="right" vertical="center"/>
    </xf>
    <xf numFmtId="0" fontId="37" fillId="0" borderId="364" xfId="0" applyFont="1" applyBorder="1" applyAlignment="1">
      <alignment horizontal="right" vertical="center"/>
    </xf>
    <xf numFmtId="0" fontId="88" fillId="11" borderId="335" xfId="0" applyFont="1" applyFill="1" applyBorder="1" applyAlignment="1">
      <alignment horizontal="right" vertical="center"/>
    </xf>
    <xf numFmtId="177" fontId="37" fillId="27" borderId="4" xfId="0" applyNumberFormat="1" applyFont="1" applyFill="1" applyBorder="1" applyAlignment="1">
      <alignment horizontal="center" vertical="center"/>
    </xf>
    <xf numFmtId="169" fontId="91" fillId="14" borderId="351" xfId="2" applyNumberFormat="1" applyFont="1" applyFill="1" applyBorder="1" applyAlignment="1">
      <alignment horizontal="center" vertical="center"/>
    </xf>
    <xf numFmtId="169" fontId="88" fillId="11" borderId="366" xfId="0" applyNumberFormat="1" applyFont="1" applyFill="1" applyBorder="1" applyAlignment="1">
      <alignment horizontal="center" vertical="center"/>
    </xf>
    <xf numFmtId="169" fontId="88" fillId="11" borderId="367" xfId="0" applyNumberFormat="1" applyFont="1" applyFill="1" applyBorder="1" applyAlignment="1">
      <alignment horizontal="center" vertical="center"/>
    </xf>
    <xf numFmtId="169" fontId="88" fillId="11" borderId="368" xfId="0" applyNumberFormat="1" applyFont="1" applyFill="1" applyBorder="1" applyAlignment="1">
      <alignment horizontal="center" vertical="center"/>
    </xf>
    <xf numFmtId="0" fontId="109" fillId="11" borderId="332" xfId="0" applyFont="1" applyFill="1" applyBorder="1" applyAlignment="1">
      <alignment horizontal="center" vertical="center"/>
    </xf>
    <xf numFmtId="0" fontId="109" fillId="11" borderId="343" xfId="0" applyFont="1" applyFill="1" applyBorder="1" applyAlignment="1">
      <alignment horizontal="center" vertical="center"/>
    </xf>
    <xf numFmtId="9" fontId="88" fillId="11" borderId="366" xfId="0" applyNumberFormat="1" applyFont="1" applyFill="1" applyBorder="1" applyAlignment="1">
      <alignment horizontal="center" vertical="center"/>
    </xf>
    <xf numFmtId="9" fontId="88" fillId="11" borderId="367" xfId="2" applyFont="1" applyFill="1" applyBorder="1" applyAlignment="1">
      <alignment horizontal="center" vertical="center"/>
    </xf>
    <xf numFmtId="9" fontId="88" fillId="11" borderId="368" xfId="2" applyFont="1" applyFill="1" applyBorder="1" applyAlignment="1">
      <alignment horizontal="center" vertical="center"/>
    </xf>
    <xf numFmtId="0" fontId="88" fillId="22" borderId="0" xfId="0" applyFont="1" applyFill="1" applyAlignment="1">
      <alignment vertical="center"/>
    </xf>
    <xf numFmtId="0" fontId="88" fillId="22" borderId="0" xfId="0" applyFont="1" applyFill="1" applyAlignment="1">
      <alignment horizontal="center" vertical="center"/>
    </xf>
    <xf numFmtId="9" fontId="37" fillId="27" borderId="4" xfId="2" applyFont="1" applyFill="1" applyBorder="1" applyAlignment="1">
      <alignment horizontal="center" vertical="center"/>
    </xf>
    <xf numFmtId="9" fontId="88" fillId="11" borderId="366" xfId="2" applyFont="1" applyFill="1" applyBorder="1" applyAlignment="1">
      <alignment horizontal="center" vertical="center"/>
    </xf>
    <xf numFmtId="0" fontId="93" fillId="11" borderId="369" xfId="0" applyFont="1" applyFill="1" applyBorder="1" applyAlignment="1">
      <alignment horizontal="center" vertical="center"/>
    </xf>
    <xf numFmtId="10" fontId="37" fillId="17" borderId="0" xfId="2" applyNumberFormat="1" applyFont="1" applyFill="1" applyBorder="1" applyAlignment="1">
      <alignment horizontal="center" vertical="center"/>
    </xf>
    <xf numFmtId="0" fontId="29" fillId="14" borderId="340" xfId="0" applyFont="1" applyFill="1" applyBorder="1" applyAlignment="1">
      <alignment horizontal="right" vertical="center"/>
    </xf>
    <xf numFmtId="175" fontId="37" fillId="27" borderId="0" xfId="2" applyNumberFormat="1" applyFont="1" applyFill="1" applyBorder="1" applyAlignment="1">
      <alignment horizontal="center" vertical="center"/>
    </xf>
    <xf numFmtId="175" fontId="37" fillId="27" borderId="4" xfId="2" applyNumberFormat="1" applyFont="1" applyFill="1" applyBorder="1" applyAlignment="1">
      <alignment horizontal="center" vertical="center"/>
    </xf>
    <xf numFmtId="178" fontId="37" fillId="27" borderId="348" xfId="2" applyNumberFormat="1" applyFont="1" applyFill="1" applyBorder="1" applyAlignment="1">
      <alignment horizontal="center" vertical="center"/>
    </xf>
    <xf numFmtId="0" fontId="37" fillId="0" borderId="363" xfId="0" applyFont="1" applyBorder="1" applyAlignment="1">
      <alignment horizontal="center" vertical="center"/>
    </xf>
    <xf numFmtId="0" fontId="37" fillId="0" borderId="364" xfId="0" applyFont="1" applyBorder="1" applyAlignment="1">
      <alignment horizontal="center" vertical="center"/>
    </xf>
    <xf numFmtId="0" fontId="37" fillId="0" borderId="365" xfId="0" applyFont="1" applyBorder="1" applyAlignment="1">
      <alignment horizontal="center" vertical="center"/>
    </xf>
    <xf numFmtId="10" fontId="88" fillId="11" borderId="365" xfId="0" applyNumberFormat="1" applyFont="1" applyFill="1" applyBorder="1" applyAlignment="1">
      <alignment horizontal="center" vertical="center"/>
    </xf>
    <xf numFmtId="10" fontId="88" fillId="11" borderId="363" xfId="0" applyNumberFormat="1" applyFont="1" applyFill="1" applyBorder="1" applyAlignment="1">
      <alignment horizontal="center" vertical="center"/>
    </xf>
    <xf numFmtId="0" fontId="88" fillId="11" borderId="364" xfId="0" applyFont="1" applyFill="1" applyBorder="1" applyAlignment="1">
      <alignment horizontal="center" vertical="center"/>
    </xf>
    <xf numFmtId="0" fontId="37" fillId="11" borderId="366" xfId="0" applyFont="1" applyFill="1" applyBorder="1" applyAlignment="1">
      <alignment horizontal="center" vertical="center"/>
    </xf>
    <xf numFmtId="0" fontId="37" fillId="11" borderId="367" xfId="0" applyFont="1" applyFill="1" applyBorder="1" applyAlignment="1">
      <alignment horizontal="center" vertical="center"/>
    </xf>
    <xf numFmtId="0" fontId="37" fillId="11" borderId="368" xfId="0" applyFont="1" applyFill="1" applyBorder="1" applyAlignment="1">
      <alignment horizontal="center" vertical="center"/>
    </xf>
    <xf numFmtId="10" fontId="88" fillId="11" borderId="364" xfId="0" applyNumberFormat="1" applyFont="1" applyFill="1" applyBorder="1" applyAlignment="1">
      <alignment horizontal="center" vertical="center"/>
    </xf>
    <xf numFmtId="9" fontId="88" fillId="11" borderId="365" xfId="2" applyFont="1" applyFill="1" applyBorder="1" applyAlignment="1">
      <alignment horizontal="center" vertical="center"/>
    </xf>
    <xf numFmtId="9" fontId="88" fillId="11" borderId="363" xfId="2" applyFont="1" applyFill="1" applyBorder="1" applyAlignment="1">
      <alignment horizontal="center" vertical="center"/>
    </xf>
    <xf numFmtId="9" fontId="88" fillId="11" borderId="364" xfId="2" applyFont="1" applyFill="1" applyBorder="1" applyAlignment="1">
      <alignment horizontal="center" vertical="center"/>
    </xf>
    <xf numFmtId="0" fontId="31" fillId="27" borderId="4" xfId="0" applyFont="1" applyFill="1" applyBorder="1" applyAlignment="1">
      <alignment horizontal="center" vertical="center"/>
    </xf>
    <xf numFmtId="10" fontId="90" fillId="17" borderId="0" xfId="0" applyNumberFormat="1" applyFont="1" applyFill="1" applyAlignment="1">
      <alignment horizontal="center" vertical="center"/>
    </xf>
    <xf numFmtId="0" fontId="88" fillId="11" borderId="352" xfId="0" applyFont="1" applyFill="1" applyBorder="1" applyAlignment="1">
      <alignment horizontal="center" vertical="center"/>
    </xf>
    <xf numFmtId="0" fontId="88" fillId="11" borderId="363" xfId="0" applyFont="1" applyFill="1" applyBorder="1" applyAlignment="1">
      <alignment horizontal="right" vertical="center"/>
    </xf>
    <xf numFmtId="0" fontId="88" fillId="11" borderId="364" xfId="0" applyFont="1" applyFill="1" applyBorder="1" applyAlignment="1">
      <alignment horizontal="right" vertical="center"/>
    </xf>
    <xf numFmtId="1" fontId="37" fillId="27" borderId="4" xfId="0" applyNumberFormat="1" applyFont="1" applyFill="1" applyBorder="1" applyAlignment="1">
      <alignment horizontal="center" vertical="center"/>
    </xf>
    <xf numFmtId="178" fontId="37" fillId="27" borderId="2" xfId="2" applyNumberFormat="1" applyFont="1" applyFill="1" applyBorder="1" applyAlignment="1">
      <alignment horizontal="center"/>
    </xf>
    <xf numFmtId="178" fontId="37" fillId="27" borderId="263" xfId="2" applyNumberFormat="1" applyFont="1" applyFill="1" applyBorder="1" applyAlignment="1">
      <alignment horizontal="center"/>
    </xf>
    <xf numFmtId="1" fontId="96" fillId="39" borderId="0" xfId="0" applyNumberFormat="1" applyFont="1" applyFill="1" applyAlignment="1">
      <alignment horizontal="center" vertical="center"/>
    </xf>
    <xf numFmtId="178" fontId="37" fillId="27" borderId="4" xfId="0" applyNumberFormat="1" applyFont="1" applyFill="1" applyBorder="1" applyAlignment="1">
      <alignment horizontal="center" vertical="center"/>
    </xf>
    <xf numFmtId="0" fontId="88" fillId="11" borderId="365" xfId="0" applyFont="1" applyFill="1" applyBorder="1" applyAlignment="1">
      <alignment horizontal="right" vertical="center"/>
    </xf>
    <xf numFmtId="180" fontId="37" fillId="27" borderId="0" xfId="0" applyNumberFormat="1" applyFont="1" applyFill="1" applyAlignment="1">
      <alignment horizontal="center" vertical="center"/>
    </xf>
    <xf numFmtId="0" fontId="37" fillId="27" borderId="4" xfId="0" applyFont="1" applyFill="1" applyBorder="1" applyAlignment="1">
      <alignment vertical="center"/>
    </xf>
    <xf numFmtId="168" fontId="39" fillId="37" borderId="71" xfId="2" applyNumberFormat="1" applyFont="1" applyFill="1" applyBorder="1" applyAlignment="1">
      <alignment horizontal="centerContinuous" vertical="center"/>
    </xf>
    <xf numFmtId="0" fontId="109" fillId="11" borderId="343" xfId="0" applyFont="1" applyFill="1" applyBorder="1" applyAlignment="1">
      <alignment horizontal="right" vertical="center"/>
    </xf>
    <xf numFmtId="10" fontId="88" fillId="11" borderId="365" xfId="0" applyNumberFormat="1" applyFont="1" applyFill="1" applyBorder="1" applyAlignment="1">
      <alignment horizontal="right" vertical="center"/>
    </xf>
    <xf numFmtId="10" fontId="88" fillId="11" borderId="363" xfId="0" applyNumberFormat="1" applyFont="1" applyFill="1" applyBorder="1" applyAlignment="1">
      <alignment horizontal="right" vertical="center"/>
    </xf>
    <xf numFmtId="10" fontId="88" fillId="11" borderId="364" xfId="0" applyNumberFormat="1" applyFont="1" applyFill="1" applyBorder="1" applyAlignment="1">
      <alignment horizontal="right" vertical="center"/>
    </xf>
    <xf numFmtId="0" fontId="99" fillId="58" borderId="314" xfId="0" applyFont="1" applyFill="1" applyBorder="1" applyAlignment="1">
      <alignment horizontal="center" vertical="center" shrinkToFit="1"/>
    </xf>
    <xf numFmtId="165" fontId="110" fillId="53" borderId="0" xfId="0" applyNumberFormat="1" applyFont="1" applyFill="1" applyAlignment="1">
      <alignment horizontal="center" vertical="center" shrinkToFit="1"/>
    </xf>
    <xf numFmtId="165" fontId="110" fillId="53" borderId="316" xfId="0" applyNumberFormat="1" applyFont="1" applyFill="1" applyBorder="1" applyAlignment="1">
      <alignment horizontal="center" vertical="center" shrinkToFit="1"/>
    </xf>
    <xf numFmtId="166" fontId="102" fillId="8" borderId="0" xfId="0" applyNumberFormat="1" applyFont="1" applyFill="1" applyAlignment="1">
      <alignment horizontal="right" vertical="center" shrinkToFit="1"/>
    </xf>
    <xf numFmtId="166" fontId="67" fillId="8" borderId="0" xfId="0" applyNumberFormat="1" applyFont="1" applyFill="1" applyAlignment="1">
      <alignment horizontal="right" vertical="center" shrinkToFit="1"/>
    </xf>
    <xf numFmtId="166" fontId="67" fillId="8" borderId="316" xfId="0" applyNumberFormat="1" applyFont="1" applyFill="1" applyBorder="1" applyAlignment="1">
      <alignment horizontal="right" vertical="center" shrinkToFit="1"/>
    </xf>
    <xf numFmtId="168" fontId="68" fillId="37" borderId="71" xfId="2" applyNumberFormat="1" applyFont="1" applyFill="1" applyBorder="1" applyAlignment="1">
      <alignment horizontal="centerContinuous" vertical="center"/>
    </xf>
    <xf numFmtId="10" fontId="105" fillId="19" borderId="22" xfId="2" applyNumberFormat="1" applyFont="1" applyFill="1" applyBorder="1" applyAlignment="1">
      <alignment horizontal="center" vertical="center" shrinkToFit="1"/>
    </xf>
    <xf numFmtId="9" fontId="106" fillId="27" borderId="340" xfId="2" applyFont="1" applyFill="1" applyBorder="1" applyAlignment="1">
      <alignment horizontal="center" vertical="center"/>
    </xf>
    <xf numFmtId="9" fontId="106" fillId="27" borderId="320" xfId="2" applyFont="1" applyFill="1" applyBorder="1" applyAlignment="1">
      <alignment horizontal="center" vertical="center"/>
    </xf>
    <xf numFmtId="0" fontId="29" fillId="14" borderId="0" xfId="0" applyFont="1" applyFill="1" applyAlignment="1">
      <alignment horizontal="center"/>
    </xf>
    <xf numFmtId="0" fontId="31" fillId="14" borderId="44" xfId="0" applyFont="1" applyFill="1" applyBorder="1" applyAlignment="1">
      <alignment horizontal="center" vertical="center"/>
    </xf>
    <xf numFmtId="0" fontId="28" fillId="14" borderId="45" xfId="0" applyFont="1" applyFill="1" applyBorder="1" applyAlignment="1">
      <alignment horizontal="center"/>
    </xf>
    <xf numFmtId="0" fontId="31" fillId="14" borderId="0" xfId="0" applyFont="1" applyFill="1" applyAlignment="1">
      <alignment horizontal="center"/>
    </xf>
    <xf numFmtId="0" fontId="31" fillId="14" borderId="226" xfId="0" applyFont="1" applyFill="1" applyBorder="1" applyAlignment="1">
      <alignment horizontal="center" vertical="center"/>
    </xf>
    <xf numFmtId="0" fontId="31" fillId="14" borderId="226" xfId="0" applyFont="1" applyFill="1" applyBorder="1" applyAlignment="1">
      <alignment horizontal="center"/>
    </xf>
    <xf numFmtId="0" fontId="28" fillId="14" borderId="228" xfId="0" applyFont="1" applyFill="1" applyBorder="1" applyAlignment="1">
      <alignment horizontal="center"/>
    </xf>
    <xf numFmtId="0" fontId="28" fillId="12" borderId="47" xfId="0" applyFont="1" applyFill="1" applyBorder="1" applyAlignment="1">
      <alignment horizontal="center" vertical="center"/>
    </xf>
    <xf numFmtId="0" fontId="31" fillId="12" borderId="46" xfId="0" applyFont="1" applyFill="1" applyBorder="1" applyAlignment="1">
      <alignment horizontal="center" vertical="center"/>
    </xf>
    <xf numFmtId="2" fontId="107" fillId="17" borderId="0" xfId="0" applyNumberFormat="1" applyFont="1" applyFill="1" applyAlignment="1">
      <alignment horizontal="center" vertical="center"/>
    </xf>
    <xf numFmtId="2" fontId="107" fillId="17" borderId="4" xfId="0" applyNumberFormat="1" applyFont="1" applyFill="1" applyBorder="1" applyAlignment="1">
      <alignment horizontal="center" vertical="center"/>
    </xf>
    <xf numFmtId="0" fontId="31" fillId="14" borderId="304" xfId="0" applyFont="1" applyFill="1" applyBorder="1" applyAlignment="1">
      <alignment horizontal="center" vertical="center"/>
    </xf>
    <xf numFmtId="0" fontId="31" fillId="14" borderId="370" xfId="0" applyFont="1" applyFill="1" applyBorder="1" applyAlignment="1">
      <alignment horizontal="center" vertical="center"/>
    </xf>
    <xf numFmtId="0" fontId="62" fillId="34" borderId="21" xfId="0" applyFont="1" applyFill="1" applyBorder="1" applyAlignment="1">
      <alignment horizontal="center" vertical="center" textRotation="255" shrinkToFit="1"/>
    </xf>
    <xf numFmtId="0" fontId="62" fillId="34" borderId="22" xfId="0" applyFont="1" applyFill="1" applyBorder="1" applyAlignment="1">
      <alignment horizontal="center" vertical="center" textRotation="255" shrinkToFit="1"/>
    </xf>
    <xf numFmtId="0" fontId="62" fillId="34" borderId="24" xfId="0" applyFont="1" applyFill="1" applyBorder="1" applyAlignment="1">
      <alignment horizontal="center" vertical="center" textRotation="255" shrinkToFit="1"/>
    </xf>
    <xf numFmtId="0" fontId="99" fillId="58" borderId="313" xfId="0" applyFont="1" applyFill="1" applyBorder="1" applyAlignment="1">
      <alignment horizontal="center" vertical="center" shrinkToFit="1"/>
    </xf>
    <xf numFmtId="0" fontId="99" fillId="58" borderId="314" xfId="0" applyFont="1" applyFill="1" applyBorder="1" applyAlignment="1">
      <alignment horizontal="center" vertical="center" shrinkToFit="1"/>
    </xf>
    <xf numFmtId="0" fontId="66" fillId="0" borderId="309" xfId="0" applyFont="1" applyBorder="1" applyAlignment="1">
      <alignment horizontal="center" wrapText="1"/>
    </xf>
    <xf numFmtId="0" fontId="66" fillId="0" borderId="309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34" borderId="21" xfId="0" applyFont="1" applyFill="1" applyBorder="1" applyAlignment="1">
      <alignment horizontal="center" vertical="center" textRotation="255"/>
    </xf>
    <xf numFmtId="0" fontId="6" fillId="34" borderId="22" xfId="0" applyFont="1" applyFill="1" applyBorder="1" applyAlignment="1">
      <alignment horizontal="center" vertical="center" textRotation="255"/>
    </xf>
    <xf numFmtId="0" fontId="6" fillId="34" borderId="24" xfId="0" applyFont="1" applyFill="1" applyBorder="1" applyAlignment="1">
      <alignment horizontal="center" vertical="center" textRotation="255"/>
    </xf>
    <xf numFmtId="0" fontId="2" fillId="2" borderId="1" xfId="0" applyFont="1" applyFill="1" applyBorder="1" applyAlignment="1">
      <alignment horizontal="right" vertical="center" wrapText="1"/>
    </xf>
    <xf numFmtId="49" fontId="2" fillId="2" borderId="0" xfId="0" applyNumberFormat="1" applyFont="1" applyFill="1" applyAlignment="1">
      <alignment horizontal="center" vertical="center" wrapText="1"/>
    </xf>
    <xf numFmtId="0" fontId="8" fillId="16" borderId="87" xfId="0" applyFont="1" applyFill="1" applyBorder="1" applyAlignment="1">
      <alignment horizontal="center" vertical="center" textRotation="180"/>
    </xf>
    <xf numFmtId="49" fontId="2" fillId="2" borderId="1" xfId="0" applyNumberFormat="1" applyFont="1" applyFill="1" applyBorder="1" applyAlignment="1">
      <alignment horizontal="center" vertical="center" wrapText="1"/>
    </xf>
    <xf numFmtId="0" fontId="93" fillId="11" borderId="260" xfId="0" applyFont="1" applyFill="1" applyBorder="1" applyAlignment="1">
      <alignment horizontal="center" vertical="center"/>
    </xf>
    <xf numFmtId="0" fontId="93" fillId="11" borderId="261" xfId="0" applyFont="1" applyFill="1" applyBorder="1" applyAlignment="1">
      <alignment horizontal="center" vertical="center"/>
    </xf>
    <xf numFmtId="0" fontId="93" fillId="11" borderId="262" xfId="0" applyFont="1" applyFill="1" applyBorder="1" applyAlignment="1">
      <alignment horizontal="center" vertical="center"/>
    </xf>
    <xf numFmtId="0" fontId="89" fillId="30" borderId="342" xfId="0" applyFont="1" applyFill="1" applyBorder="1" applyAlignment="1">
      <alignment horizontal="center" vertical="center"/>
    </xf>
    <xf numFmtId="0" fontId="89" fillId="30" borderId="343" xfId="0" applyFont="1" applyFill="1" applyBorder="1" applyAlignment="1">
      <alignment horizontal="center" vertical="center"/>
    </xf>
    <xf numFmtId="0" fontId="89" fillId="30" borderId="344" xfId="0" applyFont="1" applyFill="1" applyBorder="1" applyAlignment="1">
      <alignment horizontal="center" vertical="center"/>
    </xf>
    <xf numFmtId="0" fontId="37" fillId="0" borderId="342" xfId="0" applyFont="1" applyBorder="1" applyAlignment="1">
      <alignment horizontal="center" vertical="center"/>
    </xf>
    <xf numFmtId="0" fontId="37" fillId="0" borderId="343" xfId="0" applyFont="1" applyBorder="1" applyAlignment="1">
      <alignment horizontal="center" vertical="center"/>
    </xf>
    <xf numFmtId="0" fontId="37" fillId="0" borderId="344" xfId="0" applyFont="1" applyBorder="1" applyAlignment="1">
      <alignment horizontal="center" vertical="center"/>
    </xf>
    <xf numFmtId="0" fontId="89" fillId="30" borderId="26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wrapText="1"/>
    </xf>
    <xf numFmtId="0" fontId="34" fillId="45" borderId="0" xfId="0" applyFont="1" applyFill="1" applyAlignment="1">
      <alignment horizontal="center" vertical="center" textRotation="255"/>
    </xf>
    <xf numFmtId="0" fontId="34" fillId="52" borderId="0" xfId="0" applyFont="1" applyFill="1" applyAlignment="1">
      <alignment horizontal="center" vertical="center" textRotation="255"/>
    </xf>
    <xf numFmtId="0" fontId="34" fillId="49" borderId="0" xfId="0" applyFont="1" applyFill="1" applyAlignment="1">
      <alignment horizontal="center" vertical="center" textRotation="255"/>
    </xf>
    <xf numFmtId="0" fontId="19" fillId="42" borderId="207" xfId="0" applyFont="1" applyFill="1" applyBorder="1" applyAlignment="1">
      <alignment horizontal="center" vertical="center"/>
    </xf>
    <xf numFmtId="0" fontId="19" fillId="42" borderId="208" xfId="0" applyFont="1" applyFill="1" applyBorder="1" applyAlignment="1">
      <alignment horizontal="center" vertical="center"/>
    </xf>
    <xf numFmtId="0" fontId="19" fillId="42" borderId="101" xfId="0" applyFont="1" applyFill="1" applyBorder="1" applyAlignment="1">
      <alignment horizontal="center" vertical="center"/>
    </xf>
    <xf numFmtId="0" fontId="19" fillId="42" borderId="156" xfId="0" applyFont="1" applyFill="1" applyBorder="1" applyAlignment="1">
      <alignment horizontal="center" vertical="center"/>
    </xf>
    <xf numFmtId="0" fontId="27" fillId="43" borderId="148" xfId="0" applyFont="1" applyFill="1" applyBorder="1" applyAlignment="1">
      <alignment horizontal="center" vertical="center" textRotation="255"/>
    </xf>
    <xf numFmtId="0" fontId="27" fillId="43" borderId="149" xfId="0" applyFont="1" applyFill="1" applyBorder="1" applyAlignment="1">
      <alignment horizontal="center" vertical="center" textRotation="255"/>
    </xf>
    <xf numFmtId="0" fontId="27" fillId="43" borderId="150" xfId="0" applyFont="1" applyFill="1" applyBorder="1" applyAlignment="1">
      <alignment horizontal="center" vertical="center" textRotation="255"/>
    </xf>
    <xf numFmtId="165" fontId="46" fillId="28" borderId="77" xfId="0" applyNumberFormat="1" applyFont="1" applyFill="1" applyBorder="1" applyAlignment="1">
      <alignment horizontal="center" vertical="center" wrapText="1"/>
    </xf>
    <xf numFmtId="165" fontId="46" fillId="28" borderId="78" xfId="0" applyNumberFormat="1" applyFont="1" applyFill="1" applyBorder="1" applyAlignment="1">
      <alignment horizontal="center" vertical="center" wrapText="1"/>
    </xf>
    <xf numFmtId="165" fontId="46" fillId="28" borderId="117" xfId="0" applyNumberFormat="1" applyFont="1" applyFill="1" applyBorder="1" applyAlignment="1">
      <alignment horizontal="center" vertical="center" wrapText="1"/>
    </xf>
    <xf numFmtId="165" fontId="46" fillId="28" borderId="116" xfId="0" applyNumberFormat="1" applyFont="1" applyFill="1" applyBorder="1" applyAlignment="1">
      <alignment horizontal="center" vertical="center" wrapText="1"/>
    </xf>
    <xf numFmtId="165" fontId="46" fillId="28" borderId="79" xfId="0" applyNumberFormat="1" applyFont="1" applyFill="1" applyBorder="1" applyAlignment="1">
      <alignment horizontal="center" vertical="center" wrapText="1"/>
    </xf>
    <xf numFmtId="165" fontId="46" fillId="28" borderId="113" xfId="0" applyNumberFormat="1" applyFont="1" applyFill="1" applyBorder="1" applyAlignment="1">
      <alignment horizontal="center" vertical="center" wrapText="1"/>
    </xf>
    <xf numFmtId="165" fontId="46" fillId="28" borderId="115" xfId="0" applyNumberFormat="1" applyFont="1" applyFill="1" applyBorder="1" applyAlignment="1">
      <alignment horizontal="center" vertical="center" wrapText="1"/>
    </xf>
    <xf numFmtId="165" fontId="46" fillId="28" borderId="118" xfId="0" applyNumberFormat="1" applyFont="1" applyFill="1" applyBorder="1" applyAlignment="1">
      <alignment horizontal="center" vertical="center" wrapText="1"/>
    </xf>
    <xf numFmtId="165" fontId="29" fillId="9" borderId="42" xfId="0" applyNumberFormat="1" applyFont="1" applyFill="1" applyBorder="1" applyAlignment="1">
      <alignment horizontal="center" vertical="center"/>
    </xf>
    <xf numFmtId="165" fontId="29" fillId="9" borderId="43" xfId="0" applyNumberFormat="1" applyFont="1" applyFill="1" applyBorder="1" applyAlignment="1">
      <alignment horizontal="center" vertical="center"/>
    </xf>
    <xf numFmtId="0" fontId="31" fillId="9" borderId="75" xfId="0" applyFont="1" applyFill="1" applyBorder="1" applyAlignment="1">
      <alignment horizontal="center" vertical="center"/>
    </xf>
    <xf numFmtId="0" fontId="31" fillId="9" borderId="54" xfId="0" applyFont="1" applyFill="1" applyBorder="1" applyAlignment="1">
      <alignment horizontal="center" vertical="center"/>
    </xf>
    <xf numFmtId="165" fontId="29" fillId="9" borderId="133" xfId="0" applyNumberFormat="1" applyFont="1" applyFill="1" applyBorder="1" applyAlignment="1">
      <alignment horizontal="center" vertical="center"/>
    </xf>
    <xf numFmtId="0" fontId="31" fillId="9" borderId="139" xfId="0" applyFont="1" applyFill="1" applyBorder="1" applyAlignment="1">
      <alignment horizontal="center" vertical="center"/>
    </xf>
    <xf numFmtId="0" fontId="29" fillId="9" borderId="95" xfId="0" applyFont="1" applyFill="1" applyBorder="1" applyAlignment="1">
      <alignment horizontal="center" vertical="center"/>
    </xf>
    <xf numFmtId="0" fontId="29" fillId="9" borderId="96" xfId="0" applyFont="1" applyFill="1" applyBorder="1" applyAlignment="1">
      <alignment horizontal="center" vertical="center"/>
    </xf>
    <xf numFmtId="165" fontId="29" fillId="9" borderId="36" xfId="0" applyNumberFormat="1" applyFont="1" applyFill="1" applyBorder="1" applyAlignment="1">
      <alignment horizontal="center" vertical="center"/>
    </xf>
    <xf numFmtId="0" fontId="34" fillId="43" borderId="148" xfId="0" applyFont="1" applyFill="1" applyBorder="1" applyAlignment="1">
      <alignment horizontal="center" vertical="center" textRotation="255"/>
    </xf>
    <xf numFmtId="0" fontId="34" fillId="43" borderId="149" xfId="0" applyFont="1" applyFill="1" applyBorder="1" applyAlignment="1">
      <alignment horizontal="center" vertical="center" textRotation="255"/>
    </xf>
    <xf numFmtId="0" fontId="34" fillId="43" borderId="150" xfId="0" applyFont="1" applyFill="1" applyBorder="1" applyAlignment="1">
      <alignment horizontal="center" vertical="center" textRotation="255"/>
    </xf>
    <xf numFmtId="169" fontId="31" fillId="9" borderId="140" xfId="0" applyNumberFormat="1" applyFont="1" applyFill="1" applyBorder="1" applyAlignment="1">
      <alignment horizontal="center" vertical="center"/>
    </xf>
    <xf numFmtId="0" fontId="34" fillId="49" borderId="180" xfId="0" applyFont="1" applyFill="1" applyBorder="1" applyAlignment="1">
      <alignment horizontal="center" vertical="center" textRotation="255"/>
    </xf>
    <xf numFmtId="0" fontId="34" fillId="49" borderId="185" xfId="0" applyFont="1" applyFill="1" applyBorder="1" applyAlignment="1">
      <alignment horizontal="center" vertical="center" textRotation="255"/>
    </xf>
    <xf numFmtId="0" fontId="34" fillId="49" borderId="188" xfId="0" applyFont="1" applyFill="1" applyBorder="1" applyAlignment="1">
      <alignment horizontal="center" vertical="center" textRotation="255"/>
    </xf>
    <xf numFmtId="0" fontId="29" fillId="41" borderId="173" xfId="0" applyFont="1" applyFill="1" applyBorder="1" applyAlignment="1">
      <alignment horizontal="center" vertical="center"/>
    </xf>
    <xf numFmtId="0" fontId="29" fillId="41" borderId="174" xfId="0" applyFont="1" applyFill="1" applyBorder="1" applyAlignment="1">
      <alignment horizontal="center" vertical="center"/>
    </xf>
    <xf numFmtId="0" fontId="28" fillId="18" borderId="71" xfId="0" applyFont="1" applyFill="1" applyBorder="1" applyAlignment="1">
      <alignment horizontal="center" vertical="center"/>
    </xf>
    <xf numFmtId="0" fontId="28" fillId="18" borderId="268" xfId="0" applyFont="1" applyFill="1" applyBorder="1" applyAlignment="1">
      <alignment horizontal="center" vertical="center"/>
    </xf>
    <xf numFmtId="0" fontId="28" fillId="18" borderId="221" xfId="0" applyFont="1" applyFill="1" applyBorder="1" applyAlignment="1">
      <alignment horizontal="center" vertical="center"/>
    </xf>
    <xf numFmtId="0" fontId="28" fillId="18" borderId="267" xfId="0" applyFont="1" applyFill="1" applyBorder="1" applyAlignment="1">
      <alignment horizontal="center" vertical="center"/>
    </xf>
    <xf numFmtId="0" fontId="31" fillId="18" borderId="98" xfId="0" applyFont="1" applyFill="1" applyBorder="1" applyAlignment="1">
      <alignment horizontal="center" vertical="center" wrapText="1"/>
    </xf>
    <xf numFmtId="0" fontId="31" fillId="18" borderId="0" xfId="0" applyFont="1" applyFill="1" applyAlignment="1">
      <alignment horizontal="center" vertical="center" wrapText="1"/>
    </xf>
    <xf numFmtId="0" fontId="28" fillId="18" borderId="221" xfId="0" applyFont="1" applyFill="1" applyBorder="1" applyAlignment="1">
      <alignment horizontal="center" vertical="center" wrapText="1"/>
    </xf>
    <xf numFmtId="0" fontId="28" fillId="18" borderId="267" xfId="0" applyFont="1" applyFill="1" applyBorder="1" applyAlignment="1">
      <alignment horizontal="center" vertical="center" wrapText="1"/>
    </xf>
    <xf numFmtId="0" fontId="34" fillId="44" borderId="97" xfId="0" applyFont="1" applyFill="1" applyBorder="1" applyAlignment="1">
      <alignment horizontal="center" vertical="center" textRotation="255" wrapText="1"/>
    </xf>
    <xf numFmtId="0" fontId="34" fillId="44" borderId="151" xfId="0" applyFont="1" applyFill="1" applyBorder="1" applyAlignment="1">
      <alignment horizontal="center" vertical="center" textRotation="255" wrapText="1"/>
    </xf>
    <xf numFmtId="0" fontId="34" fillId="44" borderId="99" xfId="0" applyFont="1" applyFill="1" applyBorder="1" applyAlignment="1">
      <alignment horizontal="center" vertical="center" textRotation="255" wrapText="1"/>
    </xf>
    <xf numFmtId="0" fontId="28" fillId="18" borderId="0" xfId="0" applyFont="1" applyFill="1" applyAlignment="1">
      <alignment horizontal="center" vertical="center" wrapText="1"/>
    </xf>
    <xf numFmtId="0" fontId="28" fillId="18" borderId="290" xfId="0" applyFont="1" applyFill="1" applyBorder="1" applyAlignment="1">
      <alignment horizontal="center" vertical="center" wrapText="1"/>
    </xf>
    <xf numFmtId="0" fontId="28" fillId="18" borderId="288" xfId="0" applyFont="1" applyFill="1" applyBorder="1" applyAlignment="1">
      <alignment horizontal="center" vertical="center" wrapText="1"/>
    </xf>
    <xf numFmtId="0" fontId="28" fillId="18" borderId="266" xfId="0" applyFont="1" applyFill="1" applyBorder="1" applyAlignment="1">
      <alignment horizontal="center" vertical="center" wrapText="1"/>
    </xf>
    <xf numFmtId="0" fontId="28" fillId="18" borderId="71" xfId="0" applyFont="1" applyFill="1" applyBorder="1" applyAlignment="1">
      <alignment horizontal="center" vertical="center" wrapText="1"/>
    </xf>
    <xf numFmtId="0" fontId="28" fillId="18" borderId="268" xfId="0" applyFont="1" applyFill="1" applyBorder="1" applyAlignment="1">
      <alignment horizontal="center" vertical="center" wrapText="1"/>
    </xf>
    <xf numFmtId="0" fontId="28" fillId="18" borderId="266" xfId="0" applyFont="1" applyFill="1" applyBorder="1" applyAlignment="1">
      <alignment horizontal="center" vertical="center"/>
    </xf>
    <xf numFmtId="0" fontId="28" fillId="12" borderId="12" xfId="0" applyFont="1" applyFill="1" applyBorder="1" applyAlignment="1">
      <alignment horizontal="center" vertical="center" wrapText="1"/>
    </xf>
    <xf numFmtId="0" fontId="28" fillId="12" borderId="264" xfId="0" applyFont="1" applyFill="1" applyBorder="1" applyAlignment="1">
      <alignment horizontal="center" vertical="center" wrapText="1"/>
    </xf>
    <xf numFmtId="0" fontId="28" fillId="12" borderId="14" xfId="0" applyFont="1" applyFill="1" applyBorder="1" applyAlignment="1">
      <alignment horizontal="center" vertical="center" wrapText="1"/>
    </xf>
    <xf numFmtId="0" fontId="28" fillId="12" borderId="12" xfId="0" applyFont="1" applyFill="1" applyBorder="1" applyAlignment="1">
      <alignment horizontal="center" vertical="center"/>
    </xf>
    <xf numFmtId="0" fontId="28" fillId="12" borderId="264" xfId="0" applyFont="1" applyFill="1" applyBorder="1" applyAlignment="1">
      <alignment horizontal="center" vertical="center"/>
    </xf>
    <xf numFmtId="0" fontId="28" fillId="12" borderId="14" xfId="0" applyFont="1" applyFill="1" applyBorder="1" applyAlignment="1">
      <alignment horizontal="center" vertical="center"/>
    </xf>
    <xf numFmtId="0" fontId="28" fillId="12" borderId="159" xfId="0" applyFont="1" applyFill="1" applyBorder="1" applyAlignment="1">
      <alignment horizontal="center" vertical="center"/>
    </xf>
    <xf numFmtId="0" fontId="31" fillId="12" borderId="12" xfId="0" applyFont="1" applyFill="1" applyBorder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52" fillId="45" borderId="101" xfId="0" applyFont="1" applyFill="1" applyBorder="1" applyAlignment="1">
      <alignment horizontal="center" vertical="center" textRotation="255" wrapText="1"/>
    </xf>
    <xf numFmtId="0" fontId="52" fillId="45" borderId="156" xfId="0" applyFont="1" applyFill="1" applyBorder="1" applyAlignment="1">
      <alignment horizontal="center" vertical="center" textRotation="255" wrapText="1"/>
    </xf>
    <xf numFmtId="0" fontId="52" fillId="45" borderId="104" xfId="0" applyFont="1" applyFill="1" applyBorder="1" applyAlignment="1">
      <alignment horizontal="center" vertical="center" textRotation="255" wrapText="1"/>
    </xf>
    <xf numFmtId="0" fontId="34" fillId="45" borderId="101" xfId="0" applyFont="1" applyFill="1" applyBorder="1" applyAlignment="1">
      <alignment horizontal="center" vertical="center" textRotation="255" wrapText="1"/>
    </xf>
    <xf numFmtId="0" fontId="34" fillId="45" borderId="156" xfId="0" applyFont="1" applyFill="1" applyBorder="1" applyAlignment="1">
      <alignment horizontal="center" vertical="center" textRotation="255" wrapText="1"/>
    </xf>
    <xf numFmtId="0" fontId="34" fillId="45" borderId="104" xfId="0" applyFont="1" applyFill="1" applyBorder="1" applyAlignment="1">
      <alignment horizontal="center" vertical="center" textRotation="255" wrapText="1"/>
    </xf>
    <xf numFmtId="0" fontId="31" fillId="12" borderId="12" xfId="0" applyFont="1" applyFill="1" applyBorder="1" applyAlignment="1">
      <alignment horizontal="center" vertical="center"/>
    </xf>
    <xf numFmtId="0" fontId="31" fillId="12" borderId="102" xfId="0" applyFont="1" applyFill="1" applyBorder="1" applyAlignment="1">
      <alignment horizontal="center" vertical="center" wrapText="1"/>
    </xf>
    <xf numFmtId="0" fontId="31" fillId="12" borderId="102" xfId="0" applyFont="1" applyFill="1" applyBorder="1" applyAlignment="1">
      <alignment horizontal="center" vertical="center"/>
    </xf>
    <xf numFmtId="0" fontId="31" fillId="12" borderId="159" xfId="0" applyFont="1" applyFill="1" applyBorder="1" applyAlignment="1">
      <alignment horizontal="center" vertical="center"/>
    </xf>
    <xf numFmtId="0" fontId="31" fillId="12" borderId="103" xfId="0" applyFont="1" applyFill="1" applyBorder="1" applyAlignment="1">
      <alignment horizontal="center" vertical="center"/>
    </xf>
    <xf numFmtId="0" fontId="29" fillId="12" borderId="102" xfId="0" applyFont="1" applyFill="1" applyBorder="1" applyAlignment="1">
      <alignment horizontal="center" vertical="center"/>
    </xf>
    <xf numFmtId="0" fontId="29" fillId="12" borderId="103" xfId="0" applyFont="1" applyFill="1" applyBorder="1" applyAlignment="1">
      <alignment horizontal="center" vertical="center"/>
    </xf>
    <xf numFmtId="0" fontId="29" fillId="12" borderId="102" xfId="0" applyFont="1" applyFill="1" applyBorder="1" applyAlignment="1">
      <alignment horizontal="center" vertical="center" wrapText="1"/>
    </xf>
    <xf numFmtId="10" fontId="31" fillId="23" borderId="67" xfId="2" applyNumberFormat="1" applyFont="1" applyFill="1" applyBorder="1" applyAlignment="1">
      <alignment horizontal="center" vertical="center"/>
    </xf>
    <xf numFmtId="10" fontId="31" fillId="23" borderId="56" xfId="2" applyNumberFormat="1" applyFont="1" applyFill="1" applyBorder="1" applyAlignment="1">
      <alignment horizontal="center" vertical="center"/>
    </xf>
    <xf numFmtId="10" fontId="31" fillId="23" borderId="170" xfId="2" applyNumberFormat="1" applyFont="1" applyFill="1" applyBorder="1" applyAlignment="1">
      <alignment horizontal="center" vertical="center"/>
    </xf>
    <xf numFmtId="10" fontId="31" fillId="23" borderId="55" xfId="2" applyNumberFormat="1" applyFont="1" applyFill="1" applyBorder="1" applyAlignment="1">
      <alignment horizontal="center" vertical="center"/>
    </xf>
    <xf numFmtId="0" fontId="28" fillId="23" borderId="25" xfId="0" applyFont="1" applyFill="1" applyBorder="1" applyAlignment="1">
      <alignment horizontal="center" vertical="center" wrapText="1"/>
    </xf>
    <xf numFmtId="0" fontId="28" fillId="23" borderId="27" xfId="0" applyFont="1" applyFill="1" applyBorder="1" applyAlignment="1">
      <alignment horizontal="center" vertical="center" wrapText="1"/>
    </xf>
    <xf numFmtId="0" fontId="28" fillId="23" borderId="26" xfId="0" applyFont="1" applyFill="1" applyBorder="1" applyAlignment="1">
      <alignment horizontal="center" vertical="center"/>
    </xf>
    <xf numFmtId="0" fontId="28" fillId="23" borderId="25" xfId="0" applyFont="1" applyFill="1" applyBorder="1" applyAlignment="1">
      <alignment horizontal="center" vertical="center"/>
    </xf>
    <xf numFmtId="0" fontId="28" fillId="23" borderId="27" xfId="0" applyFont="1" applyFill="1" applyBorder="1" applyAlignment="1">
      <alignment horizontal="center" vertical="center"/>
    </xf>
    <xf numFmtId="0" fontId="28" fillId="23" borderId="168" xfId="0" applyFont="1" applyFill="1" applyBorder="1" applyAlignment="1">
      <alignment horizontal="center" vertical="center"/>
    </xf>
    <xf numFmtId="169" fontId="31" fillId="23" borderId="31" xfId="0" applyNumberFormat="1" applyFont="1" applyFill="1" applyBorder="1" applyAlignment="1">
      <alignment horizontal="center" vertical="center"/>
    </xf>
    <xf numFmtId="169" fontId="31" fillId="23" borderId="30" xfId="0" applyNumberFormat="1" applyFont="1" applyFill="1" applyBorder="1" applyAlignment="1">
      <alignment horizontal="center" vertical="center"/>
    </xf>
    <xf numFmtId="169" fontId="31" fillId="23" borderId="32" xfId="0" applyNumberFormat="1" applyFont="1" applyFill="1" applyBorder="1" applyAlignment="1">
      <alignment horizontal="center" vertical="center"/>
    </xf>
    <xf numFmtId="169" fontId="31" fillId="23" borderId="167" xfId="0" applyNumberFormat="1" applyFont="1" applyFill="1" applyBorder="1" applyAlignment="1">
      <alignment horizontal="center" vertical="center"/>
    </xf>
    <xf numFmtId="0" fontId="28" fillId="23" borderId="26" xfId="0" applyFont="1" applyFill="1" applyBorder="1" applyAlignment="1">
      <alignment horizontal="center" vertical="center" wrapText="1"/>
    </xf>
    <xf numFmtId="0" fontId="34" fillId="46" borderId="88" xfId="0" applyFont="1" applyFill="1" applyBorder="1" applyAlignment="1">
      <alignment horizontal="center" vertical="center" textRotation="255" wrapText="1"/>
    </xf>
    <xf numFmtId="0" fontId="34" fillId="46" borderId="165" xfId="0" applyFont="1" applyFill="1" applyBorder="1" applyAlignment="1">
      <alignment horizontal="center" vertical="center" textRotation="255" wrapText="1"/>
    </xf>
    <xf numFmtId="0" fontId="34" fillId="46" borderId="91" xfId="0" applyFont="1" applyFill="1" applyBorder="1" applyAlignment="1">
      <alignment horizontal="center" vertical="center" textRotation="255" wrapText="1"/>
    </xf>
    <xf numFmtId="0" fontId="34" fillId="46" borderId="88" xfId="0" applyFont="1" applyFill="1" applyBorder="1" applyAlignment="1">
      <alignment horizontal="center" vertical="center" textRotation="255"/>
    </xf>
    <xf numFmtId="0" fontId="34" fillId="46" borderId="165" xfId="0" applyFont="1" applyFill="1" applyBorder="1" applyAlignment="1">
      <alignment horizontal="center" vertical="center" textRotation="255"/>
    </xf>
    <xf numFmtId="0" fontId="34" fillId="46" borderId="91" xfId="0" applyFont="1" applyFill="1" applyBorder="1" applyAlignment="1">
      <alignment horizontal="center" vertical="center" textRotation="255"/>
    </xf>
    <xf numFmtId="10" fontId="35" fillId="23" borderId="67" xfId="2" applyNumberFormat="1" applyFont="1" applyFill="1" applyBorder="1" applyAlignment="1">
      <alignment horizontal="center" vertical="center"/>
    </xf>
    <xf numFmtId="10" fontId="35" fillId="23" borderId="56" xfId="2" applyNumberFormat="1" applyFont="1" applyFill="1" applyBorder="1" applyAlignment="1">
      <alignment horizontal="center" vertical="center"/>
    </xf>
    <xf numFmtId="0" fontId="31" fillId="23" borderId="202" xfId="0" applyFont="1" applyFill="1" applyBorder="1" applyAlignment="1">
      <alignment horizontal="center" vertical="center"/>
    </xf>
    <xf numFmtId="0" fontId="31" fillId="23" borderId="203" xfId="0" applyFont="1" applyFill="1" applyBorder="1" applyAlignment="1">
      <alignment horizontal="center" vertical="center"/>
    </xf>
    <xf numFmtId="0" fontId="31" fillId="23" borderId="204" xfId="0" applyFont="1" applyFill="1" applyBorder="1" applyAlignment="1">
      <alignment horizontal="center" vertical="center"/>
    </xf>
    <xf numFmtId="0" fontId="9" fillId="17" borderId="37" xfId="2" applyNumberFormat="1" applyFont="1" applyFill="1" applyBorder="1" applyAlignment="1">
      <alignment horizontal="center" vertical="center" wrapText="1"/>
    </xf>
    <xf numFmtId="0" fontId="9" fillId="17" borderId="0" xfId="2" applyNumberFormat="1" applyFont="1" applyFill="1" applyBorder="1" applyAlignment="1">
      <alignment horizontal="center" vertical="center" wrapText="1"/>
    </xf>
    <xf numFmtId="0" fontId="9" fillId="15" borderId="16" xfId="0" applyFont="1" applyFill="1" applyBorder="1" applyAlignment="1">
      <alignment horizontal="center" vertical="top" wrapText="1"/>
    </xf>
    <xf numFmtId="0" fontId="9" fillId="15" borderId="38" xfId="0" applyFont="1" applyFill="1" applyBorder="1" applyAlignment="1">
      <alignment horizontal="center" vertical="top" wrapText="1"/>
    </xf>
    <xf numFmtId="0" fontId="12" fillId="31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center" vertical="center" wrapText="1"/>
    </xf>
    <xf numFmtId="0" fontId="9" fillId="16" borderId="39" xfId="0" applyFont="1" applyFill="1" applyBorder="1" applyAlignment="1">
      <alignment horizontal="center" vertical="center" wrapText="1"/>
    </xf>
    <xf numFmtId="0" fontId="9" fillId="15" borderId="15" xfId="0" applyFont="1" applyFill="1" applyBorder="1" applyAlignment="1">
      <alignment horizontal="center" vertical="top" wrapText="1"/>
    </xf>
    <xf numFmtId="0" fontId="11" fillId="11" borderId="0" xfId="0" applyFont="1" applyFill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28" fillId="23" borderId="89" xfId="0" applyFont="1" applyFill="1" applyBorder="1" applyAlignment="1">
      <alignment horizontal="centerContinuous" vertical="center" wrapText="1"/>
    </xf>
    <xf numFmtId="10" fontId="31" fillId="23" borderId="89" xfId="0" applyNumberFormat="1" applyFont="1" applyFill="1" applyBorder="1" applyAlignment="1">
      <alignment horizontal="centerContinuous" vertical="center" wrapText="1"/>
    </xf>
    <xf numFmtId="10" fontId="28" fillId="22" borderId="0" xfId="2" applyNumberFormat="1" applyFont="1" applyFill="1" applyAlignment="1">
      <alignment horizontal="centerContinuous"/>
    </xf>
    <xf numFmtId="10" fontId="36" fillId="22" borderId="0" xfId="2" applyNumberFormat="1" applyFont="1" applyFill="1" applyBorder="1" applyAlignment="1">
      <alignment horizontal="centerContinuous"/>
    </xf>
    <xf numFmtId="10" fontId="28" fillId="22" borderId="194" xfId="2" applyNumberFormat="1" applyFont="1" applyFill="1" applyBorder="1" applyAlignment="1">
      <alignment horizontal="centerContinuous"/>
    </xf>
    <xf numFmtId="10" fontId="68" fillId="22" borderId="194" xfId="0" applyNumberFormat="1" applyFont="1" applyFill="1" applyBorder="1" applyAlignment="1">
      <alignment horizontal="centerContinuous"/>
    </xf>
    <xf numFmtId="10" fontId="68" fillId="22" borderId="0" xfId="0" applyNumberFormat="1" applyFont="1" applyFill="1" applyAlignment="1">
      <alignment horizontal="centerContinuous"/>
    </xf>
    <xf numFmtId="44" fontId="28" fillId="22" borderId="0" xfId="0" applyNumberFormat="1" applyFont="1" applyFill="1" applyAlignment="1">
      <alignment horizontal="centerContinuous"/>
    </xf>
    <xf numFmtId="10" fontId="28" fillId="22" borderId="327" xfId="2" applyNumberFormat="1" applyFont="1" applyFill="1" applyBorder="1" applyAlignment="1">
      <alignment horizontal="centerContinuous"/>
    </xf>
    <xf numFmtId="10" fontId="28" fillId="22" borderId="322" xfId="2" applyNumberFormat="1" applyFont="1" applyFill="1" applyBorder="1" applyAlignment="1">
      <alignment horizontal="centerContinuous"/>
    </xf>
    <xf numFmtId="10" fontId="29" fillId="23" borderId="31" xfId="2" applyNumberFormat="1" applyFont="1" applyFill="1" applyBorder="1" applyAlignment="1">
      <alignment horizontal="centerContinuous" vertical="center"/>
    </xf>
    <xf numFmtId="10" fontId="29" fillId="23" borderId="31" xfId="0" applyNumberFormat="1" applyFont="1" applyFill="1" applyBorder="1" applyAlignment="1">
      <alignment horizontal="centerContinuous" vertical="center"/>
    </xf>
    <xf numFmtId="0" fontId="28" fillId="23" borderId="371" xfId="0" applyFont="1" applyFill="1" applyBorder="1" applyAlignment="1">
      <alignment horizontal="centerContinuous" vertical="center" wrapText="1"/>
    </xf>
    <xf numFmtId="10" fontId="31" fillId="23" borderId="164" xfId="0" applyNumberFormat="1" applyFont="1" applyFill="1" applyBorder="1" applyAlignment="1">
      <alignment horizontal="centerContinuous" vertical="center" wrapText="1"/>
    </xf>
    <xf numFmtId="10" fontId="36" fillId="22" borderId="29" xfId="0" applyNumberFormat="1" applyFont="1" applyFill="1" applyBorder="1" applyAlignment="1">
      <alignment horizontal="centerContinuous"/>
    </xf>
    <xf numFmtId="10" fontId="68" fillId="22" borderId="328" xfId="0" applyNumberFormat="1" applyFont="1" applyFill="1" applyBorder="1" applyAlignment="1">
      <alignment horizontal="centerContinuous"/>
    </xf>
    <xf numFmtId="44" fontId="28" fillId="22" borderId="29" xfId="0" applyNumberFormat="1" applyFont="1" applyFill="1" applyBorder="1" applyAlignment="1">
      <alignment horizontal="centerContinuous"/>
    </xf>
    <xf numFmtId="0" fontId="28" fillId="23" borderId="89" xfId="0" applyFont="1" applyFill="1" applyBorder="1" applyAlignment="1">
      <alignment horizontal="centerContinuous" vertical="center"/>
    </xf>
    <xf numFmtId="10" fontId="31" fillId="23" borderId="89" xfId="0" applyNumberFormat="1" applyFont="1" applyFill="1" applyBorder="1" applyAlignment="1">
      <alignment horizontal="centerContinuous" vertical="center"/>
    </xf>
    <xf numFmtId="0" fontId="28" fillId="23" borderId="163" xfId="0" applyFont="1" applyFill="1" applyBorder="1" applyAlignment="1">
      <alignment horizontal="centerContinuous" vertical="center"/>
    </xf>
    <xf numFmtId="10" fontId="31" fillId="23" borderId="164" xfId="0" applyNumberFormat="1" applyFont="1" applyFill="1" applyBorder="1" applyAlignment="1">
      <alignment horizontal="centerContinuous" vertical="center"/>
    </xf>
    <xf numFmtId="10" fontId="36" fillId="22" borderId="29" xfId="2" applyNumberFormat="1" applyFont="1" applyFill="1" applyBorder="1" applyAlignment="1">
      <alignment horizontal="centerContinuous"/>
    </xf>
    <xf numFmtId="0" fontId="28" fillId="23" borderId="163" xfId="0" applyFont="1" applyFill="1" applyBorder="1" applyAlignment="1">
      <alignment horizontal="centerContinuous" vertical="center" wrapText="1"/>
    </xf>
    <xf numFmtId="10" fontId="35" fillId="22" borderId="29" xfId="2" applyNumberFormat="1" applyFont="1" applyFill="1" applyBorder="1" applyAlignment="1">
      <alignment horizontal="centerContinuous"/>
    </xf>
    <xf numFmtId="10" fontId="68" fillId="22" borderId="29" xfId="2" applyNumberFormat="1" applyFont="1" applyFill="1" applyBorder="1" applyAlignment="1">
      <alignment horizontal="centerContinuous"/>
    </xf>
    <xf numFmtId="10" fontId="35" fillId="22" borderId="323" xfId="0" applyNumberFormat="1" applyFont="1" applyFill="1" applyBorder="1" applyAlignment="1">
      <alignment horizontal="centerContinuous"/>
    </xf>
    <xf numFmtId="10" fontId="31" fillId="23" borderId="90" xfId="0" applyNumberFormat="1" applyFont="1" applyFill="1" applyBorder="1" applyAlignment="1">
      <alignment horizontal="centerContinuous" vertical="center"/>
    </xf>
    <xf numFmtId="10" fontId="36" fillId="24" borderId="166" xfId="0" applyNumberFormat="1" applyFont="1" applyFill="1" applyBorder="1" applyAlignment="1">
      <alignment horizontal="centerContinuous"/>
    </xf>
    <xf numFmtId="10" fontId="68" fillId="59" borderId="193" xfId="0" applyNumberFormat="1" applyFont="1" applyFill="1" applyBorder="1" applyAlignment="1">
      <alignment horizontal="centerContinuous"/>
    </xf>
    <xf numFmtId="10" fontId="68" fillId="59" borderId="166" xfId="0" applyNumberFormat="1" applyFont="1" applyFill="1" applyBorder="1" applyAlignment="1">
      <alignment horizontal="centerContinuous"/>
    </xf>
    <xf numFmtId="44" fontId="28" fillId="24" borderId="166" xfId="0" applyNumberFormat="1" applyFont="1" applyFill="1" applyBorder="1" applyAlignment="1">
      <alignment horizontal="centerContinuous"/>
    </xf>
    <xf numFmtId="10" fontId="29" fillId="23" borderId="167" xfId="0" applyNumberFormat="1" applyFont="1" applyFill="1" applyBorder="1" applyAlignment="1">
      <alignment horizontal="centerContinuous" vertical="center"/>
    </xf>
    <xf numFmtId="10" fontId="36" fillId="22" borderId="0" xfId="0" applyNumberFormat="1" applyFont="1" applyFill="1" applyBorder="1" applyAlignment="1">
      <alignment horizontal="centerContinuous"/>
    </xf>
    <xf numFmtId="10" fontId="35" fillId="22" borderId="0" xfId="0" applyNumberFormat="1" applyFont="1" applyFill="1" applyBorder="1" applyAlignment="1">
      <alignment horizontal="centerContinuous"/>
    </xf>
    <xf numFmtId="10" fontId="68" fillId="22" borderId="0" xfId="0" applyNumberFormat="1" applyFont="1" applyFill="1" applyBorder="1" applyAlignment="1">
      <alignment horizontal="centerContinuous"/>
    </xf>
    <xf numFmtId="44" fontId="28" fillId="22" borderId="0" xfId="0" applyNumberFormat="1" applyFont="1" applyFill="1" applyBorder="1" applyAlignment="1">
      <alignment horizontal="centerContinuous"/>
    </xf>
    <xf numFmtId="10" fontId="28" fillId="22" borderId="28" xfId="2" applyNumberFormat="1" applyFont="1" applyFill="1" applyBorder="1" applyAlignment="1">
      <alignment horizontal="centerContinuous"/>
    </xf>
    <xf numFmtId="10" fontId="28" fillId="22" borderId="195" xfId="2" applyNumberFormat="1" applyFont="1" applyFill="1" applyBorder="1" applyAlignment="1">
      <alignment horizontal="centerContinuous"/>
    </xf>
    <xf numFmtId="10" fontId="68" fillId="22" borderId="196" xfId="0" applyNumberFormat="1" applyFont="1" applyFill="1" applyBorder="1" applyAlignment="1">
      <alignment horizontal="centerContinuous"/>
    </xf>
    <xf numFmtId="10" fontId="68" fillId="22" borderId="29" xfId="0" applyNumberFormat="1" applyFont="1" applyFill="1" applyBorder="1" applyAlignment="1">
      <alignment horizontal="centerContinuous"/>
    </xf>
    <xf numFmtId="10" fontId="29" fillId="23" borderId="30" xfId="2" applyNumberFormat="1" applyFont="1" applyFill="1" applyBorder="1" applyAlignment="1">
      <alignment horizontal="centerContinuous" vertical="center"/>
    </xf>
    <xf numFmtId="10" fontId="29" fillId="23" borderId="32" xfId="0" applyNumberFormat="1" applyFont="1" applyFill="1" applyBorder="1" applyAlignment="1">
      <alignment horizontal="centerContinuous" vertical="center"/>
    </xf>
    <xf numFmtId="10" fontId="29" fillId="23" borderId="372" xfId="2" applyNumberFormat="1" applyFont="1" applyFill="1" applyBorder="1" applyAlignment="1">
      <alignment horizontal="centerContinuous" vertical="center"/>
    </xf>
    <xf numFmtId="10" fontId="28" fillId="24" borderId="0" xfId="2" applyNumberFormat="1" applyFont="1" applyFill="1" applyAlignment="1">
      <alignment horizontal="centerContinuous"/>
    </xf>
    <xf numFmtId="10" fontId="28" fillId="59" borderId="194" xfId="2" applyNumberFormat="1" applyFont="1" applyFill="1" applyBorder="1" applyAlignment="1">
      <alignment horizontal="centerContinuous"/>
    </xf>
    <xf numFmtId="10" fontId="28" fillId="59" borderId="0" xfId="2" applyNumberFormat="1" applyFont="1" applyFill="1" applyAlignment="1">
      <alignment horizontal="centerContinuous"/>
    </xf>
  </cellXfs>
  <cellStyles count="3">
    <cellStyle name="Monétaire" xfId="1" builtinId="4"/>
    <cellStyle name="Normal" xfId="0" builtinId="0"/>
    <cellStyle name="Pourcentage" xfId="2" builtinId="5"/>
  </cellStyles>
  <dxfs count="360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7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2F7115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B294D4"/>
      <color rgb="FFEBDEF8"/>
      <color rgb="FF9E0405"/>
      <color rgb="FFF2D6FF"/>
      <color rgb="FFD8CAE2"/>
      <color rgb="FFA243E7"/>
      <color rgb="FF9479AF"/>
      <color rgb="FFF2BFB7"/>
      <color rgb="FFC2A3EA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externalLink" Target="externalLinks/externalLink16.xml"/><Relationship Id="rId47" Type="http://schemas.openxmlformats.org/officeDocument/2006/relationships/externalLink" Target="externalLinks/externalLink2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3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externalLink" Target="externalLinks/externalLink11.xml"/><Relationship Id="rId40" Type="http://schemas.openxmlformats.org/officeDocument/2006/relationships/externalLink" Target="externalLinks/externalLink14.xml"/><Relationship Id="rId45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4" Type="http://schemas.openxmlformats.org/officeDocument/2006/relationships/externalLink" Target="externalLinks/externalLink18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openxmlformats.org/officeDocument/2006/relationships/externalLink" Target="externalLinks/externalLink17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externalLink" Target="externalLinks/externalLink12.xml"/><Relationship Id="rId46" Type="http://schemas.openxmlformats.org/officeDocument/2006/relationships/externalLink" Target="externalLinks/externalLink20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emf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emf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2.emf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'!$AF$4</c:f>
              <c:strCache>
                <c:ptCount val="1"/>
                <c:pt idx="0">
                  <c:v>CHAMNORD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0857411234134254"/>
                  <c:y val="4.7575206846517731E-3"/>
                </c:manualLayout>
              </c:layout>
              <c:tx>
                <c:rich>
                  <a:bodyPr/>
                  <a:lstStyle/>
                  <a:p>
                    <a:fld id="{F8624277-47DB-B24F-8EFA-59AAB77B4C72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F1216E97-1620-714E-9CB5-C1BA0500592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6.929011064067970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59A-5A45-90C4-710C4B855ED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'!$AG$4</c:f>
              <c:numCache>
                <c:formatCode>0.0%</c:formatCode>
                <c:ptCount val="1"/>
                <c:pt idx="0">
                  <c:v>-0.11580061133317658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9A-5A45-90C4-710C4B855EDE}"/>
            </c:ext>
          </c:extLst>
        </c:ser>
        <c:ser>
          <c:idx val="1"/>
          <c:order val="1"/>
          <c:tx>
            <c:strRef>
              <c:f>'DONNEES '!$AF$5</c:f>
              <c:strCache>
                <c:ptCount val="1"/>
                <c:pt idx="0">
                  <c:v>LES ABRETS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59A-5A45-90C4-710C4B855EDE}"/>
              </c:ext>
            </c:extLst>
          </c:dPt>
          <c:dLbls>
            <c:dLbl>
              <c:idx val="0"/>
              <c:layout>
                <c:manualLayout>
                  <c:x val="-0.20895435220315867"/>
                  <c:y val="1.8995939739068716E-3"/>
                </c:manualLayout>
              </c:layout>
              <c:tx>
                <c:rich>
                  <a:bodyPr/>
                  <a:lstStyle/>
                  <a:p>
                    <a:fld id="{ED39B6C3-29DA-2644-8D09-F2F6035E6900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68C76453-818E-CB47-B46D-AE0EB0606FE0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7.432454797590842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59A-5A45-90C4-710C4B855ED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'!$AG$5</c:f>
              <c:numCache>
                <c:formatCode>0.0%</c:formatCode>
                <c:ptCount val="1"/>
                <c:pt idx="0">
                  <c:v>-7.6267617496771301E-2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9A-5A45-90C4-710C4B855EDE}"/>
            </c:ext>
          </c:extLst>
        </c:ser>
        <c:ser>
          <c:idx val="2"/>
          <c:order val="2"/>
          <c:tx>
            <c:strRef>
              <c:f>'DONNEES '!$AF$6</c:f>
              <c:strCache>
                <c:ptCount val="1"/>
                <c:pt idx="0">
                  <c:v>PDB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639741611647773"/>
                  <c:y val="4.8856543094155241E-3"/>
                </c:manualLayout>
              </c:layout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 					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6.929011064067970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159A-5A45-90C4-710C4B855ED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'!$AG$6</c:f>
              <c:numCache>
                <c:formatCode>0.0%</c:formatCode>
                <c:ptCount val="1"/>
                <c:pt idx="0">
                  <c:v>-7.2878086419753088E-2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9A-5A45-90C4-710C4B855EDE}"/>
            </c:ext>
          </c:extLst>
        </c:ser>
        <c:ser>
          <c:idx val="3"/>
          <c:order val="3"/>
          <c:tx>
            <c:strRef>
              <c:f>'DONNEES '!$AF$7</c:f>
              <c:strCache>
                <c:ptCount val="1"/>
                <c:pt idx="0">
                  <c:v>BELLEY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3237290938014"/>
                  <c:y val="5.4257665212547228E-3"/>
                </c:manualLayout>
              </c:layout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159A-5A45-90C4-710C4B855ED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'!$AG$7</c:f>
              <c:numCache>
                <c:formatCode>0.0%</c:formatCode>
                <c:ptCount val="1"/>
                <c:pt idx="0">
                  <c:v>-6.8710041758628909E-2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9A-5A45-90C4-710C4B855EDE}"/>
            </c:ext>
          </c:extLst>
        </c:ser>
        <c:ser>
          <c:idx val="4"/>
          <c:order val="4"/>
          <c:tx>
            <c:strRef>
              <c:f>'DONNEES '!$AF$8</c:f>
              <c:strCache>
                <c:ptCount val="1"/>
                <c:pt idx="0">
                  <c:v>AIX LES BAINS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159A-5A45-90C4-710C4B855EDE}"/>
              </c:ext>
            </c:extLst>
          </c:dPt>
          <c:dLbls>
            <c:dLbl>
              <c:idx val="0"/>
              <c:layout>
                <c:manualLayout>
                  <c:x val="-0.21490330615841616"/>
                  <c:y val="-4.9923322391644869E-17"/>
                </c:manualLayout>
              </c:layout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159A-5A45-90C4-710C4B855ED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'!$AG$8</c:f>
              <c:numCache>
                <c:formatCode>0.0%</c:formatCode>
                <c:ptCount val="1"/>
                <c:pt idx="0">
                  <c:v>-6.2624284423018983E-2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9A-5A45-90C4-710C4B855EDE}"/>
            </c:ext>
          </c:extLst>
        </c:ser>
        <c:ser>
          <c:idx val="5"/>
          <c:order val="5"/>
          <c:tx>
            <c:strRef>
              <c:f>'DONNEES '!$AF$9</c:f>
              <c:strCache>
                <c:ptCount val="1"/>
                <c:pt idx="0">
                  <c:v>VIVIERS DU LAC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0877543394887704"/>
                  <c:y val="2.3580955385003022E-3"/>
                </c:manualLayout>
              </c:layout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3129351341"/>
                      <c:h val="8.129954773324278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159A-5A45-90C4-710C4B855ED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'!$AG$9</c:f>
              <c:numCache>
                <c:formatCode>0.0%</c:formatCode>
                <c:ptCount val="1"/>
                <c:pt idx="0">
                  <c:v>-5.7642439060531972E-2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59A-5A45-90C4-710C4B855EDE}"/>
            </c:ext>
          </c:extLst>
        </c:ser>
        <c:ser>
          <c:idx val="6"/>
          <c:order val="6"/>
          <c:tx>
            <c:strRef>
              <c:f>'DONNEES '!$AF$10</c:f>
              <c:strCache>
                <c:ptCount val="1"/>
                <c:pt idx="0">
                  <c:v>ST ALBAN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0814537103704814"/>
                  <c:y val="5.3319570580471808E-3"/>
                </c:manualLayout>
              </c:layout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159A-5A45-90C4-710C4B855ED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'!$AG$10</c:f>
              <c:numCache>
                <c:formatCode>0.0%</c:formatCode>
                <c:ptCount val="1"/>
                <c:pt idx="0">
                  <c:v>-4.9896922673263615E-2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59A-5A45-90C4-710C4B855EDE}"/>
            </c:ext>
          </c:extLst>
        </c:ser>
        <c:ser>
          <c:idx val="7"/>
          <c:order val="7"/>
          <c:tx>
            <c:strRef>
              <c:f>'DONNEES '!$AF$11</c:f>
              <c:strCache>
                <c:ptCount val="1"/>
                <c:pt idx="0">
                  <c:v>FRANCIN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159A-5A45-90C4-710C4B855EDE}"/>
              </c:ext>
            </c:extLst>
          </c:dPt>
          <c:dLbls>
            <c:dLbl>
              <c:idx val="0"/>
              <c:layout>
                <c:manualLayout>
                  <c:x val="-0.2124217800458037"/>
                  <c:y val="4.9025125623958447E-3"/>
                </c:manualLayout>
              </c:layout>
              <c:tx>
                <c:rich>
                  <a:bodyPr rot="0" vert="horz"/>
                  <a:lstStyle/>
                  <a:p>
                    <a:pPr>
                      <a:defRPr/>
                    </a:pPr>
                    <a:fld id="{D384631B-FECE-8642-915A-A9BBD850D4DA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  <a:fld id="{70E47758-7502-B249-A76F-B7649CF7261B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159A-5A45-90C4-710C4B855E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'!$AG$11</c:f>
              <c:numCache>
                <c:formatCode>0.0%</c:formatCode>
                <c:ptCount val="1"/>
                <c:pt idx="0">
                  <c:v>-4.489874691553742E-2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59A-5A45-90C4-710C4B855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12"/>
          <c:min val="-0.12"/>
        </c:scaling>
        <c:delete val="1"/>
        <c:axPos val="b"/>
        <c:numFmt formatCode="0.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'!$AA$44</c:f>
              <c:strCache>
                <c:ptCount val="1"/>
                <c:pt idx="0">
                  <c:v>VIVIERS DU LAC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C6B5FD-00C1-B34C-BDC0-9A01C8FB0A8D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64B84DE0-BD93-E040-AEA1-6DCE706781EC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'!$AB$44</c:f>
              <c:numCache>
                <c:formatCode>0.00%</c:formatCode>
                <c:ptCount val="1"/>
                <c:pt idx="0">
                  <c:v>0.76108674515732933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B-C24E-BD6D-59B7F8229081}"/>
            </c:ext>
          </c:extLst>
        </c:ser>
        <c:ser>
          <c:idx val="1"/>
          <c:order val="1"/>
          <c:tx>
            <c:strRef>
              <c:f>'DONNEES '!$AA$45</c:f>
              <c:strCache>
                <c:ptCount val="1"/>
                <c:pt idx="0">
                  <c:v>FRANCIN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1D3696-1C7B-E74C-AD9E-3FD9D1D15C6E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177FE45E-C359-EE4B-9F42-D1675D9BF48A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'!$AB$45</c:f>
              <c:numCache>
                <c:formatCode>0.00%</c:formatCode>
                <c:ptCount val="1"/>
                <c:pt idx="0">
                  <c:v>0.76145754678510302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FB-C24E-BD6D-59B7F8229081}"/>
            </c:ext>
          </c:extLst>
        </c:ser>
        <c:ser>
          <c:idx val="2"/>
          <c:order val="2"/>
          <c:tx>
            <c:strRef>
              <c:f>'DONNEES '!$AA$46</c:f>
              <c:strCache>
                <c:ptCount val="1"/>
                <c:pt idx="0">
                  <c:v>LES ABRETS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C1FF687-9BA5-7D4C-BF83-369710DAD71E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755B9190-910C-B546-963B-96E2313443FE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'!$AB$46</c:f>
              <c:numCache>
                <c:formatCode>0.00%</c:formatCode>
                <c:ptCount val="1"/>
                <c:pt idx="0">
                  <c:v>0.76158544246315418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FB-C24E-BD6D-59B7F8229081}"/>
            </c:ext>
          </c:extLst>
        </c:ser>
        <c:ser>
          <c:idx val="3"/>
          <c:order val="3"/>
          <c:tx>
            <c:strRef>
              <c:f>'DONNEES '!$AA$47</c:f>
              <c:strCache>
                <c:ptCount val="1"/>
                <c:pt idx="0">
                  <c:v>PDB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3E3DFB7-AC4B-3340-9342-2BA82F01BC06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F48AEC6F-5F4A-5945-8389-3294170B27B5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'!$AB$47</c:f>
              <c:numCache>
                <c:formatCode>0.00%</c:formatCode>
                <c:ptCount val="1"/>
                <c:pt idx="0">
                  <c:v>0.76295058507118751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FB-C24E-BD6D-59B7F8229081}"/>
            </c:ext>
          </c:extLst>
        </c:ser>
        <c:ser>
          <c:idx val="4"/>
          <c:order val="4"/>
          <c:tx>
            <c:strRef>
              <c:f>'DONNEES '!$AA$48</c:f>
              <c:strCache>
                <c:ptCount val="1"/>
                <c:pt idx="0">
                  <c:v>CHAMNORD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A06F0B9-23DF-CC46-9686-A4953A05DC36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483E5EF0-618A-FC4C-B6FE-BC5415D14B1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'!$AB$48</c:f>
              <c:numCache>
                <c:formatCode>0.00%</c:formatCode>
                <c:ptCount val="1"/>
                <c:pt idx="0">
                  <c:v>0.76310489770459122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FB-C24E-BD6D-59B7F8229081}"/>
            </c:ext>
          </c:extLst>
        </c:ser>
        <c:ser>
          <c:idx val="5"/>
          <c:order val="5"/>
          <c:tx>
            <c:strRef>
              <c:f>'DONNEES '!$AA$49</c:f>
              <c:strCache>
                <c:ptCount val="1"/>
                <c:pt idx="0">
                  <c:v>ST ALBAN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E64372-A797-314C-BE5C-D6B45E60611A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95B596F2-2B0A-554F-A5E9-93548D06D160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'!$AB$49</c:f>
              <c:numCache>
                <c:formatCode>0.00%</c:formatCode>
                <c:ptCount val="1"/>
                <c:pt idx="0">
                  <c:v>0.76649315603143753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2FB-C24E-BD6D-59B7F8229081}"/>
            </c:ext>
          </c:extLst>
        </c:ser>
        <c:ser>
          <c:idx val="6"/>
          <c:order val="6"/>
          <c:tx>
            <c:strRef>
              <c:f>'DONNEES '!$AA$50</c:f>
              <c:strCache>
                <c:ptCount val="1"/>
                <c:pt idx="0">
                  <c:v>AIX LES BAINS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DCAED90-C1B5-C741-A77B-ADB070F5602D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				</a:t>
                    </a:r>
                    <a:fld id="{47F8B192-EB34-B142-8C2A-0B4312770BD0}" type="VALUE">
                      <a:rPr lang="en-US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'!$AB$50</c:f>
              <c:numCache>
                <c:formatCode>0.00%</c:formatCode>
                <c:ptCount val="1"/>
                <c:pt idx="0">
                  <c:v>0.76663501327507755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2FB-C24E-BD6D-59B7F8229081}"/>
            </c:ext>
          </c:extLst>
        </c:ser>
        <c:ser>
          <c:idx val="7"/>
          <c:order val="7"/>
          <c:tx>
            <c:strRef>
              <c:f>'DONNEES '!$AA$51</c:f>
              <c:strCache>
                <c:ptCount val="1"/>
                <c:pt idx="0">
                  <c:v>BELLEY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BAC3F10-5CC7-3943-BC96-C88926EECF2B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7B1870E2-640D-844E-974F-48246B7B9CA3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92FB-C24E-BD6D-59B7F8229081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'!$AB$51</c:f>
              <c:numCache>
                <c:formatCode>0.00%</c:formatCode>
                <c:ptCount val="1"/>
                <c:pt idx="0">
                  <c:v>0.77097864705595864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2FB-C24E-BD6D-59B7F8229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9"/>
          <c:min val="0"/>
        </c:scaling>
        <c:delete val="1"/>
        <c:axPos val="b"/>
        <c:numFmt formatCode="0.0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'!$AA$54</c:f>
              <c:strCache>
                <c:ptCount val="1"/>
                <c:pt idx="0">
                  <c:v>FRANCIN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C6B5FD-00C1-B34C-BDC0-9A01C8FB0A8D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64B84DE0-BD93-E040-AEA1-6DCE706781EC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'!$AB$54</c:f>
              <c:numCache>
                <c:formatCode>0.00%</c:formatCode>
                <c:ptCount val="1"/>
                <c:pt idx="0">
                  <c:v>0.26437709467975806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374-E046-871E-A0481B428833}"/>
            </c:ext>
          </c:extLst>
        </c:ser>
        <c:ser>
          <c:idx val="1"/>
          <c:order val="1"/>
          <c:tx>
            <c:strRef>
              <c:f>'DONNEES '!$AA$55</c:f>
              <c:strCache>
                <c:ptCount val="1"/>
                <c:pt idx="0">
                  <c:v>VIVIERS DU LAC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1D3696-1C7B-E74C-AD9E-3FD9D1D15C6E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177FE45E-C359-EE4B-9F42-D1675D9BF48A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'!$AB$55</c:f>
              <c:numCache>
                <c:formatCode>0.00%</c:formatCode>
                <c:ptCount val="1"/>
                <c:pt idx="0">
                  <c:v>0.26398958172172987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374-E046-871E-A0481B428833}"/>
            </c:ext>
          </c:extLst>
        </c:ser>
        <c:ser>
          <c:idx val="2"/>
          <c:order val="2"/>
          <c:tx>
            <c:strRef>
              <c:f>'DONNEES '!$AA$56</c:f>
              <c:strCache>
                <c:ptCount val="1"/>
                <c:pt idx="0">
                  <c:v>LES ABRETS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C1FF687-9BA5-7D4C-BF83-369710DAD71E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755B9190-910C-B546-963B-96E2313443FE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'!$AB$56</c:f>
              <c:numCache>
                <c:formatCode>0.00%</c:formatCode>
                <c:ptCount val="1"/>
                <c:pt idx="0">
                  <c:v>0.25878280086758554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374-E046-871E-A0481B428833}"/>
            </c:ext>
          </c:extLst>
        </c:ser>
        <c:ser>
          <c:idx val="3"/>
          <c:order val="3"/>
          <c:tx>
            <c:strRef>
              <c:f>'DONNEES '!$AA$57</c:f>
              <c:strCache>
                <c:ptCount val="1"/>
                <c:pt idx="0">
                  <c:v>BELLEY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3E3DFB7-AC4B-3340-9342-2BA82F01BC06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F48AEC6F-5F4A-5945-8389-3294170B27B5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'!$AB$57</c:f>
              <c:numCache>
                <c:formatCode>0.00%</c:formatCode>
                <c:ptCount val="1"/>
                <c:pt idx="0">
                  <c:v>0.25327291960351905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374-E046-871E-A0481B428833}"/>
            </c:ext>
          </c:extLst>
        </c:ser>
        <c:ser>
          <c:idx val="4"/>
          <c:order val="4"/>
          <c:tx>
            <c:strRef>
              <c:f>'DONNEES '!$AA$58</c:f>
              <c:strCache>
                <c:ptCount val="1"/>
                <c:pt idx="0">
                  <c:v>PDB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A06F0B9-23DF-CC46-9686-A4953A05DC36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483E5EF0-618A-FC4C-B6FE-BC5415D14B1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'!$AB$58</c:f>
              <c:numCache>
                <c:formatCode>0.00%</c:formatCode>
                <c:ptCount val="1"/>
                <c:pt idx="0">
                  <c:v>0.24805251328827316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374-E046-871E-A0481B428833}"/>
            </c:ext>
          </c:extLst>
        </c:ser>
        <c:ser>
          <c:idx val="5"/>
          <c:order val="5"/>
          <c:tx>
            <c:strRef>
              <c:f>'DONNEES '!$AA$59</c:f>
              <c:strCache>
                <c:ptCount val="1"/>
                <c:pt idx="0">
                  <c:v>CHAMNORD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E64372-A797-314C-BE5C-D6B45E60611A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95B596F2-2B0A-554F-A5E9-93548D06D160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'!$AB$59</c:f>
              <c:numCache>
                <c:formatCode>0.00%</c:formatCode>
                <c:ptCount val="1"/>
                <c:pt idx="0">
                  <c:v>0.24409100864948322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374-E046-871E-A0481B428833}"/>
            </c:ext>
          </c:extLst>
        </c:ser>
        <c:ser>
          <c:idx val="6"/>
          <c:order val="6"/>
          <c:tx>
            <c:strRef>
              <c:f>'DONNEES '!$AA$60</c:f>
              <c:strCache>
                <c:ptCount val="1"/>
                <c:pt idx="0">
                  <c:v>ST ALBAN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DCAED90-C1B5-C741-A77B-ADB070F5602D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				</a:t>
                    </a:r>
                    <a:fld id="{47F8B192-EB34-B142-8C2A-0B4312770BD0}" type="VALUE">
                      <a:rPr lang="en-US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'!$AB$60</c:f>
              <c:numCache>
                <c:formatCode>0.00%</c:formatCode>
                <c:ptCount val="1"/>
                <c:pt idx="0">
                  <c:v>0.23940999856562387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374-E046-871E-A0481B428833}"/>
            </c:ext>
          </c:extLst>
        </c:ser>
        <c:ser>
          <c:idx val="7"/>
          <c:order val="7"/>
          <c:tx>
            <c:strRef>
              <c:f>'DONNEES '!$AA$61</c:f>
              <c:strCache>
                <c:ptCount val="1"/>
                <c:pt idx="0">
                  <c:v>AIX LES BAINS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BAC3F10-5CC7-3943-BC96-C88926EECF2B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7B1870E2-640D-844E-974F-48246B7B9CA3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C374-E046-871E-A0481B42883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'!$AB$61</c:f>
              <c:numCache>
                <c:formatCode>0.00%</c:formatCode>
                <c:ptCount val="1"/>
                <c:pt idx="0">
                  <c:v>0.23646537817612953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374-E046-871E-A0481B428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9"/>
          <c:min val="0"/>
        </c:scaling>
        <c:delete val="1"/>
        <c:axPos val="b"/>
        <c:numFmt formatCode="0.0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'!$AA$64</c:f>
              <c:strCache>
                <c:ptCount val="1"/>
                <c:pt idx="0">
                  <c:v>VIVIERS DU LAC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C6B5FD-00C1-B34C-BDC0-9A01C8FB0A8D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64B84DE0-BD93-E040-AEA1-6DCE706781EC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'!$AB$64</c:f>
              <c:numCache>
                <c:formatCode>0.00%</c:formatCode>
                <c:ptCount val="1"/>
                <c:pt idx="0">
                  <c:v>0.33412100658127969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AFF-1541-848C-B58571FB8AFD}"/>
            </c:ext>
          </c:extLst>
        </c:ser>
        <c:ser>
          <c:idx val="1"/>
          <c:order val="1"/>
          <c:tx>
            <c:strRef>
              <c:f>'DONNEES '!$AA$65</c:f>
              <c:strCache>
                <c:ptCount val="1"/>
                <c:pt idx="0">
                  <c:v>LES ABRETS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1D3696-1C7B-E74C-AD9E-3FD9D1D15C6E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177FE45E-C359-EE4B-9F42-D1675D9BF48A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'!$AB$65</c:f>
              <c:numCache>
                <c:formatCode>0.00%</c:formatCode>
                <c:ptCount val="1"/>
                <c:pt idx="0">
                  <c:v>0.35486948850747657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AFF-1541-848C-B58571FB8AFD}"/>
            </c:ext>
          </c:extLst>
        </c:ser>
        <c:ser>
          <c:idx val="2"/>
          <c:order val="2"/>
          <c:tx>
            <c:strRef>
              <c:f>'DONNEES '!$AA$66</c:f>
              <c:strCache>
                <c:ptCount val="1"/>
                <c:pt idx="0">
                  <c:v>FRANCIN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C1FF687-9BA5-7D4C-BF83-369710DAD71E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755B9190-910C-B546-963B-96E2313443FE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'!$AB$66</c:f>
              <c:numCache>
                <c:formatCode>0.00%</c:formatCode>
                <c:ptCount val="1"/>
                <c:pt idx="0">
                  <c:v>0.36086299200629512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AFF-1541-848C-B58571FB8AFD}"/>
            </c:ext>
          </c:extLst>
        </c:ser>
        <c:ser>
          <c:idx val="3"/>
          <c:order val="3"/>
          <c:tx>
            <c:strRef>
              <c:f>'DONNEES '!$AA$67</c:f>
              <c:strCache>
                <c:ptCount val="1"/>
                <c:pt idx="0">
                  <c:v>ST ALBAN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3E3DFB7-AC4B-3340-9342-2BA82F01BC06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F48AEC6F-5F4A-5945-8389-3294170B27B5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'!$AB$67</c:f>
              <c:numCache>
                <c:formatCode>0.00%</c:formatCode>
                <c:ptCount val="1"/>
                <c:pt idx="0">
                  <c:v>0.37380438800801796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AFF-1541-848C-B58571FB8AFD}"/>
            </c:ext>
          </c:extLst>
        </c:ser>
        <c:ser>
          <c:idx val="4"/>
          <c:order val="4"/>
          <c:tx>
            <c:strRef>
              <c:f>'DONNEES '!$AA$68</c:f>
              <c:strCache>
                <c:ptCount val="1"/>
                <c:pt idx="0">
                  <c:v>CHAMNORD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A06F0B9-23DF-CC46-9686-A4953A05DC36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483E5EF0-618A-FC4C-B6FE-BC5415D14B1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'!$AB$68</c:f>
              <c:numCache>
                <c:formatCode>0.00%</c:formatCode>
                <c:ptCount val="1"/>
                <c:pt idx="0">
                  <c:v>0.37859641020606349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AFF-1541-848C-B58571FB8AFD}"/>
            </c:ext>
          </c:extLst>
        </c:ser>
        <c:ser>
          <c:idx val="5"/>
          <c:order val="5"/>
          <c:tx>
            <c:strRef>
              <c:f>'DONNEES '!$AA$69</c:f>
              <c:strCache>
                <c:ptCount val="1"/>
                <c:pt idx="0">
                  <c:v>AIX LES BAINS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E64372-A797-314C-BE5C-D6B45E60611A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95B596F2-2B0A-554F-A5E9-93548D06D160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'!$AB$69</c:f>
              <c:numCache>
                <c:formatCode>0.00%</c:formatCode>
                <c:ptCount val="1"/>
                <c:pt idx="0">
                  <c:v>0.37980073750014332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AFF-1541-848C-B58571FB8AFD}"/>
            </c:ext>
          </c:extLst>
        </c:ser>
        <c:ser>
          <c:idx val="6"/>
          <c:order val="6"/>
          <c:tx>
            <c:strRef>
              <c:f>'DONNEES '!$AA$70</c:f>
              <c:strCache>
                <c:ptCount val="1"/>
                <c:pt idx="0">
                  <c:v>PDB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DCAED90-C1B5-C741-A77B-ADB070F5602D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					</a:t>
                    </a:r>
                    <a:fld id="{47F8B192-EB34-B142-8C2A-0B4312770BD0}" type="VALUE">
                      <a:rPr lang="en-US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'!$AB$70</c:f>
              <c:numCache>
                <c:formatCode>0.00%</c:formatCode>
                <c:ptCount val="1"/>
                <c:pt idx="0">
                  <c:v>0.38068625283881963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AFF-1541-848C-B58571FB8AFD}"/>
            </c:ext>
          </c:extLst>
        </c:ser>
        <c:ser>
          <c:idx val="7"/>
          <c:order val="7"/>
          <c:tx>
            <c:strRef>
              <c:f>'DONNEES '!$AA$71</c:f>
              <c:strCache>
                <c:ptCount val="1"/>
                <c:pt idx="0">
                  <c:v>BELLEY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BAC3F10-5CC7-3943-BC96-C88926EECF2B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7B1870E2-640D-844E-974F-48246B7B9CA3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6AFF-1541-848C-B58571FB8AFD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'!$AB$71</c:f>
              <c:numCache>
                <c:formatCode>0.00%</c:formatCode>
                <c:ptCount val="1"/>
                <c:pt idx="0">
                  <c:v>0.38844611959225483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AFF-1541-848C-B58571FB8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9"/>
          <c:min val="0"/>
        </c:scaling>
        <c:delete val="1"/>
        <c:axPos val="b"/>
        <c:numFmt formatCode="0.0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'!$AF$16</c:f>
              <c:strCache>
                <c:ptCount val="1"/>
                <c:pt idx="0">
                  <c:v>CHAMNORD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0857411234134254"/>
                  <c:y val="4.7575206846517731E-3"/>
                </c:manualLayout>
              </c:layout>
              <c:tx>
                <c:rich>
                  <a:bodyPr/>
                  <a:lstStyle/>
                  <a:p>
                    <a:fld id="{F8624277-47DB-B24F-8EFA-59AAB77B4C72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F1216E97-1620-714E-9CB5-C1BA0500592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6.929011064067970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B326-3B4E-820A-2D252803EAD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'!$AG$16</c:f>
              <c:numCache>
                <c:formatCode>0.00%</c:formatCode>
                <c:ptCount val="1"/>
                <c:pt idx="0">
                  <c:v>-7.0248741482564936E-2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326-3B4E-820A-2D252803EAD3}"/>
            </c:ext>
          </c:extLst>
        </c:ser>
        <c:ser>
          <c:idx val="1"/>
          <c:order val="1"/>
          <c:tx>
            <c:strRef>
              <c:f>'DONNEES '!$AF$17</c:f>
              <c:strCache>
                <c:ptCount val="1"/>
                <c:pt idx="0">
                  <c:v>AIX LES BAINS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B326-3B4E-820A-2D252803EAD3}"/>
              </c:ext>
            </c:extLst>
          </c:dPt>
          <c:dLbls>
            <c:dLbl>
              <c:idx val="0"/>
              <c:layout>
                <c:manualLayout>
                  <c:x val="-0.20895435220315867"/>
                  <c:y val="1.8995939739068716E-3"/>
                </c:manualLayout>
              </c:layout>
              <c:tx>
                <c:rich>
                  <a:bodyPr/>
                  <a:lstStyle/>
                  <a:p>
                    <a:fld id="{ED39B6C3-29DA-2644-8D09-F2F6035E6900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68C76453-818E-CB47-B46D-AE0EB0606FE0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7.432454797590842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B326-3B4E-820A-2D252803EAD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'!$AG$17</c:f>
              <c:numCache>
                <c:formatCode>0.00%</c:formatCode>
                <c:ptCount val="1"/>
                <c:pt idx="0">
                  <c:v>-3.1181154782216253E-2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326-3B4E-820A-2D252803EAD3}"/>
            </c:ext>
          </c:extLst>
        </c:ser>
        <c:ser>
          <c:idx val="2"/>
          <c:order val="2"/>
          <c:tx>
            <c:strRef>
              <c:f>'DONNEES '!$AF$18</c:f>
              <c:strCache>
                <c:ptCount val="1"/>
                <c:pt idx="0">
                  <c:v>BELLEY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639741611647773"/>
                  <c:y val="4.8856543094155241E-3"/>
                </c:manualLayout>
              </c:layout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 					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6.929011064067970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B326-3B4E-820A-2D252803EAD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'!$AG$18</c:f>
              <c:numCache>
                <c:formatCode>0.00%</c:formatCode>
                <c:ptCount val="1"/>
                <c:pt idx="0">
                  <c:v>-2.56998601528932E-2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326-3B4E-820A-2D252803EAD3}"/>
            </c:ext>
          </c:extLst>
        </c:ser>
        <c:ser>
          <c:idx val="3"/>
          <c:order val="3"/>
          <c:tx>
            <c:strRef>
              <c:f>'DONNEES '!$AF$19</c:f>
              <c:strCache>
                <c:ptCount val="1"/>
                <c:pt idx="0">
                  <c:v>ST ALBAN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3237290938014"/>
                  <c:y val="5.4257665212547228E-3"/>
                </c:manualLayout>
              </c:layout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B326-3B4E-820A-2D252803EAD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'!$AG$19</c:f>
              <c:numCache>
                <c:formatCode>0.00%</c:formatCode>
                <c:ptCount val="1"/>
                <c:pt idx="0">
                  <c:v>-2.3082142361876633E-2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326-3B4E-820A-2D252803EAD3}"/>
            </c:ext>
          </c:extLst>
        </c:ser>
        <c:ser>
          <c:idx val="4"/>
          <c:order val="4"/>
          <c:tx>
            <c:strRef>
              <c:f>'DONNEES '!$AF$20</c:f>
              <c:strCache>
                <c:ptCount val="1"/>
                <c:pt idx="0">
                  <c:v>LES ABRETS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B326-3B4E-820A-2D252803EAD3}"/>
              </c:ext>
            </c:extLst>
          </c:dPt>
          <c:dLbls>
            <c:dLbl>
              <c:idx val="0"/>
              <c:layout>
                <c:manualLayout>
                  <c:x val="-0.21490330615841616"/>
                  <c:y val="-4.9923322391644869E-17"/>
                </c:manualLayout>
              </c:layout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B326-3B4E-820A-2D252803EAD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'!$AG$20</c:f>
              <c:numCache>
                <c:formatCode>0.00%</c:formatCode>
                <c:ptCount val="1"/>
                <c:pt idx="0">
                  <c:v>-1.7330000303703984E-2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326-3B4E-820A-2D252803EAD3}"/>
            </c:ext>
          </c:extLst>
        </c:ser>
        <c:ser>
          <c:idx val="5"/>
          <c:order val="5"/>
          <c:tx>
            <c:strRef>
              <c:f>'DONNEES '!$AF$21</c:f>
              <c:strCache>
                <c:ptCount val="1"/>
                <c:pt idx="0">
                  <c:v>PDB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0877543394887704"/>
                  <c:y val="2.3580955385003022E-3"/>
                </c:manualLayout>
              </c:layout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3129351341"/>
                      <c:h val="8.129954773324278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B326-3B4E-820A-2D252803EAD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'!$AG$21</c:f>
              <c:numCache>
                <c:formatCode>0.00%</c:formatCode>
                <c:ptCount val="1"/>
                <c:pt idx="0">
                  <c:v>-1.2902491383981826E-2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326-3B4E-820A-2D252803EAD3}"/>
            </c:ext>
          </c:extLst>
        </c:ser>
        <c:ser>
          <c:idx val="6"/>
          <c:order val="6"/>
          <c:tx>
            <c:strRef>
              <c:f>'DONNEES '!$AF$22</c:f>
              <c:strCache>
                <c:ptCount val="1"/>
                <c:pt idx="0">
                  <c:v>FRANCIN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0814537103704814"/>
                  <c:y val="5.3319570580471808E-3"/>
                </c:manualLayout>
              </c:layout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B326-3B4E-820A-2D252803EAD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'!$AG$22</c:f>
              <c:numCache>
                <c:formatCode>0.00%</c:formatCode>
                <c:ptCount val="1"/>
                <c:pt idx="0">
                  <c:v>-9.2436687061140856E-3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326-3B4E-820A-2D252803EAD3}"/>
            </c:ext>
          </c:extLst>
        </c:ser>
        <c:ser>
          <c:idx val="7"/>
          <c:order val="7"/>
          <c:tx>
            <c:strRef>
              <c:f>'DONNEES '!$AF$23</c:f>
              <c:strCache>
                <c:ptCount val="1"/>
                <c:pt idx="0">
                  <c:v>VIVIERS DU LAC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B326-3B4E-820A-2D252803EAD3}"/>
              </c:ext>
            </c:extLst>
          </c:dPt>
          <c:dLbls>
            <c:dLbl>
              <c:idx val="0"/>
              <c:layout>
                <c:manualLayout>
                  <c:x val="-0.2124217800458037"/>
                  <c:y val="4.9025125623958447E-3"/>
                </c:manualLayout>
              </c:layout>
              <c:tx>
                <c:rich>
                  <a:bodyPr rot="0" vert="horz"/>
                  <a:lstStyle/>
                  <a:p>
                    <a:pPr>
                      <a:defRPr/>
                    </a:pPr>
                    <a:fld id="{D384631B-FECE-8642-915A-A9BBD850D4DA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  <a:fld id="{70E47758-7502-B249-A76F-B7649CF7261B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B326-3B4E-820A-2D252803E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'!$AG$23</c:f>
              <c:numCache>
                <c:formatCode>0.00%</c:formatCode>
                <c:ptCount val="1"/>
                <c:pt idx="0">
                  <c:v>-1.8933757494485933E-3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326-3B4E-820A-2D252803E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12"/>
          <c:min val="-0.12"/>
        </c:scaling>
        <c:delete val="1"/>
        <c:axPos val="b"/>
        <c:numFmt formatCode="0.0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'!$G$95</c:f>
              <c:strCache>
                <c:ptCount val="1"/>
                <c:pt idx="0">
                  <c:v>CHAMNORD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C6B5FD-00C1-B34C-BDC0-9A01C8FB0A8D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64B84DE0-BD93-E040-AEA1-6DCE706781EC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'!$H$95</c:f>
              <c:numCache>
                <c:formatCode>0.00%</c:formatCode>
                <c:ptCount val="1"/>
                <c:pt idx="0">
                  <c:v>1.1044347453356819E-2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77-5348-872C-FD0F33F6CC03}"/>
            </c:ext>
          </c:extLst>
        </c:ser>
        <c:ser>
          <c:idx val="1"/>
          <c:order val="1"/>
          <c:tx>
            <c:strRef>
              <c:f>'DONNEES '!$G$96</c:f>
              <c:strCache>
                <c:ptCount val="1"/>
                <c:pt idx="0">
                  <c:v>AIX LES BAINS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1D3696-1C7B-E74C-AD9E-3FD9D1D15C6E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177FE45E-C359-EE4B-9F42-D1675D9BF48A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'!$H$96</c:f>
              <c:numCache>
                <c:formatCode>0.00%</c:formatCode>
                <c:ptCount val="1"/>
                <c:pt idx="0">
                  <c:v>8.5850700343333489E-3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77-5348-872C-FD0F33F6CC03}"/>
            </c:ext>
          </c:extLst>
        </c:ser>
        <c:ser>
          <c:idx val="2"/>
          <c:order val="2"/>
          <c:tx>
            <c:strRef>
              <c:f>'DONNEES '!$G$97</c:f>
              <c:strCache>
                <c:ptCount val="1"/>
                <c:pt idx="0">
                  <c:v>FRANCIN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C1FF687-9BA5-7D4C-BF83-369710DAD71E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755B9190-910C-B546-963B-96E2313443FE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'!$H$97</c:f>
              <c:numCache>
                <c:formatCode>0.00%</c:formatCode>
                <c:ptCount val="1"/>
                <c:pt idx="0">
                  <c:v>8.5070277453355662E-3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877-5348-872C-FD0F33F6CC03}"/>
            </c:ext>
          </c:extLst>
        </c:ser>
        <c:ser>
          <c:idx val="3"/>
          <c:order val="3"/>
          <c:tx>
            <c:strRef>
              <c:f>'DONNEES '!$G$98</c:f>
              <c:strCache>
                <c:ptCount val="1"/>
                <c:pt idx="0">
                  <c:v>VIVIERS DU LAC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3E3DFB7-AC4B-3340-9342-2BA82F01BC06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F48AEC6F-5F4A-5945-8389-3294170B27B5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'!$H$98</c:f>
              <c:numCache>
                <c:formatCode>0.00%</c:formatCode>
                <c:ptCount val="1"/>
                <c:pt idx="0">
                  <c:v>7.3924061025436444E-3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877-5348-872C-FD0F33F6CC03}"/>
            </c:ext>
          </c:extLst>
        </c:ser>
        <c:ser>
          <c:idx val="4"/>
          <c:order val="4"/>
          <c:tx>
            <c:strRef>
              <c:f>'DONNEES '!$G$99</c:f>
              <c:strCache>
                <c:ptCount val="1"/>
                <c:pt idx="0">
                  <c:v>PDB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A06F0B9-23DF-CC46-9686-A4953A05DC36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483E5EF0-618A-FC4C-B6FE-BC5415D14B1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'!$H$99</c:f>
              <c:numCache>
                <c:formatCode>0.00%</c:formatCode>
                <c:ptCount val="1"/>
                <c:pt idx="0">
                  <c:v>6.1741634025153759E-3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877-5348-872C-FD0F33F6CC03}"/>
            </c:ext>
          </c:extLst>
        </c:ser>
        <c:ser>
          <c:idx val="5"/>
          <c:order val="5"/>
          <c:tx>
            <c:strRef>
              <c:f>'DONNEES '!$G$100</c:f>
              <c:strCache>
                <c:ptCount val="1"/>
                <c:pt idx="0">
                  <c:v>ST ALBAN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E64372-A797-314C-BE5C-D6B45E60611A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95B596F2-2B0A-554F-A5E9-93548D06D160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'!$H$100</c:f>
              <c:numCache>
                <c:formatCode>0.00%</c:formatCode>
                <c:ptCount val="1"/>
                <c:pt idx="0">
                  <c:v>5.8543836452211607E-3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877-5348-872C-FD0F33F6CC03}"/>
            </c:ext>
          </c:extLst>
        </c:ser>
        <c:ser>
          <c:idx val="6"/>
          <c:order val="6"/>
          <c:tx>
            <c:strRef>
              <c:f>'DONNEES '!$G$101</c:f>
              <c:strCache>
                <c:ptCount val="1"/>
                <c:pt idx="0">
                  <c:v>LES ABRETS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DCAED90-C1B5-C741-A77B-ADB070F5602D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				</a:t>
                    </a:r>
                    <a:fld id="{47F8B192-EB34-B142-8C2A-0B4312770BD0}" type="VALUE">
                      <a:rPr lang="en-US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0.14218790850752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'!$H$101</c:f>
              <c:numCache>
                <c:formatCode>0.00%</c:formatCode>
                <c:ptCount val="1"/>
                <c:pt idx="0">
                  <c:v>5.6606890209217105E-3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877-5348-872C-FD0F33F6CC03}"/>
            </c:ext>
          </c:extLst>
        </c:ser>
        <c:ser>
          <c:idx val="7"/>
          <c:order val="7"/>
          <c:tx>
            <c:strRef>
              <c:f>'DONNEES '!$G$102</c:f>
              <c:strCache>
                <c:ptCount val="1"/>
                <c:pt idx="0">
                  <c:v>BELLEY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BAC3F10-5CC7-3943-BC96-C88926EECF2B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r>
                      <a:rPr lang="en-US" baseline="0"/>
                      <a:t> </a:t>
                    </a:r>
                    <a:fld id="{7B1870E2-640D-844E-974F-48246B7B9CA3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131057688053585"/>
                      <c:h val="7.479419475968249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6877-5348-872C-FD0F33F6CC03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'!$H$102</c:f>
              <c:numCache>
                <c:formatCode>0.00%</c:formatCode>
                <c:ptCount val="1"/>
                <c:pt idx="0">
                  <c:v>2.8959122470483575E-3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877-5348-872C-FD0F33F6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02"/>
          <c:min val="0"/>
        </c:scaling>
        <c:delete val="1"/>
        <c:axPos val="b"/>
        <c:numFmt formatCode="0.0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'!$G$64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624277-47DB-B24F-8EFA-59AAB77B4C72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6.778545789370651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'!$H$64</c:f>
              <c:numCache>
                <c:formatCode>0.0%</c:formatCode>
                <c:ptCount val="1"/>
                <c:pt idx="0">
                  <c:v>0.871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76-B849-8240-D23BD21D94CD}"/>
            </c:ext>
          </c:extLst>
        </c:ser>
        <c:ser>
          <c:idx val="1"/>
          <c:order val="1"/>
          <c:tx>
            <c:strRef>
              <c:f>'DONNEES '!$G$65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6.563828999714704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5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'!$H$65</c:f>
              <c:numCache>
                <c:formatCode>0.0%</c:formatCode>
                <c:ptCount val="1"/>
                <c:pt idx="0">
                  <c:v>0.93300000000000005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76-B849-8240-D23BD21D94CD}"/>
            </c:ext>
          </c:extLst>
        </c:ser>
        <c:ser>
          <c:idx val="2"/>
          <c:order val="2"/>
          <c:tx>
            <c:strRef>
              <c:f>'DONNEES '!$G$66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6.913493867872672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8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'!$H$66</c:f>
              <c:numCache>
                <c:formatCode>0.0%</c:formatCode>
                <c:ptCount val="1"/>
                <c:pt idx="0">
                  <c:v>0.94299999999999995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76-B849-8240-D23BD21D94CD}"/>
            </c:ext>
          </c:extLst>
        </c:ser>
        <c:ser>
          <c:idx val="3"/>
          <c:order val="3"/>
          <c:tx>
            <c:strRef>
              <c:f>'DONNEES '!$G$67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7.727850166629400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B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'!$H$67</c:f>
              <c:numCache>
                <c:formatCode>0.0%</c:formatCode>
                <c:ptCount val="1"/>
                <c:pt idx="0">
                  <c:v>0.96399999999999997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76-B849-8240-D23BD21D94CD}"/>
            </c:ext>
          </c:extLst>
        </c:ser>
        <c:ser>
          <c:idx val="4"/>
          <c:order val="4"/>
          <c:tx>
            <c:strRef>
              <c:f>'DONNEES '!$G$68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3A76-B849-8240-D23BD21D94C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F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'!$H$68</c:f>
              <c:numCache>
                <c:formatCode>0.0%</c:formatCode>
                <c:ptCount val="1"/>
                <c:pt idx="0">
                  <c:v>0.97599999999999998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76-B849-8240-D23BD21D94CD}"/>
            </c:ext>
          </c:extLst>
        </c:ser>
        <c:ser>
          <c:idx val="5"/>
          <c:order val="5"/>
          <c:tx>
            <c:strRef>
              <c:f>'DONNEES '!$G$69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2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'!$H$69</c:f>
              <c:numCache>
                <c:formatCode>0.0%</c:formatCode>
                <c:ptCount val="1"/>
                <c:pt idx="0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76-B849-8240-D23BD21D94CD}"/>
            </c:ext>
          </c:extLst>
        </c:ser>
        <c:ser>
          <c:idx val="6"/>
          <c:order val="6"/>
          <c:tx>
            <c:strRef>
              <c:f>'DONNEES '!$G$70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5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'!$H$70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76-B849-8240-D23BD21D94CD}"/>
            </c:ext>
          </c:extLst>
        </c:ser>
        <c:ser>
          <c:idx val="7"/>
          <c:order val="7"/>
          <c:tx>
            <c:strRef>
              <c:f>'DONNEES '!$G$71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7804399917248"/>
                      <c:h val="7.272598168295425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8-3A76-B849-8240-D23BD21D9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'!$H$71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A76-B849-8240-D23BD21D9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.1000000000000001"/>
          <c:min val="0.5"/>
        </c:scaling>
        <c:delete val="1"/>
        <c:axPos val="b"/>
        <c:numFmt formatCode="0.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solidFill>
          <a:schemeClr val="accent2">
            <a:lumMod val="40000"/>
            <a:lumOff val="60000"/>
          </a:schemeClr>
        </a:solidFill>
      </c:spPr>
    </c:plotArea>
    <c:plotVisOnly val="1"/>
    <c:dispBlanksAs val="gap"/>
    <c:showDLblsOverMax val="0"/>
    <c:extLst/>
  </c:chart>
  <c:spPr>
    <a:solidFill>
      <a:schemeClr val="accent2">
        <a:lumMod val="40000"/>
        <a:lumOff val="6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'DONNEES '!$J$3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2-E946-9C0B-445736EF7B3E}"/>
            </c:ext>
          </c:extLst>
        </c:ser>
        <c:ser>
          <c:idx val="0"/>
          <c:order val="1"/>
          <c:tx>
            <c:v>FRANCHISE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7095304326095809E-17"/>
                  <c:y val="-0.102591340119575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4000" b="1" i="0" u="none" strike="noStrike" kern="1200" baseline="0">
                      <a:solidFill>
                        <a:srgbClr val="C00000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21-654E-830C-4688A5AD1A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'!$J$4</c:f>
              <c:numCache>
                <c:formatCode>0.00%</c:formatCode>
                <c:ptCount val="1"/>
                <c:pt idx="0">
                  <c:v>-4.3999999999999997E-2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E2-E946-9C0B-445736EF7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930287"/>
        <c:axId val="315095024"/>
      </c:barChart>
      <c:catAx>
        <c:axId val="618930287"/>
        <c:scaling>
          <c:orientation val="minMax"/>
        </c:scaling>
        <c:delete val="1"/>
        <c:axPos val="l"/>
        <c:majorTickMark val="none"/>
        <c:minorTickMark val="none"/>
        <c:tickLblPos val="nextTo"/>
        <c:crossAx val="315095024"/>
        <c:crosses val="autoZero"/>
        <c:auto val="1"/>
        <c:lblAlgn val="ctr"/>
        <c:lblOffset val="100"/>
        <c:noMultiLvlLbl val="0"/>
      </c:catAx>
      <c:valAx>
        <c:axId val="315095024"/>
        <c:scaling>
          <c:orientation val="minMax"/>
          <c:max val="0.3"/>
          <c:min val="-0.30000000000000004"/>
        </c:scaling>
        <c:delete val="1"/>
        <c:axPos val="b"/>
        <c:numFmt formatCode="0%" sourceLinked="1"/>
        <c:majorTickMark val="out"/>
        <c:minorTickMark val="none"/>
        <c:tickLblPos val="nextTo"/>
        <c:crossAx val="618930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40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'DONNEES '!$J$3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56-3B40-A51B-EAAA91259C6E}"/>
            </c:ext>
          </c:extLst>
        </c:ser>
        <c:ser>
          <c:idx val="0"/>
          <c:order val="1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3200" b="1" i="0" u="none" strike="noStrike" kern="1200" baseline="0">
                      <a:solidFill>
                        <a:srgbClr val="C00000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4E9-A344-80A4-93A0D07D3F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'!$J$5</c:f>
              <c:numCache>
                <c:formatCode>0.00%</c:formatCode>
                <c:ptCount val="1"/>
                <c:pt idx="0">
                  <c:v>-4.4999999999999998E-2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56-3B40-A51B-EAAA91259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930287"/>
        <c:axId val="315095024"/>
      </c:barChart>
      <c:catAx>
        <c:axId val="618930287"/>
        <c:scaling>
          <c:orientation val="minMax"/>
        </c:scaling>
        <c:delete val="1"/>
        <c:axPos val="l"/>
        <c:majorTickMark val="none"/>
        <c:minorTickMark val="none"/>
        <c:tickLblPos val="nextTo"/>
        <c:crossAx val="315095024"/>
        <c:crosses val="autoZero"/>
        <c:auto val="1"/>
        <c:lblAlgn val="ctr"/>
        <c:lblOffset val="100"/>
        <c:noMultiLvlLbl val="0"/>
      </c:catAx>
      <c:valAx>
        <c:axId val="315095024"/>
        <c:scaling>
          <c:orientation val="minMax"/>
          <c:max val="0.3"/>
          <c:min val="-0.30000000000000004"/>
        </c:scaling>
        <c:delete val="1"/>
        <c:axPos val="b"/>
        <c:numFmt formatCode="0%" sourceLinked="1"/>
        <c:majorTickMark val="out"/>
        <c:minorTickMark val="none"/>
        <c:tickLblPos val="nextTo"/>
        <c:crossAx val="618930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40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'DONNEES '!$J$3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E1-DC47-978F-65D05ECA368A}"/>
            </c:ext>
          </c:extLst>
        </c:ser>
        <c:ser>
          <c:idx val="0"/>
          <c:order val="1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rgbClr val="C00000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94-CE41-B1C7-9E0F1380DC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C00000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'!$J$6</c:f>
              <c:numCache>
                <c:formatCode>0.00%</c:formatCode>
                <c:ptCount val="1"/>
                <c:pt idx="0">
                  <c:v>-4.3999999999999997E-2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E1-DC47-978F-65D05ECA3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930287"/>
        <c:axId val="315095024"/>
      </c:barChart>
      <c:catAx>
        <c:axId val="618930287"/>
        <c:scaling>
          <c:orientation val="minMax"/>
        </c:scaling>
        <c:delete val="1"/>
        <c:axPos val="l"/>
        <c:majorTickMark val="none"/>
        <c:minorTickMark val="none"/>
        <c:tickLblPos val="nextTo"/>
        <c:crossAx val="315095024"/>
        <c:crosses val="autoZero"/>
        <c:auto val="1"/>
        <c:lblAlgn val="ctr"/>
        <c:lblOffset val="100"/>
        <c:noMultiLvlLbl val="0"/>
      </c:catAx>
      <c:valAx>
        <c:axId val="315095024"/>
        <c:scaling>
          <c:orientation val="minMax"/>
          <c:max val="0.3"/>
          <c:min val="-0.30000000000000004"/>
        </c:scaling>
        <c:delete val="1"/>
        <c:axPos val="b"/>
        <c:numFmt formatCode="0%" sourceLinked="1"/>
        <c:majorTickMark val="out"/>
        <c:minorTickMark val="none"/>
        <c:tickLblPos val="nextTo"/>
        <c:crossAx val="618930287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'!$G$12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6.778545789370651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1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rgbClr val="FFC000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'!$H$12</c:f>
              <c:numCache>
                <c:formatCode>General</c:formatCode>
                <c:ptCount val="1"/>
                <c:pt idx="0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DB-C249-9B4D-2148F99437BF}"/>
            </c:ext>
          </c:extLst>
        </c:ser>
        <c:ser>
          <c:idx val="1"/>
          <c:order val="1"/>
          <c:tx>
            <c:strRef>
              <c:f>'DONNEES '!$G$13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39B6C3-29DA-2644-8D09-F2F6035E6900}" type="SERIESNAME">
                      <a:rPr lang="en-US">
                        <a:solidFill>
                          <a:srgbClr val="FFC000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rgbClr val="FFC000"/>
                        </a:solidFill>
                      </a:rPr>
                      <a:t> 			</a:t>
                    </a:r>
                    <a:fld id="{68C76453-818E-CB47-B46D-AE0EB0606FE0}" type="VALUE">
                      <a:rPr lang="en-US">
                        <a:solidFill>
                          <a:srgbClr val="FFC000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rgbClr val="FFC000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6.563828999714704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2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rgbClr val="FFC000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'!$H$13</c:f>
              <c:numCache>
                <c:formatCode>General</c:formatCode>
                <c:ptCount val="1"/>
                <c:pt idx="0">
                  <c:v>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DB-C249-9B4D-2148F99437BF}"/>
            </c:ext>
          </c:extLst>
        </c:ser>
        <c:ser>
          <c:idx val="2"/>
          <c:order val="2"/>
          <c:tx>
            <c:strRef>
              <c:f>'DONNEES '!$G$14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DCDB-C249-9B4D-2148F99437BF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7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'!$H$14</c:f>
              <c:numCache>
                <c:formatCode>General</c:formatCode>
                <c:ptCount val="1"/>
                <c:pt idx="0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DB-C249-9B4D-2148F99437BF}"/>
            </c:ext>
          </c:extLst>
        </c:ser>
        <c:ser>
          <c:idx val="3"/>
          <c:order val="3"/>
          <c:tx>
            <c:strRef>
              <c:f>'DONNEES '!$G$15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48AD2D53-4C2F-E646-BB11-CFD014A4415F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7.996075261734636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'!$H$15</c:f>
              <c:numCache>
                <c:formatCode>General</c:formatCode>
                <c:ptCount val="1"/>
                <c:pt idx="0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DB-C249-9B4D-2148F99437BF}"/>
            </c:ext>
          </c:extLst>
        </c:ser>
        <c:ser>
          <c:idx val="4"/>
          <c:order val="4"/>
          <c:tx>
            <c:strRef>
              <c:f>'DONNEES '!$G$16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DCDB-C249-9B4D-2148F99437B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2CD66163-1502-4143-987E-D04B2C97E3D2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'!$H$16</c:f>
              <c:numCache>
                <c:formatCode>General</c:formatCode>
                <c:ptCount val="1"/>
                <c:pt idx="0">
                  <c:v>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DB-C249-9B4D-2148F99437BF}"/>
            </c:ext>
          </c:extLst>
        </c:ser>
        <c:ser>
          <c:idx val="5"/>
          <c:order val="5"/>
          <c:tx>
            <c:strRef>
              <c:f>'DONNEES '!$G$17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D63CCC08-561E-6442-A555-CFAE5DCB06B8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5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rgbClr val="FFC000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B-C249-9B4D-2148F99437BF}"/>
            </c:ext>
          </c:extLst>
        </c:ser>
        <c:ser>
          <c:idx val="6"/>
          <c:order val="6"/>
          <c:tx>
            <c:strRef>
              <c:f>'DONNEES '!$G$18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4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'!$H$18</c:f>
              <c:numCache>
                <c:formatCode>General</c:formatCode>
                <c:ptCount val="1"/>
                <c:pt idx="0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B-C249-9B4D-2148F99437BF}"/>
            </c:ext>
          </c:extLst>
        </c:ser>
        <c:ser>
          <c:idx val="7"/>
          <c:order val="7"/>
          <c:tx>
            <c:strRef>
              <c:f>'DONNEES '!$G$19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6.7513289477295804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DCDB-C249-9B4D-2148F9943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'!$H$19</c:f>
              <c:numCache>
                <c:formatCode>General</c:formatCode>
                <c:ptCount val="1"/>
                <c:pt idx="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DB-C249-9B4D-2148F99437BF}"/>
            </c:ext>
          </c:extLst>
        </c:ser>
        <c:ser>
          <c:idx val="8"/>
          <c:order val="8"/>
          <c:tx>
            <c:strRef>
              <c:f>'DONNEES '!$G$20</c:f>
              <c:strCache>
                <c:ptCount val="1"/>
                <c:pt idx="0">
                  <c:v>FRANCE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7C15-3749-B0AD-A162C576092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5ADCB2-25C9-BD4A-AA01-E0E905F08D4D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7F94A8E3-98EB-4D4E-A238-57DEBE597D4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9014739015124087"/>
                      <c:h val="6.429843867893515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8-7C15-3749-B0AD-A162C57609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5-3749-B0AD-A162C5760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6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'!$G$23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F8624277-47DB-B24F-8EFA-59AAB77B4C72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F1216E97-1620-714E-9CB5-C1BA0500592B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'!$H$23</c:f>
              <c:numCache>
                <c:formatCode>General</c:formatCode>
                <c:ptCount val="1"/>
                <c:pt idx="0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1A-9F46-8F79-0AC85C190A66}"/>
            </c:ext>
          </c:extLst>
        </c:ser>
        <c:ser>
          <c:idx val="1"/>
          <c:order val="1"/>
          <c:tx>
            <c:strRef>
              <c:f>'DONNEES '!$G$24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5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'!$H$24</c:f>
              <c:numCache>
                <c:formatCode>General</c:formatCode>
                <c:ptCount val="1"/>
                <c:pt idx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D1A-9F46-8F79-0AC85C190A66}"/>
            </c:ext>
          </c:extLst>
        </c:ser>
        <c:ser>
          <c:idx val="2"/>
          <c:order val="2"/>
          <c:tx>
            <c:strRef>
              <c:f>'DONNEES '!$G$25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8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'!$H$25</c:f>
              <c:numCache>
                <c:formatCode>General</c:formatCode>
                <c:ptCount val="1"/>
                <c:pt idx="0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1A-9F46-8F79-0AC85C190A66}"/>
            </c:ext>
          </c:extLst>
        </c:ser>
        <c:ser>
          <c:idx val="3"/>
          <c:order val="3"/>
          <c:tx>
            <c:strRef>
              <c:f>'DONNEES '!$G$26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4443D066-681B-944C-B59B-B752E4D7764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48AD2D53-4C2F-E646-BB11-CFD014A4415F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B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rgbClr val="FFC000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'!$H$26</c:f>
              <c:numCache>
                <c:formatCode>General</c:formatCode>
                <c:ptCount val="1"/>
                <c:pt idx="0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D1A-9F46-8F79-0AC85C190A66}"/>
            </c:ext>
          </c:extLst>
        </c:ser>
        <c:ser>
          <c:idx val="4"/>
          <c:order val="4"/>
          <c:tx>
            <c:strRef>
              <c:f>'DONNEES '!$G$27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4D1A-9F46-8F79-0AC85C190A66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rgbClr val="FFC000"/>
                        </a:solidFill>
                      </a:defRPr>
                    </a:pPr>
                    <a:fld id="{CC189ED0-67B9-A942-B181-AF3BBA0DC1A3}" type="SERIESNAME">
                      <a:rPr lang="en-US">
                        <a:solidFill>
                          <a:srgbClr val="FFC000"/>
                        </a:solidFill>
                      </a:rPr>
                      <a:pPr>
                        <a:defRPr>
                          <a:solidFill>
                            <a:srgbClr val="FFC000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rgbClr val="FFC000"/>
                        </a:solidFill>
                      </a:rPr>
                      <a:t> 			</a:t>
                    </a:r>
                    <a:fld id="{2CD66163-1502-4143-987E-D04B2C97E3D2}" type="VALUE">
                      <a:rPr lang="en-US">
                        <a:solidFill>
                          <a:srgbClr val="FFC000"/>
                        </a:solidFill>
                      </a:rPr>
                      <a:pPr>
                        <a:defRPr>
                          <a:solidFill>
                            <a:srgbClr val="FFC000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rgbClr val="FFC000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F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'!$H$27</c:f>
              <c:numCache>
                <c:formatCode>General</c:formatCode>
                <c:ptCount val="1"/>
                <c:pt idx="0">
                  <c:v>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D1A-9F46-8F79-0AC85C190A66}"/>
            </c:ext>
          </c:extLst>
        </c:ser>
        <c:ser>
          <c:idx val="5"/>
          <c:order val="5"/>
          <c:tx>
            <c:strRef>
              <c:f>'DONNEES '!$G$28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D63CCC08-561E-6442-A555-CFAE5DCB06B8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2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rgbClr val="FFC000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'!$H$28</c:f>
              <c:numCache>
                <c:formatCode>General</c:formatCode>
                <c:ptCount val="1"/>
                <c:pt idx="0">
                  <c:v>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D1A-9F46-8F79-0AC85C190A66}"/>
            </c:ext>
          </c:extLst>
        </c:ser>
        <c:ser>
          <c:idx val="6"/>
          <c:order val="6"/>
          <c:tx>
            <c:strRef>
              <c:f>'DONNEES '!$G$29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9CA71615-9CE6-0C4E-A201-15758292ACC1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373701FF-D070-AC48-B163-409EF6BFAB64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5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'!$H$29</c:f>
              <c:numCache>
                <c:formatCode>General</c:formatCode>
                <c:ptCount val="1"/>
                <c:pt idx="0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1A-9F46-8F79-0AC85C190A66}"/>
            </c:ext>
          </c:extLst>
        </c:ser>
        <c:ser>
          <c:idx val="7"/>
          <c:order val="7"/>
          <c:tx>
            <c:strRef>
              <c:f>'DONNEES '!$G$30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D384631B-FECE-8642-915A-A9BBD850D4D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70E47758-7502-B249-A76F-B7649CF7261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9183770372604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8-4D1A-9F46-8F79-0AC85C190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'!$H$30</c:f>
              <c:numCache>
                <c:formatCode>General</c:formatCode>
                <c:ptCount val="1"/>
                <c:pt idx="0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1A-9F46-8F79-0AC85C190A66}"/>
            </c:ext>
          </c:extLst>
        </c:ser>
        <c:ser>
          <c:idx val="8"/>
          <c:order val="8"/>
          <c:tx>
            <c:strRef>
              <c:f>'DONNEES '!$G$31</c:f>
              <c:strCache>
                <c:ptCount val="1"/>
                <c:pt idx="0">
                  <c:v>FRANCE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E36F44DB-C2AB-F843-AFBA-C99DCA27FA2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	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</a:t>
                    </a:r>
                    <a:fld id="{B7E804E4-AB2C-0C45-957E-47DA3E096278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0923007654207"/>
                      <c:h val="6.5059525426962667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B51-E74F-B915-463BAB3CA7A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'DONNEES '!$H$31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1-E74F-B915-463BAB3CA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6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'!$Q$64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F8624277-47DB-B24F-8EFA-59AAB77B4C72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F1216E97-1620-714E-9CB5-C1BA0500592B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A980-DA4E-95D9-FDBBA8AFF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'!$R$64</c:f>
              <c:numCache>
                <c:formatCode>0.0</c:formatCode>
                <c:ptCount val="1"/>
                <c:pt idx="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980-DA4E-95D9-FDBBA8AFFA83}"/>
            </c:ext>
          </c:extLst>
        </c:ser>
        <c:ser>
          <c:idx val="1"/>
          <c:order val="1"/>
          <c:tx>
            <c:strRef>
              <c:f>'DONNEES '!$Q$65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ED39B6C3-29DA-2644-8D09-F2F6035E6900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68C76453-818E-CB47-B46D-AE0EB0606FE0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A980-DA4E-95D9-FDBBA8AFF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'!$R$65</c:f>
              <c:numCache>
                <c:formatCode>0.0</c:formatCode>
                <c:ptCount val="1"/>
                <c:pt idx="0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980-DA4E-95D9-FDBBA8AFFA83}"/>
            </c:ext>
          </c:extLst>
        </c:ser>
        <c:ser>
          <c:idx val="2"/>
          <c:order val="2"/>
          <c:tx>
            <c:strRef>
              <c:f>'DONNEES '!$Q$66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757FB71B-4627-AD49-9DB9-24F88034618A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  <a:fld id="{F3DAD87F-AC85-714B-8B1F-34D74844D816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A980-DA4E-95D9-FDBBA8AFF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'!$R$66</c:f>
              <c:numCache>
                <c:formatCode>0.0</c:formatCode>
                <c:ptCount val="1"/>
                <c:pt idx="0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980-DA4E-95D9-FDBBA8AFFA83}"/>
            </c:ext>
          </c:extLst>
        </c:ser>
        <c:ser>
          <c:idx val="3"/>
          <c:order val="3"/>
          <c:tx>
            <c:strRef>
              <c:f>'DONNEES '!$Q$67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4443D066-681B-944C-B59B-B752E4D77647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48AD2D53-4C2F-E646-BB11-CFD014A4415F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A980-DA4E-95D9-FDBBA8AFF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'!$R$67</c:f>
              <c:numCache>
                <c:formatCode>0.0</c:formatCode>
                <c:ptCount val="1"/>
                <c:pt idx="0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980-DA4E-95D9-FDBBA8AFFA83}"/>
            </c:ext>
          </c:extLst>
        </c:ser>
        <c:ser>
          <c:idx val="4"/>
          <c:order val="4"/>
          <c:tx>
            <c:strRef>
              <c:f>'DONNEES '!$Q$68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A980-DA4E-95D9-FDBBA8AFFA83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CC189ED0-67B9-A942-B181-AF3BBA0DC1A3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2CD66163-1502-4143-987E-D04B2C97E3D2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A980-DA4E-95D9-FDBBA8AFF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'!$R$68</c:f>
              <c:numCache>
                <c:formatCode>0.0</c:formatCode>
                <c:ptCount val="1"/>
                <c:pt idx="0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980-DA4E-95D9-FDBBA8AFFA83}"/>
            </c:ext>
          </c:extLst>
        </c:ser>
        <c:ser>
          <c:idx val="5"/>
          <c:order val="5"/>
          <c:tx>
            <c:strRef>
              <c:f>'DONNEES '!$Q$69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A980-DA4E-95D9-FDBBA8AFFA8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'!$R$69</c:f>
              <c:numCache>
                <c:formatCode>0.0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980-DA4E-95D9-FDBBA8AFFA83}"/>
            </c:ext>
          </c:extLst>
        </c:ser>
        <c:ser>
          <c:idx val="6"/>
          <c:order val="6"/>
          <c:tx>
            <c:strRef>
              <c:f>'DONNEES '!$Q$70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9CA71615-9CE6-0C4E-A201-15758292ACC1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373701FF-D070-AC48-B163-409EF6BFAB64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A980-DA4E-95D9-FDBBA8AFF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'DONNEES '!$R$70</c:f>
              <c:numCache>
                <c:formatCode>0.0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980-DA4E-95D9-FDBBA8AFFA83}"/>
            </c:ext>
          </c:extLst>
        </c:ser>
        <c:ser>
          <c:idx val="7"/>
          <c:order val="7"/>
          <c:tx>
            <c:strRef>
              <c:f>'DONNEES '!$Q$71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 w="3175" cap="rnd">
                <a:solidFill>
                  <a:schemeClr val="accent4">
                    <a:lumMod val="50000"/>
                    <a:alpha val="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26-A980-DA4E-95D9-FDBBA8AFFA83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D384631B-FECE-8642-915A-A9BBD850D4DA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70E47758-7502-B249-A76F-B7649CF7261B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145871796892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A980-DA4E-95D9-FDBBA8AFF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'!$R$71</c:f>
              <c:numCache>
                <c:formatCode>0.0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980-DA4E-95D9-FDBBA8AF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7"/>
        </c:scaling>
        <c:delete val="1"/>
        <c:axPos val="b"/>
        <c:numFmt formatCode="0.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FFD966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'!$AA$34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rgbClr val="FFB6B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'!$AB$34</c:f>
              <c:numCache>
                <c:formatCode>0.00%</c:formatCode>
                <c:ptCount val="1"/>
                <c:pt idx="0">
                  <c:v>6.4295407655856705E-3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ABE-3143-988F-AFB15A13F574}"/>
            </c:ext>
          </c:extLst>
        </c:ser>
        <c:ser>
          <c:idx val="1"/>
          <c:order val="1"/>
          <c:tx>
            <c:strRef>
              <c:f>'DONNEES '!$AA$35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39B6C3-29DA-2644-8D09-F2F6035E6900}" type="SERIESNAME">
                      <a:rPr lang="en-US"/>
                      <a:pPr/>
                      <a:t>[NOM DE SÉRIE]</a:t>
                    </a:fld>
                    <a:r>
                      <a:rPr lang="en-US"/>
                      <a:t> 		</a:t>
                    </a:r>
                    <a:fld id="{68C76453-818E-CB47-B46D-AE0EB0606FE0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'!$AB$35</c:f>
              <c:numCache>
                <c:formatCode>0.00%</c:formatCode>
                <c:ptCount val="1"/>
                <c:pt idx="0">
                  <c:v>5.8890110269859217E-3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ABE-3143-988F-AFB15A13F574}"/>
            </c:ext>
          </c:extLst>
        </c:ser>
        <c:ser>
          <c:idx val="2"/>
          <c:order val="2"/>
          <c:tx>
            <c:strRef>
              <c:f>'DONNEES '!$AA$36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rgbClr val="FFB6B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'!$AB$36</c:f>
              <c:numCache>
                <c:formatCode>0.00%</c:formatCode>
                <c:ptCount val="1"/>
                <c:pt idx="0">
                  <c:v>5.7896501542662304E-3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ABE-3143-988F-AFB15A13F574}"/>
            </c:ext>
          </c:extLst>
        </c:ser>
        <c:ser>
          <c:idx val="3"/>
          <c:order val="3"/>
          <c:tx>
            <c:strRef>
              <c:f>'DONNEES '!$AA$37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4443D066-681B-944C-B59B-B752E4D7764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</a:t>
                    </a:r>
                    <a:fld id="{48AD2D53-4C2F-E646-BB11-CFD014A4415F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'!$AB$37</c:f>
              <c:numCache>
                <c:formatCode>0.00%</c:formatCode>
                <c:ptCount val="1"/>
                <c:pt idx="0">
                  <c:v>5.3304561514790644E-3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ABE-3143-988F-AFB15A13F574}"/>
            </c:ext>
          </c:extLst>
        </c:ser>
        <c:ser>
          <c:idx val="4"/>
          <c:order val="4"/>
          <c:tx>
            <c:strRef>
              <c:f>'DONNEES '!$AA$38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2ABE-3143-988F-AFB15A13F57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'!$AB$38</c:f>
              <c:numCache>
                <c:formatCode>0.00%</c:formatCode>
                <c:ptCount val="1"/>
                <c:pt idx="0">
                  <c:v>5.2386629632195881E-3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ABE-3143-988F-AFB15A13F574}"/>
            </c:ext>
          </c:extLst>
        </c:ser>
        <c:ser>
          <c:idx val="5"/>
          <c:order val="5"/>
          <c:tx>
            <c:strRef>
              <c:f>'DONNEES '!$AA$39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'!$AB$39</c:f>
              <c:numCache>
                <c:formatCode>0.00%</c:formatCode>
                <c:ptCount val="1"/>
                <c:pt idx="0">
                  <c:v>3.939592908732764E-3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ABE-3143-988F-AFB15A13F574}"/>
            </c:ext>
          </c:extLst>
        </c:ser>
        <c:ser>
          <c:idx val="6"/>
          <c:order val="6"/>
          <c:tx>
            <c:strRef>
              <c:f>'DONNEES '!$AA$40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'!$AB$40</c:f>
              <c:numCache>
                <c:formatCode>0.00%</c:formatCode>
                <c:ptCount val="1"/>
                <c:pt idx="0">
                  <c:v>3.764442365430669E-3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ABE-3143-988F-AFB15A13F574}"/>
            </c:ext>
          </c:extLst>
        </c:ser>
        <c:ser>
          <c:idx val="7"/>
          <c:order val="7"/>
          <c:tx>
            <c:strRef>
              <c:f>'DONNEES '!$AA$41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66180499323603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2ABE-3143-988F-AFB15A13F5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'!$AB$41</c:f>
              <c:numCache>
                <c:formatCode>0.00%</c:formatCode>
                <c:ptCount val="1"/>
                <c:pt idx="0">
                  <c:v>-4.2045167162576766E-3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2ABE-3143-988F-AFB15A13F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01"/>
        </c:scaling>
        <c:delete val="1"/>
        <c:axPos val="b"/>
        <c:numFmt formatCode="0.0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2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'!$G$44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				</a:t>
                    </a:r>
                    <a:fld id="{F1216E97-1620-714E-9CB5-C1BA0500592B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825841246600825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679-9245-806C-B9A545236EEB}"/>
            </c:ext>
          </c:extLst>
        </c:ser>
        <c:ser>
          <c:idx val="1"/>
          <c:order val="1"/>
          <c:tx>
            <c:strRef>
              <c:f>'DONNEES '!$G$45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0679-9245-806C-B9A545236EEB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 				</a:t>
                    </a:r>
                    <a:fld id="{68C76453-818E-CB47-B46D-AE0EB0606FE0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827588856865305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679-9245-806C-B9A545236EEB}"/>
            </c:ext>
          </c:extLst>
        </c:ser>
        <c:ser>
          <c:idx val="2"/>
          <c:order val="2"/>
          <c:tx>
            <c:strRef>
              <c:f>'DONNEES '!$G$46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 				</a:t>
                    </a:r>
                    <a:fld id="{F3DAD87F-AC85-714B-8B1F-34D74844D816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811790742610044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679-9245-806C-B9A545236EEB}"/>
            </c:ext>
          </c:extLst>
        </c:ser>
        <c:ser>
          <c:idx val="3"/>
          <c:order val="3"/>
          <c:tx>
            <c:strRef>
              <c:f>'DONNEES '!$G$47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4443D066-681B-944C-B59B-B752E4D77647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 				</a:t>
                    </a:r>
                    <a:fld id="{48AD2D53-4C2F-E646-BB11-CFD014A4415F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840365436181148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679-9245-806C-B9A545236EEB}"/>
            </c:ext>
          </c:extLst>
        </c:ser>
        <c:ser>
          <c:idx val="4"/>
          <c:order val="4"/>
          <c:tx>
            <c:strRef>
              <c:f>'DONNEES '!$G$48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0679-9245-806C-B9A545236EEB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CC189ED0-67B9-A942-B181-AF3BBA0DC1A3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				</a:t>
                    </a:r>
                    <a:fld id="{2CD66163-1502-4143-987E-D04B2C97E3D2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840365436181148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9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679-9245-806C-B9A545236EEB}"/>
            </c:ext>
          </c:extLst>
        </c:ser>
        <c:ser>
          <c:idx val="5"/>
          <c:order val="5"/>
          <c:tx>
            <c:strRef>
              <c:f>'DONNEES '!$G$49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 				</a:t>
                    </a:r>
                    <a:fld id="{D63CCC08-561E-6442-A555-CFAE5DCB06B8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918464243637865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C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679-9245-806C-B9A545236EEB}"/>
            </c:ext>
          </c:extLst>
        </c:ser>
        <c:ser>
          <c:idx val="6"/>
          <c:order val="6"/>
          <c:tx>
            <c:strRef>
              <c:f>'DONNEES '!$G$50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9CA71615-9CE6-0C4E-A201-15758292ACC1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				</a:t>
                    </a:r>
                    <a:fld id="{373701FF-D070-AC48-B163-409EF6BFAB64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805294737566789"/>
                      <c:h val="6.8279056448506584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F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0679-9245-806C-B9A545236EEB}"/>
            </c:ext>
          </c:extLst>
        </c:ser>
        <c:ser>
          <c:idx val="7"/>
          <c:order val="7"/>
          <c:tx>
            <c:strRef>
              <c:f>'DONNEES '!$G$51</c:f>
              <c:strCache>
                <c:ptCount val="1"/>
                <c:pt idx="0">
                  <c:v>#NOMBRE!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0679-9245-806C-B9A545236EEB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D384631B-FECE-8642-915A-A9BBD850D4DA}" type="SERIESNAM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t>				</a:t>
                    </a:r>
                    <a:fld id="{70E47758-7502-B249-A76F-B7649CF7261B}" type="VALUE">
                      <a:rPr lang="en-US">
                        <a:solidFill>
                          <a:schemeClr val="accent3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3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805294737566789"/>
                      <c:h val="7.057449310212005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3-0679-9245-806C-B9A545236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679-9245-806C-B9A545236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3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accent3">
              <a:lumMod val="60000"/>
              <a:lumOff val="40000"/>
            </a:schemeClr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'!$Q$75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F8624277-47DB-B24F-8EFA-59AAB77B4C72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			</a:t>
                    </a:r>
                    <a:fld id="{F1216E97-1620-714E-9CB5-C1BA0500592B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62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'!$R$75</c:f>
              <c:numCache>
                <c:formatCode>0</c:formatCode>
                <c:ptCount val="1"/>
                <c:pt idx="0">
                  <c:v>54.642174115680696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5679-EF4B-A20B-C1ECD358FF95}"/>
            </c:ext>
          </c:extLst>
        </c:ser>
        <c:ser>
          <c:idx val="1"/>
          <c:order val="1"/>
          <c:tx>
            <c:strRef>
              <c:f>'DONNEES '!$Q$76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ED39B6C3-29DA-2644-8D09-F2F6035E6900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	 		</a:t>
                    </a:r>
                    <a:fld id="{68C76453-818E-CB47-B46D-AE0EB0606FE0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65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'!$R$76</c:f>
              <c:numCache>
                <c:formatCode>0</c:formatCode>
                <c:ptCount val="1"/>
                <c:pt idx="0">
                  <c:v>51.975680216605625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5679-EF4B-A20B-C1ECD358FF95}"/>
            </c:ext>
          </c:extLst>
        </c:ser>
        <c:ser>
          <c:idx val="2"/>
          <c:order val="2"/>
          <c:tx>
            <c:strRef>
              <c:f>'DONNEES '!$Q$77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				 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68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'!$R$77</c:f>
              <c:numCache>
                <c:formatCode>0</c:formatCode>
                <c:ptCount val="1"/>
                <c:pt idx="0">
                  <c:v>51.96004849604526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5679-EF4B-A20B-C1ECD358FF95}"/>
            </c:ext>
          </c:extLst>
        </c:ser>
        <c:ser>
          <c:idx val="3"/>
          <c:order val="3"/>
          <c:tx>
            <c:strRef>
              <c:f>'DONNEES '!$Q$78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			 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6B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'!$R$78</c:f>
              <c:numCache>
                <c:formatCode>0</c:formatCode>
                <c:ptCount val="1"/>
                <c:pt idx="0">
                  <c:v>50.318421259532983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5679-EF4B-A20B-C1ECD358FF95}"/>
            </c:ext>
          </c:extLst>
        </c:ser>
        <c:ser>
          <c:idx val="4"/>
          <c:order val="4"/>
          <c:tx>
            <c:strRef>
              <c:f>'DONNEES '!$Q$79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5679-EF4B-A20B-C1ECD358FF9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 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34585555726"/>
                      <c:h val="8.222208489910831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6E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'!$R$79</c:f>
              <c:numCache>
                <c:formatCode>0</c:formatCode>
                <c:ptCount val="1"/>
                <c:pt idx="0">
                  <c:v>43.39627107677984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5679-EF4B-A20B-C1ECD358FF95}"/>
            </c:ext>
          </c:extLst>
        </c:ser>
        <c:ser>
          <c:idx val="5"/>
          <c:order val="5"/>
          <c:tx>
            <c:strRef>
              <c:f>'DONNEES '!$Q$80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93E9F0C6-C20A-0944-A18A-725EC8B1F2FF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D63CCC08-561E-6442-A555-CFAE5DCB06B8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4088741608"/>
                      <c:h val="6.584481725182209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71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'!$R$80</c:f>
              <c:numCache>
                <c:formatCode>0</c:formatCode>
                <c:ptCount val="1"/>
                <c:pt idx="0">
                  <c:v>36.47250125374223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5679-EF4B-A20B-C1ECD358FF95}"/>
            </c:ext>
          </c:extLst>
        </c:ser>
        <c:ser>
          <c:idx val="6"/>
          <c:order val="6"/>
          <c:tx>
            <c:strRef>
              <c:f>'DONNEES '!$Q$81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74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'!$R$81</c:f>
              <c:numCache>
                <c:formatCode>0</c:formatCode>
                <c:ptCount val="1"/>
                <c:pt idx="0">
                  <c:v>32.266678534870266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5679-EF4B-A20B-C1ECD358FF95}"/>
            </c:ext>
          </c:extLst>
        </c:ser>
        <c:ser>
          <c:idx val="7"/>
          <c:order val="7"/>
          <c:tx>
            <c:strRef>
              <c:f>'DONNEES '!$Q$82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9183770372604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77-5679-EF4B-A20B-C1ECD358F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'!$R$82</c:f>
              <c:numCache>
                <c:formatCode>0</c:formatCode>
                <c:ptCount val="1"/>
                <c:pt idx="0">
                  <c:v>22.193555546308239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5679-EF4B-A20B-C1ECD358F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70"/>
          <c:min val="0"/>
        </c:scaling>
        <c:delete val="1"/>
        <c:axPos val="b"/>
        <c:numFmt formatCode="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'!$G$75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F8624277-47DB-B24F-8EFA-59AAB77B4C72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			</a:t>
                    </a:r>
                    <a:fld id="{F1216E97-1620-714E-9CB5-C1BA0500592B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7.9032314861549657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2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'!$H$75</c:f>
              <c:numCache>
                <c:formatCode>0</c:formatCode>
                <c:ptCount val="1"/>
                <c:pt idx="0">
                  <c:v>101.85028008827024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482-BE49-B724-CA817E57350E}"/>
            </c:ext>
          </c:extLst>
        </c:ser>
        <c:ser>
          <c:idx val="1"/>
          <c:order val="1"/>
          <c:tx>
            <c:strRef>
              <c:f>'DONNEES '!$G$76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ED39B6C3-29DA-2644-8D09-F2F6035E6900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  <a:fld id="{68C76453-818E-CB47-B46D-AE0EB0606FE0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7.863926125295957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5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'!$H$76</c:f>
              <c:numCache>
                <c:formatCode>0</c:formatCode>
                <c:ptCount val="1"/>
                <c:pt idx="0">
                  <c:v>88.941595019270679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482-BE49-B724-CA817E57350E}"/>
            </c:ext>
          </c:extLst>
        </c:ser>
        <c:ser>
          <c:idx val="2"/>
          <c:order val="2"/>
          <c:tx>
            <c:strRef>
              <c:f>'DONNEES '!$G$77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757FB71B-4627-AD49-9DB9-24F88034618A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F3DAD87F-AC85-714B-8B1F-34D74844D816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7.8798075559063777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8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'!$H$77</c:f>
              <c:numCache>
                <c:formatCode>0</c:formatCode>
                <c:ptCount val="1"/>
                <c:pt idx="0">
                  <c:v>41.499515838981878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1482-BE49-B724-CA817E57350E}"/>
            </c:ext>
          </c:extLst>
        </c:ser>
        <c:ser>
          <c:idx val="3"/>
          <c:order val="3"/>
          <c:tx>
            <c:strRef>
              <c:f>'DONNEES '!$G$78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4443D066-681B-944C-B59B-B752E4D77647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			</a:t>
                    </a:r>
                    <a:fld id="{48AD2D53-4C2F-E646-BB11-CFD014A4415F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7.886608936547782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B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'!$H$78</c:f>
              <c:numCache>
                <c:formatCode>0</c:formatCode>
                <c:ptCount val="1"/>
                <c:pt idx="0">
                  <c:v>31.796502384737678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482-BE49-B724-CA817E57350E}"/>
            </c:ext>
          </c:extLst>
        </c:ser>
        <c:ser>
          <c:idx val="4"/>
          <c:order val="4"/>
          <c:tx>
            <c:strRef>
              <c:f>'DONNEES '!$G$79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1482-BE49-B724-CA817E57350E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CC189ED0-67B9-A942-B181-AF3BBA0DC1A3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2CD66163-1502-4143-987E-D04B2C97E3D2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7.219153265828058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E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'!$H$79</c:f>
              <c:numCache>
                <c:formatCode>0</c:formatCode>
                <c:ptCount val="1"/>
                <c:pt idx="0">
                  <c:v>31.347962382445139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482-BE49-B724-CA817E57350E}"/>
            </c:ext>
          </c:extLst>
        </c:ser>
        <c:ser>
          <c:idx val="5"/>
          <c:order val="5"/>
          <c:tx>
            <c:strRef>
              <c:f>'DONNEES '!$G$80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93E9F0C6-C20A-0944-A18A-725EC8B1F2FF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  <a:fld id="{D63CCC08-561E-6442-A555-CFAE5DCB06B8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1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'!$H$80</c:f>
              <c:numCache>
                <c:formatCode>0</c:formatCode>
                <c:ptCount val="1"/>
                <c:pt idx="0">
                  <c:v>23.030861354214647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482-BE49-B724-CA817E57350E}"/>
            </c:ext>
          </c:extLst>
        </c:ser>
        <c:ser>
          <c:idx val="6"/>
          <c:order val="6"/>
          <c:tx>
            <c:strRef>
              <c:f>'DONNEES '!$G$81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9CA71615-9CE6-0C4E-A201-15758292ACC1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373701FF-D070-AC48-B163-409EF6BFAB64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6.583349846108636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4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'!$H$81</c:f>
              <c:numCache>
                <c:formatCode>0</c:formatCode>
                <c:ptCount val="1"/>
                <c:pt idx="0">
                  <c:v>17.047391749062392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482-BE49-B724-CA817E57350E}"/>
            </c:ext>
          </c:extLst>
        </c:ser>
        <c:ser>
          <c:idx val="7"/>
          <c:order val="7"/>
          <c:tx>
            <c:strRef>
              <c:f>'DONNEES '!$G$82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 rtl="0">
                      <a:defRPr/>
                    </a:pPr>
                    <a:fld id="{D384631B-FECE-8642-915A-A9BBD850D4DA}" type="SERIESNAME">
                      <a:rPr lang="en-US"/>
                      <a:pPr algn="ctr" rtl="0"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70E47758-7502-B249-A76F-B7649CF7261B}" type="VALUE">
                      <a:rPr lang="en-US"/>
                      <a:pPr algn="ctr" rtl="0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27696858598074"/>
                      <c:h val="7.2482285320781437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7-1482-BE49-B724-CA817E573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1482-BE49-B724-CA817E573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70"/>
          <c:min val="0"/>
        </c:scaling>
        <c:delete val="1"/>
        <c:axPos val="b"/>
        <c:numFmt formatCode="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'!$Q$85</c:f>
              <c:strCache>
                <c:ptCount val="1"/>
                <c:pt idx="0">
                  <c:v>#NOMBRE!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rPr>
                      <a:t>			</a:t>
                    </a:r>
                    <a:fld id="{F1216E97-1620-714E-9CB5-C1BA0500592B}" type="VALUE">
                      <a:rPr lang="en-US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accent4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9C-824A-A4A1-6DC8FEAC825C}"/>
            </c:ext>
          </c:extLst>
        </c:ser>
        <c:ser>
          <c:idx val="1"/>
          <c:order val="1"/>
          <c:tx>
            <c:strRef>
              <c:f>'DONNEES '!$Q$86</c:f>
              <c:strCache>
                <c:ptCount val="1"/>
                <c:pt idx="0">
                  <c:v>#NOMBRE!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rPr>
                      <a:t>	 		</a:t>
                    </a:r>
                    <a:fld id="{68C76453-818E-CB47-B46D-AE0EB0606FE0}" type="VALUE">
                      <a:rPr lang="en-US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</a:rPr>
                      <a:pPr algn="ctr">
                        <a:defRPr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accent4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'!$R$86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9C-824A-A4A1-6DC8FEAC825C}"/>
            </c:ext>
          </c:extLst>
        </c:ser>
        <c:ser>
          <c:idx val="2"/>
          <c:order val="2"/>
          <c:tx>
            <c:strRef>
              <c:f>'DONNEES '!$Q$87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 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accent4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'!$R$87</c:f>
              <c:numCache>
                <c:formatCode>0.0%</c:formatCode>
                <c:ptCount val="1"/>
                <c:pt idx="0">
                  <c:v>0.2404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9C-824A-A4A1-6DC8FEAC825C}"/>
            </c:ext>
          </c:extLst>
        </c:ser>
        <c:ser>
          <c:idx val="3"/>
          <c:order val="3"/>
          <c:tx>
            <c:strRef>
              <c:f>'DONNEES '!$Q$88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 sz="2000">
                        <a:solidFill>
                          <a:schemeClr val="bg1"/>
                        </a:solidFill>
                      </a:defRPr>
                    </a:pPr>
                    <a:fld id="{4443D066-681B-944C-B59B-B752E4D77647}" type="SERIESNAME">
                      <a:rPr lang="en-US" sz="2000">
                        <a:solidFill>
                          <a:schemeClr val="bg1"/>
                        </a:solidFill>
                      </a:rPr>
                      <a:pPr algn="ctr">
                        <a:defRPr sz="2000"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 sz="2000">
                        <a:solidFill>
                          <a:schemeClr val="bg1"/>
                        </a:solidFill>
                      </a:rPr>
                      <a:t>			 </a:t>
                    </a:r>
                    <a:fld id="{48AD2D53-4C2F-E646-BB11-CFD014A4415F}" type="VALUE">
                      <a:rPr lang="en-US" sz="2000">
                        <a:solidFill>
                          <a:schemeClr val="bg1"/>
                        </a:solidFill>
                      </a:rPr>
                      <a:pPr algn="ctr">
                        <a:defRPr sz="2000"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sz="200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'!$R$88</c:f>
              <c:numCache>
                <c:formatCode>0.0%</c:formatCode>
                <c:ptCount val="1"/>
                <c:pt idx="0">
                  <c:v>0.24360000000000001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9C-824A-A4A1-6DC8FEAC825C}"/>
            </c:ext>
          </c:extLst>
        </c:ser>
        <c:ser>
          <c:idx val="4"/>
          <c:order val="4"/>
          <c:tx>
            <c:strRef>
              <c:f>'DONNEES '!$Q$89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959C-824A-A4A1-6DC8FEAC825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 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34585555726"/>
                      <c:h val="8.222208489910831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'!$R$89</c:f>
              <c:numCache>
                <c:formatCode>0.0%</c:formatCode>
                <c:ptCount val="1"/>
                <c:pt idx="0">
                  <c:v>0.29060000000000002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9C-824A-A4A1-6DC8FEAC825C}"/>
            </c:ext>
          </c:extLst>
        </c:ser>
        <c:ser>
          <c:idx val="5"/>
          <c:order val="5"/>
          <c:tx>
            <c:strRef>
              <c:f>'DONNEES '!$Q$90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93E9F0C6-C20A-0944-A18A-725EC8B1F2FF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  <a:fld id="{D63CCC08-561E-6442-A555-CFAE5DCB06B8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4088741608"/>
                      <c:h val="6.584481725182209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'!$R$90</c:f>
              <c:numCache>
                <c:formatCode>0.0%</c:formatCode>
                <c:ptCount val="1"/>
                <c:pt idx="0">
                  <c:v>0.40110000000000001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9C-824A-A4A1-6DC8FEAC825C}"/>
            </c:ext>
          </c:extLst>
        </c:ser>
        <c:ser>
          <c:idx val="6"/>
          <c:order val="6"/>
          <c:tx>
            <c:strRef>
              <c:f>'DONNEES '!$Q$91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'!$R$91</c:f>
              <c:numCache>
                <c:formatCode>0.0%</c:formatCode>
                <c:ptCount val="1"/>
                <c:pt idx="0">
                  <c:v>0.40839999999999999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9C-824A-A4A1-6DC8FEAC825C}"/>
            </c:ext>
          </c:extLst>
        </c:ser>
        <c:ser>
          <c:idx val="7"/>
          <c:order val="7"/>
          <c:tx>
            <c:strRef>
              <c:f>'DONNEES '!$Q$92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9183770372604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6-959C-824A-A4A1-6DC8FEAC8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'!$R$92</c:f>
              <c:numCache>
                <c:formatCode>0.0%</c:formatCode>
                <c:ptCount val="1"/>
                <c:pt idx="0">
                  <c:v>0.47749999999999998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9C-824A-A4A1-6DC8FEAC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6"/>
          <c:min val="0"/>
        </c:scaling>
        <c:delete val="1"/>
        <c:axPos val="b"/>
        <c:numFmt formatCode="0.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4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5"/>
          <c:order val="0"/>
          <c:tx>
            <c:strRef>
              <c:f>'DONNEES '!$C$9</c:f>
              <c:strCache>
                <c:ptCount val="1"/>
                <c:pt idx="0">
                  <c:v>PM CEL SAT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75087E78-B349-5D4C-8B26-EAC8C74205C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</a:t>
                    </a:r>
                    <a:fld id="{91E5FEBE-BB43-9340-873E-06794E2BB830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918252643421384"/>
                      <c:h val="9.8630136986301367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183C-2949-A9BE-A093E221EF9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'!$E$9</c:f>
              <c:numCache>
                <c:formatCode>_("€"* #,##0.00_);_("€"* \(#,##0.00\);_("€"* "-"??_);_(@_)</c:formatCode>
                <c:ptCount val="1"/>
                <c:pt idx="0">
                  <c:v>13.92498297537978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83C-2949-A9BE-A093E221EF95}"/>
            </c:ext>
          </c:extLst>
        </c:ser>
        <c:ser>
          <c:idx val="4"/>
          <c:order val="1"/>
          <c:tx>
            <c:strRef>
              <c:f>'DONNEES '!$C$8</c:f>
              <c:strCache>
                <c:ptCount val="1"/>
                <c:pt idx="0">
                  <c:v>PM C&amp;READY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B147B19C-4C80-8344-9F7E-953AF331A27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 		</a:t>
                    </a:r>
                    <a:fld id="{D75B75F6-FB65-A949-9B9D-901C1424DDFD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918252643421384"/>
                      <c:h val="9.8630136986301367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183C-2949-A9BE-A093E221EF95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'!$E$8</c:f>
              <c:numCache>
                <c:formatCode>_("€"* #,##0.00_);_("€"* \(#,##0.00\);_("€"* "-"??_);_(@_)</c:formatCode>
                <c:ptCount val="1"/>
                <c:pt idx="0">
                  <c:v>31.172425556408285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3C-2949-A9BE-A093E221EF95}"/>
            </c:ext>
          </c:extLst>
        </c:ser>
        <c:ser>
          <c:idx val="3"/>
          <c:order val="2"/>
          <c:tx>
            <c:strRef>
              <c:f>'DONNEES '!$C$7</c:f>
              <c:strCache>
                <c:ptCount val="1"/>
                <c:pt idx="0">
                  <c:v>PM C&amp;COLLECT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031814C3-59A9-744B-9708-36F7D038AA2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 		</a:t>
                    </a:r>
                    <a:fld id="{781A5FFE-12C5-7B4B-A3EA-FEBDB277D261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918252643421384"/>
                      <c:h val="9.8630136986301367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83C-2949-A9BE-A093E221EF9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'!$E$7</c:f>
              <c:numCache>
                <c:formatCode>_("€"* #,##0.00_);_("€"* \(#,##0.00\);_("€"* "-"??_);_(@_)</c:formatCode>
                <c:ptCount val="1"/>
                <c:pt idx="0">
                  <c:v>27.540877907228552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3C-2949-A9BE-A093E221EF95}"/>
            </c:ext>
          </c:extLst>
        </c:ser>
        <c:ser>
          <c:idx val="2"/>
          <c:order val="3"/>
          <c:tx>
            <c:strRef>
              <c:f>'DONNEES '!$C$6</c:f>
              <c:strCache>
                <c:ptCount val="1"/>
                <c:pt idx="0">
                  <c:v>PM LAD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CB02CBC1-0BEE-8F4D-BE87-0CE8E8B29219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 			</a:t>
                    </a:r>
                    <a:fld id="{BDB81006-7432-D248-BFA5-D3D874129829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918252643421384"/>
                      <c:h val="0.1035616438356164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83C-2949-A9BE-A093E221EF9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'!$E$6</c:f>
              <c:numCache>
                <c:formatCode>_("€"* #,##0.00_);_("€"* \(#,##0.00\);_("€"* "-"??_);_(@_)</c:formatCode>
                <c:ptCount val="1"/>
                <c:pt idx="0">
                  <c:v>28.576348089116397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3C-2949-A9BE-A093E221EF95}"/>
            </c:ext>
          </c:extLst>
        </c:ser>
        <c:ser>
          <c:idx val="1"/>
          <c:order val="4"/>
          <c:tx>
            <c:strRef>
              <c:f>'DONNEES '!$C$5</c:f>
              <c:strCache>
                <c:ptCount val="1"/>
                <c:pt idx="0">
                  <c:v>PM DRIVE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F46D71ED-AA83-B348-9EAB-BC8D987FE9B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		</a:t>
                    </a:r>
                    <a:fld id="{A1EFF145-D4E1-3C4E-9AAE-A882E1A23903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918252643421384"/>
                      <c:h val="7.397260273972602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83C-2949-A9BE-A093E221EF9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'!$E$5</c:f>
              <c:numCache>
                <c:formatCode>_("€"* #,##0.00_);_("€"* \(#,##0.00\);_("€"* "-"??_);_(@_)</c:formatCode>
                <c:ptCount val="1"/>
                <c:pt idx="0">
                  <c:v>20.683198135724421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3C-2949-A9BE-A093E221EF95}"/>
            </c:ext>
          </c:extLst>
        </c:ser>
        <c:ser>
          <c:idx val="0"/>
          <c:order val="5"/>
          <c:tx>
            <c:strRef>
              <c:f>'DONNEES '!$C$4</c:f>
              <c:strCache>
                <c:ptCount val="1"/>
                <c:pt idx="0">
                  <c:v>PM FRANCHISE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A09C747E-4CF5-FB41-895C-F28091D9C09E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 		</a:t>
                    </a:r>
                    <a:fld id="{E2AD2220-4BB7-BE45-9CD7-118E683F626F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918252643421384"/>
                      <c:h val="7.397260273972602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83C-2949-A9BE-A093E221E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'!$E$4</c:f>
              <c:numCache>
                <c:formatCode>_("€"* #,##0.00_);_("€"* \(#,##0.00\);_("€"* "-"??_);_(@_)</c:formatCode>
                <c:ptCount val="1"/>
                <c:pt idx="0">
                  <c:v>19.374865405545879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3C-2949-A9BE-A093E221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50"/>
        </c:scaling>
        <c:delete val="1"/>
        <c:axPos val="b"/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5">
        <a:lumMod val="75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'!$AF$4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3191114648910105"/>
                  <c:y val="4.757606124210779E-3"/>
                </c:manualLayout>
              </c:layout>
              <c:tx>
                <c:rich>
                  <a:bodyPr/>
                  <a:lstStyle/>
                  <a:p>
                    <a:fld id="{F8624277-47DB-B24F-8EFA-59AAB77B4C72}" type="SERIESNAME">
                      <a:rPr lang="en-US"/>
                      <a:pPr/>
                      <a:t>[NOM DE SÉRIE]</a:t>
                    </a:fld>
                    <a:r>
                      <a:rPr lang="en-US"/>
                      <a:t>			</a:t>
                    </a:r>
                    <a:fld id="{F1216E97-1620-714E-9CB5-C1BA0500592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6.929011064067970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E03-7649-BAFD-D6BE66F964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'!$AG$4</c:f>
              <c:numCache>
                <c:formatCode>0.0%</c:formatCode>
                <c:ptCount val="1"/>
                <c:pt idx="0">
                  <c:v>-0.11580061133317658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3-7649-BAFD-D6BE66F96424}"/>
            </c:ext>
          </c:extLst>
        </c:ser>
        <c:ser>
          <c:idx val="1"/>
          <c:order val="1"/>
          <c:tx>
            <c:strRef>
              <c:f>'DONNEES '!$AF$5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E03-7649-BAFD-D6BE66F96424}"/>
              </c:ext>
            </c:extLst>
          </c:dPt>
          <c:dLbls>
            <c:dLbl>
              <c:idx val="0"/>
              <c:layout>
                <c:manualLayout>
                  <c:x val="-0.23123074198837482"/>
                  <c:y val="1.899582079871277E-3"/>
                </c:manualLayout>
              </c:layout>
              <c:tx>
                <c:rich>
                  <a:bodyPr/>
                  <a:lstStyle/>
                  <a:p>
                    <a:fld id="{ED39B6C3-29DA-2644-8D09-F2F6035E6900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68C76453-818E-CB47-B46D-AE0EB0606FE0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7.432454797590842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E03-7649-BAFD-D6BE66F964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'!$AG$5</c:f>
              <c:numCache>
                <c:formatCode>0.0%</c:formatCode>
                <c:ptCount val="1"/>
                <c:pt idx="0">
                  <c:v>-7.6267617496771301E-2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03-7649-BAFD-D6BE66F96424}"/>
            </c:ext>
          </c:extLst>
        </c:ser>
        <c:ser>
          <c:idx val="2"/>
          <c:order val="2"/>
          <c:tx>
            <c:strRef>
              <c:f>'DONNEES '!$AF$6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3230898182386159"/>
                  <c:y val="2.3305188321573775E-3"/>
                </c:manualLayout>
              </c:layout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0857598989"/>
                      <c:h val="6.929011064067970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E03-7649-BAFD-D6BE66F964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'!$AG$6</c:f>
              <c:numCache>
                <c:formatCode>0.0%</c:formatCode>
                <c:ptCount val="1"/>
                <c:pt idx="0">
                  <c:v>-7.2878086419753088E-2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03-7649-BAFD-D6BE66F96424}"/>
            </c:ext>
          </c:extLst>
        </c:ser>
        <c:ser>
          <c:idx val="3"/>
          <c:order val="3"/>
          <c:tx>
            <c:strRef>
              <c:f>'DONNEES '!$AF$7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3172246078235659"/>
                  <c:y val="5.4257391561163947E-3"/>
                </c:manualLayout>
              </c:layout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DE03-7649-BAFD-D6BE66F964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'!$AG$7</c:f>
              <c:numCache>
                <c:formatCode>0.0%</c:formatCode>
                <c:ptCount val="1"/>
                <c:pt idx="0">
                  <c:v>-6.8710041758628909E-2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03-7649-BAFD-D6BE66F96424}"/>
            </c:ext>
          </c:extLst>
        </c:ser>
        <c:ser>
          <c:idx val="4"/>
          <c:order val="4"/>
          <c:tx>
            <c:strRef>
              <c:f>'DONNEES '!$AF$8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DE03-7649-BAFD-D6BE66F96424}"/>
              </c:ext>
            </c:extLst>
          </c:dPt>
          <c:dLbls>
            <c:dLbl>
              <c:idx val="0"/>
              <c:layout>
                <c:manualLayout>
                  <c:x val="-0.23399721356565867"/>
                  <c:y val="-1.005921457718668E-7"/>
                </c:manualLayout>
              </c:layout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DE03-7649-BAFD-D6BE66F964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'!$AG$8</c:f>
              <c:numCache>
                <c:formatCode>0.0%</c:formatCode>
                <c:ptCount val="1"/>
                <c:pt idx="0">
                  <c:v>-6.2624284423018983E-2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03-7649-BAFD-D6BE66F96424}"/>
            </c:ext>
          </c:extLst>
        </c:ser>
        <c:ser>
          <c:idx val="5"/>
          <c:order val="5"/>
          <c:tx>
            <c:strRef>
              <c:f>'DONNEES '!$AF$9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2999104599036604"/>
                  <c:y val="2.3581816722317126E-3"/>
                </c:manualLayout>
              </c:layout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3129351341"/>
                      <c:h val="8.129954773324278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DE03-7649-BAFD-D6BE66F964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'!$AG$9</c:f>
              <c:numCache>
                <c:formatCode>0.0%</c:formatCode>
                <c:ptCount val="1"/>
                <c:pt idx="0">
                  <c:v>-5.7642439060531972E-2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03-7649-BAFD-D6BE66F96424}"/>
            </c:ext>
          </c:extLst>
        </c:ser>
        <c:ser>
          <c:idx val="6"/>
          <c:order val="6"/>
          <c:tx>
            <c:strRef>
              <c:f>'DONNEES '!$AF$10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2723935855212327"/>
                  <c:y val="5.3319872763006714E-3"/>
                </c:manualLayout>
              </c:layout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DE03-7649-BAFD-D6BE66F964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'!$AG$10</c:f>
              <c:numCache>
                <c:formatCode>0.0%</c:formatCode>
                <c:ptCount val="1"/>
                <c:pt idx="0">
                  <c:v>-4.9896922673263615E-2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03-7649-BAFD-D6BE66F96424}"/>
            </c:ext>
          </c:extLst>
        </c:ser>
        <c:ser>
          <c:idx val="7"/>
          <c:order val="7"/>
          <c:tx>
            <c:strRef>
              <c:f>'DONNEES '!$AF$11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DE03-7649-BAFD-D6BE66F96424}"/>
              </c:ext>
            </c:extLst>
          </c:dPt>
          <c:dLbls>
            <c:dLbl>
              <c:idx val="0"/>
              <c:layout>
                <c:manualLayout>
                  <c:x val="-0.22833346836737164"/>
                  <c:y val="4.902458814054815E-3"/>
                </c:manualLayout>
              </c:layout>
              <c:tx>
                <c:rich>
                  <a:bodyPr rot="0" vert="horz"/>
                  <a:lstStyle/>
                  <a:p>
                    <a:pPr>
                      <a:defRPr/>
                    </a:pPr>
                    <a:fld id="{D384631B-FECE-8642-915A-A9BBD850D4DA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</a:t>
                    </a:r>
                    <a:fld id="{70E47758-7502-B249-A76F-B7649CF7261B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DE03-7649-BAFD-D6BE66F964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'!$AG$11</c:f>
              <c:numCache>
                <c:formatCode>0.0%</c:formatCode>
                <c:ptCount val="1"/>
                <c:pt idx="0">
                  <c:v>-4.489874691553742E-2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03-7649-BAFD-D6BE66F96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0.12"/>
          <c:min val="-0.12"/>
        </c:scaling>
        <c:delete val="1"/>
        <c:axPos val="b"/>
        <c:numFmt formatCode="0.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4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'!$Q$12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6.778545789370651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'!$R$12</c:f>
              <c:numCache>
                <c:formatCode>General</c:formatCode>
                <c:ptCount val="1"/>
                <c:pt idx="0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1-BC45-90DF-1E7B48141C49}"/>
            </c:ext>
          </c:extLst>
        </c:ser>
        <c:ser>
          <c:idx val="1"/>
          <c:order val="1"/>
          <c:tx>
            <c:strRef>
              <c:f>'DONNEES '!$Q$13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6.563828999714704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'!$R$13</c:f>
              <c:numCache>
                <c:formatCode>General</c:formatCode>
                <c:ptCount val="1"/>
                <c:pt idx="0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E1-BC45-90DF-1E7B48141C49}"/>
            </c:ext>
          </c:extLst>
        </c:ser>
        <c:ser>
          <c:idx val="2"/>
          <c:order val="2"/>
          <c:tx>
            <c:strRef>
              <c:f>'DONNEES '!$Q$14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	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'!$R$14</c:f>
              <c:numCache>
                <c:formatCode>General</c:formatCode>
                <c:ptCount val="1"/>
                <c:pt idx="0">
                  <c:v>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E1-BC45-90DF-1E7B48141C49}"/>
            </c:ext>
          </c:extLst>
        </c:ser>
        <c:ser>
          <c:idx val="3"/>
          <c:order val="3"/>
          <c:tx>
            <c:strRef>
              <c:f>'DONNEES '!$Q$15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4443D066-681B-944C-B59B-B752E4D7764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 				</a:t>
                    </a:r>
                    <a:fld id="{48AD2D53-4C2F-E646-BB11-CFD014A4415F}" type="VALU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0.1233538390390819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'!$R$15</c:f>
              <c:numCache>
                <c:formatCode>General</c:formatCode>
                <c:ptCount val="1"/>
                <c:pt idx="0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E1-BC45-90DF-1E7B48141C49}"/>
            </c:ext>
          </c:extLst>
        </c:ser>
        <c:ser>
          <c:idx val="4"/>
          <c:order val="4"/>
          <c:tx>
            <c:strRef>
              <c:f>'DONNEES '!$Q$16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2E1-BC45-90DF-1E7B48141C49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CC189ED0-67B9-A942-B181-AF3BBA0DC1A3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2CD66163-1502-4143-987E-D04B2C97E3D2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'!$R$16</c:f>
              <c:numCache>
                <c:formatCode>General</c:formatCode>
                <c:ptCount val="1"/>
                <c:pt idx="0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E1-BC45-90DF-1E7B48141C49}"/>
            </c:ext>
          </c:extLst>
        </c:ser>
        <c:ser>
          <c:idx val="5"/>
          <c:order val="5"/>
          <c:tx>
            <c:strRef>
              <c:f>'DONNEES '!$Q$17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'!$R$17</c:f>
              <c:numCache>
                <c:formatCode>General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E1-BC45-90DF-1E7B48141C49}"/>
            </c:ext>
          </c:extLst>
        </c:ser>
        <c:ser>
          <c:idx val="6"/>
          <c:order val="6"/>
          <c:tx>
            <c:strRef>
              <c:f>'DONNEES '!$Q$18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9CA71615-9CE6-0C4E-A201-15758292ACC1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373701FF-D070-AC48-B163-409EF6BFAB64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'!$R$18</c:f>
              <c:numCache>
                <c:formatCode>General</c:formatCode>
                <c:ptCount val="1"/>
                <c:pt idx="0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E1-BC45-90DF-1E7B48141C49}"/>
            </c:ext>
          </c:extLst>
        </c:ser>
        <c:ser>
          <c:idx val="7"/>
          <c:order val="7"/>
          <c:tx>
            <c:strRef>
              <c:f>'DONNEES '!$Q$19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D384631B-FECE-8642-915A-A9BBD850D4D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	</a:t>
                    </a:r>
                    <a:fld id="{70E47758-7502-B249-A76F-B7649CF7261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1559489497758"/>
                      <c:h val="6.7513289477295804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A2E1-BC45-90DF-1E7B48141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'!$R$19</c:f>
              <c:numCache>
                <c:formatCode>General</c:formatCode>
                <c:ptCount val="1"/>
                <c:pt idx="0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2E1-BC45-90DF-1E7B4814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600"/>
        </c:scaling>
        <c:delete val="1"/>
        <c:axPos val="b"/>
        <c:numFmt formatCode="General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solidFill>
          <a:schemeClr val="accent6">
            <a:lumMod val="60000"/>
            <a:lumOff val="40000"/>
          </a:schemeClr>
        </a:solidFill>
      </c:spPr>
    </c:plotArea>
    <c:plotVisOnly val="1"/>
    <c:dispBlanksAs val="gap"/>
    <c:showDLblsOverMax val="0"/>
    <c:extLst/>
  </c:chart>
  <c:spPr>
    <a:solidFill>
      <a:schemeClr val="accent6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'!$Q$23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6.778545789370651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'!$R$23</c:f>
              <c:numCache>
                <c:formatCode>General</c:formatCode>
                <c:ptCount val="1"/>
                <c:pt idx="0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9-8746-A338-65D98CDAAC2D}"/>
            </c:ext>
          </c:extLst>
        </c:ser>
        <c:ser>
          <c:idx val="1"/>
          <c:order val="1"/>
          <c:tx>
            <c:strRef>
              <c:f>'DONNEES '!$Q$24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6.563828999714704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'!$R$24</c:f>
              <c:numCache>
                <c:formatCode>General</c:formatCode>
                <c:ptCount val="1"/>
                <c:pt idx="0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9-8746-A338-65D98CDAAC2D}"/>
            </c:ext>
          </c:extLst>
        </c:ser>
        <c:ser>
          <c:idx val="2"/>
          <c:order val="2"/>
          <c:tx>
            <c:strRef>
              <c:f>'DONNEES '!$Q$25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'!$R$25</c:f>
              <c:numCache>
                <c:formatCode>General</c:formatCode>
                <c:ptCount val="1"/>
                <c:pt idx="0">
                  <c:v>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9-8746-A338-65D98CDAAC2D}"/>
            </c:ext>
          </c:extLst>
        </c:ser>
        <c:ser>
          <c:idx val="3"/>
          <c:order val="3"/>
          <c:tx>
            <c:strRef>
              <c:f>'DONNEES '!$Q$26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4443D066-681B-944C-B59B-B752E4D7764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	</a:t>
                    </a:r>
                    <a:fld id="{48AD2D53-4C2F-E646-BB11-CFD014A4415F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0.1233538390390819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'!$R$26</c:f>
              <c:numCache>
                <c:formatCode>General</c:formatCode>
                <c:ptCount val="1"/>
                <c:pt idx="0">
                  <c:v>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9-8746-A338-65D98CDAAC2D}"/>
            </c:ext>
          </c:extLst>
        </c:ser>
        <c:ser>
          <c:idx val="4"/>
          <c:order val="4"/>
          <c:tx>
            <c:strRef>
              <c:f>'DONNEES '!$Q$27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50B9-8746-A338-65D98CDAAC2D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CC189ED0-67B9-A942-B181-AF3BBA0DC1A3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2CD66163-1502-4143-987E-D04B2C97E3D2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'!$R$27</c:f>
              <c:numCache>
                <c:formatCode>General</c:formatCode>
                <c:ptCount val="1"/>
                <c:pt idx="0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9-8746-A338-65D98CDAAC2D}"/>
            </c:ext>
          </c:extLst>
        </c:ser>
        <c:ser>
          <c:idx val="5"/>
          <c:order val="5"/>
          <c:tx>
            <c:strRef>
              <c:f>'DONNEES '!$Q$28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D63CCC08-561E-6442-A555-CFAE5DCB06B8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'!$R$28</c:f>
              <c:numCache>
                <c:formatCode>General</c:formatCode>
                <c:ptCount val="1"/>
                <c:pt idx="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0B9-8746-A338-65D98CDAAC2D}"/>
            </c:ext>
          </c:extLst>
        </c:ser>
        <c:ser>
          <c:idx val="6"/>
          <c:order val="6"/>
          <c:tx>
            <c:strRef>
              <c:f>'DONNEES '!$Q$29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9CA71615-9CE6-0C4E-A201-15758292ACC1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373701FF-D070-AC48-B163-409EF6BFAB64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6.82791343353847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'!$R$29</c:f>
              <c:numCache>
                <c:formatCode>General</c:formatCode>
                <c:ptCount val="1"/>
                <c:pt idx="0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0B9-8746-A338-65D98CDAAC2D}"/>
            </c:ext>
          </c:extLst>
        </c:ser>
        <c:ser>
          <c:idx val="7"/>
          <c:order val="7"/>
          <c:tx>
            <c:strRef>
              <c:f>'DONNEES '!$Q$30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D384631B-FECE-8642-915A-A9BBD850D4D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	</a:t>
                    </a:r>
                    <a:fld id="{70E47758-7502-B249-A76F-B7649CF7261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6685663602885983"/>
                      <c:h val="6.7513289477295804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50B9-8746-A338-65D98CDAA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'!$R$30</c:f>
              <c:numCache>
                <c:formatCode>General</c:formatCode>
                <c:ptCount val="1"/>
                <c:pt idx="0">
                  <c:v>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0B9-8746-A338-65D98CDAA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600"/>
        </c:scaling>
        <c:delete val="1"/>
        <c:axPos val="b"/>
        <c:numFmt formatCode="General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</c:spPr>
    </c:plotArea>
    <c:plotVisOnly val="1"/>
    <c:dispBlanksAs val="gap"/>
    <c:showDLblsOverMax val="0"/>
    <c:extLst/>
  </c:chart>
  <c:spPr>
    <a:solidFill>
      <a:schemeClr val="accent5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accent5">
              <a:lumMod val="60000"/>
              <a:lumOff val="40000"/>
            </a:schemeClr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'!$Q$44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624277-47DB-B24F-8EFA-59AAB77B4C72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F1216E97-1620-714E-9CB5-C1BA0500592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'!$R$44</c:f>
              <c:numCache>
                <c:formatCode>0%</c:formatCode>
                <c:ptCount val="1"/>
                <c:pt idx="0">
                  <c:v>0.88571428571428568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E-894D-BD2D-099E2B19278A}"/>
            </c:ext>
          </c:extLst>
        </c:ser>
        <c:ser>
          <c:idx val="1"/>
          <c:order val="1"/>
          <c:tx>
            <c:strRef>
              <c:f>'DONNEES '!$Q$45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'!$R$45</c:f>
              <c:numCache>
                <c:formatCode>0%</c:formatCode>
                <c:ptCount val="1"/>
                <c:pt idx="0">
                  <c:v>0.88888888888888884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5E-894D-BD2D-099E2B19278A}"/>
            </c:ext>
          </c:extLst>
        </c:ser>
        <c:ser>
          <c:idx val="2"/>
          <c:order val="2"/>
          <c:tx>
            <c:strRef>
              <c:f>'DONNEES '!$Q$46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'!$R$46</c:f>
              <c:numCache>
                <c:formatCode>0%</c:formatCode>
                <c:ptCount val="1"/>
                <c:pt idx="0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5E-894D-BD2D-099E2B19278A}"/>
            </c:ext>
          </c:extLst>
        </c:ser>
        <c:ser>
          <c:idx val="3"/>
          <c:order val="3"/>
          <c:tx>
            <c:strRef>
              <c:f>'DONNEES '!$Q$47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'!$R$47</c:f>
              <c:numCache>
                <c:formatCode>0%</c:formatCode>
                <c:ptCount val="1"/>
                <c:pt idx="0">
                  <c:v>0.9333433333333333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5E-894D-BD2D-099E2B19278A}"/>
            </c:ext>
          </c:extLst>
        </c:ser>
        <c:ser>
          <c:idx val="4"/>
          <c:order val="4"/>
          <c:tx>
            <c:strRef>
              <c:f>'DONNEES '!$Q$48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5E-894D-BD2D-099E2B19278A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CC189ED0-67B9-A942-B181-AF3BBA0DC1A3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	</a:t>
                    </a:r>
                    <a:fld id="{2CD66163-1502-4143-987E-D04B2C97E3D2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'!$R$48</c:f>
              <c:numCache>
                <c:formatCode>0%</c:formatCode>
                <c:ptCount val="1"/>
                <c:pt idx="0">
                  <c:v>0.93548387096774188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5E-894D-BD2D-099E2B19278A}"/>
            </c:ext>
          </c:extLst>
        </c:ser>
        <c:ser>
          <c:idx val="5"/>
          <c:order val="5"/>
          <c:tx>
            <c:strRef>
              <c:f>'DONNEES '!$Q$49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D63CCC08-561E-6442-A555-CFAE5DCB06B8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'!$R$49</c:f>
              <c:numCache>
                <c:formatCode>0%</c:formatCode>
                <c:ptCount val="1"/>
                <c:pt idx="0">
                  <c:v>0.94285714285714284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5E-894D-BD2D-099E2B19278A}"/>
            </c:ext>
          </c:extLst>
        </c:ser>
        <c:ser>
          <c:idx val="6"/>
          <c:order val="6"/>
          <c:tx>
            <c:strRef>
              <c:f>'DONNEES '!$Q$50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2080EA48-B540-934C-8E16-E5C9EF9E0811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				</a:t>
                    </a:r>
                    <a:r>
                      <a:rPr lang="en-US" baseline="0"/>
                      <a:t> </a:t>
                    </a:r>
                    <a:fld id="{32D111D1-8251-1D41-A4E7-4530D1984346}" type="VALUE">
                      <a:rPr lang="en-US" baseline="0"/>
                      <a:pPr>
                        <a:defRPr/>
                      </a:pPr>
                      <a:t>[VALEUR]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134452475062492"/>
                      <c:h val="7.143931388882920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'!$R$50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5E-894D-BD2D-099E2B19278A}"/>
            </c:ext>
          </c:extLst>
        </c:ser>
        <c:ser>
          <c:idx val="7"/>
          <c:order val="7"/>
          <c:tx>
            <c:strRef>
              <c:f>'DONNEES '!$Q$51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A5E-894D-BD2D-099E2B19278A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D384631B-FECE-8642-915A-A9BBD850D4DA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		</a:t>
                    </a:r>
                    <a:fld id="{70E47758-7502-B249-A76F-B7649CF7261B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140473894411548"/>
                      <c:h val="7.057449310212005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AA5E-894D-BD2D-099E2B192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5E-894D-BD2D-099E2B192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.3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3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'!$G$54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624277-47DB-B24F-8EFA-59AAB77B4C72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fld id="{F1216E97-1620-714E-9CB5-C1BA0500592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'!$H$54</c:f>
              <c:numCache>
                <c:formatCode>0%</c:formatCode>
                <c:ptCount val="1"/>
                <c:pt idx="0">
                  <c:v>0.86599999999999999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17-C044-ACAD-02E2C007333C}"/>
            </c:ext>
          </c:extLst>
        </c:ser>
        <c:ser>
          <c:idx val="1"/>
          <c:order val="1"/>
          <c:tx>
            <c:strRef>
              <c:f>'DONNEES '!$G$55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'!$H$55</c:f>
              <c:numCache>
                <c:formatCode>0%</c:formatCode>
                <c:ptCount val="1"/>
                <c:pt idx="0">
                  <c:v>0.96599999999999997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17-C044-ACAD-02E2C007333C}"/>
            </c:ext>
          </c:extLst>
        </c:ser>
        <c:ser>
          <c:idx val="2"/>
          <c:order val="2"/>
          <c:tx>
            <c:strRef>
              <c:f>'DONNEES '!$G$56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'!$H$56</c:f>
              <c:numCache>
                <c:formatCode>0%</c:formatCode>
                <c:ptCount val="1"/>
                <c:pt idx="0">
                  <c:v>0.98699999999999999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17-C044-ACAD-02E2C007333C}"/>
            </c:ext>
          </c:extLst>
        </c:ser>
        <c:ser>
          <c:idx val="3"/>
          <c:order val="3"/>
          <c:tx>
            <c:strRef>
              <c:f>'DONNEES '!$G$57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4443D066-681B-944C-B59B-B752E4D7764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48AD2D53-4C2F-E646-BB11-CFD014A4415F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'!$H$57</c:f>
              <c:numCache>
                <c:formatCode>0%</c:formatCode>
                <c:ptCount val="1"/>
                <c:pt idx="0">
                  <c:v>0.98699999999999999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17-C044-ACAD-02E2C007333C}"/>
            </c:ext>
          </c:extLst>
        </c:ser>
        <c:ser>
          <c:idx val="4"/>
          <c:order val="4"/>
          <c:tx>
            <c:strRef>
              <c:f>'DONNEES '!$G$58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D417-C044-ACAD-02E2C007333C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CC189ED0-67B9-A942-B181-AF3BBA0DC1A3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	</a:t>
                    </a:r>
                    <a:fld id="{2CD66163-1502-4143-987E-D04B2C97E3D2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'!$H$58</c:f>
              <c:numCache>
                <c:formatCode>0%</c:formatCode>
                <c:ptCount val="1"/>
                <c:pt idx="0">
                  <c:v>0.98899999999999999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17-C044-ACAD-02E2C007333C}"/>
            </c:ext>
          </c:extLst>
        </c:ser>
        <c:ser>
          <c:idx val="5"/>
          <c:order val="5"/>
          <c:tx>
            <c:strRef>
              <c:f>'DONNEES '!$G$59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	</a:t>
                    </a:r>
                    <a:fld id="{D63CCC08-561E-6442-A555-CFAE5DCB06B8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'!$H$59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417-C044-ACAD-02E2C007333C}"/>
            </c:ext>
          </c:extLst>
        </c:ser>
        <c:ser>
          <c:idx val="6"/>
          <c:order val="6"/>
          <c:tx>
            <c:strRef>
              <c:f>'DONNEES '!$G$60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9CA71615-9CE6-0C4E-A201-15758292ACC1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		</a:t>
                    </a:r>
                    <a:fld id="{373701FF-D070-AC48-B163-409EF6BFAB64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400999506325456"/>
                      <c:h val="6.8279056448506584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'!$H$60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417-C044-ACAD-02E2C007333C}"/>
            </c:ext>
          </c:extLst>
        </c:ser>
        <c:ser>
          <c:idx val="7"/>
          <c:order val="7"/>
          <c:tx>
            <c:strRef>
              <c:f>'DONNEES '!$G$61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E-D417-C044-ACAD-02E2C007333C}"/>
              </c:ext>
            </c:extLst>
          </c:dPt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/>
                    </a:pPr>
                    <a:fld id="{D384631B-FECE-8642-915A-A9BBD850D4DA}" type="SERIESNAME">
                      <a:rPr lang="en-US"/>
                      <a:pPr algn="ctr"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  <a:fld id="{70E47758-7502-B249-A76F-B7649CF7261B}" type="VALUE">
                      <a:rPr lang="en-US"/>
                      <a:pPr algn="ctr"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140473894411548"/>
                      <c:h val="7.057449310212005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D417-C044-ACAD-02E2C0073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'!$H$61</c:f>
              <c:numCache>
                <c:formatCode>0%</c:formatCode>
                <c:ptCount val="1"/>
                <c:pt idx="0">
                  <c:v>1.0000005000000001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417-C044-ACAD-02E2C0073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2">
        <a:lumMod val="40000"/>
        <a:lumOff val="6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bg1"/>
              </a:solidFill>
              <a:latin typeface="Avenir Next Condensed" panose="020B0506020202020204" pitchFamily="34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1076608"/>
        <c:axId val="1870784096"/>
      </c:barChart>
      <c:catAx>
        <c:axId val="1871076608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Avenir Next Condensed" panose="020B0506020202020204" pitchFamily="34" charset="0"/>
                <a:ea typeface="+mn-ea"/>
                <a:cs typeface="+mn-cs"/>
              </a:defRPr>
            </a:pPr>
            <a:endParaRPr lang="fr-FR"/>
          </a:p>
        </c:txPr>
        <c:crossAx val="1870784096"/>
        <c:crosses val="autoZero"/>
        <c:auto val="1"/>
        <c:lblAlgn val="ctr"/>
        <c:lblOffset val="100"/>
        <c:noMultiLvlLbl val="0"/>
      </c:catAx>
      <c:valAx>
        <c:axId val="187078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Avenir Next Condensed" panose="020B0506020202020204" pitchFamily="34" charset="0"/>
                <a:ea typeface="+mn-ea"/>
                <a:cs typeface="+mn-cs"/>
              </a:defRPr>
            </a:pPr>
            <a:endParaRPr lang="fr-FR"/>
          </a:p>
        </c:txPr>
        <c:crossAx val="18710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18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CHAMNORD</a:t>
            </a:r>
          </a:p>
        </c:rich>
      </c:tx>
      <c:layout>
        <c:manualLayout>
          <c:xMode val="edge"/>
          <c:yMode val="edge"/>
          <c:x val="0.15828874956938085"/>
          <c:y val="0.6187565920223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355394712871317"/>
                      <c:h val="0.223319812913618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B98-6A4B-9A72-240B53F213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'!$AB$4</c:f>
              <c:numCache>
                <c:formatCode>_("€"* #,##0_);_("€"* \(#,##0\);_("€"* "-"_);_(@_)</c:formatCode>
                <c:ptCount val="1"/>
                <c:pt idx="0">
                  <c:v>7408262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98-6A4B-9A72-240B53F213C6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B98-6A4B-9A72-240B53F213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5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'!$Z$4</c:f>
              <c:numCache>
                <c:formatCode>_("€"* #,##0_);_("€"* \(#,##0\);_("€"* "-"_);_(@_)</c:formatCode>
                <c:ptCount val="1"/>
                <c:pt idx="0">
                  <c:v>3410800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98-6A4B-9A72-240B53F213C6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5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98-6A4B-9A72-240B53F213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'!$Y$4</c:f>
              <c:numCache>
                <c:formatCode>_("€"* #,##0_);_("€"* \(#,##0\);_("€"* "-"_);_(@_)</c:formatCode>
                <c:ptCount val="1"/>
                <c:pt idx="0">
                  <c:v>3109515.92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98-6A4B-9A72-240B53F21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ax val="7800000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1076608"/>
        <c:axId val="1870784096"/>
      </c:barChart>
      <c:catAx>
        <c:axId val="1871076608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0784096"/>
        <c:crosses val="autoZero"/>
        <c:auto val="1"/>
        <c:lblAlgn val="ctr"/>
        <c:lblOffset val="100"/>
        <c:noMultiLvlLbl val="0"/>
      </c:catAx>
      <c:valAx>
        <c:axId val="187078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10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AIX LES BAINS</a:t>
            </a:r>
          </a:p>
        </c:rich>
      </c:tx>
      <c:layout>
        <c:manualLayout>
          <c:xMode val="edge"/>
          <c:yMode val="edge"/>
          <c:x val="0.15908116388944174"/>
          <c:y val="0.61722417880213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1863533850181103"/>
                      <c:h val="0.23545897543247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0C-3B4B-AEBD-1C05C1166C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'!$AB$5</c:f>
              <c:numCache>
                <c:formatCode>_("€"* #,##0_);_("€"* \(#,##0\);_("€"* "-"_);_(@_)</c:formatCode>
                <c:ptCount val="1"/>
                <c:pt idx="0">
                  <c:v>5152000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C-3B4B-AEBD-1C05C1166C13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0C-3B4B-AEBD-1C05C1166C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'!$Z$5</c:f>
              <c:numCache>
                <c:formatCode>_("€"* #,##0_);_("€"* \(#,##0\);_("€"* "-"_);_(@_)</c:formatCode>
                <c:ptCount val="1"/>
                <c:pt idx="0">
                  <c:v>2247845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C-3B4B-AEBD-1C05C1166C13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0C-3B4B-AEBD-1C05C1166C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'!$Y$5</c:f>
              <c:numCache>
                <c:formatCode>_("€"* #,##0_);_("€"* \(#,##0\);_("€"* "-"_);_(@_)</c:formatCode>
                <c:ptCount val="1"/>
                <c:pt idx="0">
                  <c:v>2149146.19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C-3B4B-AEBD-1C05C116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ax val="5300000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'!$AA$105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624277-47DB-B24F-8EFA-59AAB77B4C72}" type="SERIESNAME">
                      <a:rPr lang="en-US"/>
                      <a:pPr/>
                      <a:t>[NOM DE SÉRIE]</a:t>
                    </a:fld>
                    <a:r>
                      <a:rPr lang="en-US"/>
                      <a:t>			</a:t>
                    </a:r>
                    <a:fld id="{F1216E97-1620-714E-9CB5-C1BA0500592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'!$AB$105</c:f>
              <c:numCache>
                <c:formatCode>0.00%</c:formatCode>
                <c:ptCount val="1"/>
                <c:pt idx="0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A7-A840-831E-67D17985599B}"/>
            </c:ext>
          </c:extLst>
        </c:ser>
        <c:ser>
          <c:idx val="1"/>
          <c:order val="1"/>
          <c:tx>
            <c:strRef>
              <c:f>'DONNEES '!$AA$106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DA7-A840-831E-67D17985599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D39B6C3-29DA-2644-8D09-F2F6035E6900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68C76453-818E-CB47-B46D-AE0EB0606FE0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'!$AB$106</c:f>
              <c:numCache>
                <c:formatCode>0.00%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A7-A840-831E-67D17985599B}"/>
            </c:ext>
          </c:extLst>
        </c:ser>
        <c:ser>
          <c:idx val="2"/>
          <c:order val="2"/>
          <c:tx>
            <c:strRef>
              <c:f>'DONNEES '!$AA$107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'!$AB$107</c:f>
              <c:numCache>
                <c:formatCode>0.00%</c:formatCode>
                <c:ptCount val="1"/>
                <c:pt idx="0">
                  <c:v>0.45454545454545453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A7-A840-831E-67D17985599B}"/>
            </c:ext>
          </c:extLst>
        </c:ser>
        <c:ser>
          <c:idx val="3"/>
          <c:order val="3"/>
          <c:tx>
            <c:strRef>
              <c:f>'DONNEES '!$AA$108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'!$AB$108</c:f>
              <c:numCache>
                <c:formatCode>0.00%</c:formatCode>
                <c:ptCount val="1"/>
                <c:pt idx="0">
                  <c:v>0.34126984126984128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A7-A840-831E-67D17985599B}"/>
            </c:ext>
          </c:extLst>
        </c:ser>
        <c:ser>
          <c:idx val="4"/>
          <c:order val="4"/>
          <c:tx>
            <c:strRef>
              <c:f>'DONNEES '!$AA$109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9DA7-A840-831E-67D17985599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'!$AB$109</c:f>
              <c:numCache>
                <c:formatCode>0.00%</c:formatCode>
                <c:ptCount val="1"/>
                <c:pt idx="0">
                  <c:v>0.25471698113207547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A7-A840-831E-67D17985599B}"/>
            </c:ext>
          </c:extLst>
        </c:ser>
        <c:ser>
          <c:idx val="5"/>
          <c:order val="5"/>
          <c:tx>
            <c:strRef>
              <c:f>'DONNEES '!$AA$110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3129351341"/>
                      <c:h val="8.129954773324278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'!$AB$110</c:f>
              <c:numCache>
                <c:formatCode>0.00%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A7-A840-831E-67D17985599B}"/>
            </c:ext>
          </c:extLst>
        </c:ser>
        <c:ser>
          <c:idx val="6"/>
          <c:order val="6"/>
          <c:tx>
            <c:strRef>
              <c:f>'DONNEES '!$AA$111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'!$AB$111</c:f>
              <c:numCache>
                <c:formatCode>0.00%</c:formatCode>
                <c:ptCount val="1"/>
                <c:pt idx="0">
                  <c:v>0.15517241379310345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A7-A840-831E-67D17985599B}"/>
            </c:ext>
          </c:extLst>
        </c:ser>
        <c:ser>
          <c:idx val="7"/>
          <c:order val="7"/>
          <c:tx>
            <c:strRef>
              <c:f>'DONNEES '!$AA$112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9DA7-A840-831E-67D17985599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9DA7-A840-831E-67D179855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'!$AB$112</c:f>
              <c:numCache>
                <c:formatCode>0.00%</c:formatCode>
                <c:ptCount val="1"/>
                <c:pt idx="0">
                  <c:v>8.8888888888888892E-2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DA7-A840-831E-67D179855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"/>
          <c:min val="0"/>
        </c:scaling>
        <c:delete val="1"/>
        <c:axPos val="b"/>
        <c:numFmt formatCode="0.00%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4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'!$Q$34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'!$R$34</c:f>
              <c:numCache>
                <c:formatCode>0.00</c:formatCode>
                <c:ptCount val="1"/>
                <c:pt idx="0">
                  <c:v>29.73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725-234B-92E6-83598AE322F5}"/>
            </c:ext>
          </c:extLst>
        </c:ser>
        <c:ser>
          <c:idx val="1"/>
          <c:order val="1"/>
          <c:tx>
            <c:strRef>
              <c:f>'DONNEES '!$Q$35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'!$R$35</c:f>
              <c:numCache>
                <c:formatCode>0.00</c:formatCode>
                <c:ptCount val="1"/>
                <c:pt idx="0">
                  <c:v>31.23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725-234B-92E6-83598AE322F5}"/>
            </c:ext>
          </c:extLst>
        </c:ser>
        <c:ser>
          <c:idx val="2"/>
          <c:order val="2"/>
          <c:tx>
            <c:strRef>
              <c:f>'DONNEES '!$Q$36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44091369066879321"/>
                  <c:y val="-9.6269239648216798E-8"/>
                </c:manualLayout>
              </c:layout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				 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'!$R$36</c:f>
              <c:numCache>
                <c:formatCode>0.00</c:formatCode>
                <c:ptCount val="1"/>
                <c:pt idx="0">
                  <c:v>32.17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725-234B-92E6-83598AE322F5}"/>
            </c:ext>
          </c:extLst>
        </c:ser>
        <c:ser>
          <c:idx val="3"/>
          <c:order val="3"/>
          <c:tx>
            <c:strRef>
              <c:f>'DONNEES '!$Q$37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			 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'!$R$37</c:f>
              <c:numCache>
                <c:formatCode>0.00</c:formatCode>
                <c:ptCount val="1"/>
                <c:pt idx="0">
                  <c:v>32.340000000000003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725-234B-92E6-83598AE322F5}"/>
            </c:ext>
          </c:extLst>
        </c:ser>
        <c:ser>
          <c:idx val="4"/>
          <c:order val="4"/>
          <c:tx>
            <c:strRef>
              <c:f>'DONNEES '!$Q$38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C725-234B-92E6-83598AE322F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 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34585555726"/>
                      <c:h val="8.222208489910831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'!$R$38</c:f>
              <c:numCache>
                <c:formatCode>0.00</c:formatCode>
                <c:ptCount val="1"/>
                <c:pt idx="0">
                  <c:v>33.83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725-234B-92E6-83598AE322F5}"/>
            </c:ext>
          </c:extLst>
        </c:ser>
        <c:ser>
          <c:idx val="5"/>
          <c:order val="5"/>
          <c:tx>
            <c:strRef>
              <c:f>'DONNEES '!$Q$39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D63CCC08-561E-6442-A555-CFAE5DCB06B8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4088741608"/>
                      <c:h val="6.584481725182209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9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'!$R$39</c:f>
              <c:numCache>
                <c:formatCode>0.00</c:formatCode>
                <c:ptCount val="1"/>
                <c:pt idx="0">
                  <c:v>34.18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725-234B-92E6-83598AE322F5}"/>
            </c:ext>
          </c:extLst>
        </c:ser>
        <c:ser>
          <c:idx val="6"/>
          <c:order val="6"/>
          <c:tx>
            <c:strRef>
              <c:f>'DONNEES '!$Q$40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C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'!$R$40</c:f>
              <c:numCache>
                <c:formatCode>0.00</c:formatCode>
                <c:ptCount val="1"/>
                <c:pt idx="0">
                  <c:v>34.869999999999997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725-234B-92E6-83598AE322F5}"/>
            </c:ext>
          </c:extLst>
        </c:ser>
        <c:ser>
          <c:idx val="7"/>
          <c:order val="7"/>
          <c:tx>
            <c:strRef>
              <c:f>'DONNEES '!$Q$41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9183770372604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F-C725-234B-92E6-83598AE322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'!$R$41</c:f>
              <c:numCache>
                <c:formatCode>0.00</c:formatCode>
                <c:ptCount val="1"/>
                <c:pt idx="0">
                  <c:v>36.14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725-234B-92E6-83598AE32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55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4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'!$Q$54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'!$R$54</c:f>
              <c:numCache>
                <c:formatCode>#\ ##0.00\ "€"</c:formatCode>
                <c:ptCount val="1"/>
                <c:pt idx="0">
                  <c:v>88.140673848187646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D-3B40-BE7C-0AAB9058B1F7}"/>
            </c:ext>
          </c:extLst>
        </c:ser>
        <c:ser>
          <c:idx val="1"/>
          <c:order val="1"/>
          <c:tx>
            <c:strRef>
              <c:f>'DONNEES '!$Q$55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'!$R$55</c:f>
              <c:numCache>
                <c:formatCode>#\ ##0.00\ "€"</c:formatCode>
                <c:ptCount val="1"/>
                <c:pt idx="0">
                  <c:v>89.220627615062753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D-3B40-BE7C-0AAB9058B1F7}"/>
            </c:ext>
          </c:extLst>
        </c:ser>
        <c:ser>
          <c:idx val="2"/>
          <c:order val="2"/>
          <c:tx>
            <c:strRef>
              <c:f>'DONNEES '!$Q$56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'!$R$56</c:f>
              <c:numCache>
                <c:formatCode>#\ ##0.00\ "€"</c:formatCode>
                <c:ptCount val="1"/>
                <c:pt idx="0">
                  <c:v>95.349957810452239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0D-3B40-BE7C-0AAB9058B1F7}"/>
            </c:ext>
          </c:extLst>
        </c:ser>
        <c:ser>
          <c:idx val="3"/>
          <c:order val="3"/>
          <c:tx>
            <c:strRef>
              <c:f>'DONNEES '!$Q$57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'!$R$57</c:f>
              <c:numCache>
                <c:formatCode>#\ ##0.00\ "€"</c:formatCode>
                <c:ptCount val="1"/>
                <c:pt idx="0">
                  <c:v>98.675362428269409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0D-3B40-BE7C-0AAB9058B1F7}"/>
            </c:ext>
          </c:extLst>
        </c:ser>
        <c:ser>
          <c:idx val="4"/>
          <c:order val="4"/>
          <c:tx>
            <c:strRef>
              <c:f>'DONNEES '!$Q$58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620D-3B40-BE7C-0AAB9058B1F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'!$R$58</c:f>
              <c:numCache>
                <c:formatCode>#\ ##0.00\ "€"</c:formatCode>
                <c:ptCount val="1"/>
                <c:pt idx="0">
                  <c:v>98.676203263788452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20D-3B40-BE7C-0AAB9058B1F7}"/>
            </c:ext>
          </c:extLst>
        </c:ser>
        <c:ser>
          <c:idx val="5"/>
          <c:order val="5"/>
          <c:tx>
            <c:strRef>
              <c:f>'DONNEES '!$Q$59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'!$R$59</c:f>
              <c:numCache>
                <c:formatCode>#\ ##0.00\ "€"</c:formatCode>
                <c:ptCount val="1"/>
                <c:pt idx="0">
                  <c:v>100.4186650072851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20D-3B40-BE7C-0AAB9058B1F7}"/>
            </c:ext>
          </c:extLst>
        </c:ser>
        <c:ser>
          <c:idx val="6"/>
          <c:order val="6"/>
          <c:tx>
            <c:strRef>
              <c:f>'DONNEES '!$Q$60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'!$R$60</c:f>
              <c:numCache>
                <c:formatCode>#\ ##0.00\ "€"</c:formatCode>
                <c:ptCount val="1"/>
                <c:pt idx="0">
                  <c:v>105.19937205651492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20D-3B40-BE7C-0AAB9058B1F7}"/>
            </c:ext>
          </c:extLst>
        </c:ser>
        <c:ser>
          <c:idx val="7"/>
          <c:order val="7"/>
          <c:tx>
            <c:strRef>
              <c:f>'DONNEES '!$Q$61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D384631B-FECE-8642-915A-A9BBD850D4D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70E47758-7502-B249-A76F-B7649CF7261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57984506462709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620D-3B40-BE7C-0AAB9058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'!$R$61</c:f>
              <c:numCache>
                <c:formatCode>#\ ##0.00\ "€"</c:formatCode>
                <c:ptCount val="1"/>
                <c:pt idx="0">
                  <c:v>110.79664353560706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20D-3B40-BE7C-0AAB9058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40"/>
          <c:min val="0"/>
        </c:scaling>
        <c:delete val="1"/>
        <c:axPos val="b"/>
        <c:numFmt formatCode="#\ ##0.00\ &quot;€&quot;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C2A3EA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accent6">
              <a:lumMod val="40000"/>
              <a:lumOff val="60000"/>
            </a:schemeClr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'!$G$85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	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rgbClr val="FFB6B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'!$H$85</c:f>
              <c:numCache>
                <c:formatCode>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CF9-3141-ADEA-E84F9C2BB397}"/>
            </c:ext>
          </c:extLst>
        </c:ser>
        <c:ser>
          <c:idx val="1"/>
          <c:order val="1"/>
          <c:tx>
            <c:strRef>
              <c:f>'DONNEES '!$G$86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39B6C3-29DA-2644-8D09-F2F6035E6900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'!$H$86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CF9-3141-ADEA-E84F9C2BB397}"/>
            </c:ext>
          </c:extLst>
        </c:ser>
        <c:ser>
          <c:idx val="2"/>
          <c:order val="2"/>
          <c:tx>
            <c:strRef>
              <c:f>'DONNEES '!$G$87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	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rgbClr val="FFB6B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'!$H$87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CF9-3141-ADEA-E84F9C2BB397}"/>
            </c:ext>
          </c:extLst>
        </c:ser>
        <c:ser>
          <c:idx val="3"/>
          <c:order val="3"/>
          <c:tx>
            <c:strRef>
              <c:f>'DONNEES '!$G$88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4443D066-681B-944C-B59B-B752E4D77647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'!$H$88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CF9-3141-ADEA-E84F9C2BB397}"/>
            </c:ext>
          </c:extLst>
        </c:ser>
        <c:ser>
          <c:idx val="4"/>
          <c:order val="4"/>
          <c:tx>
            <c:strRef>
              <c:f>'DONNEES '!$G$89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CF9-3141-ADEA-E84F9C2BB39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'!$H$89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9-3141-ADEA-E84F9C2BB397}"/>
            </c:ext>
          </c:extLst>
        </c:ser>
        <c:ser>
          <c:idx val="5"/>
          <c:order val="5"/>
          <c:tx>
            <c:strRef>
              <c:f>'DONNEES '!$G$90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>
                      <a:defRPr/>
                    </a:pPr>
                    <a:fld id="{93E9F0C6-C20A-0944-A18A-725EC8B1F2FF}" type="SERIESNAME">
                      <a:rPr lang="en-US"/>
                      <a:pPr>
                        <a:defRPr/>
                      </a:pPr>
                      <a:t>[NOM DE SÉRIE]</a:t>
                    </a:fld>
                    <a:r>
                      <a:rPr lang="en-US"/>
                      <a:t> 				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'DONNEES '!$H$90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CF9-3141-ADEA-E84F9C2BB397}"/>
            </c:ext>
          </c:extLst>
        </c:ser>
        <c:ser>
          <c:idx val="6"/>
          <c:order val="6"/>
          <c:tx>
            <c:strRef>
              <c:f>'DONNEES '!$G$91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'!$H$91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CF9-3141-ADEA-E84F9C2BB397}"/>
            </c:ext>
          </c:extLst>
        </c:ser>
        <c:ser>
          <c:idx val="7"/>
          <c:order val="7"/>
          <c:tx>
            <c:strRef>
              <c:f>'DONNEES '!$G$92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			</a:t>
                    </a:r>
                  </a:p>
                </c:rich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4048296621591352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1CF9-3141-ADEA-E84F9C2B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'!$H$92</c:f>
              <c:numCache>
                <c:formatCode>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CF9-3141-ADEA-E84F9C2B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4"/>
        </c:scaling>
        <c:delete val="1"/>
        <c:axPos val="b"/>
        <c:numFmt formatCode="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2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'!$AA$85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'!$AB$85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AF3-B04C-A62A-F6C9AC7457DB}"/>
            </c:ext>
          </c:extLst>
        </c:ser>
        <c:ser>
          <c:idx val="1"/>
          <c:order val="1"/>
          <c:tx>
            <c:strRef>
              <c:f>'DONNEES '!$AA$86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'!$AB$86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AF3-B04C-A62A-F6C9AC7457DB}"/>
            </c:ext>
          </c:extLst>
        </c:ser>
        <c:ser>
          <c:idx val="2"/>
          <c:order val="2"/>
          <c:tx>
            <c:strRef>
              <c:f>'DONNEES '!$AA$87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7FB71B-4627-AD49-9DB9-24F88034618A}" type="SERIESNAME">
                      <a:rPr lang="en-US">
                        <a:solidFill>
                          <a:schemeClr val="bg1"/>
                        </a:solidFill>
                      </a:rPr>
                      <a:pPr/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F3DAD87F-AC85-714B-8B1F-34D74844D816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'!$AB$87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AF3-B04C-A62A-F6C9AC7457DB}"/>
            </c:ext>
          </c:extLst>
        </c:ser>
        <c:ser>
          <c:idx val="3"/>
          <c:order val="3"/>
          <c:tx>
            <c:strRef>
              <c:f>'DONNEES '!$AA$88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 					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'!$AB$88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AF3-B04C-A62A-F6C9AC7457DB}"/>
            </c:ext>
          </c:extLst>
        </c:ser>
        <c:ser>
          <c:idx val="4"/>
          <c:order val="4"/>
          <c:tx>
            <c:strRef>
              <c:f>'DONNEES '!$AA$89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AF3-B04C-A62A-F6C9AC7457D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	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5.507491264419633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'!$AB$89</c:f>
              <c:numCache>
                <c:formatCode>General</c:formatCode>
                <c:ptCount val="1"/>
                <c:pt idx="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AF3-B04C-A62A-F6C9AC7457DB}"/>
            </c:ext>
          </c:extLst>
        </c:ser>
        <c:ser>
          <c:idx val="5"/>
          <c:order val="5"/>
          <c:tx>
            <c:strRef>
              <c:f>'DONNEES '!$AA$90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3E9F0C6-C20A-0944-A18A-725EC8B1F2FF}" type="SERIESNAME">
                      <a:rPr lang="en-US"/>
                      <a:pPr/>
                      <a:t>[NOM DE SÉRIE]</a:t>
                    </a:fld>
                    <a:r>
                      <a:rPr lang="en-US"/>
                      <a:t>					</a:t>
                    </a:r>
                    <a:fld id="{D63CCC08-561E-6442-A555-CFAE5DCB06B8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'!$AB$90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AF3-B04C-A62A-F6C9AC7457DB}"/>
            </c:ext>
          </c:extLst>
        </c:ser>
        <c:ser>
          <c:idx val="6"/>
          <c:order val="6"/>
          <c:tx>
            <c:strRef>
              <c:f>'DONNEES '!$AA$91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'!$AB$91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AF3-B04C-A62A-F6C9AC7457DB}"/>
            </c:ext>
          </c:extLst>
        </c:ser>
        <c:ser>
          <c:idx val="7"/>
          <c:order val="7"/>
          <c:tx>
            <c:strRef>
              <c:f>'DONNEES '!$AA$92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3544101749023143"/>
                  <c:y val="2.1611766288247838E-3"/>
                </c:manualLayout>
              </c:layout>
              <c:tx>
                <c:rich>
                  <a:bodyPr rot="0" vert="horz"/>
                  <a:lstStyle/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D384631B-FECE-8642-915A-A9BBD850D4DA}" type="SERIES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	</a:t>
                    </a:r>
                    <a:fld id="{70E47758-7502-B249-A76F-B7649CF7261B}" type="VALU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7385762230905391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1AF3-B04C-A62A-F6C9AC7457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'!$AB$92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AF3-B04C-A62A-F6C9AC745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14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C2A3EA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accent6">
              <a:lumMod val="40000"/>
              <a:lumOff val="60000"/>
            </a:schemeClr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'!$AB$19</c:f>
              <c:strCache>
                <c:ptCount val="1"/>
                <c:pt idx="0">
                  <c:v>BO FILET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437DC3FC-3FC2-C744-AFB8-B57F48432E4B}" type="SERIESNAME">
                      <a:rPr lang="en-US" sz="2000"/>
                      <a:pPr>
                        <a:defRPr sz="2000"/>
                      </a:pPr>
                      <a:t>[NOM DE SÉRIE]</a:t>
                    </a:fld>
                    <a:r>
                      <a:rPr lang="en-US" sz="2000" baseline="0"/>
                      <a:t> 					</a:t>
                    </a:r>
                    <a:fld id="{FA9686D1-102D-A841-BE1E-656C61240CEA}" type="VALUE">
                      <a:rPr lang="en-US" sz="2000" baseline="0"/>
                      <a:pPr>
                        <a:defRPr sz="2000"/>
                      </a:pPr>
                      <a:t>[VALEUR]</a:t>
                    </a:fld>
                    <a:endParaRPr lang="en-US" sz="20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06776401397977"/>
                      <c:h val="6.686219415039523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513-9344-8606-C752DDC69F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'!$AC$19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13-9344-8606-C752DDC69F54}"/>
            </c:ext>
          </c:extLst>
        </c:ser>
        <c:ser>
          <c:idx val="1"/>
          <c:order val="1"/>
          <c:tx>
            <c:strRef>
              <c:f>'DONNEES '!$AB$20</c:f>
              <c:strCache>
                <c:ptCount val="1"/>
                <c:pt idx="0">
                  <c:v>BO McCHICKEN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7D1AC22C-2D47-EB4E-A534-1943C6127B52}" type="SERIESNAME">
                      <a:rPr lang="en-US" sz="2000"/>
                      <a:pPr>
                        <a:defRPr sz="2000"/>
                      </a:pPr>
                      <a:t>[NOM DE SÉRIE]</a:t>
                    </a:fld>
                    <a:r>
                      <a:rPr lang="en-US" sz="2000" baseline="0"/>
                      <a:t> 				</a:t>
                    </a:r>
                    <a:fld id="{27BC1540-0411-6F41-ADFD-282EB85D02EB}" type="VALUE">
                      <a:rPr lang="en-US" sz="2000" baseline="0"/>
                      <a:pPr>
                        <a:defRPr sz="2000"/>
                      </a:pPr>
                      <a:t>[VALEUR]</a:t>
                    </a:fld>
                    <a:endParaRPr lang="en-US" sz="20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06776401397977"/>
                      <c:h val="6.686219415039523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B6C9-024C-A14B-504F04F871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'!$AC$20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9-024C-A14B-504F04F87160}"/>
            </c:ext>
          </c:extLst>
        </c:ser>
        <c:ser>
          <c:idx val="2"/>
          <c:order val="2"/>
          <c:tx>
            <c:strRef>
              <c:f>'DONNEES '!$AB$21</c:f>
              <c:strCache>
                <c:ptCount val="1"/>
                <c:pt idx="0">
                  <c:v>BO DOUBLE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DD130DC9-3768-394E-8A2B-DFDB8DA36757}" type="SERIESNAME">
                      <a:rPr lang="en-US" sz="2000"/>
                      <a:pPr>
                        <a:defRPr sz="2000"/>
                      </a:pPr>
                      <a:t>[NOM DE SÉRIE]</a:t>
                    </a:fld>
                    <a:r>
                      <a:rPr lang="en-US" sz="2000" baseline="0"/>
                      <a:t> 				</a:t>
                    </a:r>
                    <a:fld id="{C28AB765-BF53-8946-9D2D-887F643C0EC4}" type="VALUE">
                      <a:rPr lang="en-US" sz="2000" baseline="0"/>
                      <a:pPr>
                        <a:defRPr sz="2000"/>
                      </a:pPr>
                      <a:t>[VALEUR]</a:t>
                    </a:fld>
                    <a:endParaRPr lang="en-US" sz="20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06776401397977"/>
                      <c:h val="7.798569799781510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B6C9-024C-A14B-504F04F871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'!$AC$21</c:f>
              <c:numCache>
                <c:formatCode>General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C9-024C-A14B-504F04F87160}"/>
            </c:ext>
          </c:extLst>
        </c:ser>
        <c:ser>
          <c:idx val="3"/>
          <c:order val="3"/>
          <c:tx>
            <c:strRef>
              <c:f>'DONNEES '!$AB$22</c:f>
              <c:strCache>
                <c:ptCount val="1"/>
                <c:pt idx="0">
                  <c:v>CRAZY SUMMER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rgbClr val="FFC000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C228B019-43F8-AB49-8BF2-4D0669B2E838}" type="SERIESNAME">
                      <a:rPr lang="en-US" sz="2000">
                        <a:solidFill>
                          <a:srgbClr val="FFC000"/>
                        </a:solidFill>
                      </a:rPr>
                      <a:pPr>
                        <a:defRPr sz="2000">
                          <a:solidFill>
                            <a:srgbClr val="FFC000"/>
                          </a:solidFill>
                        </a:defRPr>
                      </a:pPr>
                      <a:t>[NOM DE SÉRIE]</a:t>
                    </a:fld>
                    <a:r>
                      <a:rPr lang="en-US" sz="2000" baseline="0">
                        <a:solidFill>
                          <a:srgbClr val="FFC000"/>
                        </a:solidFill>
                      </a:rPr>
                      <a:t>				</a:t>
                    </a:r>
                    <a:fld id="{7185AF4C-B8C0-DA40-A813-8167E4844FF0}" type="VALUE">
                      <a:rPr lang="en-US" sz="2000" baseline="0">
                        <a:solidFill>
                          <a:srgbClr val="FFC000"/>
                        </a:solidFill>
                      </a:rPr>
                      <a:pPr>
                        <a:defRPr sz="2000">
                          <a:solidFill>
                            <a:srgbClr val="FFC000"/>
                          </a:solidFill>
                        </a:defRPr>
                      </a:pPr>
                      <a:t>[VALEUR]</a:t>
                    </a:fld>
                    <a:endParaRPr lang="en-US" sz="2000" baseline="0">
                      <a:solidFill>
                        <a:srgbClr val="FFC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rgbClr val="FFC000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06776401397977"/>
                      <c:h val="6.686219415039523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433-AF45-BB11-2EE8192B9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'!$AC$22</c:f>
              <c:numCache>
                <c:formatCode>General</c:formatCode>
                <c:ptCount val="1"/>
                <c:pt idx="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C9-024C-A14B-504F04F87160}"/>
            </c:ext>
          </c:extLst>
        </c:ser>
        <c:ser>
          <c:idx val="4"/>
          <c:order val="4"/>
          <c:tx>
            <c:strRef>
              <c:f>'DONNEES '!$AB$23</c:f>
              <c:strCache>
                <c:ptCount val="1"/>
                <c:pt idx="0">
                  <c:v>McDEAL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E1E5A348-A11E-6D4E-8C12-4F3A455290EC}" type="SERIESNAME">
                      <a:rPr lang="en-US" sz="2000"/>
                      <a:pPr>
                        <a:defRPr sz="2000"/>
                      </a:pPr>
                      <a:t>[NOM DE SÉRIE]</a:t>
                    </a:fld>
                    <a:r>
                      <a:rPr lang="en-US" sz="2000" baseline="0"/>
                      <a:t> 					</a:t>
                    </a:r>
                    <a:fld id="{22DA909B-63E1-164D-A46B-10178D4F76B0}" type="VALUE">
                      <a:rPr lang="en-US" sz="2000" baseline="0"/>
                      <a:pPr>
                        <a:defRPr sz="2000"/>
                      </a:pPr>
                      <a:t>[VALEUR]</a:t>
                    </a:fld>
                    <a:endParaRPr lang="en-US" sz="20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042575118708292"/>
                      <c:h val="7.039160330324822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433-AF45-BB11-2EE8192B9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'!$AC$23</c:f>
              <c:numCache>
                <c:formatCode>General</c:formatCode>
                <c:ptCount val="1"/>
                <c:pt idx="0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C9-024C-A14B-504F04F87160}"/>
            </c:ext>
          </c:extLst>
        </c:ser>
        <c:ser>
          <c:idx val="5"/>
          <c:order val="5"/>
          <c:tx>
            <c:strRef>
              <c:f>'DONNEES '!$AB$24</c:f>
              <c:strCache>
                <c:ptCount val="1"/>
                <c:pt idx="0">
                  <c:v>HAPPY MEAL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C1F6DCE-0154-3340-B96C-C29509354297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	</a:t>
                    </a:r>
                    <a:fld id="{CB0F1E27-34F2-D94A-8E44-10E0BC666BD2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042575118708292"/>
                      <c:h val="7.039160330324822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433-AF45-BB11-2EE8192B9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'!$AC$24</c:f>
              <c:numCache>
                <c:formatCode>General</c:formatCode>
                <c:ptCount val="1"/>
                <c:pt idx="0">
                  <c:v>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C9-024C-A14B-504F04F87160}"/>
            </c:ext>
          </c:extLst>
        </c:ser>
        <c:ser>
          <c:idx val="6"/>
          <c:order val="6"/>
          <c:tx>
            <c:strRef>
              <c:f>'DONNEES '!$AB$25</c:f>
              <c:strCache>
                <c:ptCount val="1"/>
                <c:pt idx="0">
                  <c:v>GLACES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7DA6DD01-E322-C84D-9373-411A4E50C1AC}" type="SERIESNAME">
                      <a:rPr lang="en-US" sz="2000">
                        <a:solidFill>
                          <a:schemeClr val="bg1"/>
                        </a:solidFill>
                      </a:rPr>
                      <a:pPr algn="ctr">
                        <a:defRPr sz="2000"/>
                      </a:pPr>
                      <a:t>[NOM DE SÉRIE]</a:t>
                    </a:fld>
                    <a:r>
                      <a:rPr lang="en-US" sz="2000" baseline="0">
                        <a:solidFill>
                          <a:schemeClr val="bg1"/>
                        </a:solidFill>
                      </a:rPr>
                      <a:t> 					</a:t>
                    </a:r>
                    <a:fld id="{21281F24-AC02-AD44-8A22-8B15C117AEF5}" type="VALUE">
                      <a:rPr lang="en-US" sz="2000" baseline="0">
                        <a:solidFill>
                          <a:schemeClr val="bg1"/>
                        </a:solidFill>
                      </a:rPr>
                      <a:pPr algn="ctr">
                        <a:defRPr sz="2000"/>
                      </a:pPr>
                      <a:t>[VALEUR]</a:t>
                    </a:fld>
                    <a:endParaRPr lang="en-US" sz="2000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078451254667127"/>
                      <c:h val="4.634683974770625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433-AF45-BB11-2EE8192B9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'!$AC$25</c:f>
              <c:numCache>
                <c:formatCode>General</c:formatCode>
                <c:ptCount val="1"/>
                <c:pt idx="0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C9-024C-A14B-504F04F87160}"/>
            </c:ext>
          </c:extLst>
        </c:ser>
        <c:ser>
          <c:idx val="7"/>
          <c:order val="7"/>
          <c:tx>
            <c:strRef>
              <c:f>'DONNEES '!$AB$26</c:f>
              <c:strCache>
                <c:ptCount val="1"/>
                <c:pt idx="0">
                  <c:v>PREMIUM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EBFBFF85-060B-3D46-A383-0CFED32C1B31}" type="SERIESNAME">
                      <a:rPr lang="en-US" sz="2000"/>
                      <a:pPr>
                        <a:defRPr sz="2000"/>
                      </a:pPr>
                      <a:t>[NOM DE SÉRIE]</a:t>
                    </a:fld>
                    <a:r>
                      <a:rPr lang="en-US" sz="2000"/>
                      <a:t>				</a:t>
                    </a:r>
                    <a:r>
                      <a:rPr lang="en-US" sz="2000" baseline="0"/>
                      <a:t> </a:t>
                    </a:r>
                    <a:fld id="{BA50B704-F6FD-E54A-958C-D474D72DDB14}" type="VALUE">
                      <a:rPr lang="en-US" sz="2000" baseline="0"/>
                      <a:pPr>
                        <a:defRPr sz="2000"/>
                      </a:pPr>
                      <a:t>[VALEUR]</a:t>
                    </a:fld>
                    <a:endParaRPr lang="en-US" sz="20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156592485553668"/>
                      <c:h val="4.597103819214756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433-AF45-BB11-2EE8192B9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'!$AC$26</c:f>
              <c:numCache>
                <c:formatCode>General</c:formatCode>
                <c:ptCount val="1"/>
                <c:pt idx="0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C9-024C-A14B-504F04F87160}"/>
            </c:ext>
          </c:extLst>
        </c:ser>
        <c:ser>
          <c:idx val="8"/>
          <c:order val="8"/>
          <c:tx>
            <c:strRef>
              <c:f>'DONNEES '!$AB$27</c:f>
              <c:strCache>
                <c:ptCount val="1"/>
                <c:pt idx="0">
                  <c:v>CORE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chemeClr val="bg1"/>
                        </a:solidFill>
                        <a:latin typeface="Avenir Next Condensed" panose="020B0506020202020204" pitchFamily="34" charset="0"/>
                        <a:ea typeface="+mn-ea"/>
                        <a:cs typeface="+mn-cs"/>
                      </a:defRPr>
                    </a:pPr>
                    <a:fld id="{9A247986-CB90-E441-A2DC-8E88FC1839BC}" type="SERIESNAME">
                      <a:rPr lang="en-US" sz="2000"/>
                      <a:pPr>
                        <a:defRPr sz="2000"/>
                      </a:pPr>
                      <a:t>[NOM DE SÉRIE]</a:t>
                    </a:fld>
                    <a:r>
                      <a:rPr lang="en-US" sz="2000" baseline="0"/>
                      <a:t>					 </a:t>
                    </a:r>
                    <a:fld id="{A0454300-DF38-B24B-9ABB-845FFDFC815E}" type="VALUE">
                      <a:rPr lang="en-US" sz="2000" baseline="0"/>
                      <a:pPr>
                        <a:defRPr sz="2000"/>
                      </a:pPr>
                      <a:t>[VALEUR]</a:t>
                    </a:fld>
                    <a:endParaRPr lang="en-US" sz="20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5156592485553668"/>
                      <c:h val="4.597103819214756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8433-AF45-BB11-2EE8192B9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'!$AC$27</c:f>
              <c:numCache>
                <c:formatCode>General</c:formatCode>
                <c:ptCount val="1"/>
                <c:pt idx="0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C9-024C-A14B-504F04F87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800"/>
          <c:min val="0"/>
        </c:scaling>
        <c:delete val="1"/>
        <c:axPos val="b"/>
        <c:numFmt formatCode="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75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18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BELLEY</a:t>
            </a:r>
          </a:p>
        </c:rich>
      </c:tx>
      <c:layout>
        <c:manualLayout>
          <c:xMode val="edge"/>
          <c:yMode val="edge"/>
          <c:x val="0.15908116388944174"/>
          <c:y val="0.61722417880213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1863533850181103"/>
                      <c:h val="0.23545897543247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B6C-CF4C-8998-4046BBE8B7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'!$AB$6</c:f>
              <c:numCache>
                <c:formatCode>_("€"* #,##0_);_("€"* \(#,##0\);_("€"* "-"_);_(@_)</c:formatCode>
                <c:ptCount val="1"/>
                <c:pt idx="0">
                  <c:v>4500046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6C-CF4C-8998-4046BBE8B7BD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6C-CF4C-8998-4046BBE8B7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'!$Z$6</c:f>
              <c:numCache>
                <c:formatCode>_("€"* #,##0_);_("€"* \(#,##0\);_("€"* "-"_);_(@_)</c:formatCode>
                <c:ptCount val="1"/>
                <c:pt idx="0">
                  <c:v>1902600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6C-CF4C-8998-4046BBE8B7BD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B6C-CF4C-8998-4046BBE8B7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'!$Y$6</c:f>
              <c:numCache>
                <c:formatCode>_("€"* #,##0_);_("€"* \(#,##0\);_("€"* "-"_);_(@_)</c:formatCode>
                <c:ptCount val="1"/>
                <c:pt idx="0">
                  <c:v>1845548.15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B6C-CF4C-8998-4046BBE8B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ax val="4800000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ST ALBAN</a:t>
            </a:r>
          </a:p>
        </c:rich>
      </c:tx>
      <c:layout>
        <c:manualLayout>
          <c:xMode val="edge"/>
          <c:yMode val="edge"/>
          <c:x val="0.15828874956938085"/>
          <c:y val="0.6187565920223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355394712871317"/>
                      <c:h val="0.223319812913618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D5-504F-9119-4F1B0BBD3C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'!$AB$7</c:f>
              <c:numCache>
                <c:formatCode>_("€"* #,##0_);_("€"* \(#,##0\);_("€"* "-"_);_(@_)</c:formatCode>
                <c:ptCount val="1"/>
                <c:pt idx="0">
                  <c:v>5535000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D5-504F-9119-4F1B0BBD3CD6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D5-504F-9119-4F1B0BBD3C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5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'!$Z$7</c:f>
              <c:numCache>
                <c:formatCode>_("€"* #,##0_);_("€"* \(#,##0\);_("€"* "-"_);_(@_)</c:formatCode>
                <c:ptCount val="1"/>
                <c:pt idx="0">
                  <c:v>2420550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D5-504F-9119-4F1B0BBD3CD6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5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4D5-504F-9119-4F1B0BBD3C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'!$Y$7</c:f>
              <c:numCache>
                <c:formatCode>_("€"* #,##0_);_("€"* \(#,##0\);_("€"* "-"_);_(@_)</c:formatCode>
                <c:ptCount val="1"/>
                <c:pt idx="0">
                  <c:v>2368816.65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4D5-504F-9119-4F1B0BBD3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FRANCIN</a:t>
            </a:r>
          </a:p>
        </c:rich>
      </c:tx>
      <c:layout>
        <c:manualLayout>
          <c:xMode val="edge"/>
          <c:yMode val="edge"/>
          <c:x val="0.15828874956938085"/>
          <c:y val="0.6187565920223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355394712871317"/>
                      <c:h val="0.223319812913618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5B0-4742-83C4-863D4CF25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'!$AB$10</c:f>
              <c:numCache>
                <c:formatCode>_("€"* #,##0_);_("€"* \(#,##0\);_("€"* "-"_);_(@_)</c:formatCode>
                <c:ptCount val="1"/>
                <c:pt idx="0">
                  <c:v>3392200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B0-4742-83C4-863D4CF25D52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B0-4742-83C4-863D4CF25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5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'!$Z$10</c:f>
              <c:numCache>
                <c:formatCode>_("€"* #,##0_);_("€"* \(#,##0\);_("€"* "-"_);_(@_)</c:formatCode>
                <c:ptCount val="1"/>
                <c:pt idx="0">
                  <c:v>1459600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5B0-4742-83C4-863D4CF25D52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5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5B0-4742-83C4-863D4CF25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'!$Y$10</c:f>
              <c:numCache>
                <c:formatCode>_("€"* #,##0_);_("€"* \(#,##0\);_("€"* "-"_);_(@_)</c:formatCode>
                <c:ptCount val="1"/>
                <c:pt idx="0">
                  <c:v>1428749.8199999998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5B0-4742-83C4-863D4CF25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ax val="3800000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LES ABRETS</a:t>
            </a:r>
          </a:p>
        </c:rich>
      </c:tx>
      <c:layout>
        <c:manualLayout>
          <c:xMode val="edge"/>
          <c:yMode val="edge"/>
          <c:x val="0.15908116388944174"/>
          <c:y val="0.61722417880213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1863533850181103"/>
                      <c:h val="0.23545897543247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555-0143-ACA7-7DA3EB8F78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'!$AB$8</c:f>
              <c:numCache>
                <c:formatCode>_("€"* #,##0_);_("€"* \(#,##0\);_("€"* "-"_);_(@_)</c:formatCode>
                <c:ptCount val="1"/>
                <c:pt idx="0">
                  <c:v>3594300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55-0143-ACA7-7DA3EB8F789B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55-0143-ACA7-7DA3EB8F78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'!$Z$8</c:f>
              <c:numCache>
                <c:formatCode>_("€"* #,##0_);_("€"* \(#,##0\);_("€"* "-"_);_(@_)</c:formatCode>
                <c:ptCount val="1"/>
                <c:pt idx="0">
                  <c:v>1495300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55-0143-ACA7-7DA3EB8F789B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555-0143-ACA7-7DA3EB8F78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'!$Y$8</c:f>
              <c:numCache>
                <c:formatCode>_("€"* #,##0_);_("€"* \(#,##0\);_("€"* "-"_);_(@_)</c:formatCode>
                <c:ptCount val="1"/>
                <c:pt idx="0">
                  <c:v>1436890.0200000003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55-0143-ACA7-7DA3EB8F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VIVIERS DU LAC</a:t>
            </a:r>
          </a:p>
        </c:rich>
      </c:tx>
      <c:layout>
        <c:manualLayout>
          <c:xMode val="edge"/>
          <c:yMode val="edge"/>
          <c:x val="0.15828874956938085"/>
          <c:y val="0.6187565920223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355394712871317"/>
                      <c:h val="0.223319812913618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C7B-7447-A444-CA24159DF7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'!$AB$11</c:f>
              <c:numCache>
                <c:formatCode>_("€"* #,##0_);_("€"* \(#,##0\);_("€"* "-"_);_(@_)</c:formatCode>
                <c:ptCount val="1"/>
                <c:pt idx="0">
                  <c:v>3050000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7B-7447-A444-CA24159DF73D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7B-7447-A444-CA24159DF7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5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'!$Z$11</c:f>
              <c:numCache>
                <c:formatCode>_("€"* #,##0_);_("€"* \(#,##0\);_("€"* "-"_);_(@_)</c:formatCode>
                <c:ptCount val="1"/>
                <c:pt idx="0">
                  <c:v>1294200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7B-7447-A444-CA24159DF73D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5">
                          <a:lumMod val="5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7B-7447-A444-CA24159DF7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'!$Y$11</c:f>
              <c:numCache>
                <c:formatCode>_("€"* #,##0_);_("€"* \(#,##0\);_("€"* "-"_);_(@_)</c:formatCode>
                <c:ptCount val="1"/>
                <c:pt idx="0">
                  <c:v>1240474.3799999999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C7B-7447-A444-CA24159DF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bg1"/>
                </a:solidFill>
              </a:rPr>
              <a:t>PDB</a:t>
            </a:r>
          </a:p>
        </c:rich>
      </c:tx>
      <c:layout>
        <c:manualLayout>
          <c:xMode val="edge"/>
          <c:yMode val="edge"/>
          <c:x val="0.15908116388944174"/>
          <c:y val="0.61722417880213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19460500963391E-2"/>
          <c:y val="0.11319838056680162"/>
          <c:w val="0.95761078998073212"/>
          <c:h val="0.797732793522267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'DONNEES '!$AB$3</c:f>
              <c:strCache>
                <c:ptCount val="1"/>
                <c:pt idx="0">
                  <c:v>PREVISION ANNUELLE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1863533850181103"/>
                      <c:h val="0.23545897543247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A0-DB47-ACCE-36439FCE0F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'!$AB$9</c:f>
              <c:numCache>
                <c:formatCode>_("€"* #,##0_);_("€"* \(#,##0\);_("€"* "-"_);_(@_)</c:formatCode>
                <c:ptCount val="1"/>
                <c:pt idx="0">
                  <c:v>3635300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A0-DB47-ACCE-36439FCE0F0B}"/>
            </c:ext>
          </c:extLst>
        </c:ser>
        <c:ser>
          <c:idx val="2"/>
          <c:order val="1"/>
          <c:tx>
            <c:strRef>
              <c:f>'DONNEES '!$Z$3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40000"/>
                          <a:lumOff val="60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A0-DB47-ACCE-36439FCE0F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40000"/>
                        <a:lumOff val="60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'!$Z$9</c:f>
              <c:numCache>
                <c:formatCode>_("€"* #,##0_);_("€"* \(#,##0\);_("€"* "-"_);_(@_)</c:formatCode>
                <c:ptCount val="1"/>
                <c:pt idx="0">
                  <c:v>1548900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A0-DB47-ACCE-36439FCE0F0B}"/>
            </c:ext>
          </c:extLst>
        </c:ser>
        <c:ser>
          <c:idx val="0"/>
          <c:order val="2"/>
          <c:tx>
            <c:strRef>
              <c:f>'DONNEES '!$Y$3</c:f>
              <c:strCache>
                <c:ptCount val="1"/>
                <c:pt idx="0">
                  <c:v>ACTUEL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Avenir Next Condensed" panose="020B05060202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4A0-DB47-ACCE-36439FCE0F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venir Next Condensed" panose="020B0506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'!$Y$9</c:f>
              <c:numCache>
                <c:formatCode>_("€"* #,##0_);_("€"* \(#,##0\);_("€"* "-"_);_(@_)</c:formatCode>
                <c:ptCount val="1"/>
                <c:pt idx="0">
                  <c:v>1480903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4A0-DB47-ACCE-36439FCE0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473599"/>
        <c:axId val="1431358736"/>
      </c:barChart>
      <c:catAx>
        <c:axId val="198473599"/>
        <c:scaling>
          <c:orientation val="minMax"/>
        </c:scaling>
        <c:delete val="1"/>
        <c:axPos val="l"/>
        <c:majorTickMark val="none"/>
        <c:minorTickMark val="none"/>
        <c:tickLblPos val="nextTo"/>
        <c:crossAx val="1431358736"/>
        <c:crosses val="autoZero"/>
        <c:auto val="1"/>
        <c:lblAlgn val="ctr"/>
        <c:lblOffset val="100"/>
        <c:noMultiLvlLbl val="0"/>
      </c:catAx>
      <c:valAx>
        <c:axId val="1431358736"/>
        <c:scaling>
          <c:orientation val="minMax"/>
          <c:min val="0"/>
        </c:scaling>
        <c:delete val="1"/>
        <c:axPos val="b"/>
        <c:numFmt formatCode="_(&quot;€&quot;* #,##0_);_(&quot;€&quot;* \(#,##0\);_(&quot;€&quot;* &quot;-&quot;_);_(@_)" sourceLinked="1"/>
        <c:majorTickMark val="out"/>
        <c:minorTickMark val="none"/>
        <c:tickLblPos val="nextTo"/>
        <c:crossAx val="198473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7"/>
          <c:order val="0"/>
          <c:tx>
            <c:strRef>
              <c:f>'DONNEES '!$M$102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91F-0E4A-8776-ED70D45993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97D357C-F580-184A-8ECF-495925BF6CAE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34784761-C163-E445-8130-E1FDEDD1AB77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'!$O$102</c:f>
              <c:numCache>
                <c:formatCode>0.00</c:formatCode>
                <c:ptCount val="1"/>
                <c:pt idx="0">
                  <c:v>5.0815947118363969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1F-0E4A-8776-ED70D4599376}"/>
            </c:ext>
          </c:extLst>
        </c:ser>
        <c:ser>
          <c:idx val="6"/>
          <c:order val="1"/>
          <c:tx>
            <c:strRef>
              <c:f>'DONNEES '!$M$101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EBCFF57-5D77-8341-8887-6B8DFD3A9D75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25F8F9F6-4DF0-E145-A298-A77B74BA3365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'!$O$101</c:f>
              <c:numCache>
                <c:formatCode>0.00</c:formatCode>
                <c:ptCount val="1"/>
                <c:pt idx="0">
                  <c:v>4.841549295774648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1F-0E4A-8776-ED70D4599376}"/>
            </c:ext>
          </c:extLst>
        </c:ser>
        <c:ser>
          <c:idx val="5"/>
          <c:order val="2"/>
          <c:tx>
            <c:strRef>
              <c:f>'DONNEES '!$M$100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5E88AFC-D407-A44C-90EC-A7A14FF68C74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	</a:t>
                    </a:r>
                    <a:fld id="{7201E4EA-EC15-7940-B3ED-428FE5077AB2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'!$O$100</c:f>
              <c:numCache>
                <c:formatCode>0.00</c:formatCode>
                <c:ptCount val="1"/>
                <c:pt idx="0">
                  <c:v>5.2951334379905806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1F-0E4A-8776-ED70D4599376}"/>
            </c:ext>
          </c:extLst>
        </c:ser>
        <c:ser>
          <c:idx val="4"/>
          <c:order val="3"/>
          <c:tx>
            <c:strRef>
              <c:f>'DONNEES '!$M$99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D02132D-B8F7-834B-8C8E-6911C863B0E4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99A7FD55-2150-3D4A-B32E-F0ECF864A54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'!$O$99</c:f>
              <c:numCache>
                <c:formatCode>0.00</c:formatCode>
                <c:ptCount val="1"/>
                <c:pt idx="0">
                  <c:v>5.1593746411404755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1F-0E4A-8776-ED70D4599376}"/>
            </c:ext>
          </c:extLst>
        </c:ser>
        <c:ser>
          <c:idx val="3"/>
          <c:order val="4"/>
          <c:tx>
            <c:strRef>
              <c:f>'DONNEES '!$M$98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E5AD2F2-5086-D947-B06E-6986351278DD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1A4277DB-B268-8B44-9768-8C6AC7A18C2C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'!$O$98</c:f>
              <c:numCache>
                <c:formatCode>0.00</c:formatCode>
                <c:ptCount val="1"/>
                <c:pt idx="0">
                  <c:v>5.2880558697330393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1F-0E4A-8776-ED70D4599376}"/>
            </c:ext>
          </c:extLst>
        </c:ser>
        <c:ser>
          <c:idx val="2"/>
          <c:order val="5"/>
          <c:tx>
            <c:strRef>
              <c:f>'DONNEES '!$M$97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A0CA4E2-9D3B-A64A-B4AE-51192AE86925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	</a:t>
                    </a:r>
                    <a:fld id="{8524AA03-542A-6C41-8ACA-73BD15BACFB8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'!$O$97</c:f>
              <c:numCache>
                <c:formatCode>0.00</c:formatCode>
                <c:ptCount val="1"/>
                <c:pt idx="0">
                  <c:v>4.5418410041841009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1F-0E4A-8776-ED70D4599376}"/>
            </c:ext>
          </c:extLst>
        </c:ser>
        <c:ser>
          <c:idx val="1"/>
          <c:order val="6"/>
          <c:tx>
            <c:strRef>
              <c:f>'DONNEES '!$M$96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F57458A-C8F6-7242-A3A7-B4A84B018045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82AD046F-D4F6-1D49-8729-E6A3AE18FEA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'!$O$96</c:f>
              <c:numCache>
                <c:formatCode>0.00</c:formatCode>
                <c:ptCount val="1"/>
                <c:pt idx="0">
                  <c:v>5.239651999928542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1F-0E4A-8776-ED70D4599376}"/>
            </c:ext>
          </c:extLst>
        </c:ser>
        <c:ser>
          <c:idx val="0"/>
          <c:order val="7"/>
          <c:tx>
            <c:strRef>
              <c:f>'DONNEES '!$M$95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91F-0E4A-8776-ED70D45993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FA28501-EFF1-1E4A-8113-712CA85DCC71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54441FA6-DBF5-4D40-B57C-078B8219D368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35000022566971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391F-0E4A-8776-ED70D45993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'!$O$95</c:f>
              <c:numCache>
                <c:formatCode>0.00</c:formatCode>
                <c:ptCount val="1"/>
                <c:pt idx="0">
                  <c:v>5.4583207490184238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F-0E4A-8776-ED70D4599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9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3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'!$W$102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42BB-8641-824C-7E4243DAEDE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97D357C-F580-184A-8ECF-495925BF6CAE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34784761-C163-E445-8130-E1FDEDD1AB77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8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'!$Y$102</c:f>
              <c:numCache>
                <c:formatCode>0.00</c:formatCode>
                <c:ptCount val="1"/>
                <c:pt idx="0">
                  <c:v>4.9856885377378086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2BB-8641-824C-7E4243DAEDE2}"/>
            </c:ext>
          </c:extLst>
        </c:ser>
        <c:ser>
          <c:idx val="1"/>
          <c:order val="1"/>
          <c:tx>
            <c:strRef>
              <c:f>'DONNEES '!$W$101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EBCFF57-5D77-8341-8887-6B8DFD3A9D75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25F8F9F6-4DF0-E145-A298-A77B74BA3365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4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'!$Y$101</c:f>
              <c:numCache>
                <c:formatCode>0.00</c:formatCode>
                <c:ptCount val="1"/>
                <c:pt idx="0">
                  <c:v>4.6994920256367987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2BB-8641-824C-7E4243DAEDE2}"/>
            </c:ext>
          </c:extLst>
        </c:ser>
        <c:ser>
          <c:idx val="2"/>
          <c:order val="2"/>
          <c:tx>
            <c:strRef>
              <c:f>'DONNEES '!$W$100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5E88AFC-D407-A44C-90EC-A7A14FF68C74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	</a:t>
                    </a:r>
                    <a:fld id="{7201E4EA-EC15-7940-B3ED-428FE5077AB2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1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'!$Y$100</c:f>
              <c:numCache>
                <c:formatCode>0.00</c:formatCode>
                <c:ptCount val="1"/>
                <c:pt idx="0">
                  <c:v>4.8797211317178828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2BB-8641-824C-7E4243DAEDE2}"/>
            </c:ext>
          </c:extLst>
        </c:ser>
        <c:ser>
          <c:idx val="3"/>
          <c:order val="3"/>
          <c:tx>
            <c:strRef>
              <c:f>'DONNEES '!$W$99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D02132D-B8F7-834B-8C8E-6911C863B0E4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99A7FD55-2150-3D4A-B32E-F0ECF864A54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E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'!$Y$99</c:f>
              <c:numCache>
                <c:formatCode>0.00</c:formatCode>
                <c:ptCount val="1"/>
                <c:pt idx="0">
                  <c:v>4.6152734740483359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2BB-8641-824C-7E4243DAEDE2}"/>
            </c:ext>
          </c:extLst>
        </c:ser>
        <c:ser>
          <c:idx val="4"/>
          <c:order val="4"/>
          <c:tx>
            <c:strRef>
              <c:f>'DONNEES '!$W$98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E5AD2F2-5086-D947-B06E-6986351278DD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1A4277DB-B268-8B44-9768-8C6AC7A18C2C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B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'!$Y$98</c:f>
              <c:numCache>
                <c:formatCode>0.00</c:formatCode>
                <c:ptCount val="1"/>
                <c:pt idx="0">
                  <c:v>5.0711340800184388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2BB-8641-824C-7E4243DAEDE2}"/>
            </c:ext>
          </c:extLst>
        </c:ser>
        <c:ser>
          <c:idx val="5"/>
          <c:order val="5"/>
          <c:tx>
            <c:strRef>
              <c:f>'DONNEES '!$W$97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A0CA4E2-9D3B-A64A-B4AE-51192AE86925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	</a:t>
                    </a:r>
                    <a:fld id="{8524AA03-542A-6C41-8ACA-73BD15BACFB8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8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'!$Y$97</c:f>
              <c:numCache>
                <c:formatCode>0.00</c:formatCode>
                <c:ptCount val="1"/>
                <c:pt idx="0">
                  <c:v>4.7507274148306458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2BB-8641-824C-7E4243DAEDE2}"/>
            </c:ext>
          </c:extLst>
        </c:ser>
        <c:ser>
          <c:idx val="6"/>
          <c:order val="6"/>
          <c:tx>
            <c:strRef>
              <c:f>'DONNEES '!$W$96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F57458A-C8F6-7242-A3A7-B4A84B018045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82AD046F-D4F6-1D49-8729-E6A3AE18FEA6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5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'!$Y$96</c:f>
              <c:numCache>
                <c:formatCode>0.00</c:formatCode>
                <c:ptCount val="1"/>
                <c:pt idx="0">
                  <c:v>5.8569548691708606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2BB-8641-824C-7E4243DAEDE2}"/>
            </c:ext>
          </c:extLst>
        </c:ser>
        <c:ser>
          <c:idx val="7"/>
          <c:order val="7"/>
          <c:tx>
            <c:strRef>
              <c:f>'DONNEES '!$W$95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FA28501-EFF1-1E4A-8113-712CA85DCC71}" type="SERIESNAME">
                      <a:rPr lang="en-US"/>
                      <a:pPr/>
                      <a:t>[NOM DE SÉRIE]</a:t>
                    </a:fld>
                    <a:r>
                      <a:rPr lang="en-US" baseline="0"/>
                      <a:t> 			</a:t>
                    </a:r>
                    <a:fld id="{54441FA6-DBF5-4D40-B57C-078B8219D368}" type="VALUE">
                      <a:rPr lang="en-US" baseline="0"/>
                      <a:pPr/>
                      <a:t>[VALEUR]</a:t>
                    </a:fld>
                    <a:endParaRPr lang="en-US" baseline="0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312684102472554"/>
                      <c:h val="7.221927454011001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42BB-8641-824C-7E4243DAED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'!$Y$95</c:f>
              <c:numCache>
                <c:formatCode>0.00</c:formatCode>
                <c:ptCount val="1"/>
                <c:pt idx="0">
                  <c:v>5.3602337404267075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2BB-8641-824C-7E4243DA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9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3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90438593155151E-2"/>
          <c:y val="2.9049287720614471E-2"/>
          <c:w val="0.90257172812352937"/>
          <c:h val="0.909709532075653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'DONNEES '!$G$34</c:f>
              <c:strCache>
                <c:ptCount val="1"/>
                <c:pt idx="0">
                  <c:v>VIVIERS DU LAC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F8624277-47DB-B24F-8EFA-59AAB77B4C72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</a:t>
                    </a:r>
                    <a:fld id="{F1216E97-1620-714E-9CB5-C1BA0500592B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'!$H$34</c:f>
              <c:numCache>
                <c:formatCode>0.00</c:formatCode>
                <c:ptCount val="1"/>
                <c:pt idx="0">
                  <c:v>30.19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8A-D54B-86A3-D5ED5FE4DF6C}"/>
            </c:ext>
          </c:extLst>
        </c:ser>
        <c:ser>
          <c:idx val="1"/>
          <c:order val="1"/>
          <c:tx>
            <c:strRef>
              <c:f>'DONNEES '!$G$35</c:f>
              <c:strCache>
                <c:ptCount val="1"/>
                <c:pt idx="0">
                  <c:v>FRANCIN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ED39B6C3-29DA-2644-8D09-F2F6035E6900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				</a:t>
                    </a:r>
                    <a:fld id="{68C76453-818E-CB47-B46D-AE0EB0606FE0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'!$H$35</c:f>
              <c:numCache>
                <c:formatCode>0.00</c:formatCode>
                <c:ptCount val="1"/>
                <c:pt idx="0">
                  <c:v>32.19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58A-D54B-86A3-D5ED5FE4DF6C}"/>
            </c:ext>
          </c:extLst>
        </c:ser>
        <c:ser>
          <c:idx val="2"/>
          <c:order val="2"/>
          <c:tx>
            <c:strRef>
              <c:f>'DONNEES '!$G$36</c:f>
              <c:strCache>
                <c:ptCount val="1"/>
                <c:pt idx="0">
                  <c:v>BELLEY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44091369066879321"/>
                  <c:y val="-9.6269239648216798E-8"/>
                </c:manualLayout>
              </c:layout>
              <c:tx>
                <c:rich>
                  <a:bodyPr/>
                  <a:lstStyle/>
                  <a:p>
                    <a:fld id="{757FB71B-4627-AD49-9DB9-24F88034618A}" type="SERIESNAME">
                      <a:rPr lang="en-US"/>
                      <a:pPr/>
                      <a:t>[NOM DE SÉRIE]</a:t>
                    </a:fld>
                    <a:r>
                      <a:rPr lang="en-US"/>
                      <a:t>				 </a:t>
                    </a:r>
                    <a:fld id="{F3DAD87F-AC85-714B-8B1F-34D74844D816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7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'!$H$36</c:f>
              <c:numCache>
                <c:formatCode>0.00</c:formatCode>
                <c:ptCount val="1"/>
                <c:pt idx="0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58A-D54B-86A3-D5ED5FE4DF6C}"/>
            </c:ext>
          </c:extLst>
        </c:ser>
        <c:ser>
          <c:idx val="3"/>
          <c:order val="3"/>
          <c:tx>
            <c:strRef>
              <c:f>'DONNEES '!$G$37</c:f>
              <c:strCache>
                <c:ptCount val="1"/>
                <c:pt idx="0">
                  <c:v>ST ALBAN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43D066-681B-944C-B59B-B752E4D77647}" type="SERIESNAME">
                      <a:rPr lang="en-US"/>
                      <a:pPr/>
                      <a:t>[NOM DE SÉRIE]</a:t>
                    </a:fld>
                    <a:r>
                      <a:rPr lang="en-US"/>
                      <a:t>			 </a:t>
                    </a:r>
                    <a:fld id="{48AD2D53-4C2F-E646-BB11-CFD014A4415F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5.41868438292722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'!$H$37</c:f>
              <c:numCache>
                <c:formatCode>0.00</c:formatCode>
                <c:ptCount val="1"/>
                <c:pt idx="0">
                  <c:v>33.04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58A-D54B-86A3-D5ED5FE4DF6C}"/>
            </c:ext>
          </c:extLst>
        </c:ser>
        <c:ser>
          <c:idx val="4"/>
          <c:order val="4"/>
          <c:tx>
            <c:strRef>
              <c:f>'DONNEES '!$G$38</c:f>
              <c:strCache>
                <c:ptCount val="1"/>
                <c:pt idx="0">
                  <c:v>LES ABRETS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358A-D54B-86A3-D5ED5FE4DF6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C189ED0-67B9-A942-B181-AF3BBA0DC1A3}" type="SERIESNAME">
                      <a:rPr lang="en-US"/>
                      <a:pPr/>
                      <a:t>[NOM DE SÉRIE]</a:t>
                    </a:fld>
                    <a:r>
                      <a:rPr lang="en-US"/>
                      <a:t>			 </a:t>
                    </a:r>
                    <a:fld id="{2CD66163-1502-4143-987E-D04B2C97E3D2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34585555726"/>
                      <c:h val="8.222208489910831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'!$H$38</c:f>
              <c:numCache>
                <c:formatCode>0.00</c:formatCode>
                <c:ptCount val="1"/>
                <c:pt idx="0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58A-D54B-86A3-D5ED5FE4DF6C}"/>
            </c:ext>
          </c:extLst>
        </c:ser>
        <c:ser>
          <c:idx val="5"/>
          <c:order val="5"/>
          <c:tx>
            <c:strRef>
              <c:f>'DONNEES '!$G$39</c:f>
              <c:strCache>
                <c:ptCount val="1"/>
                <c:pt idx="0">
                  <c:v>AIX LES BAINS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vert="horz"/>
                  <a:lstStyle/>
                  <a:p>
                    <a:pPr algn="ctr">
                      <a:defRPr>
                        <a:solidFill>
                          <a:schemeClr val="bg1"/>
                        </a:solidFill>
                      </a:defRPr>
                    </a:pPr>
                    <a:fld id="{93E9F0C6-C20A-0944-A18A-725EC8B1F2FF}" type="SERIESNAM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[NOM DE SÉRIE]</a:t>
                    </a:fld>
                    <a:r>
                      <a:rPr lang="en-US">
                        <a:solidFill>
                          <a:schemeClr val="bg1"/>
                        </a:solidFill>
                      </a:rPr>
                      <a:t> 			</a:t>
                    </a:r>
                    <a:fld id="{D63CCC08-561E-6442-A555-CFAE5DCB06B8}" type="VALUE">
                      <a:rPr lang="en-US">
                        <a:solidFill>
                          <a:schemeClr val="bg1"/>
                        </a:solidFill>
                      </a:rPr>
                      <a:pPr algn="ctr">
                        <a:defRPr>
                          <a:solidFill>
                            <a:schemeClr val="bg1"/>
                          </a:solidFill>
                        </a:defRPr>
                      </a:pPr>
                      <a:t>[VALEUR]</a:t>
                    </a:fld>
                    <a:endParaRPr lang="en-US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4088741608"/>
                      <c:h val="6.584481725182209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l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'!$H$39</c:f>
              <c:numCache>
                <c:formatCode>0.00</c:formatCode>
                <c:ptCount val="1"/>
                <c:pt idx="0">
                  <c:v>34.43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58A-D54B-86A3-D5ED5FE4DF6C}"/>
            </c:ext>
          </c:extLst>
        </c:ser>
        <c:ser>
          <c:idx val="6"/>
          <c:order val="6"/>
          <c:tx>
            <c:strRef>
              <c:f>'DONNEES '!$G$40</c:f>
              <c:strCache>
                <c:ptCount val="1"/>
                <c:pt idx="0">
                  <c:v>PDB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A71615-9CE6-0C4E-A201-15758292ACC1}" type="SERIESNAME">
                      <a:rPr lang="en-US"/>
                      <a:pPr/>
                      <a:t>[NOM DE SÉRIE]</a:t>
                    </a:fld>
                    <a:r>
                      <a:rPr lang="en-US"/>
                      <a:t> 				</a:t>
                    </a:r>
                    <a:fld id="{373701FF-D070-AC48-B163-409EF6BFAB64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007428393626667"/>
                      <c:h val="6.827915044013425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3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'!$H$40</c:f>
              <c:numCache>
                <c:formatCode>0.00</c:formatCode>
                <c:ptCount val="1"/>
                <c:pt idx="0">
                  <c:v>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58A-D54B-86A3-D5ED5FE4DF6C}"/>
            </c:ext>
          </c:extLst>
        </c:ser>
        <c:ser>
          <c:idx val="7"/>
          <c:order val="7"/>
          <c:tx>
            <c:strRef>
              <c:f>'DONNEES '!$G$41</c:f>
              <c:strCache>
                <c:ptCount val="1"/>
                <c:pt idx="0">
                  <c:v>CHAMNORD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4631B-FECE-8642-915A-A9BBD850D4DA}" type="SERIESNAME">
                      <a:rPr lang="en-US"/>
                      <a:pPr/>
                      <a:t>[NOM DE SÉRIE]</a:t>
                    </a:fld>
                    <a:r>
                      <a:rPr lang="en-US"/>
                      <a:t> 			</a:t>
                    </a:r>
                    <a:fld id="{70E47758-7502-B249-A76F-B7649CF7261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969183770372604"/>
                      <c:h val="6.751327309575877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6-358A-D54B-86A3-D5ED5FE4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 algn="ctr"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'DONNEES '!$H$41</c:f>
              <c:numCache>
                <c:formatCode>0.00</c:formatCode>
                <c:ptCount val="1"/>
                <c:pt idx="0">
                  <c:v>34.83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58A-D54B-86A3-D5ED5FE4D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4"/>
        <c:axId val="196907391"/>
        <c:axId val="1349556831"/>
      </c:barChart>
      <c:catAx>
        <c:axId val="196907391"/>
        <c:scaling>
          <c:orientation val="minMax"/>
        </c:scaling>
        <c:delete val="1"/>
        <c:axPos val="l"/>
        <c:majorTickMark val="none"/>
        <c:minorTickMark val="none"/>
        <c:tickLblPos val="nextTo"/>
        <c:crossAx val="1349556831"/>
        <c:crosses val="autoZero"/>
        <c:auto val="1"/>
        <c:lblAlgn val="ctr"/>
        <c:lblOffset val="100"/>
        <c:noMultiLvlLbl val="0"/>
      </c:catAx>
      <c:valAx>
        <c:axId val="1349556831"/>
        <c:scaling>
          <c:orientation val="minMax"/>
          <c:max val="55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9690739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chemeClr val="accent4">
        <a:lumMod val="60000"/>
        <a:lumOff val="40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2000" b="1">
          <a:solidFill>
            <a:schemeClr val="bg1"/>
          </a:solidFill>
          <a:latin typeface="Avenir Next Condensed" panose="020B0506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34782608695652E-2"/>
          <c:y val="5.8252427184466021E-2"/>
          <c:w val="0.88043478260869568"/>
          <c:h val="0.78640776699029125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E83-3F45-9E21-028548873AB1}"/>
              </c:ext>
            </c:extLst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AE83-3F45-9E21-028548873A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D1EB-FA42-B934-26B359F3665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E83-3F45-9E21-028548873AB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AE83-3F45-9E21-028548873AB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D1EB-FA42-B934-26B359F36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'DIGITAL 💻'!$I$4:$K$4</c:f>
              <c:strCache>
                <c:ptCount val="3"/>
                <c:pt idx="0">
                  <c:v>LAD</c:v>
                </c:pt>
                <c:pt idx="1">
                  <c:v>C&amp;C</c:v>
                </c:pt>
                <c:pt idx="2">
                  <c:v>CEL SAT</c:v>
                </c:pt>
              </c:strCache>
            </c:strRef>
          </c:cat>
          <c:val>
            <c:numRef>
              <c:f>'DIGITAL 💻'!$I$5:$K$5</c:f>
              <c:numCache>
                <c:formatCode>#\ ##0\ "€"</c:formatCode>
                <c:ptCount val="3"/>
                <c:pt idx="0">
                  <c:v>982512</c:v>
                </c:pt>
                <c:pt idx="1">
                  <c:v>1271782.6600000001</c:v>
                </c:pt>
                <c:pt idx="2">
                  <c:v>106331.17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3-3F45-9E21-028548873AB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>
        <a:alpha val="0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21" Type="http://schemas.openxmlformats.org/officeDocument/2006/relationships/chart" Target="../charts/chart27.xml"/><Relationship Id="rId34" Type="http://schemas.openxmlformats.org/officeDocument/2006/relationships/chart" Target="../charts/chart40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33" Type="http://schemas.openxmlformats.org/officeDocument/2006/relationships/chart" Target="../charts/chart39.xml"/><Relationship Id="rId2" Type="http://schemas.openxmlformats.org/officeDocument/2006/relationships/chart" Target="../charts/chart8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24" Type="http://schemas.openxmlformats.org/officeDocument/2006/relationships/chart" Target="../charts/chart30.xml"/><Relationship Id="rId32" Type="http://schemas.openxmlformats.org/officeDocument/2006/relationships/chart" Target="../charts/chart38.xml"/><Relationship Id="rId37" Type="http://schemas.openxmlformats.org/officeDocument/2006/relationships/chart" Target="../charts/chart43.xml"/><Relationship Id="rId5" Type="http://schemas.openxmlformats.org/officeDocument/2006/relationships/chart" Target="../charts/chart11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36" Type="http://schemas.openxmlformats.org/officeDocument/2006/relationships/chart" Target="../charts/chart42.xml"/><Relationship Id="rId10" Type="http://schemas.openxmlformats.org/officeDocument/2006/relationships/chart" Target="../charts/chart16.xml"/><Relationship Id="rId19" Type="http://schemas.openxmlformats.org/officeDocument/2006/relationships/chart" Target="../charts/chart25.xml"/><Relationship Id="rId31" Type="http://schemas.openxmlformats.org/officeDocument/2006/relationships/chart" Target="../charts/chart37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Relationship Id="rId30" Type="http://schemas.openxmlformats.org/officeDocument/2006/relationships/chart" Target="../charts/chart36.xml"/><Relationship Id="rId35" Type="http://schemas.openxmlformats.org/officeDocument/2006/relationships/chart" Target="../charts/chart41.xml"/><Relationship Id="rId8" Type="http://schemas.openxmlformats.org/officeDocument/2006/relationships/chart" Target="../charts/chart14.xml"/><Relationship Id="rId3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</xdr:colOff>
      <xdr:row>2</xdr:row>
      <xdr:rowOff>74990</xdr:rowOff>
    </xdr:from>
    <xdr:to>
      <xdr:col>24</xdr:col>
      <xdr:colOff>0</xdr:colOff>
      <xdr:row>7</xdr:row>
      <xdr:rowOff>42334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85B5FCD-10C6-5042-9820-48ABF4A0BE7F}"/>
            </a:ext>
          </a:extLst>
        </xdr:cNvPr>
        <xdr:cNvSpPr/>
      </xdr:nvSpPr>
      <xdr:spPr>
        <a:xfrm>
          <a:off x="721482" y="540657"/>
          <a:ext cx="26287185" cy="1131510"/>
        </a:xfrm>
        <a:prstGeom prst="roundRect">
          <a:avLst>
            <a:gd name="adj" fmla="val 50000"/>
          </a:avLst>
        </a:prstGeom>
        <a:solidFill>
          <a:schemeClr val="accent3">
            <a:lumMod val="20000"/>
            <a:lumOff val="80000"/>
          </a:schemeClr>
        </a:solidFill>
        <a:ln w="22225">
          <a:solidFill>
            <a:schemeClr val="accent1">
              <a:shade val="1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ysClr val="windowText" lastClr="000000"/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RÉSULTATS FINANCIERS</a:t>
          </a:r>
        </a:p>
      </xdr:txBody>
    </xdr:sp>
    <xdr:clientData/>
  </xdr:twoCellAnchor>
  <xdr:twoCellAnchor>
    <xdr:from>
      <xdr:col>1</xdr:col>
      <xdr:colOff>98557</xdr:colOff>
      <xdr:row>8</xdr:row>
      <xdr:rowOff>0</xdr:rowOff>
    </xdr:from>
    <xdr:to>
      <xdr:col>11</xdr:col>
      <xdr:colOff>1016001</xdr:colOff>
      <xdr:row>8</xdr:row>
      <xdr:rowOff>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6A5C3284-4AE1-2E45-B013-F2E561647E2B}"/>
            </a:ext>
          </a:extLst>
        </xdr:cNvPr>
        <xdr:cNvSpPr/>
      </xdr:nvSpPr>
      <xdr:spPr>
        <a:xfrm>
          <a:off x="822457" y="9719763"/>
          <a:ext cx="12690344" cy="902722"/>
        </a:xfrm>
        <a:prstGeom prst="roundRect">
          <a:avLst>
            <a:gd name="adj" fmla="val 50000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r-FR" sz="2000" b="1" u="none">
            <a:solidFill>
              <a:schemeClr val="accent5">
                <a:lumMod val="50000"/>
              </a:schemeClr>
            </a:solidFill>
            <a:latin typeface="Segoe UI Historic" panose="020B0502040204020203" pitchFamily="34" charset="0"/>
            <a:ea typeface="Segoe UI Historic" panose="020B0502040204020203" pitchFamily="34" charset="0"/>
            <a:cs typeface="Segoe UI Historic" panose="020B0502040204020203" pitchFamily="34" charset="0"/>
          </a:endParaRPr>
        </a:p>
      </xdr:txBody>
    </xdr:sp>
    <xdr:clientData/>
  </xdr:twoCellAnchor>
  <xdr:twoCellAnchor>
    <xdr:from>
      <xdr:col>1</xdr:col>
      <xdr:colOff>47171</xdr:colOff>
      <xdr:row>9</xdr:row>
      <xdr:rowOff>18148</xdr:rowOff>
    </xdr:from>
    <xdr:to>
      <xdr:col>11</xdr:col>
      <xdr:colOff>1050471</xdr:colOff>
      <xdr:row>31</xdr:row>
      <xdr:rowOff>204107</xdr:rowOff>
    </xdr:to>
    <xdr:grpSp>
      <xdr:nvGrpSpPr>
        <xdr:cNvPr id="108" name="Groupe 107">
          <a:extLst>
            <a:ext uri="{FF2B5EF4-FFF2-40B4-BE49-F238E27FC236}">
              <a16:creationId xmlns:a16="http://schemas.microsoft.com/office/drawing/2014/main" id="{E826852B-8659-F641-8D9A-DC75CC835EF2}"/>
            </a:ext>
          </a:extLst>
        </xdr:cNvPr>
        <xdr:cNvGrpSpPr/>
      </xdr:nvGrpSpPr>
      <xdr:grpSpPr>
        <a:xfrm>
          <a:off x="766838" y="2113648"/>
          <a:ext cx="12750800" cy="5308292"/>
          <a:chOff x="618621" y="29108399"/>
          <a:chExt cx="8457645" cy="4149906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09" name="Graphique 108">
            <a:extLst>
              <a:ext uri="{FF2B5EF4-FFF2-40B4-BE49-F238E27FC236}">
                <a16:creationId xmlns:a16="http://schemas.microsoft.com/office/drawing/2014/main" id="{3679371F-7EEF-0E4D-5DE4-4A5C783DD2A9}"/>
              </a:ext>
            </a:extLst>
          </xdr:cNvPr>
          <xdr:cNvGraphicFramePr/>
        </xdr:nvGraphicFramePr>
        <xdr:xfrm>
          <a:off x="1109133" y="29108399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110" name="Rectangle : avec coins arrondis en haut 109">
            <a:extLst>
              <a:ext uri="{FF2B5EF4-FFF2-40B4-BE49-F238E27FC236}">
                <a16:creationId xmlns:a16="http://schemas.microsoft.com/office/drawing/2014/main" id="{F11F00D6-F7E9-8FAC-D7A3-D4481798EDF1}"/>
              </a:ext>
            </a:extLst>
          </xdr:cNvPr>
          <xdr:cNvSpPr/>
        </xdr:nvSpPr>
        <xdr:spPr>
          <a:xfrm rot="16200000">
            <a:off x="-1139537" y="30866557"/>
            <a:ext cx="4149906" cy="63359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TAC'S 2026</a:t>
            </a:r>
          </a:p>
        </xdr:txBody>
      </xdr:sp>
    </xdr:grpSp>
    <xdr:clientData/>
  </xdr:twoCellAnchor>
  <xdr:twoCellAnchor>
    <xdr:from>
      <xdr:col>1</xdr:col>
      <xdr:colOff>778395</xdr:colOff>
      <xdr:row>33</xdr:row>
      <xdr:rowOff>15423</xdr:rowOff>
    </xdr:from>
    <xdr:to>
      <xdr:col>11</xdr:col>
      <xdr:colOff>1068613</xdr:colOff>
      <xdr:row>55</xdr:row>
      <xdr:rowOff>202569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844DB97-6137-AB20-10B8-F5BF41EB1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35378</xdr:colOff>
      <xdr:row>33</xdr:row>
      <xdr:rowOff>15423</xdr:rowOff>
    </xdr:from>
    <xdr:to>
      <xdr:col>1</xdr:col>
      <xdr:colOff>995127</xdr:colOff>
      <xdr:row>55</xdr:row>
      <xdr:rowOff>204107</xdr:rowOff>
    </xdr:to>
    <xdr:sp macro="" textlink="">
      <xdr:nvSpPr>
        <xdr:cNvPr id="5" name="Rectangle : avec coins arrondis en haut 4">
          <a:extLst>
            <a:ext uri="{FF2B5EF4-FFF2-40B4-BE49-F238E27FC236}">
              <a16:creationId xmlns:a16="http://schemas.microsoft.com/office/drawing/2014/main" id="{07B1753B-4F82-53B2-605F-49D46A607CBF}"/>
            </a:ext>
          </a:extLst>
        </xdr:cNvPr>
        <xdr:cNvSpPr/>
      </xdr:nvSpPr>
      <xdr:spPr>
        <a:xfrm rot="16200000">
          <a:off x="-1340703" y="9544084"/>
          <a:ext cx="5145781" cy="959749"/>
        </a:xfrm>
        <a:prstGeom prst="round2SameRect">
          <a:avLst>
            <a:gd name="adj1" fmla="val 50000"/>
            <a:gd name="adj2" fmla="val 0"/>
          </a:avLst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r-FR" sz="3600" b="1">
              <a:solidFill>
                <a:schemeClr val="accent5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rPr>
            <a:t>MARGE 2026</a:t>
          </a:r>
        </a:p>
      </xdr:txBody>
    </xdr:sp>
    <xdr:clientData/>
  </xdr:twoCellAnchor>
  <xdr:twoCellAnchor>
    <xdr:from>
      <xdr:col>12</xdr:col>
      <xdr:colOff>686702</xdr:colOff>
      <xdr:row>32</xdr:row>
      <xdr:rowOff>213182</xdr:rowOff>
    </xdr:from>
    <xdr:to>
      <xdr:col>24</xdr:col>
      <xdr:colOff>51702</xdr:colOff>
      <xdr:row>55</xdr:row>
      <xdr:rowOff>105235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988F72F4-BA10-B548-A6F8-1A8ECF187F13}"/>
            </a:ext>
          </a:extLst>
        </xdr:cNvPr>
        <xdr:cNvGrpSpPr/>
      </xdr:nvGrpSpPr>
      <xdr:grpSpPr>
        <a:xfrm>
          <a:off x="14318035" y="7663849"/>
          <a:ext cx="12742334" cy="5247219"/>
          <a:chOff x="618621" y="29108399"/>
          <a:chExt cx="8457645" cy="4149906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7" name="Graphique 6">
            <a:extLst>
              <a:ext uri="{FF2B5EF4-FFF2-40B4-BE49-F238E27FC236}">
                <a16:creationId xmlns:a16="http://schemas.microsoft.com/office/drawing/2014/main" id="{36FEFA30-2FD3-6D0D-19CE-C681C025020B}"/>
              </a:ext>
            </a:extLst>
          </xdr:cNvPr>
          <xdr:cNvGraphicFramePr/>
        </xdr:nvGraphicFramePr>
        <xdr:xfrm>
          <a:off x="1109133" y="29108399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8" name="Rectangle : avec coins arrondis en haut 7">
            <a:extLst>
              <a:ext uri="{FF2B5EF4-FFF2-40B4-BE49-F238E27FC236}">
                <a16:creationId xmlns:a16="http://schemas.microsoft.com/office/drawing/2014/main" id="{738F2DDB-93EA-1167-416B-907A86D28CFB}"/>
              </a:ext>
            </a:extLst>
          </xdr:cNvPr>
          <xdr:cNvSpPr/>
        </xdr:nvSpPr>
        <xdr:spPr>
          <a:xfrm rot="16200000">
            <a:off x="-1139537" y="30866557"/>
            <a:ext cx="4149906" cy="63359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MAIN D'OEUVRE 2026</a:t>
            </a:r>
          </a:p>
        </xdr:txBody>
      </xdr:sp>
    </xdr:grpSp>
    <xdr:clientData/>
  </xdr:twoCellAnchor>
  <xdr:twoCellAnchor>
    <xdr:from>
      <xdr:col>1</xdr:col>
      <xdr:colOff>45356</xdr:colOff>
      <xdr:row>57</xdr:row>
      <xdr:rowOff>25404</xdr:rowOff>
    </xdr:from>
    <xdr:to>
      <xdr:col>11</xdr:col>
      <xdr:colOff>1078591</xdr:colOff>
      <xdr:row>80</xdr:row>
      <xdr:rowOff>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BAB9CDEA-7270-5A49-9642-ED4289D1244D}"/>
            </a:ext>
          </a:extLst>
        </xdr:cNvPr>
        <xdr:cNvGrpSpPr/>
      </xdr:nvGrpSpPr>
      <xdr:grpSpPr>
        <a:xfrm>
          <a:off x="765023" y="13296904"/>
          <a:ext cx="12780735" cy="5329763"/>
          <a:chOff x="618621" y="29108399"/>
          <a:chExt cx="8457645" cy="4149906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0" name="Graphique 9">
            <a:extLst>
              <a:ext uri="{FF2B5EF4-FFF2-40B4-BE49-F238E27FC236}">
                <a16:creationId xmlns:a16="http://schemas.microsoft.com/office/drawing/2014/main" id="{2B7C72DB-365A-5600-7496-88BD792BB263}"/>
              </a:ext>
            </a:extLst>
          </xdr:cNvPr>
          <xdr:cNvGraphicFramePr/>
        </xdr:nvGraphicFramePr>
        <xdr:xfrm>
          <a:off x="1109133" y="29108399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1" name="Rectangle : avec coins arrondis en haut 10">
            <a:extLst>
              <a:ext uri="{FF2B5EF4-FFF2-40B4-BE49-F238E27FC236}">
                <a16:creationId xmlns:a16="http://schemas.microsoft.com/office/drawing/2014/main" id="{2A0821C6-FB67-ED6B-6533-5A1DD06DA090}"/>
              </a:ext>
            </a:extLst>
          </xdr:cNvPr>
          <xdr:cNvSpPr/>
        </xdr:nvSpPr>
        <xdr:spPr>
          <a:xfrm rot="16200000">
            <a:off x="-1139537" y="30866557"/>
            <a:ext cx="4149906" cy="63359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PAC</a:t>
            </a:r>
            <a:r>
              <a:rPr lang="fr-FR" sz="3600" b="1" baseline="0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 2026</a:t>
            </a:r>
            <a:endParaRPr lang="fr-FR" sz="3600" b="1">
              <a:solidFill>
                <a:schemeClr val="accent5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12</xdr:col>
      <xdr:colOff>721177</xdr:colOff>
      <xdr:row>8</xdr:row>
      <xdr:rowOff>215903</xdr:rowOff>
    </xdr:from>
    <xdr:to>
      <xdr:col>24</xdr:col>
      <xdr:colOff>68942</xdr:colOff>
      <xdr:row>32</xdr:row>
      <xdr:rowOff>0</xdr:rowOff>
    </xdr:to>
    <xdr:grpSp>
      <xdr:nvGrpSpPr>
        <xdr:cNvPr id="70" name="Groupe 69">
          <a:extLst>
            <a:ext uri="{FF2B5EF4-FFF2-40B4-BE49-F238E27FC236}">
              <a16:creationId xmlns:a16="http://schemas.microsoft.com/office/drawing/2014/main" id="{5D5AEBF3-D867-4A42-A391-B6A4C3B9A406}"/>
            </a:ext>
          </a:extLst>
        </xdr:cNvPr>
        <xdr:cNvGrpSpPr/>
      </xdr:nvGrpSpPr>
      <xdr:grpSpPr>
        <a:xfrm>
          <a:off x="14352510" y="2078570"/>
          <a:ext cx="12725099" cy="5372097"/>
          <a:chOff x="618621" y="29108399"/>
          <a:chExt cx="8457645" cy="4149906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71" name="Graphique 70">
            <a:extLst>
              <a:ext uri="{FF2B5EF4-FFF2-40B4-BE49-F238E27FC236}">
                <a16:creationId xmlns:a16="http://schemas.microsoft.com/office/drawing/2014/main" id="{36B77036-F767-3A93-BADD-5548D4BC3DCF}"/>
              </a:ext>
            </a:extLst>
          </xdr:cNvPr>
          <xdr:cNvGraphicFramePr/>
        </xdr:nvGraphicFramePr>
        <xdr:xfrm>
          <a:off x="1109133" y="29108399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90" name="Rectangle : avec coins arrondis en haut 89">
            <a:extLst>
              <a:ext uri="{FF2B5EF4-FFF2-40B4-BE49-F238E27FC236}">
                <a16:creationId xmlns:a16="http://schemas.microsoft.com/office/drawing/2014/main" id="{7FDB8536-00B1-8655-86EA-B2F321F24463}"/>
              </a:ext>
            </a:extLst>
          </xdr:cNvPr>
          <xdr:cNvSpPr/>
        </xdr:nvSpPr>
        <xdr:spPr>
          <a:xfrm rot="16200000">
            <a:off x="-1139537" y="30866557"/>
            <a:ext cx="4149906" cy="63359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CA 2026</a:t>
            </a:r>
          </a:p>
        </xdr:txBody>
      </xdr:sp>
    </xdr:grpSp>
    <xdr:clientData/>
  </xdr:twoCellAnchor>
  <xdr:twoCellAnchor>
    <xdr:from>
      <xdr:col>12</xdr:col>
      <xdr:colOff>612321</xdr:colOff>
      <xdr:row>57</xdr:row>
      <xdr:rowOff>0</xdr:rowOff>
    </xdr:from>
    <xdr:to>
      <xdr:col>23</xdr:col>
      <xdr:colOff>829128</xdr:colOff>
      <xdr:row>79</xdr:row>
      <xdr:rowOff>201382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698474D0-EA0F-C64F-AFE6-FD335A106DB1}"/>
            </a:ext>
          </a:extLst>
        </xdr:cNvPr>
        <xdr:cNvGrpSpPr/>
      </xdr:nvGrpSpPr>
      <xdr:grpSpPr>
        <a:xfrm>
          <a:off x="14243654" y="13271500"/>
          <a:ext cx="12747474" cy="5323715"/>
          <a:chOff x="618621" y="29108399"/>
          <a:chExt cx="8457645" cy="4149906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3" name="Graphique 12">
            <a:extLst>
              <a:ext uri="{FF2B5EF4-FFF2-40B4-BE49-F238E27FC236}">
                <a16:creationId xmlns:a16="http://schemas.microsoft.com/office/drawing/2014/main" id="{4B30518A-B156-F0EE-0B2E-4DC19364E8FD}"/>
              </a:ext>
            </a:extLst>
          </xdr:cNvPr>
          <xdr:cNvGraphicFramePr/>
        </xdr:nvGraphicFramePr>
        <xdr:xfrm>
          <a:off x="1109133" y="29108399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15" name="Rectangle : avec coins arrondis en haut 14">
            <a:extLst>
              <a:ext uri="{FF2B5EF4-FFF2-40B4-BE49-F238E27FC236}">
                <a16:creationId xmlns:a16="http://schemas.microsoft.com/office/drawing/2014/main" id="{4C8ECD7B-EFF5-59A2-49EF-EE0DE339CA8D}"/>
              </a:ext>
            </a:extLst>
          </xdr:cNvPr>
          <xdr:cNvSpPr/>
        </xdr:nvSpPr>
        <xdr:spPr>
          <a:xfrm rot="16200000">
            <a:off x="-1139537" y="30866557"/>
            <a:ext cx="4149906" cy="63359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ECARTS QCR</a:t>
            </a:r>
            <a:r>
              <a:rPr lang="fr-FR" sz="3600" b="1" baseline="0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 2026</a:t>
            </a:r>
            <a:endParaRPr lang="fr-FR" sz="3600" b="1">
              <a:solidFill>
                <a:schemeClr val="accent5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0.01124</cdr:x>
      <cdr:y>0.00835</cdr:y>
    </cdr:from>
    <cdr:to>
      <cdr:x>0.08234</cdr:x>
      <cdr:y>0.16537</cdr:y>
    </cdr:to>
    <cdr:sp macro="" textlink="'DONNEES '!AE51">
      <cdr:nvSpPr>
        <cdr:cNvPr id="2" name="Ellipse 1">
          <a:extLst xmlns:a="http://schemas.openxmlformats.org/drawingml/2006/main">
            <a:ext uri="{FF2B5EF4-FFF2-40B4-BE49-F238E27FC236}">
              <a16:creationId xmlns:a16="http://schemas.microsoft.com/office/drawing/2014/main" id="{E5A3887B-6EAB-932C-7EB4-94499BDB9FD9}"/>
            </a:ext>
          </a:extLst>
        </cdr:cNvPr>
        <cdr:cNvSpPr/>
      </cdr:nvSpPr>
      <cdr:spPr>
        <a:xfrm xmlns:a="http://schemas.openxmlformats.org/drawingml/2006/main">
          <a:off x="135658" y="44250"/>
          <a:ext cx="858080" cy="831902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3973FF64-E530-5248-A1FA-241A2D1F330F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0.01124</cdr:x>
      <cdr:y>0.12219</cdr:y>
    </cdr:from>
    <cdr:to>
      <cdr:x>0.08234</cdr:x>
      <cdr:y>0.27823</cdr:y>
    </cdr:to>
    <cdr:sp macro="" textlink="'DONNEES '!AE50">
      <cdr:nvSpPr>
        <cdr:cNvPr id="3" name="Ellipse 2">
          <a:extLst xmlns:a="http://schemas.openxmlformats.org/drawingml/2006/main">
            <a:ext uri="{FF2B5EF4-FFF2-40B4-BE49-F238E27FC236}">
              <a16:creationId xmlns:a16="http://schemas.microsoft.com/office/drawing/2014/main" id="{1B21CD4E-ACD5-B34D-BEEC-E2C2DBD66767}"/>
            </a:ext>
          </a:extLst>
        </cdr:cNvPr>
        <cdr:cNvSpPr/>
      </cdr:nvSpPr>
      <cdr:spPr>
        <a:xfrm xmlns:a="http://schemas.openxmlformats.org/drawingml/2006/main">
          <a:off x="135658" y="647379"/>
          <a:ext cx="858080" cy="82670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CA4E495E-BD91-C94E-BF5A-A3D74C33F39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0.01124</cdr:x>
      <cdr:y>0.24094</cdr:y>
    </cdr:from>
    <cdr:to>
      <cdr:x>0.08234</cdr:x>
      <cdr:y>0.39698</cdr:y>
    </cdr:to>
    <cdr:sp macro="" textlink="'DONNEES '!AE49">
      <cdr:nvSpPr>
        <cdr:cNvPr id="4" name="Ellipse 3">
          <a:extLst xmlns:a="http://schemas.openxmlformats.org/drawingml/2006/main">
            <a:ext uri="{FF2B5EF4-FFF2-40B4-BE49-F238E27FC236}">
              <a16:creationId xmlns:a16="http://schemas.microsoft.com/office/drawing/2014/main" id="{072A4B7B-5042-5B4E-B02F-101F412A0396}"/>
            </a:ext>
          </a:extLst>
        </cdr:cNvPr>
        <cdr:cNvSpPr/>
      </cdr:nvSpPr>
      <cdr:spPr>
        <a:xfrm xmlns:a="http://schemas.openxmlformats.org/drawingml/2006/main">
          <a:off x="135658" y="1276505"/>
          <a:ext cx="858080" cy="82670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AA99949-3A12-8E47-9BDB-C82A2EA8C2A3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0.01124</cdr:x>
      <cdr:y>0.35576</cdr:y>
    </cdr:from>
    <cdr:to>
      <cdr:x>0.08234</cdr:x>
      <cdr:y>0.51278</cdr:y>
    </cdr:to>
    <cdr:sp macro="" textlink="'DONNEES '!AE48">
      <cdr:nvSpPr>
        <cdr:cNvPr id="5" name="Ellipse 4">
          <a:extLst xmlns:a="http://schemas.openxmlformats.org/drawingml/2006/main">
            <a:ext uri="{FF2B5EF4-FFF2-40B4-BE49-F238E27FC236}">
              <a16:creationId xmlns:a16="http://schemas.microsoft.com/office/drawing/2014/main" id="{61751092-F30A-B54F-B316-501BFC7239E5}"/>
            </a:ext>
          </a:extLst>
        </cdr:cNvPr>
        <cdr:cNvSpPr/>
      </cdr:nvSpPr>
      <cdr:spPr>
        <a:xfrm xmlns:a="http://schemas.openxmlformats.org/drawingml/2006/main">
          <a:off x="135658" y="1884833"/>
          <a:ext cx="858080" cy="831902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9FCAA1AA-2644-494A-9809-ADB7B70E3E0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0.01124</cdr:x>
      <cdr:y>0.47156</cdr:y>
    </cdr:from>
    <cdr:to>
      <cdr:x>0.08234</cdr:x>
      <cdr:y>0.6276</cdr:y>
    </cdr:to>
    <cdr:sp macro="" textlink="'DONNEES '!AE47">
      <cdr:nvSpPr>
        <cdr:cNvPr id="6" name="Ellipse 5">
          <a:extLst xmlns:a="http://schemas.openxmlformats.org/drawingml/2006/main">
            <a:ext uri="{FF2B5EF4-FFF2-40B4-BE49-F238E27FC236}">
              <a16:creationId xmlns:a16="http://schemas.microsoft.com/office/drawing/2014/main" id="{DFBD91CA-DF53-C440-B590-705EF769A86A}"/>
            </a:ext>
          </a:extLst>
        </cdr:cNvPr>
        <cdr:cNvSpPr/>
      </cdr:nvSpPr>
      <cdr:spPr>
        <a:xfrm xmlns:a="http://schemas.openxmlformats.org/drawingml/2006/main">
          <a:off x="135658" y="2498361"/>
          <a:ext cx="858080" cy="82670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35E572A9-114E-CE43-87C6-528A1906985C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0.01161</cdr:x>
      <cdr:y>0.59133</cdr:y>
    </cdr:from>
    <cdr:to>
      <cdr:x>0.08271</cdr:x>
      <cdr:y>0.75424</cdr:y>
    </cdr:to>
    <cdr:sp macro="" textlink="'DONNEES '!AE46">
      <cdr:nvSpPr>
        <cdr:cNvPr id="7" name="Ellipse 6">
          <a:extLst xmlns:a="http://schemas.openxmlformats.org/drawingml/2006/main">
            <a:ext uri="{FF2B5EF4-FFF2-40B4-BE49-F238E27FC236}">
              <a16:creationId xmlns:a16="http://schemas.microsoft.com/office/drawing/2014/main" id="{660EDB47-212E-A64E-9833-91B423B20D85}"/>
            </a:ext>
          </a:extLst>
        </cdr:cNvPr>
        <cdr:cNvSpPr/>
      </cdr:nvSpPr>
      <cdr:spPr>
        <a:xfrm xmlns:a="http://schemas.openxmlformats.org/drawingml/2006/main">
          <a:off x="140161" y="3132917"/>
          <a:ext cx="858080" cy="863098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AF1FF083-7561-BE4E-B6FE-F878EAB43ABD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0.01161</cdr:x>
      <cdr:y>0.70811</cdr:y>
    </cdr:from>
    <cdr:to>
      <cdr:x>0.08271</cdr:x>
      <cdr:y>0.8671</cdr:y>
    </cdr:to>
    <cdr:sp macro="" textlink="'DONNEES '!AE45">
      <cdr:nvSpPr>
        <cdr:cNvPr id="8" name="Ellipse 7">
          <a:extLst xmlns:a="http://schemas.openxmlformats.org/drawingml/2006/main">
            <a:ext uri="{FF2B5EF4-FFF2-40B4-BE49-F238E27FC236}">
              <a16:creationId xmlns:a16="http://schemas.microsoft.com/office/drawing/2014/main" id="{5628D2B1-B3DE-5B44-AC1B-590AEFD2413D}"/>
            </a:ext>
          </a:extLst>
        </cdr:cNvPr>
        <cdr:cNvSpPr/>
      </cdr:nvSpPr>
      <cdr:spPr>
        <a:xfrm xmlns:a="http://schemas.openxmlformats.org/drawingml/2006/main">
          <a:off x="140161" y="3751644"/>
          <a:ext cx="858080" cy="842301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F1E22497-DC86-644A-9B58-2C22C2C1792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0.01161</cdr:x>
      <cdr:y>0.82588</cdr:y>
    </cdr:from>
    <cdr:to>
      <cdr:x>0.08271</cdr:x>
      <cdr:y>0.9829</cdr:y>
    </cdr:to>
    <cdr:sp macro="" textlink="'DONNEES '!AE44">
      <cdr:nvSpPr>
        <cdr:cNvPr id="9" name="Ellipse 8">
          <a:extLst xmlns:a="http://schemas.openxmlformats.org/drawingml/2006/main">
            <a:ext uri="{FF2B5EF4-FFF2-40B4-BE49-F238E27FC236}">
              <a16:creationId xmlns:a16="http://schemas.microsoft.com/office/drawing/2014/main" id="{9C16AE86-D1F6-E049-9A33-C2733BC6AAF7}"/>
            </a:ext>
          </a:extLst>
        </cdr:cNvPr>
        <cdr:cNvSpPr/>
      </cdr:nvSpPr>
      <cdr:spPr>
        <a:xfrm xmlns:a="http://schemas.openxmlformats.org/drawingml/2006/main">
          <a:off x="140161" y="4375570"/>
          <a:ext cx="858080" cy="831902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CA5873B-0A18-8940-B626-91193173A36F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0.01058</cdr:x>
      <cdr:y>0.0079</cdr:y>
    </cdr:from>
    <cdr:to>
      <cdr:x>0.08184</cdr:x>
      <cdr:y>0.16713</cdr:y>
    </cdr:to>
    <cdr:sp macro="" textlink="'DONNEES '!$AE$61">
      <cdr:nvSpPr>
        <cdr:cNvPr id="2" name="Ellipse 1">
          <a:extLst xmlns:a="http://schemas.openxmlformats.org/drawingml/2006/main">
            <a:ext uri="{FF2B5EF4-FFF2-40B4-BE49-F238E27FC236}">
              <a16:creationId xmlns:a16="http://schemas.microsoft.com/office/drawing/2014/main" id="{63A1E366-13C8-5E7D-5ABD-C7B72FAF8DAA}"/>
            </a:ext>
          </a:extLst>
        </cdr:cNvPr>
        <cdr:cNvSpPr/>
      </cdr:nvSpPr>
      <cdr:spPr>
        <a:xfrm xmlns:a="http://schemas.openxmlformats.org/drawingml/2006/main">
          <a:off x="127455" y="41646"/>
          <a:ext cx="858550" cy="83932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95F60AE0-4BB0-5943-B441-E8B5EA39545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0.01058</cdr:x>
      <cdr:y>0.12334</cdr:y>
    </cdr:from>
    <cdr:to>
      <cdr:x>0.08184</cdr:x>
      <cdr:y>0.28157</cdr:y>
    </cdr:to>
    <cdr:sp macro="" textlink="'DONNEES '!$AE$60">
      <cdr:nvSpPr>
        <cdr:cNvPr id="3" name="Ellipse 2">
          <a:extLst xmlns:a="http://schemas.openxmlformats.org/drawingml/2006/main">
            <a:ext uri="{FF2B5EF4-FFF2-40B4-BE49-F238E27FC236}">
              <a16:creationId xmlns:a16="http://schemas.microsoft.com/office/drawing/2014/main" id="{322BB933-5100-D132-1A34-83094829BC30}"/>
            </a:ext>
          </a:extLst>
        </cdr:cNvPr>
        <cdr:cNvSpPr/>
      </cdr:nvSpPr>
      <cdr:spPr>
        <a:xfrm xmlns:a="http://schemas.openxmlformats.org/drawingml/2006/main">
          <a:off x="127455" y="650160"/>
          <a:ext cx="858550" cy="83408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F87C4655-97C0-364C-A326-FC69515AFCA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cdr:txBody>
    </cdr:sp>
  </cdr:relSizeAnchor>
  <cdr:relSizeAnchor xmlns:cdr="http://schemas.openxmlformats.org/drawingml/2006/chartDrawing">
    <cdr:from>
      <cdr:x>0.01058</cdr:x>
      <cdr:y>0.24376</cdr:y>
    </cdr:from>
    <cdr:to>
      <cdr:x>0.08184</cdr:x>
      <cdr:y>0.40199</cdr:y>
    </cdr:to>
    <cdr:sp macro="" textlink="'DONNEES '!$AE$59">
      <cdr:nvSpPr>
        <cdr:cNvPr id="4" name="Ellipse 3">
          <a:extLst xmlns:a="http://schemas.openxmlformats.org/drawingml/2006/main">
            <a:ext uri="{FF2B5EF4-FFF2-40B4-BE49-F238E27FC236}">
              <a16:creationId xmlns:a16="http://schemas.microsoft.com/office/drawing/2014/main" id="{66E8602E-6349-58B2-E928-AF74EE034C07}"/>
            </a:ext>
          </a:extLst>
        </cdr:cNvPr>
        <cdr:cNvSpPr/>
      </cdr:nvSpPr>
      <cdr:spPr>
        <a:xfrm xmlns:a="http://schemas.openxmlformats.org/drawingml/2006/main">
          <a:off x="127455" y="1284919"/>
          <a:ext cx="858550" cy="83408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F19B4153-B79E-CA4C-98C3-3C02AE7C1708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cdr:txBody>
    </cdr:sp>
  </cdr:relSizeAnchor>
  <cdr:relSizeAnchor xmlns:cdr="http://schemas.openxmlformats.org/drawingml/2006/chartDrawing">
    <cdr:from>
      <cdr:x>0.01058</cdr:x>
      <cdr:y>0.36019</cdr:y>
    </cdr:from>
    <cdr:to>
      <cdr:x>0.08184</cdr:x>
      <cdr:y>0.51942</cdr:y>
    </cdr:to>
    <cdr:sp macro="" textlink="'DONNEES '!$AE$58">
      <cdr:nvSpPr>
        <cdr:cNvPr id="5" name="Ellipse 4">
          <a:extLst xmlns:a="http://schemas.openxmlformats.org/drawingml/2006/main">
            <a:ext uri="{FF2B5EF4-FFF2-40B4-BE49-F238E27FC236}">
              <a16:creationId xmlns:a16="http://schemas.microsoft.com/office/drawing/2014/main" id="{25CE542F-BFD9-C0DB-778E-7762392FCB45}"/>
            </a:ext>
          </a:extLst>
        </cdr:cNvPr>
        <cdr:cNvSpPr/>
      </cdr:nvSpPr>
      <cdr:spPr>
        <a:xfrm xmlns:a="http://schemas.openxmlformats.org/drawingml/2006/main">
          <a:off x="127455" y="1898671"/>
          <a:ext cx="858550" cy="83932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AD5F3EC-B90D-BC4C-9FA2-A35C7433138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0.01058</cdr:x>
      <cdr:y>0.47762</cdr:y>
    </cdr:from>
    <cdr:to>
      <cdr:x>0.08184</cdr:x>
      <cdr:y>0.63585</cdr:y>
    </cdr:to>
    <cdr:sp macro="" textlink="'DONNEES '!$AE$57">
      <cdr:nvSpPr>
        <cdr:cNvPr id="6" name="Ellipse 5">
          <a:extLst xmlns:a="http://schemas.openxmlformats.org/drawingml/2006/main">
            <a:ext uri="{FF2B5EF4-FFF2-40B4-BE49-F238E27FC236}">
              <a16:creationId xmlns:a16="http://schemas.microsoft.com/office/drawing/2014/main" id="{E05F12E0-C07E-51D3-1E52-D54EE8569CC5}"/>
            </a:ext>
          </a:extLst>
        </cdr:cNvPr>
        <cdr:cNvSpPr/>
      </cdr:nvSpPr>
      <cdr:spPr>
        <a:xfrm xmlns:a="http://schemas.openxmlformats.org/drawingml/2006/main">
          <a:off x="127455" y="2517661"/>
          <a:ext cx="858550" cy="83408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A16C836-8668-7547-B196-C6D9B0EB582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cdr:txBody>
    </cdr:sp>
  </cdr:relSizeAnchor>
  <cdr:relSizeAnchor xmlns:cdr="http://schemas.openxmlformats.org/drawingml/2006/chartDrawing">
    <cdr:from>
      <cdr:x>0.01095</cdr:x>
      <cdr:y>0.59907</cdr:y>
    </cdr:from>
    <cdr:to>
      <cdr:x>0.08221</cdr:x>
      <cdr:y>0.76427</cdr:y>
    </cdr:to>
    <cdr:sp macro="" textlink="'DONNEES '!$AE$56">
      <cdr:nvSpPr>
        <cdr:cNvPr id="7" name="Ellipse 6">
          <a:extLst xmlns:a="http://schemas.openxmlformats.org/drawingml/2006/main">
            <a:ext uri="{FF2B5EF4-FFF2-40B4-BE49-F238E27FC236}">
              <a16:creationId xmlns:a16="http://schemas.microsoft.com/office/drawing/2014/main" id="{CC339AF8-F4E7-D1C7-739D-86A1C263752D}"/>
            </a:ext>
          </a:extLst>
        </cdr:cNvPr>
        <cdr:cNvSpPr/>
      </cdr:nvSpPr>
      <cdr:spPr>
        <a:xfrm xmlns:a="http://schemas.openxmlformats.org/drawingml/2006/main">
          <a:off x="131924" y="3157872"/>
          <a:ext cx="858548" cy="87081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3566C75-7F3D-0145-834C-4D2397CEF457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0.01095</cdr:x>
      <cdr:y>0.71749</cdr:y>
    </cdr:from>
    <cdr:to>
      <cdr:x>0.08221</cdr:x>
      <cdr:y>0.87872</cdr:y>
    </cdr:to>
    <cdr:sp macro="" textlink="'DONNEES '!$AE$55">
      <cdr:nvSpPr>
        <cdr:cNvPr id="8" name="Ellipse 7">
          <a:extLst xmlns:a="http://schemas.openxmlformats.org/drawingml/2006/main">
            <a:ext uri="{FF2B5EF4-FFF2-40B4-BE49-F238E27FC236}">
              <a16:creationId xmlns:a16="http://schemas.microsoft.com/office/drawing/2014/main" id="{24F9E601-C10C-1D7B-B704-0E7E67637A00}"/>
            </a:ext>
          </a:extLst>
        </cdr:cNvPr>
        <cdr:cNvSpPr/>
      </cdr:nvSpPr>
      <cdr:spPr>
        <a:xfrm xmlns:a="http://schemas.openxmlformats.org/drawingml/2006/main">
          <a:off x="131924" y="3782101"/>
          <a:ext cx="858548" cy="84985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08E44CBA-9A58-D143-9899-A0C4196BCCB7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cdr:txBody>
    </cdr:sp>
  </cdr:relSizeAnchor>
  <cdr:relSizeAnchor xmlns:cdr="http://schemas.openxmlformats.org/drawingml/2006/chartDrawing">
    <cdr:from>
      <cdr:x>0.01095</cdr:x>
      <cdr:y>0.83692</cdr:y>
    </cdr:from>
    <cdr:to>
      <cdr:x>0.08221</cdr:x>
      <cdr:y>0.99615</cdr:y>
    </cdr:to>
    <cdr:sp macro="" textlink="'DONNEES '!$AE$54">
      <cdr:nvSpPr>
        <cdr:cNvPr id="9" name="Ellipse 8">
          <a:extLst xmlns:a="http://schemas.openxmlformats.org/drawingml/2006/main">
            <a:ext uri="{FF2B5EF4-FFF2-40B4-BE49-F238E27FC236}">
              <a16:creationId xmlns:a16="http://schemas.microsoft.com/office/drawing/2014/main" id="{C4275771-ED83-9B4E-EEE5-AB37612C9765}"/>
            </a:ext>
          </a:extLst>
        </cdr:cNvPr>
        <cdr:cNvSpPr/>
      </cdr:nvSpPr>
      <cdr:spPr>
        <a:xfrm xmlns:a="http://schemas.openxmlformats.org/drawingml/2006/main">
          <a:off x="131924" y="4411621"/>
          <a:ext cx="858548" cy="83932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AF847828-F89E-7A4B-AEE1-21F5504B1CC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344885</xdr:colOff>
      <xdr:row>303</xdr:row>
      <xdr:rowOff>40725</xdr:rowOff>
    </xdr:from>
    <xdr:to>
      <xdr:col>23</xdr:col>
      <xdr:colOff>833963</xdr:colOff>
      <xdr:row>326</xdr:row>
      <xdr:rowOff>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9AE69A5B-93A4-4C47-BB40-1081C3F55011}"/>
            </a:ext>
          </a:extLst>
        </xdr:cNvPr>
        <xdr:cNvGrpSpPr/>
      </xdr:nvGrpSpPr>
      <xdr:grpSpPr>
        <a:xfrm>
          <a:off x="14064733" y="72969513"/>
          <a:ext cx="13112109" cy="5270184"/>
          <a:chOff x="-177485" y="29108367"/>
          <a:chExt cx="27858686" cy="10566846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E76A93FC-4B42-6232-16F2-C2F9C0212A67}"/>
              </a:ext>
            </a:extLst>
          </xdr:cNvPr>
          <xdr:cNvGraphicFramePr/>
        </xdr:nvGraphicFramePr>
        <xdr:xfrm>
          <a:off x="1236012" y="29112085"/>
          <a:ext cx="26445189" cy="1050045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3" name="Rectangle : avec coins arrondis en haut 22">
            <a:extLst>
              <a:ext uri="{FF2B5EF4-FFF2-40B4-BE49-F238E27FC236}">
                <a16:creationId xmlns:a16="http://schemas.microsoft.com/office/drawing/2014/main" id="{C345EEE5-00A7-25F1-070F-09D9BE5EABCD}"/>
              </a:ext>
            </a:extLst>
          </xdr:cNvPr>
          <xdr:cNvSpPr/>
        </xdr:nvSpPr>
        <xdr:spPr>
          <a:xfrm rot="16200000">
            <a:off x="-52087091" y="81017973"/>
            <a:ext cx="105668463" cy="1849252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2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HELLO</a:t>
            </a:r>
            <a:r>
              <a:rPr lang="fr-FR" sz="3600" b="1" baseline="0">
                <a:solidFill>
                  <a:schemeClr val="accent2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 MCDO - JUIN</a:t>
            </a:r>
            <a:endParaRPr lang="fr-FR" sz="3600" b="1">
              <a:solidFill>
                <a:schemeClr val="accent2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</xdr:col>
      <xdr:colOff>1815</xdr:colOff>
      <xdr:row>2</xdr:row>
      <xdr:rowOff>74990</xdr:rowOff>
    </xdr:from>
    <xdr:to>
      <xdr:col>24</xdr:col>
      <xdr:colOff>0</xdr:colOff>
      <xdr:row>6</xdr:row>
      <xdr:rowOff>24190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342F663F-2299-106D-A112-FB4E1C965EF5}"/>
            </a:ext>
          </a:extLst>
        </xdr:cNvPr>
        <xdr:cNvSpPr/>
      </xdr:nvSpPr>
      <xdr:spPr>
        <a:xfrm>
          <a:off x="727529" y="528561"/>
          <a:ext cx="25171400" cy="856343"/>
        </a:xfrm>
        <a:prstGeom prst="roundRect">
          <a:avLst>
            <a:gd name="adj" fmla="val 50000"/>
          </a:avLst>
        </a:prstGeom>
        <a:solidFill>
          <a:schemeClr val="accent3">
            <a:lumMod val="20000"/>
            <a:lumOff val="80000"/>
          </a:schemeClr>
        </a:solidFill>
        <a:ln w="22225">
          <a:solidFill>
            <a:schemeClr val="accent1">
              <a:shade val="1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ysClr val="windowText" lastClr="000000"/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INDICES</a:t>
          </a:r>
          <a:r>
            <a:rPr lang="fr-FR" sz="3200" b="1" baseline="0">
              <a:solidFill>
                <a:sysClr val="windowText" lastClr="000000"/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 DE GESTION - S23 (En date du 7 juin 2026)</a:t>
          </a:r>
          <a:endParaRPr lang="fr-FR" sz="3200" b="1">
            <a:solidFill>
              <a:sysClr val="windowText" lastClr="000000"/>
            </a:solidFill>
            <a:latin typeface="Segoe UI Historic" panose="020B0502040204020203" pitchFamily="34" charset="0"/>
            <a:ea typeface="Segoe UI Historic" panose="020B0502040204020203" pitchFamily="34" charset="0"/>
            <a:cs typeface="Segoe UI Historic" panose="020B0502040204020203" pitchFamily="34" charset="0"/>
          </a:endParaRPr>
        </a:p>
      </xdr:txBody>
    </xdr:sp>
    <xdr:clientData/>
  </xdr:twoCellAnchor>
  <xdr:twoCellAnchor>
    <xdr:from>
      <xdr:col>1</xdr:col>
      <xdr:colOff>46142</xdr:colOff>
      <xdr:row>7</xdr:row>
      <xdr:rowOff>6580</xdr:rowOff>
    </xdr:from>
    <xdr:to>
      <xdr:col>11</xdr:col>
      <xdr:colOff>1051256</xdr:colOff>
      <xdr:row>21</xdr:row>
      <xdr:rowOff>215522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791772D3-A53D-3747-93DF-488D7E47E94E}"/>
            </a:ext>
          </a:extLst>
        </xdr:cNvPr>
        <xdr:cNvGrpSpPr/>
      </xdr:nvGrpSpPr>
      <xdr:grpSpPr>
        <a:xfrm>
          <a:off x="777354" y="1622944"/>
          <a:ext cx="12819963" cy="3441669"/>
          <a:chOff x="6555208" y="6802795"/>
          <a:chExt cx="10824417" cy="3806728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650F6B0E-7C95-E8C7-70E3-71F1B9934B4D}"/>
              </a:ext>
            </a:extLst>
          </xdr:cNvPr>
          <xdr:cNvSpPr/>
        </xdr:nvSpPr>
        <xdr:spPr>
          <a:xfrm>
            <a:off x="6555208" y="6822842"/>
            <a:ext cx="10824417" cy="3786681"/>
          </a:xfrm>
          <a:prstGeom prst="roundRect">
            <a:avLst>
              <a:gd name="adj" fmla="val 15183"/>
            </a:avLst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6" name="Graphique 5">
            <a:extLst>
              <a:ext uri="{FF2B5EF4-FFF2-40B4-BE49-F238E27FC236}">
                <a16:creationId xmlns:a16="http://schemas.microsoft.com/office/drawing/2014/main" id="{C57940AF-7343-8B25-DFF8-54CADBC084DC}"/>
              </a:ext>
            </a:extLst>
          </xdr:cNvPr>
          <xdr:cNvGraphicFramePr/>
        </xdr:nvGraphicFramePr>
        <xdr:xfrm>
          <a:off x="6652930" y="7235169"/>
          <a:ext cx="10623336" cy="11051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CDFCFEE2-4BB2-42C7-B379-9D5D40AC7E69}"/>
              </a:ext>
            </a:extLst>
          </xdr:cNvPr>
          <xdr:cNvSpPr txBox="1"/>
        </xdr:nvSpPr>
        <xdr:spPr>
          <a:xfrm>
            <a:off x="14249111" y="7425195"/>
            <a:ext cx="2460424" cy="761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fr-FR" sz="4400" b="1">
                <a:solidFill>
                  <a:schemeClr val="accent4">
                    <a:lumMod val="75000"/>
                  </a:schemeClr>
                </a:solidFill>
                <a:latin typeface="Avenir Next Condensed" panose="020B0506020202020204" pitchFamily="34" charset="0"/>
              </a:rPr>
              <a:t>FRANCHISE</a:t>
            </a:r>
          </a:p>
        </xdr:txBody>
      </xdr:sp>
      <xdr:graphicFrame macro="">
        <xdr:nvGraphicFramePr>
          <xdr:cNvPr id="7" name="Graphique 6">
            <a:extLst>
              <a:ext uri="{FF2B5EF4-FFF2-40B4-BE49-F238E27FC236}">
                <a16:creationId xmlns:a16="http://schemas.microsoft.com/office/drawing/2014/main" id="{8EEA44A7-F5E0-2FE4-A3D1-CDEA8E020063}"/>
              </a:ext>
            </a:extLst>
          </xdr:cNvPr>
          <xdr:cNvGraphicFramePr>
            <a:graphicFrameLocks/>
          </xdr:cNvGraphicFramePr>
        </xdr:nvGraphicFramePr>
        <xdr:xfrm>
          <a:off x="6660927" y="8167519"/>
          <a:ext cx="10623336" cy="11051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" name="Graphique 9">
            <a:extLst>
              <a:ext uri="{FF2B5EF4-FFF2-40B4-BE49-F238E27FC236}">
                <a16:creationId xmlns:a16="http://schemas.microsoft.com/office/drawing/2014/main" id="{32C29533-E471-5D35-27C6-948AD7503451}"/>
              </a:ext>
            </a:extLst>
          </xdr:cNvPr>
          <xdr:cNvGraphicFramePr>
            <a:graphicFrameLocks/>
          </xdr:cNvGraphicFramePr>
        </xdr:nvGraphicFramePr>
        <xdr:xfrm>
          <a:off x="6642340" y="9099852"/>
          <a:ext cx="10623336" cy="11051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A15F6C96-013E-5646-23D7-9992FBA3690A}"/>
              </a:ext>
            </a:extLst>
          </xdr:cNvPr>
          <xdr:cNvSpPr txBox="1"/>
        </xdr:nvSpPr>
        <xdr:spPr>
          <a:xfrm>
            <a:off x="14274512" y="8355739"/>
            <a:ext cx="1322413" cy="761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fr-FR" sz="2400" b="1">
                <a:solidFill>
                  <a:schemeClr val="accent4">
                    <a:lumMod val="75000"/>
                  </a:schemeClr>
                </a:solidFill>
                <a:latin typeface="Avenir Next Condensed" panose="020B0506020202020204" pitchFamily="34" charset="0"/>
              </a:rPr>
              <a:t>REGIONAL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ECA1138-FD2F-9EBD-3968-67186C04D279}"/>
              </a:ext>
            </a:extLst>
          </xdr:cNvPr>
          <xdr:cNvSpPr txBox="1"/>
        </xdr:nvSpPr>
        <xdr:spPr>
          <a:xfrm>
            <a:off x="14274511" y="9303219"/>
            <a:ext cx="1322413" cy="761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fr-FR" sz="2400" b="1">
                <a:solidFill>
                  <a:schemeClr val="accent4">
                    <a:lumMod val="75000"/>
                  </a:schemeClr>
                </a:solidFill>
                <a:latin typeface="Avenir Next Condensed" panose="020B0506020202020204" pitchFamily="34" charset="0"/>
              </a:rPr>
              <a:t>NATIONAL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B6A5BFF-F26D-C513-E417-8E3004F54B3B}"/>
              </a:ext>
            </a:extLst>
          </xdr:cNvPr>
          <xdr:cNvSpPr txBox="1"/>
        </xdr:nvSpPr>
        <xdr:spPr>
          <a:xfrm>
            <a:off x="9908732" y="6802795"/>
            <a:ext cx="4817505" cy="58034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square" rtlCol="0" anchor="ctr">
            <a:spAutoFit/>
          </a:bodyPr>
          <a:lstStyle/>
          <a:p>
            <a:pPr algn="ctr"/>
            <a:r>
              <a:rPr lang="fr-FR" sz="2400" b="1">
                <a:solidFill>
                  <a:schemeClr val="accent4">
                    <a:lumMod val="50000"/>
                  </a:schemeClr>
                </a:solidFill>
                <a:latin typeface="Avenir Next Condensed" panose="020B0506020202020204" pitchFamily="34" charset="0"/>
              </a:rPr>
              <a:t>PROGRESSION CA NET TOTAL 2026</a:t>
            </a:r>
          </a:p>
        </xdr:txBody>
      </xdr:sp>
    </xdr:grpSp>
    <xdr:clientData/>
  </xdr:twoCellAnchor>
  <xdr:twoCellAnchor>
    <xdr:from>
      <xdr:col>12</xdr:col>
      <xdr:colOff>82566</xdr:colOff>
      <xdr:row>6</xdr:row>
      <xdr:rowOff>225880</xdr:rowOff>
    </xdr:from>
    <xdr:to>
      <xdr:col>17</xdr:col>
      <xdr:colOff>120197</xdr:colOff>
      <xdr:row>21</xdr:row>
      <xdr:rowOff>225876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15459E11-DF9E-6F71-DA96-096599A17E75}"/>
            </a:ext>
          </a:extLst>
        </xdr:cNvPr>
        <xdr:cNvSpPr/>
      </xdr:nvSpPr>
      <xdr:spPr>
        <a:xfrm>
          <a:off x="13740271" y="1599978"/>
          <a:ext cx="5867139" cy="3435242"/>
        </a:xfrm>
        <a:prstGeom prst="roundRect">
          <a:avLst>
            <a:gd name="adj" fmla="val 12620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0" i="0" u="none">
              <a:solidFill>
                <a:schemeClr val="accent4">
                  <a:lumMod val="50000"/>
                </a:schemeClr>
              </a:solidFill>
              <a:latin typeface=""/>
              <a:ea typeface="Segoe UI Historic" panose="020B0502040204020203" pitchFamily="34" charset="0"/>
              <a:cs typeface="Segoe UI Historic" panose="020B0502040204020203" pitchFamily="34" charset="0"/>
            </a:rPr>
            <a:t>En </a:t>
          </a:r>
          <a:r>
            <a:rPr lang="fr-FR" sz="4400" b="0" i="0" u="none">
              <a:solidFill>
                <a:schemeClr val="accent4">
                  <a:lumMod val="50000"/>
                </a:schemeClr>
              </a:solidFill>
              <a:latin typeface=""/>
              <a:ea typeface="Segoe UI Historic" panose="020B0502040204020203" pitchFamily="34" charset="0"/>
              <a:cs typeface="Segoe UI Historic" panose="020B0502040204020203" pitchFamily="34" charset="0"/>
            </a:rPr>
            <a:t>2025 </a:t>
          </a:r>
          <a:r>
            <a:rPr lang="fr-FR" sz="2400" b="0" i="0" u="none">
              <a:solidFill>
                <a:schemeClr val="accent4">
                  <a:lumMod val="50000"/>
                </a:schemeClr>
              </a:solidFill>
              <a:latin typeface=""/>
              <a:ea typeface="Segoe UI Historic" panose="020B0502040204020203" pitchFamily="34" charset="0"/>
              <a:cs typeface="Segoe UI Historic" panose="020B0502040204020203" pitchFamily="34" charset="0"/>
            </a:rPr>
            <a:t>sur la même semaine:</a:t>
          </a:r>
        </a:p>
        <a:p>
          <a:pPr algn="ctr"/>
          <a:endParaRPr lang="fr-FR" sz="1800" b="0" i="0" u="none">
            <a:solidFill>
              <a:schemeClr val="accent4">
                <a:lumMod val="50000"/>
              </a:schemeClr>
            </a:solidFill>
            <a:latin typeface=""/>
            <a:ea typeface="Segoe UI Historic" panose="020B0502040204020203" pitchFamily="34" charset="0"/>
            <a:cs typeface="Segoe UI Historic" panose="020B0502040204020203" pitchFamily="34" charset="0"/>
          </a:endParaRPr>
        </a:p>
        <a:p>
          <a:pPr algn="l"/>
          <a:r>
            <a:rPr lang="fr-FR" sz="4000" b="0" i="0" u="none" baseline="0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CA : 		</a:t>
          </a:r>
          <a:r>
            <a:rPr lang="fr-FR" sz="4000" b="1" i="0" u="none" baseline="0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+ 4,76%</a:t>
          </a:r>
        </a:p>
        <a:p>
          <a:pPr algn="l"/>
          <a:r>
            <a:rPr lang="fr-FR" sz="4000" b="0" i="0" u="none" baseline="0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TAC'S : 	</a:t>
          </a:r>
          <a:r>
            <a:rPr lang="fr-FR" sz="4000" b="1" i="0" u="none" baseline="0">
              <a:solidFill>
                <a:srgbClr val="C00000"/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- 1,25%</a:t>
          </a:r>
        </a:p>
        <a:p>
          <a:pPr algn="l"/>
          <a:r>
            <a:rPr lang="fr-FR" sz="4000" b="0" i="0" u="none" baseline="0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CA € :	</a:t>
          </a:r>
          <a:r>
            <a:rPr lang="fr-FR" sz="4000" b="1" i="0" u="none" baseline="0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713 179€</a:t>
          </a:r>
          <a:endParaRPr lang="fr-FR" sz="4000" b="1" i="0" u="none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  <a:ea typeface="Segoe UI Historic" panose="020B0502040204020203" pitchFamily="34" charset="0"/>
            <a:cs typeface="Segoe UI Historic" panose="020B0502040204020203" pitchFamily="34" charset="0"/>
          </a:endParaRPr>
        </a:p>
      </xdr:txBody>
    </xdr:sp>
    <xdr:clientData/>
  </xdr:twoCellAnchor>
  <xdr:twoCellAnchor>
    <xdr:from>
      <xdr:col>17</xdr:col>
      <xdr:colOff>319366</xdr:colOff>
      <xdr:row>6</xdr:row>
      <xdr:rowOff>225878</xdr:rowOff>
    </xdr:from>
    <xdr:to>
      <xdr:col>24</xdr:col>
      <xdr:colOff>20819</xdr:colOff>
      <xdr:row>21</xdr:row>
      <xdr:rowOff>225875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85CE872-CD23-294B-9DC5-C9AD59676205}"/>
            </a:ext>
          </a:extLst>
        </xdr:cNvPr>
        <xdr:cNvSpPr/>
      </xdr:nvSpPr>
      <xdr:spPr>
        <a:xfrm>
          <a:off x="19806579" y="1599976"/>
          <a:ext cx="7258994" cy="3435243"/>
        </a:xfrm>
        <a:prstGeom prst="roundRect">
          <a:avLst>
            <a:gd name="adj" fmla="val 10620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0" i="1" baseline="0">
              <a:solidFill>
                <a:schemeClr val="accent4">
                  <a:lumMod val="50000"/>
                </a:schemeClr>
              </a:solidFill>
              <a:latin typeface=""/>
              <a:ea typeface="Segoe UI Historic" panose="020B0502040204020203" pitchFamily="34" charset="0"/>
              <a:cs typeface="Segoe UI Historic" panose="020B0502040204020203" pitchFamily="34" charset="0"/>
            </a:rPr>
            <a:t>Evénements et campagnes de la Semaine :</a:t>
          </a:r>
        </a:p>
        <a:p>
          <a:pPr algn="l"/>
          <a:endParaRPr lang="fr-FR" sz="3200" b="0" i="0" baseline="0">
            <a:solidFill>
              <a:schemeClr val="accent4">
                <a:lumMod val="50000"/>
              </a:schemeClr>
            </a:solidFill>
            <a:latin typeface=""/>
            <a:ea typeface="Segoe UI Historic" panose="020B0502040204020203" pitchFamily="34" charset="0"/>
            <a:cs typeface="Segoe UI Historic" panose="020B0502040204020203" pitchFamily="34" charset="0"/>
          </a:endParaRPr>
        </a:p>
        <a:p>
          <a:pPr algn="l"/>
          <a:r>
            <a:rPr lang="fr-FR" sz="3200" b="0" i="0" baseline="0">
              <a:solidFill>
                <a:schemeClr val="accent4">
                  <a:lumMod val="50000"/>
                </a:schemeClr>
              </a:solidFill>
              <a:latin typeface=""/>
              <a:ea typeface="Segoe UI Historic" panose="020B0502040204020203" pitchFamily="34" charset="0"/>
              <a:cs typeface="Segoe UI Historic" panose="020B0502040204020203" pitchFamily="34" charset="0"/>
            </a:rPr>
            <a:t>- Campagne CRAZY SUMMER</a:t>
          </a:r>
        </a:p>
        <a:p>
          <a:pPr algn="l"/>
          <a:r>
            <a:rPr lang="fr-FR" sz="3200" b="0" i="0" baseline="0">
              <a:solidFill>
                <a:schemeClr val="accent4">
                  <a:lumMod val="50000"/>
                </a:schemeClr>
              </a:solidFill>
              <a:latin typeface=""/>
              <a:ea typeface="Segoe UI Historic" panose="020B0502040204020203" pitchFamily="34" charset="0"/>
              <a:cs typeface="Segoe UI Historic" panose="020B0502040204020203" pitchFamily="34" charset="0"/>
            </a:rPr>
            <a:t>- McDeal</a:t>
          </a:r>
        </a:p>
        <a:p>
          <a:pPr algn="l"/>
          <a:r>
            <a:rPr lang="fr-FR" sz="3200" b="0" i="0" baseline="0">
              <a:solidFill>
                <a:schemeClr val="accent4">
                  <a:lumMod val="50000"/>
                </a:schemeClr>
              </a:solidFill>
              <a:latin typeface=""/>
              <a:ea typeface="Segoe UI Historic" panose="020B0502040204020203" pitchFamily="34" charset="0"/>
              <a:cs typeface="Segoe UI Historic" panose="020B0502040204020203" pitchFamily="34" charset="0"/>
            </a:rPr>
            <a:t>- Bo 7€50</a:t>
          </a:r>
        </a:p>
      </xdr:txBody>
    </xdr:sp>
    <xdr:clientData/>
  </xdr:twoCellAnchor>
  <xdr:twoCellAnchor>
    <xdr:from>
      <xdr:col>1</xdr:col>
      <xdr:colOff>98557</xdr:colOff>
      <xdr:row>33</xdr:row>
      <xdr:rowOff>207463</xdr:rowOff>
    </xdr:from>
    <xdr:to>
      <xdr:col>11</xdr:col>
      <xdr:colOff>1016001</xdr:colOff>
      <xdr:row>37</xdr:row>
      <xdr:rowOff>195785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9CF79026-63EB-7746-AA84-CD0C1896539C}"/>
            </a:ext>
          </a:extLst>
        </xdr:cNvPr>
        <xdr:cNvSpPr/>
      </xdr:nvSpPr>
      <xdr:spPr>
        <a:xfrm>
          <a:off x="835157" y="12780463"/>
          <a:ext cx="12703044" cy="902722"/>
        </a:xfrm>
        <a:prstGeom prst="roundRect">
          <a:avLst>
            <a:gd name="adj" fmla="val 50000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000" u="none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			Par</a:t>
          </a:r>
          <a:r>
            <a:rPr lang="fr-FR" sz="2000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 rapport à </a:t>
          </a:r>
          <a:r>
            <a:rPr lang="fr-FR" sz="2000" b="1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l'objectif</a:t>
          </a:r>
          <a:r>
            <a:rPr lang="fr-FR" sz="2000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, nous sommes à </a:t>
          </a:r>
          <a:endParaRPr lang="fr-FR" sz="2000" b="1" u="none">
            <a:solidFill>
              <a:schemeClr val="accent5">
                <a:lumMod val="50000"/>
              </a:schemeClr>
            </a:solidFill>
            <a:latin typeface="Segoe UI Historic" panose="020B0502040204020203" pitchFamily="34" charset="0"/>
            <a:ea typeface="Segoe UI Historic" panose="020B0502040204020203" pitchFamily="34" charset="0"/>
            <a:cs typeface="Segoe UI Historic" panose="020B0502040204020203" pitchFamily="34" charset="0"/>
          </a:endParaRPr>
        </a:p>
      </xdr:txBody>
    </xdr:sp>
    <xdr:clientData/>
  </xdr:twoCellAnchor>
  <xdr:twoCellAnchor>
    <xdr:from>
      <xdr:col>12</xdr:col>
      <xdr:colOff>415444</xdr:colOff>
      <xdr:row>33</xdr:row>
      <xdr:rowOff>225543</xdr:rowOff>
    </xdr:from>
    <xdr:to>
      <xdr:col>24</xdr:col>
      <xdr:colOff>0</xdr:colOff>
      <xdr:row>37</xdr:row>
      <xdr:rowOff>209460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3C52AFF6-DCB1-A71E-7667-8319FD5E7603}"/>
            </a:ext>
          </a:extLst>
        </xdr:cNvPr>
        <xdr:cNvSpPr/>
      </xdr:nvSpPr>
      <xdr:spPr>
        <a:xfrm>
          <a:off x="14106044" y="12798543"/>
          <a:ext cx="12995756" cy="898317"/>
        </a:xfrm>
        <a:prstGeom prst="roundRect">
          <a:avLst>
            <a:gd name="adj" fmla="val 50000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000" u="none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			Par</a:t>
          </a:r>
          <a:r>
            <a:rPr lang="fr-FR" sz="2000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 rapport au </a:t>
          </a:r>
          <a:r>
            <a:rPr lang="fr-FR" sz="2000" b="1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CA net Alimentaire</a:t>
          </a:r>
          <a:r>
            <a:rPr lang="fr-FR" sz="2000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 de  </a:t>
          </a:r>
          <a:r>
            <a:rPr lang="fr-FR" sz="2000" b="1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2025</a:t>
          </a:r>
          <a:r>
            <a:rPr lang="fr-FR" sz="2000" u="none" baseline="0">
              <a:solidFill>
                <a:schemeClr val="accent5">
                  <a:lumMod val="50000"/>
                </a:schemeClr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, nous sommes à</a:t>
          </a:r>
          <a:endParaRPr lang="fr-FR" sz="2000" b="1" u="none">
            <a:solidFill>
              <a:schemeClr val="accent5">
                <a:lumMod val="50000"/>
              </a:schemeClr>
            </a:solidFill>
            <a:latin typeface="Segoe UI Historic" panose="020B0502040204020203" pitchFamily="34" charset="0"/>
            <a:ea typeface="Segoe UI Historic" panose="020B0502040204020203" pitchFamily="34" charset="0"/>
            <a:cs typeface="Segoe UI Historic" panose="020B0502040204020203" pitchFamily="34" charset="0"/>
          </a:endParaRPr>
        </a:p>
      </xdr:txBody>
    </xdr:sp>
    <xdr:clientData/>
  </xdr:twoCellAnchor>
  <xdr:twoCellAnchor>
    <xdr:from>
      <xdr:col>12</xdr:col>
      <xdr:colOff>367725</xdr:colOff>
      <xdr:row>231</xdr:row>
      <xdr:rowOff>42787</xdr:rowOff>
    </xdr:from>
    <xdr:to>
      <xdr:col>24</xdr:col>
      <xdr:colOff>12125</xdr:colOff>
      <xdr:row>254</xdr:row>
      <xdr:rowOff>0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8829E639-11E2-BA1B-5055-D79896AB35B4}"/>
            </a:ext>
          </a:extLst>
        </xdr:cNvPr>
        <xdr:cNvGrpSpPr/>
      </xdr:nvGrpSpPr>
      <xdr:grpSpPr>
        <a:xfrm>
          <a:off x="14087573" y="56346120"/>
          <a:ext cx="13114097" cy="5268122"/>
          <a:chOff x="541867" y="29108399"/>
          <a:chExt cx="8434568" cy="4893734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46" name="Graphique 45">
            <a:extLst>
              <a:ext uri="{FF2B5EF4-FFF2-40B4-BE49-F238E27FC236}">
                <a16:creationId xmlns:a16="http://schemas.microsoft.com/office/drawing/2014/main" id="{84E7E1AE-F568-4C88-B6BC-CA724FF91AE0}"/>
              </a:ext>
            </a:extLst>
          </xdr:cNvPr>
          <xdr:cNvGraphicFramePr/>
        </xdr:nvGraphicFramePr>
        <xdr:xfrm>
          <a:off x="1009302" y="29108399"/>
          <a:ext cx="7967133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45" name="Rectangle : avec coins arrondis en haut 44">
            <a:extLst>
              <a:ext uri="{FF2B5EF4-FFF2-40B4-BE49-F238E27FC236}">
                <a16:creationId xmlns:a16="http://schemas.microsoft.com/office/drawing/2014/main" id="{8F1E1B44-7AAC-5481-C6FB-D96DBEC97AA9}"/>
              </a:ext>
            </a:extLst>
          </xdr:cNvPr>
          <xdr:cNvSpPr/>
        </xdr:nvSpPr>
        <xdr:spPr>
          <a:xfrm rot="16200000">
            <a:off x="-1616534" y="31266801"/>
            <a:ext cx="4892535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6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OEPE - JUIN</a:t>
            </a:r>
          </a:p>
        </xdr:txBody>
      </xdr:sp>
    </xdr:grpSp>
    <xdr:clientData/>
  </xdr:twoCellAnchor>
  <xdr:twoCellAnchor>
    <xdr:from>
      <xdr:col>12</xdr:col>
      <xdr:colOff>374720</xdr:colOff>
      <xdr:row>255</xdr:row>
      <xdr:rowOff>49534</xdr:rowOff>
    </xdr:from>
    <xdr:to>
      <xdr:col>24</xdr:col>
      <xdr:colOff>19120</xdr:colOff>
      <xdr:row>277</xdr:row>
      <xdr:rowOff>156039</xdr:rowOff>
    </xdr:to>
    <xdr:grpSp>
      <xdr:nvGrpSpPr>
        <xdr:cNvPr id="58" name="Groupe 57">
          <a:extLst>
            <a:ext uri="{FF2B5EF4-FFF2-40B4-BE49-F238E27FC236}">
              <a16:creationId xmlns:a16="http://schemas.microsoft.com/office/drawing/2014/main" id="{44F64B0C-0D00-E746-8FAB-D01C8AC8B96E}"/>
            </a:ext>
          </a:extLst>
        </xdr:cNvPr>
        <xdr:cNvGrpSpPr/>
      </xdr:nvGrpSpPr>
      <xdr:grpSpPr>
        <a:xfrm>
          <a:off x="14094568" y="61894686"/>
          <a:ext cx="13114097" cy="5186505"/>
          <a:chOff x="541866" y="29111818"/>
          <a:chExt cx="8534400" cy="491535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59" name="Graphique 58">
            <a:extLst>
              <a:ext uri="{FF2B5EF4-FFF2-40B4-BE49-F238E27FC236}">
                <a16:creationId xmlns:a16="http://schemas.microsoft.com/office/drawing/2014/main" id="{E965437D-5530-F73E-529A-FD7F2D520B5C}"/>
              </a:ext>
            </a:extLst>
          </xdr:cNvPr>
          <xdr:cNvGraphicFramePr/>
        </xdr:nvGraphicFramePr>
        <xdr:xfrm>
          <a:off x="1005525" y="29111818"/>
          <a:ext cx="8070741" cy="49089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0" name="Rectangle : avec coins arrondis en haut 59">
            <a:extLst>
              <a:ext uri="{FF2B5EF4-FFF2-40B4-BE49-F238E27FC236}">
                <a16:creationId xmlns:a16="http://schemas.microsoft.com/office/drawing/2014/main" id="{13CB7AA0-801F-CDDF-0029-E8AB592061FB}"/>
              </a:ext>
            </a:extLst>
          </xdr:cNvPr>
          <xdr:cNvSpPr/>
        </xdr:nvSpPr>
        <xdr:spPr>
          <a:xfrm rot="16200000">
            <a:off x="-1625601" y="31283970"/>
            <a:ext cx="4910668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R</a:t>
            </a:r>
            <a:r>
              <a:rPr lang="fr-FR" sz="3600" b="1" baseline="0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2P </a:t>
            </a:r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-</a:t>
            </a:r>
            <a:r>
              <a:rPr lang="fr-FR" sz="3600" b="1" baseline="0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 JUIN</a:t>
            </a:r>
            <a:endParaRPr lang="fr-FR" sz="3600" b="1">
              <a:solidFill>
                <a:schemeClr val="accent5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12</xdr:col>
      <xdr:colOff>357515</xdr:colOff>
      <xdr:row>327</xdr:row>
      <xdr:rowOff>41981</xdr:rowOff>
    </xdr:from>
    <xdr:to>
      <xdr:col>24</xdr:col>
      <xdr:colOff>1915</xdr:colOff>
      <xdr:row>349</xdr:row>
      <xdr:rowOff>167166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80BAD4B3-8BC7-D148-A34E-2903885F1C5F}"/>
            </a:ext>
          </a:extLst>
        </xdr:cNvPr>
        <xdr:cNvGrpSpPr/>
      </xdr:nvGrpSpPr>
      <xdr:grpSpPr>
        <a:xfrm>
          <a:off x="14077363" y="78512587"/>
          <a:ext cx="13114097" cy="5205185"/>
          <a:chOff x="541865" y="29108399"/>
          <a:chExt cx="8397462" cy="4893768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53" name="Graphique 52">
            <a:extLst>
              <a:ext uri="{FF2B5EF4-FFF2-40B4-BE49-F238E27FC236}">
                <a16:creationId xmlns:a16="http://schemas.microsoft.com/office/drawing/2014/main" id="{48D42F67-0B64-1B42-6C54-D1334B9FDFF5}"/>
              </a:ext>
            </a:extLst>
          </xdr:cNvPr>
          <xdr:cNvGraphicFramePr/>
        </xdr:nvGraphicFramePr>
        <xdr:xfrm>
          <a:off x="998612" y="29108399"/>
          <a:ext cx="7940715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54" name="Rectangle : avec coins arrondis en haut 53">
            <a:extLst>
              <a:ext uri="{FF2B5EF4-FFF2-40B4-BE49-F238E27FC236}">
                <a16:creationId xmlns:a16="http://schemas.microsoft.com/office/drawing/2014/main" id="{8E2757FA-A2A0-FECC-DAB7-F2C358084B96}"/>
              </a:ext>
            </a:extLst>
          </xdr:cNvPr>
          <xdr:cNvSpPr/>
        </xdr:nvSpPr>
        <xdr:spPr>
          <a:xfrm rot="16200000">
            <a:off x="-1617151" y="31267417"/>
            <a:ext cx="4893766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4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RES. SOC.- JUIN</a:t>
            </a:r>
          </a:p>
        </xdr:txBody>
      </xdr:sp>
    </xdr:grpSp>
    <xdr:clientData/>
  </xdr:twoCellAnchor>
  <xdr:twoCellAnchor>
    <xdr:from>
      <xdr:col>12</xdr:col>
      <xdr:colOff>384718</xdr:colOff>
      <xdr:row>186</xdr:row>
      <xdr:rowOff>43152</xdr:rowOff>
    </xdr:from>
    <xdr:to>
      <xdr:col>24</xdr:col>
      <xdr:colOff>29120</xdr:colOff>
      <xdr:row>203</xdr:row>
      <xdr:rowOff>204107</xdr:rowOff>
    </xdr:to>
    <xdr:grpSp>
      <xdr:nvGrpSpPr>
        <xdr:cNvPr id="134" name="Groupe 133">
          <a:extLst>
            <a:ext uri="{FF2B5EF4-FFF2-40B4-BE49-F238E27FC236}">
              <a16:creationId xmlns:a16="http://schemas.microsoft.com/office/drawing/2014/main" id="{FBA65D0B-191B-C745-ADB9-9AC2AD996D46}"/>
            </a:ext>
          </a:extLst>
        </xdr:cNvPr>
        <xdr:cNvGrpSpPr/>
      </xdr:nvGrpSpPr>
      <xdr:grpSpPr>
        <a:xfrm>
          <a:off x="14104566" y="45108910"/>
          <a:ext cx="13114099" cy="4933076"/>
          <a:chOff x="541866" y="29108399"/>
          <a:chExt cx="8443422" cy="428051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35" name="Graphique 134">
            <a:extLst>
              <a:ext uri="{FF2B5EF4-FFF2-40B4-BE49-F238E27FC236}">
                <a16:creationId xmlns:a16="http://schemas.microsoft.com/office/drawing/2014/main" id="{3AF7A128-C3FD-CF58-8433-01209B84D8C4}"/>
              </a:ext>
            </a:extLst>
          </xdr:cNvPr>
          <xdr:cNvGraphicFramePr/>
        </xdr:nvGraphicFramePr>
        <xdr:xfrm>
          <a:off x="1018155" y="29108399"/>
          <a:ext cx="7967133" cy="42708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6" name="Rectangle : avec coins arrondis en haut 135">
            <a:extLst>
              <a:ext uri="{FF2B5EF4-FFF2-40B4-BE49-F238E27FC236}">
                <a16:creationId xmlns:a16="http://schemas.microsoft.com/office/drawing/2014/main" id="{14B85D21-1227-21DD-9548-1DD8160C0E97}"/>
              </a:ext>
            </a:extLst>
          </xdr:cNvPr>
          <xdr:cNvSpPr/>
        </xdr:nvSpPr>
        <xdr:spPr>
          <a:xfrm rot="16200000">
            <a:off x="-1310523" y="30960789"/>
            <a:ext cx="4280512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2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PERTES - JUIN</a:t>
            </a:r>
          </a:p>
        </xdr:txBody>
      </xdr:sp>
    </xdr:grpSp>
    <xdr:clientData/>
  </xdr:twoCellAnchor>
  <xdr:twoCellAnchor>
    <xdr:from>
      <xdr:col>12</xdr:col>
      <xdr:colOff>354563</xdr:colOff>
      <xdr:row>279</xdr:row>
      <xdr:rowOff>45591</xdr:rowOff>
    </xdr:from>
    <xdr:to>
      <xdr:col>23</xdr:col>
      <xdr:colOff>838071</xdr:colOff>
      <xdr:row>301</xdr:row>
      <xdr:rowOff>170960</xdr:rowOff>
    </xdr:to>
    <xdr:grpSp>
      <xdr:nvGrpSpPr>
        <xdr:cNvPr id="189" name="Groupe 188">
          <a:extLst>
            <a:ext uri="{FF2B5EF4-FFF2-40B4-BE49-F238E27FC236}">
              <a16:creationId xmlns:a16="http://schemas.microsoft.com/office/drawing/2014/main" id="{8A070FA9-6765-BF40-A24A-B04B3CC7D46C}"/>
            </a:ext>
          </a:extLst>
        </xdr:cNvPr>
        <xdr:cNvGrpSpPr/>
      </xdr:nvGrpSpPr>
      <xdr:grpSpPr>
        <a:xfrm>
          <a:off x="14074411" y="67432561"/>
          <a:ext cx="13106539" cy="5205369"/>
          <a:chOff x="541867" y="29108399"/>
          <a:chExt cx="8404537" cy="415705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90" name="Graphique 189">
            <a:extLst>
              <a:ext uri="{FF2B5EF4-FFF2-40B4-BE49-F238E27FC236}">
                <a16:creationId xmlns:a16="http://schemas.microsoft.com/office/drawing/2014/main" id="{05E23FFE-D93D-102C-2970-904991F89F95}"/>
              </a:ext>
            </a:extLst>
          </xdr:cNvPr>
          <xdr:cNvGraphicFramePr/>
        </xdr:nvGraphicFramePr>
        <xdr:xfrm>
          <a:off x="994339" y="29108399"/>
          <a:ext cx="7952065" cy="415705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204" name="Rectangle : avec coins arrondis en haut 203">
            <a:extLst>
              <a:ext uri="{FF2B5EF4-FFF2-40B4-BE49-F238E27FC236}">
                <a16:creationId xmlns:a16="http://schemas.microsoft.com/office/drawing/2014/main" id="{81A51ABF-18E7-871D-8A3B-0245334E3FF3}"/>
              </a:ext>
            </a:extLst>
          </xdr:cNvPr>
          <xdr:cNvSpPr/>
        </xdr:nvSpPr>
        <xdr:spPr>
          <a:xfrm rot="16200000">
            <a:off x="-1248720" y="30898987"/>
            <a:ext cx="4156908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3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ANALYSES - JUIN</a:t>
            </a:r>
          </a:p>
        </xdr:txBody>
      </xdr:sp>
    </xdr:grpSp>
    <xdr:clientData/>
  </xdr:twoCellAnchor>
  <xdr:twoCellAnchor>
    <xdr:from>
      <xdr:col>0</xdr:col>
      <xdr:colOff>722272</xdr:colOff>
      <xdr:row>205</xdr:row>
      <xdr:rowOff>34353</xdr:rowOff>
    </xdr:from>
    <xdr:to>
      <xdr:col>11</xdr:col>
      <xdr:colOff>1003485</xdr:colOff>
      <xdr:row>229</xdr:row>
      <xdr:rowOff>204107</xdr:rowOff>
    </xdr:to>
    <xdr:grpSp>
      <xdr:nvGrpSpPr>
        <xdr:cNvPr id="95" name="Groupe 94">
          <a:extLst>
            <a:ext uri="{FF2B5EF4-FFF2-40B4-BE49-F238E27FC236}">
              <a16:creationId xmlns:a16="http://schemas.microsoft.com/office/drawing/2014/main" id="{FF7BAF1B-6CCE-F065-95C3-8B3873CE7DDA}"/>
            </a:ext>
          </a:extLst>
        </xdr:cNvPr>
        <xdr:cNvGrpSpPr/>
      </xdr:nvGrpSpPr>
      <xdr:grpSpPr>
        <a:xfrm>
          <a:off x="722272" y="50334050"/>
          <a:ext cx="12827274" cy="5711572"/>
          <a:chOff x="656094" y="29108399"/>
          <a:chExt cx="8420172" cy="4893734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00" name="Graphique 99">
            <a:extLst>
              <a:ext uri="{FF2B5EF4-FFF2-40B4-BE49-F238E27FC236}">
                <a16:creationId xmlns:a16="http://schemas.microsoft.com/office/drawing/2014/main" id="{CBDDE061-AE5D-BE59-E5CD-F4D1DECE7BCA}"/>
              </a:ext>
            </a:extLst>
          </xdr:cNvPr>
          <xdr:cNvGraphicFramePr/>
        </xdr:nvGraphicFramePr>
        <xdr:xfrm>
          <a:off x="1109133" y="29108399"/>
          <a:ext cx="7967133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01" name="Rectangle : avec coins arrondis en haut 100">
            <a:extLst>
              <a:ext uri="{FF2B5EF4-FFF2-40B4-BE49-F238E27FC236}">
                <a16:creationId xmlns:a16="http://schemas.microsoft.com/office/drawing/2014/main" id="{A9E3106D-8C20-41D2-0023-DA87CD855F96}"/>
              </a:ext>
            </a:extLst>
          </xdr:cNvPr>
          <xdr:cNvSpPr/>
        </xdr:nvSpPr>
        <xdr:spPr>
          <a:xfrm rot="16200000">
            <a:off x="-1502481" y="31266974"/>
            <a:ext cx="4892884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OPH - ANNUEL</a:t>
            </a:r>
          </a:p>
        </xdr:txBody>
      </xdr:sp>
    </xdr:grpSp>
    <xdr:clientData/>
  </xdr:twoCellAnchor>
  <xdr:twoCellAnchor>
    <xdr:from>
      <xdr:col>12</xdr:col>
      <xdr:colOff>365578</xdr:colOff>
      <xdr:row>205</xdr:row>
      <xdr:rowOff>32000</xdr:rowOff>
    </xdr:from>
    <xdr:to>
      <xdr:col>24</xdr:col>
      <xdr:colOff>10885</xdr:colOff>
      <xdr:row>229</xdr:row>
      <xdr:rowOff>204107</xdr:rowOff>
    </xdr:to>
    <xdr:grpSp>
      <xdr:nvGrpSpPr>
        <xdr:cNvPr id="104" name="Groupe 103">
          <a:extLst>
            <a:ext uri="{FF2B5EF4-FFF2-40B4-BE49-F238E27FC236}">
              <a16:creationId xmlns:a16="http://schemas.microsoft.com/office/drawing/2014/main" id="{BAE5FDD7-20DB-DEB0-0CA1-D421B6A87426}"/>
            </a:ext>
          </a:extLst>
        </xdr:cNvPr>
        <xdr:cNvGrpSpPr/>
      </xdr:nvGrpSpPr>
      <xdr:grpSpPr>
        <a:xfrm>
          <a:off x="14085426" y="50331697"/>
          <a:ext cx="13115004" cy="5713925"/>
          <a:chOff x="656094" y="29108399"/>
          <a:chExt cx="8420172" cy="489456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14" name="Graphique 113">
            <a:extLst>
              <a:ext uri="{FF2B5EF4-FFF2-40B4-BE49-F238E27FC236}">
                <a16:creationId xmlns:a16="http://schemas.microsoft.com/office/drawing/2014/main" id="{5692BF7E-E962-1565-4900-4D6C355874C9}"/>
              </a:ext>
            </a:extLst>
          </xdr:cNvPr>
          <xdr:cNvGraphicFramePr/>
        </xdr:nvGraphicFramePr>
        <xdr:xfrm>
          <a:off x="1109133" y="29108399"/>
          <a:ext cx="7967133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16" name="Rectangle : avec coins arrondis en haut 115">
            <a:extLst>
              <a:ext uri="{FF2B5EF4-FFF2-40B4-BE49-F238E27FC236}">
                <a16:creationId xmlns:a16="http://schemas.microsoft.com/office/drawing/2014/main" id="{1EE2D846-9777-CD43-2A1E-CEA3D5C2D956}"/>
              </a:ext>
            </a:extLst>
          </xdr:cNvPr>
          <xdr:cNvSpPr/>
        </xdr:nvSpPr>
        <xdr:spPr>
          <a:xfrm rot="16200000">
            <a:off x="-1503322" y="31267815"/>
            <a:ext cx="4894565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OPH - JUIN</a:t>
            </a:r>
          </a:p>
        </xdr:txBody>
      </xdr:sp>
    </xdr:grpSp>
    <xdr:clientData/>
  </xdr:twoCellAnchor>
  <xdr:oneCellAnchor>
    <xdr:from>
      <xdr:col>7</xdr:col>
      <xdr:colOff>596295</xdr:colOff>
      <xdr:row>34</xdr:row>
      <xdr:rowOff>182034</xdr:rowOff>
    </xdr:from>
    <xdr:ext cx="1590988" cy="512769"/>
    <xdr:sp macro="" textlink="$K$36">
      <xdr:nvSpPr>
        <xdr:cNvPr id="74" name="ZoneTexte 73">
          <a:extLst>
            <a:ext uri="{FF2B5EF4-FFF2-40B4-BE49-F238E27FC236}">
              <a16:creationId xmlns:a16="http://schemas.microsoft.com/office/drawing/2014/main" id="{F14D151F-A0D5-7ED5-7EA3-5ED84B0B12F0}"/>
            </a:ext>
          </a:extLst>
        </xdr:cNvPr>
        <xdr:cNvSpPr txBox="1"/>
      </xdr:nvSpPr>
      <xdr:spPr>
        <a:xfrm>
          <a:off x="8368695" y="12983634"/>
          <a:ext cx="1590988" cy="5127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05A1D3D-0B15-8047-BA6A-98B30F69CB9C}" type="TxLink">
            <a:rPr lang="en-US" sz="2400" b="1" i="0" u="none" strike="noStrike">
              <a:solidFill>
                <a:srgbClr val="C00000"/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pPr/>
            <a:t>-28 584 €</a:t>
          </a:fld>
          <a:endParaRPr lang="fr-FR" sz="2400" b="1">
            <a:solidFill>
              <a:srgbClr val="C00000"/>
            </a:solidFill>
            <a:latin typeface="Avenir Next Condensed" panose="020B0506020202020204" pitchFamily="34" charset="0"/>
            <a:ea typeface="Segoe UI Historic" panose="020B0502040204020203" pitchFamily="34" charset="0"/>
            <a:cs typeface="Segoe UI Historic" panose="020B0502040204020203" pitchFamily="34" charset="0"/>
          </a:endParaRPr>
        </a:p>
      </xdr:txBody>
    </xdr:sp>
    <xdr:clientData/>
  </xdr:oneCellAnchor>
  <xdr:oneCellAnchor>
    <xdr:from>
      <xdr:col>20</xdr:col>
      <xdr:colOff>881977</xdr:colOff>
      <xdr:row>35</xdr:row>
      <xdr:rowOff>2257</xdr:rowOff>
    </xdr:from>
    <xdr:ext cx="2949190" cy="512769"/>
    <xdr:sp macro="" textlink="FRANCHISE!Y158">
      <xdr:nvSpPr>
        <xdr:cNvPr id="76" name="ZoneTexte 75">
          <a:extLst>
            <a:ext uri="{FF2B5EF4-FFF2-40B4-BE49-F238E27FC236}">
              <a16:creationId xmlns:a16="http://schemas.microsoft.com/office/drawing/2014/main" id="{1F8E8DAC-943A-E24B-BFA1-C7159DBAF44B}"/>
            </a:ext>
          </a:extLst>
        </xdr:cNvPr>
        <xdr:cNvSpPr txBox="1"/>
      </xdr:nvSpPr>
      <xdr:spPr>
        <a:xfrm>
          <a:off x="23992129" y="10027560"/>
          <a:ext cx="2949190" cy="5127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15137041-01CA-634A-8B56-0DD650082698}" type="TxLink">
            <a:rPr lang="en-US" sz="2400" b="1" i="0" u="none" strike="noStrike">
              <a:solidFill>
                <a:srgbClr val="C00000"/>
              </a:solidFill>
              <a:latin typeface="Avenir Next Regular"/>
              <a:ea typeface="Segoe UI Historic" panose="020B0502040204020203" pitchFamily="34" charset="0"/>
              <a:cs typeface="Segoe UI Historic" panose="020B0502040204020203" pitchFamily="34" charset="0"/>
            </a:rPr>
            <a:pPr algn="l"/>
            <a:t>-34 263 €</a:t>
          </a:fld>
          <a:endParaRPr lang="fr-FR" sz="2400" b="1">
            <a:solidFill>
              <a:srgbClr val="C00000"/>
            </a:solidFill>
            <a:latin typeface="Avenir Next Condensed" panose="020B0506020202020204" pitchFamily="34" charset="0"/>
            <a:ea typeface="Segoe UI Historic" panose="020B0502040204020203" pitchFamily="34" charset="0"/>
            <a:cs typeface="Segoe UI Historic" panose="020B0502040204020203" pitchFamily="34" charset="0"/>
          </a:endParaRPr>
        </a:p>
      </xdr:txBody>
    </xdr:sp>
    <xdr:clientData/>
  </xdr:oneCellAnchor>
  <xdr:twoCellAnchor>
    <xdr:from>
      <xdr:col>19</xdr:col>
      <xdr:colOff>126789</xdr:colOff>
      <xdr:row>125</xdr:row>
      <xdr:rowOff>255301</xdr:rowOff>
    </xdr:from>
    <xdr:to>
      <xdr:col>21</xdr:col>
      <xdr:colOff>380066</xdr:colOff>
      <xdr:row>127</xdr:row>
      <xdr:rowOff>171093</xdr:rowOff>
    </xdr:to>
    <xdr:sp macro="" textlink="'DONNEES '!#REF!">
      <xdr:nvSpPr>
        <xdr:cNvPr id="183" name="ZoneTexte 1">
          <a:extLst>
            <a:ext uri="{FF2B5EF4-FFF2-40B4-BE49-F238E27FC236}">
              <a16:creationId xmlns:a16="http://schemas.microsoft.com/office/drawing/2014/main" id="{17C90E58-AC04-3849-A28A-A2B8899D3512}"/>
            </a:ext>
          </a:extLst>
        </xdr:cNvPr>
        <xdr:cNvSpPr txBox="1"/>
      </xdr:nvSpPr>
      <xdr:spPr>
        <a:xfrm>
          <a:off x="16448005" y="21810977"/>
          <a:ext cx="2072466" cy="49930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4F554217-B03C-FD4D-8591-94D372088E78}" type="TxLink">
            <a:rPr lang="en-US" sz="1200" b="0" i="0" u="none" strike="noStrike" kern="1200">
              <a:solidFill>
                <a:srgbClr val="000000"/>
              </a:solidFill>
              <a:latin typeface="Avenir Next Condensed Regular"/>
            </a:rPr>
            <a:pPr algn="ctr"/>
            <a:t> </a:t>
          </a:fld>
          <a:endParaRPr lang="fr-FR" sz="2000" b="1" kern="1200">
            <a:solidFill>
              <a:schemeClr val="accent6">
                <a:lumMod val="75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1</xdr:col>
      <xdr:colOff>8936</xdr:colOff>
      <xdr:row>327</xdr:row>
      <xdr:rowOff>39447</xdr:rowOff>
    </xdr:from>
    <xdr:to>
      <xdr:col>11</xdr:col>
      <xdr:colOff>1014049</xdr:colOff>
      <xdr:row>349</xdr:row>
      <xdr:rowOff>161029</xdr:rowOff>
    </xdr:to>
    <xdr:grpSp>
      <xdr:nvGrpSpPr>
        <xdr:cNvPr id="195" name="Groupe 194">
          <a:extLst>
            <a:ext uri="{FF2B5EF4-FFF2-40B4-BE49-F238E27FC236}">
              <a16:creationId xmlns:a16="http://schemas.microsoft.com/office/drawing/2014/main" id="{8D1EC6B6-9F56-1509-B135-EA223A443E20}"/>
            </a:ext>
          </a:extLst>
        </xdr:cNvPr>
        <xdr:cNvGrpSpPr/>
      </xdr:nvGrpSpPr>
      <xdr:grpSpPr>
        <a:xfrm>
          <a:off x="740148" y="78510053"/>
          <a:ext cx="12819962" cy="5201582"/>
          <a:chOff x="9762525" y="37846460"/>
          <a:chExt cx="8852076" cy="5227116"/>
        </a:xfrm>
      </xdr:grpSpPr>
      <xdr:grpSp>
        <xdr:nvGrpSpPr>
          <xdr:cNvPr id="201" name="Groupe 200">
            <a:extLst>
              <a:ext uri="{FF2B5EF4-FFF2-40B4-BE49-F238E27FC236}">
                <a16:creationId xmlns:a16="http://schemas.microsoft.com/office/drawing/2014/main" id="{60AFDDD6-C6BC-30C7-4767-02CF79FB8AEC}"/>
              </a:ext>
            </a:extLst>
          </xdr:cNvPr>
          <xdr:cNvGrpSpPr/>
        </xdr:nvGrpSpPr>
        <xdr:grpSpPr>
          <a:xfrm>
            <a:off x="9762525" y="37846460"/>
            <a:ext cx="8852076" cy="5227116"/>
            <a:chOff x="656095" y="29108398"/>
            <a:chExt cx="8420171" cy="4894611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graphicFrame macro="">
          <xdr:nvGraphicFramePr>
            <xdr:cNvPr id="207" name="Graphique 206">
              <a:extLst>
                <a:ext uri="{FF2B5EF4-FFF2-40B4-BE49-F238E27FC236}">
                  <a16:creationId xmlns:a16="http://schemas.microsoft.com/office/drawing/2014/main" id="{0AE94EA6-1C61-009C-19B9-20E2384C673C}"/>
                </a:ext>
              </a:extLst>
            </xdr:cNvPr>
            <xdr:cNvGraphicFramePr/>
          </xdr:nvGraphicFramePr>
          <xdr:xfrm>
            <a:off x="1109133" y="29108399"/>
            <a:ext cx="7967133" cy="489373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">
          <xdr:nvSpPr>
            <xdr:cNvPr id="208" name="Rectangle : avec coins arrondis en haut 207">
              <a:extLst>
                <a:ext uri="{FF2B5EF4-FFF2-40B4-BE49-F238E27FC236}">
                  <a16:creationId xmlns:a16="http://schemas.microsoft.com/office/drawing/2014/main" id="{9EF97753-118C-D04E-E6C1-76EB1C53521F}"/>
                </a:ext>
              </a:extLst>
            </xdr:cNvPr>
            <xdr:cNvSpPr/>
          </xdr:nvSpPr>
          <xdr:spPr>
            <a:xfrm rot="16200000">
              <a:off x="-1503345" y="31267838"/>
              <a:ext cx="4894611" cy="575732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fr-FR" sz="3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Avenir Next Condensed" panose="020B0506020202020204" pitchFamily="34" charset="0"/>
                </a:rPr>
                <a:t>%</a:t>
              </a:r>
              <a:r>
                <a:rPr lang="fr-FR" sz="3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Avenir Next Condensed" panose="020B0506020202020204" pitchFamily="34" charset="0"/>
                </a:rPr>
                <a:t> UBER </a:t>
              </a:r>
              <a:r>
                <a:rPr lang="fr-FR" sz="3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Avenir Next Condensed" panose="020B0506020202020204" pitchFamily="34" charset="0"/>
                </a:rPr>
                <a:t>DIRECT - ANNUEL</a:t>
              </a:r>
            </a:p>
          </xdr:txBody>
        </xdr:sp>
      </xdr:grpSp>
      <xdr:sp macro="" textlink="'DONNEES '!T92">
        <xdr:nvSpPr>
          <xdr:cNvPr id="137" name="Rectangle : coins arrondis 136">
            <a:extLst>
              <a:ext uri="{FF2B5EF4-FFF2-40B4-BE49-F238E27FC236}">
                <a16:creationId xmlns:a16="http://schemas.microsoft.com/office/drawing/2014/main" id="{EF8142EA-37B1-5876-B74A-6C8235118363}"/>
              </a:ext>
            </a:extLst>
          </xdr:cNvPr>
          <xdr:cNvSpPr/>
        </xdr:nvSpPr>
        <xdr:spPr>
          <a:xfrm>
            <a:off x="17169649" y="37982311"/>
            <a:ext cx="1072969" cy="450525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F59C9AB-C9D1-734F-91A8-2FE68BF6B5F4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47,8%</a:t>
            </a:fld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91">
        <xdr:nvSpPr>
          <xdr:cNvPr id="142" name="Rectangle : coins arrondis 141">
            <a:extLst>
              <a:ext uri="{FF2B5EF4-FFF2-40B4-BE49-F238E27FC236}">
                <a16:creationId xmlns:a16="http://schemas.microsoft.com/office/drawing/2014/main" id="{6E95FB9F-67AB-4748-B981-CD3F4FC2AB1E}"/>
              </a:ext>
            </a:extLst>
          </xdr:cNvPr>
          <xdr:cNvSpPr/>
        </xdr:nvSpPr>
        <xdr:spPr>
          <a:xfrm>
            <a:off x="17166811" y="38606550"/>
            <a:ext cx="1072969" cy="445248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F8F4F70-476D-DB40-A6B8-51A41AF19A17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0,0%</a:t>
            </a:fld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90">
        <xdr:nvSpPr>
          <xdr:cNvPr id="143" name="Rectangle : coins arrondis 142">
            <a:extLst>
              <a:ext uri="{FF2B5EF4-FFF2-40B4-BE49-F238E27FC236}">
                <a16:creationId xmlns:a16="http://schemas.microsoft.com/office/drawing/2014/main" id="{387287CC-A762-AA48-A42C-E139E1D8D84D}"/>
              </a:ext>
            </a:extLst>
          </xdr:cNvPr>
          <xdr:cNvSpPr/>
        </xdr:nvSpPr>
        <xdr:spPr>
          <a:xfrm>
            <a:off x="17166510" y="39231543"/>
            <a:ext cx="1072969" cy="445247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051482D-4749-3743-A466-1F5C81DE0106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2,9%</a:t>
            </a:fld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89">
        <xdr:nvSpPr>
          <xdr:cNvPr id="144" name="Rectangle : coins arrondis 143">
            <a:extLst>
              <a:ext uri="{FF2B5EF4-FFF2-40B4-BE49-F238E27FC236}">
                <a16:creationId xmlns:a16="http://schemas.microsoft.com/office/drawing/2014/main" id="{962FCF81-ADC4-FB48-A634-63AE5D8B69E7}"/>
              </a:ext>
            </a:extLst>
          </xdr:cNvPr>
          <xdr:cNvSpPr/>
        </xdr:nvSpPr>
        <xdr:spPr>
          <a:xfrm>
            <a:off x="17162919" y="39844130"/>
            <a:ext cx="1075765" cy="445248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3D68E05-1EC1-604A-AFF4-5619C7C36165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2,0%</a:t>
            </a:fld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88">
        <xdr:nvSpPr>
          <xdr:cNvPr id="145" name="Rectangle : coins arrondis 144">
            <a:extLst>
              <a:ext uri="{FF2B5EF4-FFF2-40B4-BE49-F238E27FC236}">
                <a16:creationId xmlns:a16="http://schemas.microsoft.com/office/drawing/2014/main" id="{4ACCFB28-8372-D24D-87DD-4855735135CE}"/>
              </a:ext>
            </a:extLst>
          </xdr:cNvPr>
          <xdr:cNvSpPr/>
        </xdr:nvSpPr>
        <xdr:spPr>
          <a:xfrm>
            <a:off x="17178313" y="40444314"/>
            <a:ext cx="1072969" cy="445248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588C6C3-BE65-A245-B8EE-B8B51EF074B8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-0,1%</a:t>
            </a:fld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87">
        <xdr:nvSpPr>
          <xdr:cNvPr id="146" name="Rectangle : coins arrondis 145">
            <a:extLst>
              <a:ext uri="{FF2B5EF4-FFF2-40B4-BE49-F238E27FC236}">
                <a16:creationId xmlns:a16="http://schemas.microsoft.com/office/drawing/2014/main" id="{31580309-B880-B24B-89E4-1335499C236A}"/>
              </a:ext>
            </a:extLst>
          </xdr:cNvPr>
          <xdr:cNvSpPr/>
        </xdr:nvSpPr>
        <xdr:spPr>
          <a:xfrm>
            <a:off x="17163823" y="41068608"/>
            <a:ext cx="1075765" cy="445946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7B8CCEC-CC56-7841-AF0B-6EF749165749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0%</a:t>
            </a:fld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147" name="Rectangle : coins arrondis 146">
            <a:extLst>
              <a:ext uri="{FF2B5EF4-FFF2-40B4-BE49-F238E27FC236}">
                <a16:creationId xmlns:a16="http://schemas.microsoft.com/office/drawing/2014/main" id="{4BF1D11E-C701-E048-B924-47BE58778690}"/>
              </a:ext>
            </a:extLst>
          </xdr:cNvPr>
          <xdr:cNvSpPr/>
        </xdr:nvSpPr>
        <xdr:spPr>
          <a:xfrm>
            <a:off x="17170582" y="41708268"/>
            <a:ext cx="1072969" cy="445946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149" name="Rectangle : coins arrondis 148">
            <a:extLst>
              <a:ext uri="{FF2B5EF4-FFF2-40B4-BE49-F238E27FC236}">
                <a16:creationId xmlns:a16="http://schemas.microsoft.com/office/drawing/2014/main" id="{9B4A022F-9CBF-2944-8CE9-604FDD789C09}"/>
              </a:ext>
            </a:extLst>
          </xdr:cNvPr>
          <xdr:cNvSpPr/>
        </xdr:nvSpPr>
        <xdr:spPr>
          <a:xfrm>
            <a:off x="17159863" y="42324626"/>
            <a:ext cx="1075765" cy="445946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</xdr:col>
      <xdr:colOff>6451</xdr:colOff>
      <xdr:row>87</xdr:row>
      <xdr:rowOff>33566</xdr:rowOff>
    </xdr:from>
    <xdr:to>
      <xdr:col>11</xdr:col>
      <xdr:colOff>1011565</xdr:colOff>
      <xdr:row>109</xdr:row>
      <xdr:rowOff>181428</xdr:rowOff>
    </xdr:to>
    <xdr:grpSp>
      <xdr:nvGrpSpPr>
        <xdr:cNvPr id="184" name="Groupe 183">
          <a:extLst>
            <a:ext uri="{FF2B5EF4-FFF2-40B4-BE49-F238E27FC236}">
              <a16:creationId xmlns:a16="http://schemas.microsoft.com/office/drawing/2014/main" id="{86060220-BE34-B8FA-5279-51AE2F60FCBE}"/>
            </a:ext>
          </a:extLst>
        </xdr:cNvPr>
        <xdr:cNvGrpSpPr/>
      </xdr:nvGrpSpPr>
      <xdr:grpSpPr>
        <a:xfrm>
          <a:off x="737663" y="22066142"/>
          <a:ext cx="12819963" cy="5227862"/>
          <a:chOff x="294319" y="24705729"/>
          <a:chExt cx="8799302" cy="3708406"/>
        </a:xfrm>
      </xdr:grpSpPr>
      <xdr:grpSp>
        <xdr:nvGrpSpPr>
          <xdr:cNvPr id="75" name="Groupe 74">
            <a:extLst>
              <a:ext uri="{FF2B5EF4-FFF2-40B4-BE49-F238E27FC236}">
                <a16:creationId xmlns:a16="http://schemas.microsoft.com/office/drawing/2014/main" id="{D1CFEB7E-B450-6E15-B99C-08B360ACAE9D}"/>
              </a:ext>
            </a:extLst>
          </xdr:cNvPr>
          <xdr:cNvGrpSpPr/>
        </xdr:nvGrpSpPr>
        <xdr:grpSpPr>
          <a:xfrm>
            <a:off x="294319" y="24705729"/>
            <a:ext cx="8799302" cy="3708406"/>
            <a:chOff x="656094" y="29108399"/>
            <a:chExt cx="8420172" cy="4512250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graphicFrame macro="">
          <xdr:nvGraphicFramePr>
            <xdr:cNvPr id="130" name="Graphique 129">
              <a:extLst>
                <a:ext uri="{FF2B5EF4-FFF2-40B4-BE49-F238E27FC236}">
                  <a16:creationId xmlns:a16="http://schemas.microsoft.com/office/drawing/2014/main" id="{8BE8F30C-BA71-CB6A-0C25-433C3D58EF34}"/>
                </a:ext>
              </a:extLst>
            </xdr:cNvPr>
            <xdr:cNvGraphicFramePr/>
          </xdr:nvGraphicFramePr>
          <xdr:xfrm>
            <a:off x="1109133" y="29108399"/>
            <a:ext cx="7967133" cy="451224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sp macro="" textlink="">
          <xdr:nvSpPr>
            <xdr:cNvPr id="133" name="Rectangle : avec coins arrondis en haut 132">
              <a:extLst>
                <a:ext uri="{FF2B5EF4-FFF2-40B4-BE49-F238E27FC236}">
                  <a16:creationId xmlns:a16="http://schemas.microsoft.com/office/drawing/2014/main" id="{38C3C71B-9604-C118-4579-48F4B661FA7D}"/>
                </a:ext>
              </a:extLst>
            </xdr:cNvPr>
            <xdr:cNvSpPr/>
          </xdr:nvSpPr>
          <xdr:spPr>
            <a:xfrm rot="16200000">
              <a:off x="-1312164" y="31076657"/>
              <a:ext cx="4512250" cy="575733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fr-FR" sz="3600" b="1">
                  <a:solidFill>
                    <a:schemeClr val="accent5">
                      <a:lumMod val="75000"/>
                    </a:schemeClr>
                  </a:solidFill>
                  <a:latin typeface="Avenir Next Condensed" panose="020B0506020202020204" pitchFamily="34" charset="0"/>
                </a:rPr>
                <a:t>PM - ANNUEL</a:t>
              </a:r>
            </a:p>
          </xdr:txBody>
        </xdr:sp>
      </xdr:grpSp>
      <xdr:sp macro="" textlink="'DONNEES '!G4">
        <xdr:nvSpPr>
          <xdr:cNvPr id="141" name="Rectangle : coins arrondis 140">
            <a:extLst>
              <a:ext uri="{FF2B5EF4-FFF2-40B4-BE49-F238E27FC236}">
                <a16:creationId xmlns:a16="http://schemas.microsoft.com/office/drawing/2014/main" id="{45F85158-D5FE-564B-9D7D-DDC332E8819B}"/>
              </a:ext>
            </a:extLst>
          </xdr:cNvPr>
          <xdr:cNvSpPr/>
        </xdr:nvSpPr>
        <xdr:spPr>
          <a:xfrm>
            <a:off x="7569414" y="24814306"/>
            <a:ext cx="1150470" cy="406400"/>
          </a:xfrm>
          <a:prstGeom prst="roundRect">
            <a:avLst>
              <a:gd name="adj" fmla="val 45239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504461D-80DE-474E-B7DE-0B2384DC2568}" type="TxLink">
              <a:rPr lang="en-US" sz="24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 Regular"/>
              </a:rPr>
              <a:pPr algn="ctr"/>
              <a:t>+0,64 €</a:t>
            </a:fld>
            <a:endParaRPr lang="fr-FR" sz="2400" b="1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'DONNEES '!G5">
        <xdr:nvSpPr>
          <xdr:cNvPr id="148" name="Rectangle : coins arrondis 147">
            <a:extLst>
              <a:ext uri="{FF2B5EF4-FFF2-40B4-BE49-F238E27FC236}">
                <a16:creationId xmlns:a16="http://schemas.microsoft.com/office/drawing/2014/main" id="{13139CB5-4176-2F40-A538-C6CFF169D390}"/>
              </a:ext>
            </a:extLst>
          </xdr:cNvPr>
          <xdr:cNvSpPr/>
        </xdr:nvSpPr>
        <xdr:spPr>
          <a:xfrm>
            <a:off x="7570339" y="25406971"/>
            <a:ext cx="1150470" cy="406400"/>
          </a:xfrm>
          <a:prstGeom prst="roundRect">
            <a:avLst>
              <a:gd name="adj" fmla="val 45239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3C437D-FEE3-074D-9FB9-31DB3D186723}" type="TxLink">
              <a:rPr lang="en-US" sz="24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 Regular"/>
              </a:rPr>
              <a:pPr algn="ctr"/>
              <a:t>+0,65 €</a:t>
            </a:fld>
            <a:endParaRPr lang="fr-FR" sz="2400" b="1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'DONNEES '!G6">
        <xdr:nvSpPr>
          <xdr:cNvPr id="150" name="Rectangle : coins arrondis 149">
            <a:extLst>
              <a:ext uri="{FF2B5EF4-FFF2-40B4-BE49-F238E27FC236}">
                <a16:creationId xmlns:a16="http://schemas.microsoft.com/office/drawing/2014/main" id="{AFF421CF-5FB3-494F-86B1-CC914F588F04}"/>
              </a:ext>
            </a:extLst>
          </xdr:cNvPr>
          <xdr:cNvSpPr/>
        </xdr:nvSpPr>
        <xdr:spPr>
          <a:xfrm>
            <a:off x="7570339" y="25982705"/>
            <a:ext cx="1150470" cy="406400"/>
          </a:xfrm>
          <a:prstGeom prst="roundRect">
            <a:avLst>
              <a:gd name="adj" fmla="val 45239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E3FA132-642A-3844-8FA4-584AB9B7F912}" type="TxLink">
              <a:rPr lang="en-US" sz="24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 Regular"/>
              </a:rPr>
              <a:pPr algn="ctr"/>
              <a:t>+1,27 €</a:t>
            </a:fld>
            <a:endParaRPr lang="fr-FR" sz="2400" b="1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'DONNEES '!G7">
        <xdr:nvSpPr>
          <xdr:cNvPr id="151" name="Rectangle : coins arrondis 150">
            <a:extLst>
              <a:ext uri="{FF2B5EF4-FFF2-40B4-BE49-F238E27FC236}">
                <a16:creationId xmlns:a16="http://schemas.microsoft.com/office/drawing/2014/main" id="{EF8B6095-F3CF-A941-B545-3A3302DE7CCB}"/>
              </a:ext>
            </a:extLst>
          </xdr:cNvPr>
          <xdr:cNvSpPr/>
        </xdr:nvSpPr>
        <xdr:spPr>
          <a:xfrm>
            <a:off x="7570341" y="26575371"/>
            <a:ext cx="1150470" cy="406400"/>
          </a:xfrm>
          <a:prstGeom prst="roundRect">
            <a:avLst>
              <a:gd name="adj" fmla="val 45239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DB3488A-3B07-0643-93F1-D1BD2958E19F}" type="TxLink">
              <a:rPr lang="en-US" sz="24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 Regular"/>
              </a:rPr>
              <a:pPr algn="ctr"/>
              <a:t>-0,02 €</a:t>
            </a:fld>
            <a:endParaRPr lang="fr-FR" sz="2400" b="1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'DONNEES '!G8">
        <xdr:nvSpPr>
          <xdr:cNvPr id="152" name="Rectangle : coins arrondis 151">
            <a:extLst>
              <a:ext uri="{FF2B5EF4-FFF2-40B4-BE49-F238E27FC236}">
                <a16:creationId xmlns:a16="http://schemas.microsoft.com/office/drawing/2014/main" id="{7906283B-0B83-FD46-8109-0525C6B2FAED}"/>
              </a:ext>
            </a:extLst>
          </xdr:cNvPr>
          <xdr:cNvSpPr/>
        </xdr:nvSpPr>
        <xdr:spPr>
          <a:xfrm>
            <a:off x="7565931" y="27168037"/>
            <a:ext cx="1150470" cy="406400"/>
          </a:xfrm>
          <a:prstGeom prst="roundRect">
            <a:avLst>
              <a:gd name="adj" fmla="val 45239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E8AD38-E6BA-5C40-9EEA-C4CC75E99A68}" type="TxLink">
              <a:rPr lang="en-US" sz="24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 Regular"/>
              </a:rPr>
              <a:pPr algn="ctr"/>
              <a:t>+0,56 €</a:t>
            </a:fld>
            <a:endParaRPr lang="fr-FR" sz="2400" b="1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'DONNEES '!G9">
        <xdr:nvSpPr>
          <xdr:cNvPr id="22" name="Rectangle : coins arrondis 21">
            <a:extLst>
              <a:ext uri="{FF2B5EF4-FFF2-40B4-BE49-F238E27FC236}">
                <a16:creationId xmlns:a16="http://schemas.microsoft.com/office/drawing/2014/main" id="{67F2A166-F006-0E46-ADE4-95667344CDD7}"/>
              </a:ext>
            </a:extLst>
          </xdr:cNvPr>
          <xdr:cNvSpPr/>
        </xdr:nvSpPr>
        <xdr:spPr>
          <a:xfrm>
            <a:off x="7566265" y="27763074"/>
            <a:ext cx="1150470" cy="406400"/>
          </a:xfrm>
          <a:prstGeom prst="roundRect">
            <a:avLst>
              <a:gd name="adj" fmla="val 45239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0C857B2-8C20-1F4B-B795-A11201C190CF}" type="TxLink">
              <a:rPr lang="en-US" sz="24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 Regular"/>
              </a:rPr>
              <a:pPr algn="ctr"/>
              <a:t>+0,23 €</a:t>
            </a:fld>
            <a:endParaRPr lang="fr-FR" sz="24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1813</xdr:colOff>
      <xdr:row>63</xdr:row>
      <xdr:rowOff>40826</xdr:rowOff>
    </xdr:from>
    <xdr:to>
      <xdr:col>11</xdr:col>
      <xdr:colOff>1005113</xdr:colOff>
      <xdr:row>85</xdr:row>
      <xdr:rowOff>159665</xdr:rowOff>
    </xdr:to>
    <xdr:grpSp>
      <xdr:nvGrpSpPr>
        <xdr:cNvPr id="174" name="Groupe 173">
          <a:extLst>
            <a:ext uri="{FF2B5EF4-FFF2-40B4-BE49-F238E27FC236}">
              <a16:creationId xmlns:a16="http://schemas.microsoft.com/office/drawing/2014/main" id="{F26BBF9B-826E-233C-45B9-2601050D6F2A}"/>
            </a:ext>
          </a:extLst>
        </xdr:cNvPr>
        <xdr:cNvGrpSpPr/>
      </xdr:nvGrpSpPr>
      <xdr:grpSpPr>
        <a:xfrm>
          <a:off x="733025" y="16531584"/>
          <a:ext cx="12818149" cy="5198839"/>
          <a:chOff x="618621" y="29108399"/>
          <a:chExt cx="8457645" cy="4149906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76" name="Graphique 175">
            <a:extLst>
              <a:ext uri="{FF2B5EF4-FFF2-40B4-BE49-F238E27FC236}">
                <a16:creationId xmlns:a16="http://schemas.microsoft.com/office/drawing/2014/main" id="{E89AE866-CA22-5376-35F5-A4699C2A89DC}"/>
              </a:ext>
            </a:extLst>
          </xdr:cNvPr>
          <xdr:cNvGraphicFramePr/>
        </xdr:nvGraphicFramePr>
        <xdr:xfrm>
          <a:off x="1109133" y="29108399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177" name="Rectangle : avec coins arrondis en haut 176">
            <a:extLst>
              <a:ext uri="{FF2B5EF4-FFF2-40B4-BE49-F238E27FC236}">
                <a16:creationId xmlns:a16="http://schemas.microsoft.com/office/drawing/2014/main" id="{452F4BD8-E77C-6FA2-625E-D368A7196F79}"/>
              </a:ext>
            </a:extLst>
          </xdr:cNvPr>
          <xdr:cNvSpPr/>
        </xdr:nvSpPr>
        <xdr:spPr>
          <a:xfrm rot="16200000">
            <a:off x="-1139537" y="30866557"/>
            <a:ext cx="4149906" cy="63359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4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TAC'S - ANNUEL</a:t>
            </a:r>
          </a:p>
        </xdr:txBody>
      </xdr:sp>
    </xdr:grpSp>
    <xdr:clientData/>
  </xdr:twoCellAnchor>
  <xdr:twoCellAnchor>
    <xdr:from>
      <xdr:col>1</xdr:col>
      <xdr:colOff>16934</xdr:colOff>
      <xdr:row>231</xdr:row>
      <xdr:rowOff>39616</xdr:rowOff>
    </xdr:from>
    <xdr:to>
      <xdr:col>11</xdr:col>
      <xdr:colOff>1022048</xdr:colOff>
      <xdr:row>253</xdr:row>
      <xdr:rowOff>181429</xdr:rowOff>
    </xdr:to>
    <xdr:grpSp>
      <xdr:nvGrpSpPr>
        <xdr:cNvPr id="196" name="Groupe 195">
          <a:extLst>
            <a:ext uri="{FF2B5EF4-FFF2-40B4-BE49-F238E27FC236}">
              <a16:creationId xmlns:a16="http://schemas.microsoft.com/office/drawing/2014/main" id="{8F001E7F-D470-5C46-9B8E-8EC9F55ED917}"/>
            </a:ext>
          </a:extLst>
        </xdr:cNvPr>
        <xdr:cNvGrpSpPr/>
      </xdr:nvGrpSpPr>
      <xdr:grpSpPr>
        <a:xfrm>
          <a:off x="748146" y="56342949"/>
          <a:ext cx="12819963" cy="5221813"/>
          <a:chOff x="541867" y="29108399"/>
          <a:chExt cx="8434568" cy="4893734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97" name="Graphique 196">
            <a:extLst>
              <a:ext uri="{FF2B5EF4-FFF2-40B4-BE49-F238E27FC236}">
                <a16:creationId xmlns:a16="http://schemas.microsoft.com/office/drawing/2014/main" id="{8289329F-95C0-1B7A-9026-C33F9771F8AD}"/>
              </a:ext>
            </a:extLst>
          </xdr:cNvPr>
          <xdr:cNvGraphicFramePr/>
        </xdr:nvGraphicFramePr>
        <xdr:xfrm>
          <a:off x="1009302" y="29108399"/>
          <a:ext cx="7967133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98" name="Rectangle : avec coins arrondis en haut 197">
            <a:extLst>
              <a:ext uri="{FF2B5EF4-FFF2-40B4-BE49-F238E27FC236}">
                <a16:creationId xmlns:a16="http://schemas.microsoft.com/office/drawing/2014/main" id="{788982E4-EF63-1040-1EBF-152DA9E57BEE}"/>
              </a:ext>
            </a:extLst>
          </xdr:cNvPr>
          <xdr:cNvSpPr/>
        </xdr:nvSpPr>
        <xdr:spPr>
          <a:xfrm rot="16200000">
            <a:off x="-1616534" y="31266801"/>
            <a:ext cx="4892535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6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OEPE - ANNUEL</a:t>
            </a:r>
          </a:p>
        </xdr:txBody>
      </xdr:sp>
    </xdr:grpSp>
    <xdr:clientData/>
  </xdr:twoCellAnchor>
  <xdr:twoCellAnchor>
    <xdr:from>
      <xdr:col>1</xdr:col>
      <xdr:colOff>0</xdr:colOff>
      <xdr:row>255</xdr:row>
      <xdr:rowOff>50806</xdr:rowOff>
    </xdr:from>
    <xdr:to>
      <xdr:col>11</xdr:col>
      <xdr:colOff>1005113</xdr:colOff>
      <xdr:row>277</xdr:row>
      <xdr:rowOff>152405</xdr:rowOff>
    </xdr:to>
    <xdr:grpSp>
      <xdr:nvGrpSpPr>
        <xdr:cNvPr id="199" name="Groupe 198">
          <a:extLst>
            <a:ext uri="{FF2B5EF4-FFF2-40B4-BE49-F238E27FC236}">
              <a16:creationId xmlns:a16="http://schemas.microsoft.com/office/drawing/2014/main" id="{DB298B4D-1C3E-7744-9148-158D208F7D58}"/>
            </a:ext>
          </a:extLst>
        </xdr:cNvPr>
        <xdr:cNvGrpSpPr/>
      </xdr:nvGrpSpPr>
      <xdr:grpSpPr>
        <a:xfrm>
          <a:off x="731212" y="61895958"/>
          <a:ext cx="12819962" cy="5181599"/>
          <a:chOff x="541868" y="29108399"/>
          <a:chExt cx="8534397" cy="4893734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211" name="Graphique 210">
            <a:extLst>
              <a:ext uri="{FF2B5EF4-FFF2-40B4-BE49-F238E27FC236}">
                <a16:creationId xmlns:a16="http://schemas.microsoft.com/office/drawing/2014/main" id="{EA50B5F1-144D-4A94-3DCA-76175E18436A}"/>
              </a:ext>
            </a:extLst>
          </xdr:cNvPr>
          <xdr:cNvGraphicFramePr/>
        </xdr:nvGraphicFramePr>
        <xdr:xfrm>
          <a:off x="984494" y="29108399"/>
          <a:ext cx="8091771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212" name="Rectangle : avec coins arrondis en haut 211">
            <a:extLst>
              <a:ext uri="{FF2B5EF4-FFF2-40B4-BE49-F238E27FC236}">
                <a16:creationId xmlns:a16="http://schemas.microsoft.com/office/drawing/2014/main" id="{41A15C3B-9B7E-620A-E39E-71F9534BCD74}"/>
              </a:ext>
            </a:extLst>
          </xdr:cNvPr>
          <xdr:cNvSpPr/>
        </xdr:nvSpPr>
        <xdr:spPr>
          <a:xfrm rot="16200000">
            <a:off x="-1616793" y="31267060"/>
            <a:ext cx="4893055" cy="57573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R</a:t>
            </a:r>
            <a:r>
              <a:rPr lang="fr-FR" sz="3600" b="1" baseline="0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2P </a:t>
            </a:r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- ANNUEL</a:t>
            </a:r>
          </a:p>
        </xdr:txBody>
      </xdr:sp>
    </xdr:grpSp>
    <xdr:clientData/>
  </xdr:twoCellAnchor>
  <xdr:twoCellAnchor>
    <xdr:from>
      <xdr:col>0</xdr:col>
      <xdr:colOff>722385</xdr:colOff>
      <xdr:row>279</xdr:row>
      <xdr:rowOff>39010</xdr:rowOff>
    </xdr:from>
    <xdr:to>
      <xdr:col>11</xdr:col>
      <xdr:colOff>1005114</xdr:colOff>
      <xdr:row>301</xdr:row>
      <xdr:rowOff>164196</xdr:rowOff>
    </xdr:to>
    <xdr:grpSp>
      <xdr:nvGrpSpPr>
        <xdr:cNvPr id="213" name="Groupe 212">
          <a:extLst>
            <a:ext uri="{FF2B5EF4-FFF2-40B4-BE49-F238E27FC236}">
              <a16:creationId xmlns:a16="http://schemas.microsoft.com/office/drawing/2014/main" id="{AE5A63E5-BD13-2744-9833-08CCFB19A2F0}"/>
            </a:ext>
          </a:extLst>
        </xdr:cNvPr>
        <xdr:cNvGrpSpPr/>
      </xdr:nvGrpSpPr>
      <xdr:grpSpPr>
        <a:xfrm>
          <a:off x="722385" y="67425980"/>
          <a:ext cx="12828790" cy="5205186"/>
          <a:chOff x="541867" y="29108400"/>
          <a:chExt cx="8404537" cy="4156908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214" name="Graphique 213">
            <a:extLst>
              <a:ext uri="{FF2B5EF4-FFF2-40B4-BE49-F238E27FC236}">
                <a16:creationId xmlns:a16="http://schemas.microsoft.com/office/drawing/2014/main" id="{05FA93AB-1549-9D90-1BAB-393D708B5141}"/>
              </a:ext>
            </a:extLst>
          </xdr:cNvPr>
          <xdr:cNvGraphicFramePr/>
        </xdr:nvGraphicFramePr>
        <xdr:xfrm>
          <a:off x="979271" y="29111523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215" name="Rectangle : avec coins arrondis en haut 214">
            <a:extLst>
              <a:ext uri="{FF2B5EF4-FFF2-40B4-BE49-F238E27FC236}">
                <a16:creationId xmlns:a16="http://schemas.microsoft.com/office/drawing/2014/main" id="{E6F0A2BD-E7C4-236A-E979-3B4E2A932556}"/>
              </a:ext>
            </a:extLst>
          </xdr:cNvPr>
          <xdr:cNvSpPr/>
        </xdr:nvSpPr>
        <xdr:spPr>
          <a:xfrm rot="16200000">
            <a:off x="-1248720" y="30898987"/>
            <a:ext cx="4156908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3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ANALYSES - ANNUEL</a:t>
            </a:r>
            <a:endParaRPr lang="fr-FR" sz="3600" b="0">
              <a:solidFill>
                <a:schemeClr val="accent3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</xdr:col>
      <xdr:colOff>1</xdr:colOff>
      <xdr:row>303</xdr:row>
      <xdr:rowOff>33865</xdr:rowOff>
    </xdr:from>
    <xdr:to>
      <xdr:col>11</xdr:col>
      <xdr:colOff>1005114</xdr:colOff>
      <xdr:row>325</xdr:row>
      <xdr:rowOff>181429</xdr:rowOff>
    </xdr:to>
    <xdr:grpSp>
      <xdr:nvGrpSpPr>
        <xdr:cNvPr id="216" name="Groupe 215">
          <a:extLst>
            <a:ext uri="{FF2B5EF4-FFF2-40B4-BE49-F238E27FC236}">
              <a16:creationId xmlns:a16="http://schemas.microsoft.com/office/drawing/2014/main" id="{B547AC8B-05A6-1E43-A94A-EBF21A144F02}"/>
            </a:ext>
          </a:extLst>
        </xdr:cNvPr>
        <xdr:cNvGrpSpPr/>
      </xdr:nvGrpSpPr>
      <xdr:grpSpPr>
        <a:xfrm>
          <a:off x="731213" y="72962653"/>
          <a:ext cx="12819962" cy="5227564"/>
          <a:chOff x="541868" y="29108399"/>
          <a:chExt cx="8404536" cy="4150051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217" name="Graphique 216">
            <a:extLst>
              <a:ext uri="{FF2B5EF4-FFF2-40B4-BE49-F238E27FC236}">
                <a16:creationId xmlns:a16="http://schemas.microsoft.com/office/drawing/2014/main" id="{6FB59123-E96A-6811-5967-D0BBF491D21C}"/>
              </a:ext>
            </a:extLst>
          </xdr:cNvPr>
          <xdr:cNvGraphicFramePr/>
        </xdr:nvGraphicFramePr>
        <xdr:xfrm>
          <a:off x="979271" y="29108399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218" name="Rectangle : avec coins arrondis en haut 217">
            <a:extLst>
              <a:ext uri="{FF2B5EF4-FFF2-40B4-BE49-F238E27FC236}">
                <a16:creationId xmlns:a16="http://schemas.microsoft.com/office/drawing/2014/main" id="{E069446F-E5FA-6C2E-3B89-32122AFAC357}"/>
              </a:ext>
            </a:extLst>
          </xdr:cNvPr>
          <xdr:cNvSpPr/>
        </xdr:nvSpPr>
        <xdr:spPr>
          <a:xfrm rot="16200000">
            <a:off x="-1245291" y="30895558"/>
            <a:ext cx="4150051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2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AUDITS - ANNUEL</a:t>
            </a:r>
            <a:endParaRPr lang="fr-FR" sz="3600" b="0">
              <a:solidFill>
                <a:schemeClr val="accent2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</xdr:col>
      <xdr:colOff>16933</xdr:colOff>
      <xdr:row>183</xdr:row>
      <xdr:rowOff>0</xdr:rowOff>
    </xdr:from>
    <xdr:to>
      <xdr:col>11</xdr:col>
      <xdr:colOff>1022047</xdr:colOff>
      <xdr:row>185</xdr:row>
      <xdr:rowOff>33867</xdr:rowOff>
    </xdr:to>
    <xdr:sp macro="" textlink="">
      <xdr:nvSpPr>
        <xdr:cNvPr id="226" name="Rectangle : coins arrondis 225">
          <a:extLst>
            <a:ext uri="{FF2B5EF4-FFF2-40B4-BE49-F238E27FC236}">
              <a16:creationId xmlns:a16="http://schemas.microsoft.com/office/drawing/2014/main" id="{A249B805-CF36-CA96-00F3-CE21AC404869}"/>
            </a:ext>
          </a:extLst>
        </xdr:cNvPr>
        <xdr:cNvSpPr/>
      </xdr:nvSpPr>
      <xdr:spPr>
        <a:xfrm>
          <a:off x="742647" y="35219821"/>
          <a:ext cx="12344400" cy="487439"/>
        </a:xfrm>
        <a:prstGeom prst="roundRect">
          <a:avLst>
            <a:gd name="adj" fmla="val 46667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>
              <a:solidFill>
                <a:schemeClr val="bg2"/>
              </a:solidFill>
            </a:rPr>
            <a:t>DONNÉES</a:t>
          </a:r>
          <a:r>
            <a:rPr lang="fr-FR" sz="3600" b="1" baseline="0">
              <a:solidFill>
                <a:schemeClr val="bg2"/>
              </a:solidFill>
            </a:rPr>
            <a:t> ANNUELLES</a:t>
          </a:r>
          <a:endParaRPr lang="fr-FR" sz="3600" b="1">
            <a:solidFill>
              <a:schemeClr val="bg2"/>
            </a:solidFill>
          </a:endParaRPr>
        </a:p>
      </xdr:txBody>
    </xdr:sp>
    <xdr:clientData/>
  </xdr:twoCellAnchor>
  <xdr:twoCellAnchor>
    <xdr:from>
      <xdr:col>12</xdr:col>
      <xdr:colOff>355292</xdr:colOff>
      <xdr:row>183</xdr:row>
      <xdr:rowOff>0</xdr:rowOff>
    </xdr:from>
    <xdr:to>
      <xdr:col>23</xdr:col>
      <xdr:colOff>838800</xdr:colOff>
      <xdr:row>185</xdr:row>
      <xdr:rowOff>33867</xdr:rowOff>
    </xdr:to>
    <xdr:sp macro="" textlink="">
      <xdr:nvSpPr>
        <xdr:cNvPr id="227" name="Rectangle : coins arrondis 226">
          <a:extLst>
            <a:ext uri="{FF2B5EF4-FFF2-40B4-BE49-F238E27FC236}">
              <a16:creationId xmlns:a16="http://schemas.microsoft.com/office/drawing/2014/main" id="{4EB07CCA-81B8-604E-8BD2-03D5CDF5BFFF}"/>
            </a:ext>
          </a:extLst>
        </xdr:cNvPr>
        <xdr:cNvSpPr/>
      </xdr:nvSpPr>
      <xdr:spPr>
        <a:xfrm>
          <a:off x="13554221" y="35219821"/>
          <a:ext cx="12344400" cy="487439"/>
        </a:xfrm>
        <a:prstGeom prst="roundRect">
          <a:avLst>
            <a:gd name="adj" fmla="val 46667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>
              <a:solidFill>
                <a:schemeClr val="bg2"/>
              </a:solidFill>
            </a:rPr>
            <a:t>DONNÉES</a:t>
          </a:r>
          <a:r>
            <a:rPr lang="fr-FR" sz="3600" b="1" baseline="0">
              <a:solidFill>
                <a:schemeClr val="bg2"/>
              </a:solidFill>
            </a:rPr>
            <a:t> MENSUELLES</a:t>
          </a:r>
          <a:endParaRPr lang="fr-FR" sz="3600" b="1">
            <a:solidFill>
              <a:schemeClr val="bg2"/>
            </a:solidFill>
          </a:endParaRPr>
        </a:p>
      </xdr:txBody>
    </xdr:sp>
    <xdr:clientData/>
  </xdr:twoCellAnchor>
  <xdr:twoCellAnchor>
    <xdr:from>
      <xdr:col>0</xdr:col>
      <xdr:colOff>722922</xdr:colOff>
      <xdr:row>39</xdr:row>
      <xdr:rowOff>22679</xdr:rowOff>
    </xdr:from>
    <xdr:to>
      <xdr:col>11</xdr:col>
      <xdr:colOff>990757</xdr:colOff>
      <xdr:row>61</xdr:row>
      <xdr:rowOff>141551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B5133E89-B5E1-2E42-981E-1A36B81716B6}"/>
            </a:ext>
          </a:extLst>
        </xdr:cNvPr>
        <xdr:cNvGrpSpPr/>
      </xdr:nvGrpSpPr>
      <xdr:grpSpPr>
        <a:xfrm>
          <a:off x="722922" y="10971618"/>
          <a:ext cx="12813896" cy="5198872"/>
          <a:chOff x="362857" y="344067"/>
          <a:chExt cx="7035051" cy="3625766"/>
        </a:xfrm>
      </xdr:grpSpPr>
      <xdr:graphicFrame macro="">
        <xdr:nvGraphicFramePr>
          <xdr:cNvPr id="31" name="Graphique 30">
            <a:extLst>
              <a:ext uri="{FF2B5EF4-FFF2-40B4-BE49-F238E27FC236}">
                <a16:creationId xmlns:a16="http://schemas.microsoft.com/office/drawing/2014/main" id="{9E3DB3BF-6342-D638-2237-2927BC7F12C6}"/>
              </a:ext>
            </a:extLst>
          </xdr:cNvPr>
          <xdr:cNvGraphicFramePr/>
        </xdr:nvGraphicFramePr>
        <xdr:xfrm>
          <a:off x="661681" y="349304"/>
          <a:ext cx="6722064" cy="36181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33" name="Graphique 32">
            <a:extLst>
              <a:ext uri="{FF2B5EF4-FFF2-40B4-BE49-F238E27FC236}">
                <a16:creationId xmlns:a16="http://schemas.microsoft.com/office/drawing/2014/main" id="{F3226794-1AA5-A890-6B58-8A1A87A73CA5}"/>
              </a:ext>
            </a:extLst>
          </xdr:cNvPr>
          <xdr:cNvGraphicFramePr/>
        </xdr:nvGraphicFramePr>
        <xdr:xfrm>
          <a:off x="836491" y="534095"/>
          <a:ext cx="6561417" cy="7732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37" name="Rectangle : avec coins arrondis en haut 36">
            <a:extLst>
              <a:ext uri="{FF2B5EF4-FFF2-40B4-BE49-F238E27FC236}">
                <a16:creationId xmlns:a16="http://schemas.microsoft.com/office/drawing/2014/main" id="{00861659-442B-3B3B-6E9E-45BB7E6246F9}"/>
              </a:ext>
            </a:extLst>
          </xdr:cNvPr>
          <xdr:cNvSpPr/>
        </xdr:nvSpPr>
        <xdr:spPr>
          <a:xfrm rot="16200000">
            <a:off x="-1209900" y="1916824"/>
            <a:ext cx="3625766" cy="480252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600" b="1">
                <a:solidFill>
                  <a:schemeClr val="accent5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CA NET ALIMENTAIRE</a:t>
            </a:r>
          </a:p>
        </xdr:txBody>
      </xdr:sp>
    </xdr:grpSp>
    <xdr:clientData/>
  </xdr:twoCellAnchor>
  <xdr:twoCellAnchor>
    <xdr:from>
      <xdr:col>9</xdr:col>
      <xdr:colOff>402984</xdr:colOff>
      <xdr:row>41</xdr:row>
      <xdr:rowOff>140092</xdr:rowOff>
    </xdr:from>
    <xdr:to>
      <xdr:col>10</xdr:col>
      <xdr:colOff>916587</xdr:colOff>
      <xdr:row>58</xdr:row>
      <xdr:rowOff>165492</xdr:rowOff>
    </xdr:to>
    <xdr:grpSp>
      <xdr:nvGrpSpPr>
        <xdr:cNvPr id="38" name="Groupe 37">
          <a:extLst>
            <a:ext uri="{FF2B5EF4-FFF2-40B4-BE49-F238E27FC236}">
              <a16:creationId xmlns:a16="http://schemas.microsoft.com/office/drawing/2014/main" id="{D9D0B8C9-407E-ED41-A958-21CB322B1B55}"/>
            </a:ext>
          </a:extLst>
        </xdr:cNvPr>
        <xdr:cNvGrpSpPr/>
      </xdr:nvGrpSpPr>
      <xdr:grpSpPr>
        <a:xfrm>
          <a:off x="10524499" y="11550850"/>
          <a:ext cx="1764361" cy="3950854"/>
          <a:chOff x="4742548" y="1600200"/>
          <a:chExt cx="1747152" cy="3708400"/>
        </a:xfrm>
      </xdr:grpSpPr>
      <xdr:sp macro="" textlink="'DONNEES '!AC4">
        <xdr:nvSpPr>
          <xdr:cNvPr id="39" name="ZoneTexte 38">
            <a:extLst>
              <a:ext uri="{FF2B5EF4-FFF2-40B4-BE49-F238E27FC236}">
                <a16:creationId xmlns:a16="http://schemas.microsoft.com/office/drawing/2014/main" id="{F5703B11-D4A3-37D5-A099-93267AD2C298}"/>
              </a:ext>
            </a:extLst>
          </xdr:cNvPr>
          <xdr:cNvSpPr txBox="1"/>
        </xdr:nvSpPr>
        <xdr:spPr>
          <a:xfrm>
            <a:off x="4749800" y="16002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AB655EA-2278-A84B-9D4E-8AB52BD471E3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-301 284 €</a:t>
            </a:fld>
            <a:endParaRPr lang="fr-FR" sz="2000" b="1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C7">
        <xdr:nvSpPr>
          <xdr:cNvPr id="40" name="ZoneTexte 39">
            <a:extLst>
              <a:ext uri="{FF2B5EF4-FFF2-40B4-BE49-F238E27FC236}">
                <a16:creationId xmlns:a16="http://schemas.microsoft.com/office/drawing/2014/main" id="{6DB61AF6-06AB-7386-8AC8-A8F3A55EFE20}"/>
              </a:ext>
            </a:extLst>
          </xdr:cNvPr>
          <xdr:cNvSpPr txBox="1"/>
        </xdr:nvSpPr>
        <xdr:spPr>
          <a:xfrm>
            <a:off x="4749800" y="2679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8211C01-CA79-184D-8A83-D080C078295C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-51 733 €</a:t>
            </a:fld>
            <a:endParaRPr lang="fr-FR" sz="2000" b="1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C10">
        <xdr:nvSpPr>
          <xdr:cNvPr id="41" name="ZoneTexte 40">
            <a:extLst>
              <a:ext uri="{FF2B5EF4-FFF2-40B4-BE49-F238E27FC236}">
                <a16:creationId xmlns:a16="http://schemas.microsoft.com/office/drawing/2014/main" id="{FF43CABC-4118-E9E0-36B0-F18CB64F5F21}"/>
              </a:ext>
            </a:extLst>
          </xdr:cNvPr>
          <xdr:cNvSpPr txBox="1"/>
        </xdr:nvSpPr>
        <xdr:spPr>
          <a:xfrm>
            <a:off x="4775200" y="3822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9C23E33-AE2B-4046-A3DA-1799524D8CFB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-30 850 €</a:t>
            </a:fld>
            <a:endParaRPr lang="fr-FR" sz="2000" b="1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C11">
        <xdr:nvSpPr>
          <xdr:cNvPr id="42" name="ZoneTexte 41">
            <a:extLst>
              <a:ext uri="{FF2B5EF4-FFF2-40B4-BE49-F238E27FC236}">
                <a16:creationId xmlns:a16="http://schemas.microsoft.com/office/drawing/2014/main" id="{A0E8FD75-94D6-3280-A17D-69430E4151B7}"/>
              </a:ext>
            </a:extLst>
          </xdr:cNvPr>
          <xdr:cNvSpPr txBox="1"/>
        </xdr:nvSpPr>
        <xdr:spPr>
          <a:xfrm>
            <a:off x="4742548" y="4965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0DF6A6E-3AAD-C648-8BDF-92DD3A306DF5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-53 726 €</a:t>
            </a:fld>
            <a:endParaRPr lang="fr-FR" sz="2000" b="1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12</xdr:col>
      <xdr:colOff>431800</xdr:colOff>
      <xdr:row>39</xdr:row>
      <xdr:rowOff>22679</xdr:rowOff>
    </xdr:from>
    <xdr:to>
      <xdr:col>23</xdr:col>
      <xdr:colOff>818491</xdr:colOff>
      <xdr:row>61</xdr:row>
      <xdr:rowOff>175079</xdr:rowOff>
    </xdr:to>
    <xdr:grpSp>
      <xdr:nvGrpSpPr>
        <xdr:cNvPr id="73" name="Groupe 72">
          <a:extLst>
            <a:ext uri="{FF2B5EF4-FFF2-40B4-BE49-F238E27FC236}">
              <a16:creationId xmlns:a16="http://schemas.microsoft.com/office/drawing/2014/main" id="{7DC145B4-003C-A232-3A49-0D76ACE14885}"/>
            </a:ext>
          </a:extLst>
        </xdr:cNvPr>
        <xdr:cNvGrpSpPr/>
      </xdr:nvGrpSpPr>
      <xdr:grpSpPr>
        <a:xfrm>
          <a:off x="14151648" y="10971618"/>
          <a:ext cx="13009722" cy="5232400"/>
          <a:chOff x="362856" y="344067"/>
          <a:chExt cx="7017261" cy="3626584"/>
        </a:xfrm>
      </xdr:grpSpPr>
      <xdr:graphicFrame macro="">
        <xdr:nvGraphicFramePr>
          <xdr:cNvPr id="106" name="Graphique 105">
            <a:extLst>
              <a:ext uri="{FF2B5EF4-FFF2-40B4-BE49-F238E27FC236}">
                <a16:creationId xmlns:a16="http://schemas.microsoft.com/office/drawing/2014/main" id="{A76BA954-D589-95BC-E3CE-8CEA70913B4C}"/>
              </a:ext>
            </a:extLst>
          </xdr:cNvPr>
          <xdr:cNvGraphicFramePr/>
        </xdr:nvGraphicFramePr>
        <xdr:xfrm>
          <a:off x="661680" y="349304"/>
          <a:ext cx="6718437" cy="36181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108" name="Graphique 107">
            <a:extLst>
              <a:ext uri="{FF2B5EF4-FFF2-40B4-BE49-F238E27FC236}">
                <a16:creationId xmlns:a16="http://schemas.microsoft.com/office/drawing/2014/main" id="{4ABEB09D-75C9-2F25-CA6F-EE56F6EBDF00}"/>
              </a:ext>
            </a:extLst>
          </xdr:cNvPr>
          <xdr:cNvGraphicFramePr/>
        </xdr:nvGraphicFramePr>
        <xdr:xfrm>
          <a:off x="836491" y="534095"/>
          <a:ext cx="6533668" cy="7732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122" name="Rectangle : avec coins arrondis en haut 121">
            <a:extLst>
              <a:ext uri="{FF2B5EF4-FFF2-40B4-BE49-F238E27FC236}">
                <a16:creationId xmlns:a16="http://schemas.microsoft.com/office/drawing/2014/main" id="{43591982-502D-DA40-AEC9-61F69CD7384F}"/>
              </a:ext>
            </a:extLst>
          </xdr:cNvPr>
          <xdr:cNvSpPr/>
        </xdr:nvSpPr>
        <xdr:spPr>
          <a:xfrm rot="16200000">
            <a:off x="-1210310" y="1917233"/>
            <a:ext cx="3626584" cy="480252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600" b="1">
                <a:solidFill>
                  <a:schemeClr val="accent6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CA NET ALIMENTAIRE</a:t>
            </a:r>
          </a:p>
        </xdr:txBody>
      </xdr:sp>
    </xdr:grpSp>
    <xdr:clientData/>
  </xdr:twoCellAnchor>
  <xdr:twoCellAnchor>
    <xdr:from>
      <xdr:col>20</xdr:col>
      <xdr:colOff>717882</xdr:colOff>
      <xdr:row>41</xdr:row>
      <xdr:rowOff>125359</xdr:rowOff>
    </xdr:from>
    <xdr:to>
      <xdr:col>22</xdr:col>
      <xdr:colOff>580545</xdr:colOff>
      <xdr:row>58</xdr:row>
      <xdr:rowOff>153372</xdr:rowOff>
    </xdr:to>
    <xdr:grpSp>
      <xdr:nvGrpSpPr>
        <xdr:cNvPr id="77" name="Groupe 76">
          <a:extLst>
            <a:ext uri="{FF2B5EF4-FFF2-40B4-BE49-F238E27FC236}">
              <a16:creationId xmlns:a16="http://schemas.microsoft.com/office/drawing/2014/main" id="{B1D17284-B5CC-F326-542A-FC4462241029}"/>
            </a:ext>
          </a:extLst>
        </xdr:cNvPr>
        <xdr:cNvGrpSpPr/>
      </xdr:nvGrpSpPr>
      <xdr:grpSpPr>
        <a:xfrm>
          <a:off x="23828034" y="11536117"/>
          <a:ext cx="2479632" cy="3953467"/>
          <a:chOff x="7296425" y="1723681"/>
          <a:chExt cx="1751652" cy="3675298"/>
        </a:xfrm>
      </xdr:grpSpPr>
      <xdr:sp macro="" textlink="'DONNEES '!AC5">
        <xdr:nvSpPr>
          <xdr:cNvPr id="78" name="ZoneTexte 77">
            <a:extLst>
              <a:ext uri="{FF2B5EF4-FFF2-40B4-BE49-F238E27FC236}">
                <a16:creationId xmlns:a16="http://schemas.microsoft.com/office/drawing/2014/main" id="{DE894DB8-2439-1289-36DC-C47BBD733632}"/>
              </a:ext>
            </a:extLst>
          </xdr:cNvPr>
          <xdr:cNvSpPr txBox="1"/>
        </xdr:nvSpPr>
        <xdr:spPr>
          <a:xfrm>
            <a:off x="7333577" y="1723681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36620FD-1CCD-3946-B30E-9B38C803CC7C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-98 699 €</a:t>
            </a:fld>
            <a:endParaRPr lang="fr-FR" sz="2000" b="1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C6">
        <xdr:nvSpPr>
          <xdr:cNvPr id="79" name="ZoneTexte 78">
            <a:extLst>
              <a:ext uri="{FF2B5EF4-FFF2-40B4-BE49-F238E27FC236}">
                <a16:creationId xmlns:a16="http://schemas.microsoft.com/office/drawing/2014/main" id="{A9B4D86D-29EE-7EF5-4F66-1DEF14F7E116}"/>
              </a:ext>
            </a:extLst>
          </xdr:cNvPr>
          <xdr:cNvSpPr txBox="1"/>
        </xdr:nvSpPr>
        <xdr:spPr>
          <a:xfrm>
            <a:off x="7301399" y="2796335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B6AB09D-4D1A-5C42-9640-A984157DDA5E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-57 052 €</a:t>
            </a:fld>
            <a:endParaRPr lang="fr-FR" sz="2000" b="1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C8">
        <xdr:nvSpPr>
          <xdr:cNvPr id="80" name="ZoneTexte 79">
            <a:extLst>
              <a:ext uri="{FF2B5EF4-FFF2-40B4-BE49-F238E27FC236}">
                <a16:creationId xmlns:a16="http://schemas.microsoft.com/office/drawing/2014/main" id="{77B66678-B1B6-F4D2-A266-7A101A263147}"/>
              </a:ext>
            </a:extLst>
          </xdr:cNvPr>
          <xdr:cNvSpPr txBox="1"/>
        </xdr:nvSpPr>
        <xdr:spPr>
          <a:xfrm>
            <a:off x="7296425" y="3930827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8E54EDD-02FC-7B41-B165-A5D45DAABC8F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-58 410 €</a:t>
            </a:fld>
            <a:endParaRPr lang="fr-FR" sz="2000" b="1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C9">
        <xdr:nvSpPr>
          <xdr:cNvPr id="81" name="ZoneTexte 80">
            <a:extLst>
              <a:ext uri="{FF2B5EF4-FFF2-40B4-BE49-F238E27FC236}">
                <a16:creationId xmlns:a16="http://schemas.microsoft.com/office/drawing/2014/main" id="{447E6401-0975-3A3C-CB50-9A096FF00D67}"/>
              </a:ext>
            </a:extLst>
          </xdr:cNvPr>
          <xdr:cNvSpPr txBox="1"/>
        </xdr:nvSpPr>
        <xdr:spPr>
          <a:xfrm>
            <a:off x="7302003" y="5056079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C288839-560D-AA42-B954-3D532E84333E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-67 997 €</a:t>
            </a:fld>
            <a:endParaRPr lang="fr-FR" sz="2000" b="1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9</xdr:col>
      <xdr:colOff>768999</xdr:colOff>
      <xdr:row>39</xdr:row>
      <xdr:rowOff>113732</xdr:rowOff>
    </xdr:from>
    <xdr:to>
      <xdr:col>10</xdr:col>
      <xdr:colOff>543053</xdr:colOff>
      <xdr:row>41</xdr:row>
      <xdr:rowOff>25400</xdr:rowOff>
    </xdr:to>
    <xdr:sp macro="" textlink="">
      <xdr:nvSpPr>
        <xdr:cNvPr id="123" name="Rectangle : coins arrondis 122">
          <a:extLst>
            <a:ext uri="{FF2B5EF4-FFF2-40B4-BE49-F238E27FC236}">
              <a16:creationId xmlns:a16="http://schemas.microsoft.com/office/drawing/2014/main" id="{9ACB0F60-447A-F6BA-724F-DD6627AE3A52}"/>
            </a:ext>
          </a:extLst>
        </xdr:cNvPr>
        <xdr:cNvSpPr/>
      </xdr:nvSpPr>
      <xdr:spPr>
        <a:xfrm>
          <a:off x="10870384" y="11192040"/>
          <a:ext cx="1024515" cy="38059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rPr>
            <a:t>vs</a:t>
          </a:r>
          <a:r>
            <a:rPr lang="fr-FR" sz="2000" b="1" baseline="0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rPr>
            <a:t> PREV</a:t>
          </a:r>
          <a:endParaRPr lang="fr-FR" sz="2000" b="1">
            <a:solidFill>
              <a:schemeClr val="accent5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10</xdr:col>
      <xdr:colOff>985672</xdr:colOff>
      <xdr:row>39</xdr:row>
      <xdr:rowOff>113732</xdr:rowOff>
    </xdr:from>
    <xdr:to>
      <xdr:col>11</xdr:col>
      <xdr:colOff>889000</xdr:colOff>
      <xdr:row>41</xdr:row>
      <xdr:rowOff>25400</xdr:rowOff>
    </xdr:to>
    <xdr:sp macro="" textlink="">
      <xdr:nvSpPr>
        <xdr:cNvPr id="124" name="Rectangle : coins arrondis 123">
          <a:extLst>
            <a:ext uri="{FF2B5EF4-FFF2-40B4-BE49-F238E27FC236}">
              <a16:creationId xmlns:a16="http://schemas.microsoft.com/office/drawing/2014/main" id="{B175ADDF-DF3B-EA4D-9E42-BF45BF98BA4E}"/>
            </a:ext>
          </a:extLst>
        </xdr:cNvPr>
        <xdr:cNvSpPr/>
      </xdr:nvSpPr>
      <xdr:spPr>
        <a:xfrm>
          <a:off x="12358806" y="13856269"/>
          <a:ext cx="1078552" cy="36659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rPr>
            <a:t>vs</a:t>
          </a:r>
          <a:r>
            <a:rPr lang="fr-FR" sz="2000" b="1" baseline="0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rPr>
            <a:t> 2025</a:t>
          </a:r>
          <a:endParaRPr lang="fr-FR" sz="2000" b="1">
            <a:solidFill>
              <a:schemeClr val="accent5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10</xdr:col>
      <xdr:colOff>564079</xdr:colOff>
      <xdr:row>41</xdr:row>
      <xdr:rowOff>150838</xdr:rowOff>
    </xdr:from>
    <xdr:to>
      <xdr:col>11</xdr:col>
      <xdr:colOff>1166528</xdr:colOff>
      <xdr:row>58</xdr:row>
      <xdr:rowOff>176238</xdr:rowOff>
    </xdr:to>
    <xdr:grpSp>
      <xdr:nvGrpSpPr>
        <xdr:cNvPr id="127" name="Groupe 126">
          <a:extLst>
            <a:ext uri="{FF2B5EF4-FFF2-40B4-BE49-F238E27FC236}">
              <a16:creationId xmlns:a16="http://schemas.microsoft.com/office/drawing/2014/main" id="{B6398CFE-41A0-1448-A7B0-3C127080F731}"/>
            </a:ext>
          </a:extLst>
        </xdr:cNvPr>
        <xdr:cNvGrpSpPr/>
      </xdr:nvGrpSpPr>
      <xdr:grpSpPr>
        <a:xfrm>
          <a:off x="11936352" y="11561596"/>
          <a:ext cx="1776237" cy="3950854"/>
          <a:chOff x="4749800" y="1600200"/>
          <a:chExt cx="1765300" cy="3708400"/>
        </a:xfrm>
      </xdr:grpSpPr>
      <xdr:sp macro="" textlink="'DONNEES '!AD4">
        <xdr:nvSpPr>
          <xdr:cNvPr id="128" name="ZoneTexte 127">
            <a:extLst>
              <a:ext uri="{FF2B5EF4-FFF2-40B4-BE49-F238E27FC236}">
                <a16:creationId xmlns:a16="http://schemas.microsoft.com/office/drawing/2014/main" id="{82B654AA-7274-336C-C26D-40FB47FB4229}"/>
              </a:ext>
            </a:extLst>
          </xdr:cNvPr>
          <xdr:cNvSpPr txBox="1"/>
        </xdr:nvSpPr>
        <xdr:spPr>
          <a:xfrm>
            <a:off x="4749800" y="16002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7D80AB-40D2-8D44-B3BF-456E9C343B23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-218 440 €</a:t>
            </a:fld>
            <a:endParaRPr lang="fr-FR" sz="2000" b="1" i="0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D7">
        <xdr:nvSpPr>
          <xdr:cNvPr id="138" name="ZoneTexte 137">
            <a:extLst>
              <a:ext uri="{FF2B5EF4-FFF2-40B4-BE49-F238E27FC236}">
                <a16:creationId xmlns:a16="http://schemas.microsoft.com/office/drawing/2014/main" id="{8D9809E7-C052-8BEB-CC9B-97890D052BC7}"/>
              </a:ext>
            </a:extLst>
          </xdr:cNvPr>
          <xdr:cNvSpPr txBox="1"/>
        </xdr:nvSpPr>
        <xdr:spPr>
          <a:xfrm>
            <a:off x="4749800" y="2679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012FEC7-05E8-3640-896B-C69903CAA14E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-4 485 €</a:t>
            </a:fld>
            <a:endParaRPr lang="fr-FR" sz="2000" b="1" i="0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D10">
        <xdr:nvSpPr>
          <xdr:cNvPr id="139" name="ZoneTexte 138">
            <a:extLst>
              <a:ext uri="{FF2B5EF4-FFF2-40B4-BE49-F238E27FC236}">
                <a16:creationId xmlns:a16="http://schemas.microsoft.com/office/drawing/2014/main" id="{3C11BA03-F1B9-FA0A-7804-F752A43E5C46}"/>
              </a:ext>
            </a:extLst>
          </xdr:cNvPr>
          <xdr:cNvSpPr txBox="1"/>
        </xdr:nvSpPr>
        <xdr:spPr>
          <a:xfrm>
            <a:off x="4775200" y="3822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D016D54-D9D0-394A-B3CC-EE5737D31BF9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-13 207 €</a:t>
            </a:fld>
            <a:endParaRPr lang="fr-FR" sz="2000" b="1" i="0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D11">
        <xdr:nvSpPr>
          <xdr:cNvPr id="140" name="ZoneTexte 139">
            <a:extLst>
              <a:ext uri="{FF2B5EF4-FFF2-40B4-BE49-F238E27FC236}">
                <a16:creationId xmlns:a16="http://schemas.microsoft.com/office/drawing/2014/main" id="{B1CD782E-FC3B-4702-8AC6-8BFB77A02A54}"/>
              </a:ext>
            </a:extLst>
          </xdr:cNvPr>
          <xdr:cNvSpPr txBox="1"/>
        </xdr:nvSpPr>
        <xdr:spPr>
          <a:xfrm>
            <a:off x="4800600" y="4965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A9C7E53-F80D-C04D-8620-C761E1A76AAA}" type="TxLink">
              <a:rPr lang="en-US" sz="2000" b="1" i="0" u="none" strike="noStrike">
                <a:solidFill>
                  <a:schemeClr val="accent5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-16 005 €</a:t>
            </a:fld>
            <a:endParaRPr lang="fr-FR" sz="2000" b="1" i="0">
              <a:solidFill>
                <a:schemeClr val="accent5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20</xdr:col>
      <xdr:colOff>1284979</xdr:colOff>
      <xdr:row>39</xdr:row>
      <xdr:rowOff>101600</xdr:rowOff>
    </xdr:from>
    <xdr:to>
      <xdr:col>21</xdr:col>
      <xdr:colOff>1070708</xdr:colOff>
      <xdr:row>41</xdr:row>
      <xdr:rowOff>0</xdr:rowOff>
    </xdr:to>
    <xdr:sp macro="" textlink="">
      <xdr:nvSpPr>
        <xdr:cNvPr id="153" name="Rectangle : coins arrondis 152">
          <a:extLst>
            <a:ext uri="{FF2B5EF4-FFF2-40B4-BE49-F238E27FC236}">
              <a16:creationId xmlns:a16="http://schemas.microsoft.com/office/drawing/2014/main" id="{709353C5-C276-FB44-94C1-8DF7A8FAB808}"/>
            </a:ext>
          </a:extLst>
        </xdr:cNvPr>
        <xdr:cNvSpPr/>
      </xdr:nvSpPr>
      <xdr:spPr>
        <a:xfrm>
          <a:off x="24359902" y="11179908"/>
          <a:ext cx="1231575" cy="367323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rPr>
            <a:t>vs</a:t>
          </a:r>
          <a:r>
            <a:rPr lang="fr-FR" sz="2000" b="1" baseline="0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rPr>
            <a:t> PREV</a:t>
          </a:r>
          <a:endParaRPr lang="fr-FR" sz="2000" b="1">
            <a:solidFill>
              <a:schemeClr val="accent6">
                <a:lumMod val="75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12</xdr:col>
      <xdr:colOff>307878</xdr:colOff>
      <xdr:row>87</xdr:row>
      <xdr:rowOff>12857</xdr:rowOff>
    </xdr:from>
    <xdr:to>
      <xdr:col>24</xdr:col>
      <xdr:colOff>0</xdr:colOff>
      <xdr:row>109</xdr:row>
      <xdr:rowOff>184864</xdr:rowOff>
    </xdr:to>
    <xdr:grpSp>
      <xdr:nvGrpSpPr>
        <xdr:cNvPr id="154" name="Groupe 153">
          <a:extLst>
            <a:ext uri="{FF2B5EF4-FFF2-40B4-BE49-F238E27FC236}">
              <a16:creationId xmlns:a16="http://schemas.microsoft.com/office/drawing/2014/main" id="{47C1A165-A661-784F-85F4-600068410A28}"/>
            </a:ext>
          </a:extLst>
        </xdr:cNvPr>
        <xdr:cNvGrpSpPr/>
      </xdr:nvGrpSpPr>
      <xdr:grpSpPr>
        <a:xfrm>
          <a:off x="14027726" y="22045433"/>
          <a:ext cx="13161819" cy="5252007"/>
          <a:chOff x="618621" y="29108398"/>
          <a:chExt cx="8457645" cy="415607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56" name="Graphique 155">
            <a:extLst>
              <a:ext uri="{FF2B5EF4-FFF2-40B4-BE49-F238E27FC236}">
                <a16:creationId xmlns:a16="http://schemas.microsoft.com/office/drawing/2014/main" id="{0CC2E599-F489-EA48-EA62-91A32C597694}"/>
              </a:ext>
            </a:extLst>
          </xdr:cNvPr>
          <xdr:cNvGraphicFramePr/>
        </xdr:nvGraphicFramePr>
        <xdr:xfrm>
          <a:off x="1109133" y="29115807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157" name="Rectangle : avec coins arrondis en haut 156">
            <a:extLst>
              <a:ext uri="{FF2B5EF4-FFF2-40B4-BE49-F238E27FC236}">
                <a16:creationId xmlns:a16="http://schemas.microsoft.com/office/drawing/2014/main" id="{192F71D7-321A-E94D-285E-BFA33F0D705A}"/>
              </a:ext>
            </a:extLst>
          </xdr:cNvPr>
          <xdr:cNvSpPr/>
        </xdr:nvSpPr>
        <xdr:spPr>
          <a:xfrm rot="16200000">
            <a:off x="-1142095" y="30869114"/>
            <a:ext cx="4155021" cy="63359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4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TURN OVER - ANNUEL</a:t>
            </a:r>
          </a:p>
        </xdr:txBody>
      </xdr:sp>
    </xdr:grpSp>
    <xdr:clientData/>
  </xdr:twoCellAnchor>
  <xdr:twoCellAnchor>
    <xdr:from>
      <xdr:col>22</xdr:col>
      <xdr:colOff>270930</xdr:colOff>
      <xdr:row>39</xdr:row>
      <xdr:rowOff>76200</xdr:rowOff>
    </xdr:from>
    <xdr:to>
      <xdr:col>23</xdr:col>
      <xdr:colOff>753530</xdr:colOff>
      <xdr:row>41</xdr:row>
      <xdr:rowOff>0</xdr:rowOff>
    </xdr:to>
    <xdr:sp macro="" textlink="">
      <xdr:nvSpPr>
        <xdr:cNvPr id="167" name="Rectangle : coins arrondis 166">
          <a:extLst>
            <a:ext uri="{FF2B5EF4-FFF2-40B4-BE49-F238E27FC236}">
              <a16:creationId xmlns:a16="http://schemas.microsoft.com/office/drawing/2014/main" id="{E6FB3CDA-7E9B-294C-8A97-862A8C2AE913}"/>
            </a:ext>
          </a:extLst>
        </xdr:cNvPr>
        <xdr:cNvSpPr/>
      </xdr:nvSpPr>
      <xdr:spPr>
        <a:xfrm>
          <a:off x="25924930" y="14232467"/>
          <a:ext cx="1092200" cy="397933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rPr>
            <a:t>vs</a:t>
          </a:r>
          <a:r>
            <a:rPr lang="fr-FR" sz="2000" b="1" baseline="0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rPr>
            <a:t> 2025</a:t>
          </a:r>
          <a:endParaRPr lang="fr-FR" sz="2000" b="1">
            <a:solidFill>
              <a:schemeClr val="accent6">
                <a:lumMod val="75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21</xdr:col>
      <xdr:colOff>1119555</xdr:colOff>
      <xdr:row>41</xdr:row>
      <xdr:rowOff>147102</xdr:rowOff>
    </xdr:from>
    <xdr:to>
      <xdr:col>24</xdr:col>
      <xdr:colOff>247229</xdr:colOff>
      <xdr:row>58</xdr:row>
      <xdr:rowOff>175815</xdr:rowOff>
    </xdr:to>
    <xdr:grpSp>
      <xdr:nvGrpSpPr>
        <xdr:cNvPr id="168" name="Groupe 167">
          <a:extLst>
            <a:ext uri="{FF2B5EF4-FFF2-40B4-BE49-F238E27FC236}">
              <a16:creationId xmlns:a16="http://schemas.microsoft.com/office/drawing/2014/main" id="{6C182C09-878D-C049-955E-7A0BBBD89F92}"/>
            </a:ext>
          </a:extLst>
        </xdr:cNvPr>
        <xdr:cNvGrpSpPr/>
      </xdr:nvGrpSpPr>
      <xdr:grpSpPr>
        <a:xfrm>
          <a:off x="25672888" y="11557860"/>
          <a:ext cx="1763886" cy="3954167"/>
          <a:chOff x="4775200" y="1600200"/>
          <a:chExt cx="1739900" cy="3708400"/>
        </a:xfrm>
      </xdr:grpSpPr>
      <xdr:sp macro="" textlink="'DONNEES '!AD5">
        <xdr:nvSpPr>
          <xdr:cNvPr id="169" name="ZoneTexte 168">
            <a:extLst>
              <a:ext uri="{FF2B5EF4-FFF2-40B4-BE49-F238E27FC236}">
                <a16:creationId xmlns:a16="http://schemas.microsoft.com/office/drawing/2014/main" id="{6EDEDAB2-09D5-8D32-012A-E229E8529273}"/>
              </a:ext>
            </a:extLst>
          </xdr:cNvPr>
          <xdr:cNvSpPr txBox="1"/>
        </xdr:nvSpPr>
        <xdr:spPr>
          <a:xfrm>
            <a:off x="4788743" y="16002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7513965-1459-784B-8904-3DBF137CD575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-67 013 €</a:t>
            </a:fld>
            <a:endParaRPr lang="fr-FR" sz="2000" b="1" i="0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D6">
        <xdr:nvSpPr>
          <xdr:cNvPr id="173" name="ZoneTexte 172">
            <a:extLst>
              <a:ext uri="{FF2B5EF4-FFF2-40B4-BE49-F238E27FC236}">
                <a16:creationId xmlns:a16="http://schemas.microsoft.com/office/drawing/2014/main" id="{BEF44048-6DA5-AC17-ABE5-2F0434281F39}"/>
              </a:ext>
            </a:extLst>
          </xdr:cNvPr>
          <xdr:cNvSpPr txBox="1"/>
        </xdr:nvSpPr>
        <xdr:spPr>
          <a:xfrm>
            <a:off x="4788744" y="2679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7B382CE-1FDF-3D40-9F2E-F307E5761C8D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-31 983 €</a:t>
            </a:fld>
            <a:endParaRPr lang="fr-FR" sz="2000" b="1" i="0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D8">
        <xdr:nvSpPr>
          <xdr:cNvPr id="175" name="ZoneTexte 174">
            <a:extLst>
              <a:ext uri="{FF2B5EF4-FFF2-40B4-BE49-F238E27FC236}">
                <a16:creationId xmlns:a16="http://schemas.microsoft.com/office/drawing/2014/main" id="{09D39116-1D72-E563-ECFD-7868820BB113}"/>
              </a:ext>
            </a:extLst>
          </xdr:cNvPr>
          <xdr:cNvSpPr txBox="1"/>
        </xdr:nvSpPr>
        <xdr:spPr>
          <a:xfrm>
            <a:off x="4775200" y="3822701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A36568F-875C-8945-872B-D3BD3BE95EA9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-33 166 €</a:t>
            </a:fld>
            <a:endParaRPr lang="fr-FR" sz="2000" b="1" i="0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AD9">
        <xdr:nvSpPr>
          <xdr:cNvPr id="185" name="ZoneTexte 184">
            <a:extLst>
              <a:ext uri="{FF2B5EF4-FFF2-40B4-BE49-F238E27FC236}">
                <a16:creationId xmlns:a16="http://schemas.microsoft.com/office/drawing/2014/main" id="{2CB06EC8-B558-070D-685A-1B23EECB88EE}"/>
              </a:ext>
            </a:extLst>
          </xdr:cNvPr>
          <xdr:cNvSpPr txBox="1"/>
        </xdr:nvSpPr>
        <xdr:spPr>
          <a:xfrm>
            <a:off x="4800600" y="4965700"/>
            <a:ext cx="171450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9E3DF8E-B11B-9149-9995-10F3A2FCBD06}" type="TxLink">
              <a: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-38 059 €</a:t>
            </a:fld>
            <a:endParaRPr lang="fr-FR" sz="2000" b="1" i="0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12</xdr:col>
      <xdr:colOff>355600</xdr:colOff>
      <xdr:row>134</xdr:row>
      <xdr:rowOff>45362</xdr:rowOff>
    </xdr:from>
    <xdr:to>
      <xdr:col>24</xdr:col>
      <xdr:colOff>0</xdr:colOff>
      <xdr:row>156</xdr:row>
      <xdr:rowOff>172362</xdr:rowOff>
    </xdr:to>
    <xdr:grpSp>
      <xdr:nvGrpSpPr>
        <xdr:cNvPr id="164" name="Groupe 163">
          <a:extLst>
            <a:ext uri="{FF2B5EF4-FFF2-40B4-BE49-F238E27FC236}">
              <a16:creationId xmlns:a16="http://schemas.microsoft.com/office/drawing/2014/main" id="{DA769CD3-C538-3D96-4F26-497143948E21}"/>
            </a:ext>
          </a:extLst>
        </xdr:cNvPr>
        <xdr:cNvGrpSpPr/>
      </xdr:nvGrpSpPr>
      <xdr:grpSpPr>
        <a:xfrm>
          <a:off x="14075448" y="33046120"/>
          <a:ext cx="13114097" cy="5207000"/>
          <a:chOff x="541865" y="29108399"/>
          <a:chExt cx="8397462" cy="4893768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91" name="Graphique 190">
            <a:extLst>
              <a:ext uri="{FF2B5EF4-FFF2-40B4-BE49-F238E27FC236}">
                <a16:creationId xmlns:a16="http://schemas.microsoft.com/office/drawing/2014/main" id="{866FBACF-FCD4-647A-30B9-4614DCD8BCB2}"/>
              </a:ext>
            </a:extLst>
          </xdr:cNvPr>
          <xdr:cNvGraphicFramePr/>
        </xdr:nvGraphicFramePr>
        <xdr:xfrm>
          <a:off x="972194" y="29108399"/>
          <a:ext cx="7967133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192" name="Rectangle : avec coins arrondis en haut 191">
            <a:extLst>
              <a:ext uri="{FF2B5EF4-FFF2-40B4-BE49-F238E27FC236}">
                <a16:creationId xmlns:a16="http://schemas.microsoft.com/office/drawing/2014/main" id="{343ABF97-149C-571D-56A1-CF6B047AE01B}"/>
              </a:ext>
            </a:extLst>
          </xdr:cNvPr>
          <xdr:cNvSpPr/>
        </xdr:nvSpPr>
        <xdr:spPr>
          <a:xfrm rot="16200000">
            <a:off x="-1617151" y="31267417"/>
            <a:ext cx="4893766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4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UVHE - JUIN</a:t>
            </a:r>
            <a:endParaRPr lang="fr-FR" sz="3200" b="1">
              <a:solidFill>
                <a:schemeClr val="accent4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21</xdr:col>
      <xdr:colOff>152400</xdr:colOff>
      <xdr:row>231</xdr:row>
      <xdr:rowOff>101605</xdr:rowOff>
    </xdr:from>
    <xdr:to>
      <xdr:col>23</xdr:col>
      <xdr:colOff>634615</xdr:colOff>
      <xdr:row>253</xdr:row>
      <xdr:rowOff>152404</xdr:rowOff>
    </xdr:to>
    <xdr:grpSp>
      <xdr:nvGrpSpPr>
        <xdr:cNvPr id="235" name="Groupe 234">
          <a:extLst>
            <a:ext uri="{FF2B5EF4-FFF2-40B4-BE49-F238E27FC236}">
              <a16:creationId xmlns:a16="http://schemas.microsoft.com/office/drawing/2014/main" id="{EE5206C5-B3B0-C3BE-8701-D8C82379CB79}"/>
            </a:ext>
          </a:extLst>
        </xdr:cNvPr>
        <xdr:cNvGrpSpPr/>
      </xdr:nvGrpSpPr>
      <xdr:grpSpPr>
        <a:xfrm>
          <a:off x="24705733" y="56404938"/>
          <a:ext cx="2271761" cy="5130799"/>
          <a:chOff x="24638000" y="53162200"/>
          <a:chExt cx="2260215" cy="5080000"/>
        </a:xfrm>
      </xdr:grpSpPr>
      <xdr:sp macro="" textlink="'DONNEES '!J20">
        <xdr:nvSpPr>
          <xdr:cNvPr id="55" name="Rectangle : coins arrondis 54">
            <a:extLst>
              <a:ext uri="{FF2B5EF4-FFF2-40B4-BE49-F238E27FC236}">
                <a16:creationId xmlns:a16="http://schemas.microsoft.com/office/drawing/2014/main" id="{32E7CE59-55FC-4C46-ADD6-1D6B5BCAE60F}"/>
              </a:ext>
            </a:extLst>
          </xdr:cNvPr>
          <xdr:cNvSpPr/>
        </xdr:nvSpPr>
        <xdr:spPr>
          <a:xfrm>
            <a:off x="25356681" y="53250340"/>
            <a:ext cx="1541534" cy="418477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4EFC218-F413-7E45-989A-3CEFA8DD03A9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-339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9">
        <xdr:nvSpPr>
          <xdr:cNvPr id="129" name="Rectangle : coins arrondis 128">
            <a:extLst>
              <a:ext uri="{FF2B5EF4-FFF2-40B4-BE49-F238E27FC236}">
                <a16:creationId xmlns:a16="http://schemas.microsoft.com/office/drawing/2014/main" id="{412E68BE-EED6-4742-9112-585C899723BC}"/>
              </a:ext>
            </a:extLst>
          </xdr:cNvPr>
          <xdr:cNvSpPr/>
        </xdr:nvSpPr>
        <xdr:spPr>
          <a:xfrm>
            <a:off x="25337231" y="53832429"/>
            <a:ext cx="1541534" cy="418476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0F808C2-25DA-354A-A038-6A62D8B57BE4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-13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8">
        <xdr:nvSpPr>
          <xdr:cNvPr id="158" name="Rectangle : coins arrondis 157">
            <a:extLst>
              <a:ext uri="{FF2B5EF4-FFF2-40B4-BE49-F238E27FC236}">
                <a16:creationId xmlns:a16="http://schemas.microsoft.com/office/drawing/2014/main" id="{7241BAE3-E79B-5C4F-B05F-D109999AC7AB}"/>
              </a:ext>
            </a:extLst>
          </xdr:cNvPr>
          <xdr:cNvSpPr/>
        </xdr:nvSpPr>
        <xdr:spPr>
          <a:xfrm>
            <a:off x="25349762" y="54364944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265324-3779-054F-B4B2-ABD4EE45533A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-29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7">
        <xdr:nvSpPr>
          <xdr:cNvPr id="186" name="Rectangle : coins arrondis 185">
            <a:extLst>
              <a:ext uri="{FF2B5EF4-FFF2-40B4-BE49-F238E27FC236}">
                <a16:creationId xmlns:a16="http://schemas.microsoft.com/office/drawing/2014/main" id="{78C39099-C0F5-7149-A27C-FDB17CAFACAF}"/>
              </a:ext>
            </a:extLst>
          </xdr:cNvPr>
          <xdr:cNvSpPr/>
        </xdr:nvSpPr>
        <xdr:spPr>
          <a:xfrm>
            <a:off x="25343104" y="54896232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90E332C-E49E-2C45-B385-E2425225300F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6">
        <xdr:nvSpPr>
          <xdr:cNvPr id="187" name="Rectangle : coins arrondis 186">
            <a:extLst>
              <a:ext uri="{FF2B5EF4-FFF2-40B4-BE49-F238E27FC236}">
                <a16:creationId xmlns:a16="http://schemas.microsoft.com/office/drawing/2014/main" id="{DC748D07-C79E-7B43-84BD-1D51418BB421}"/>
              </a:ext>
            </a:extLst>
          </xdr:cNvPr>
          <xdr:cNvSpPr/>
        </xdr:nvSpPr>
        <xdr:spPr>
          <a:xfrm>
            <a:off x="25342843" y="55418766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F29C538-2DEF-D14C-AFC8-29171DF83EED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-51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5">
        <xdr:nvSpPr>
          <xdr:cNvPr id="188" name="Rectangle : coins arrondis 187">
            <a:extLst>
              <a:ext uri="{FF2B5EF4-FFF2-40B4-BE49-F238E27FC236}">
                <a16:creationId xmlns:a16="http://schemas.microsoft.com/office/drawing/2014/main" id="{41A05F1A-5EB8-C646-B952-93D7C8344374}"/>
              </a:ext>
            </a:extLst>
          </xdr:cNvPr>
          <xdr:cNvSpPr/>
        </xdr:nvSpPr>
        <xdr:spPr>
          <a:xfrm>
            <a:off x="25342580" y="55936917"/>
            <a:ext cx="1541534" cy="417252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F73B43B-B995-324A-B9D3-E12E137DEC8C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-42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4">
        <xdr:nvSpPr>
          <xdr:cNvPr id="229" name="Rectangle : coins arrondis 228">
            <a:extLst>
              <a:ext uri="{FF2B5EF4-FFF2-40B4-BE49-F238E27FC236}">
                <a16:creationId xmlns:a16="http://schemas.microsoft.com/office/drawing/2014/main" id="{DC3A6F1C-933A-3847-B34C-4473F1D05B6A}"/>
              </a:ext>
            </a:extLst>
          </xdr:cNvPr>
          <xdr:cNvSpPr/>
        </xdr:nvSpPr>
        <xdr:spPr>
          <a:xfrm>
            <a:off x="25335925" y="56481336"/>
            <a:ext cx="1541534" cy="4045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D526D70-E7D9-D747-B831-4C3AC9A84BA5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+43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3">
        <xdr:nvSpPr>
          <xdr:cNvPr id="230" name="Rectangle : coins arrondis 229">
            <a:extLst>
              <a:ext uri="{FF2B5EF4-FFF2-40B4-BE49-F238E27FC236}">
                <a16:creationId xmlns:a16="http://schemas.microsoft.com/office/drawing/2014/main" id="{8F02F3D4-2540-754A-86F6-E90DD6380D24}"/>
              </a:ext>
            </a:extLst>
          </xdr:cNvPr>
          <xdr:cNvSpPr/>
        </xdr:nvSpPr>
        <xdr:spPr>
          <a:xfrm>
            <a:off x="25348456" y="57011767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4AB3E65-E98A-7B48-B804-D21C66054917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+17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12">
        <xdr:nvSpPr>
          <xdr:cNvPr id="231" name="Rectangle : coins arrondis 230">
            <a:extLst>
              <a:ext uri="{FF2B5EF4-FFF2-40B4-BE49-F238E27FC236}">
                <a16:creationId xmlns:a16="http://schemas.microsoft.com/office/drawing/2014/main" id="{84895884-D09C-EE40-85C2-4A80F611C268}"/>
              </a:ext>
            </a:extLst>
          </xdr:cNvPr>
          <xdr:cNvSpPr/>
        </xdr:nvSpPr>
        <xdr:spPr>
          <a:xfrm>
            <a:off x="25348456" y="57545167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AD5A16B-71F2-4D42-9E9C-17425F0625C1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+35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234" name="Rectangle : coins arrondis 233">
            <a:extLst>
              <a:ext uri="{FF2B5EF4-FFF2-40B4-BE49-F238E27FC236}">
                <a16:creationId xmlns:a16="http://schemas.microsoft.com/office/drawing/2014/main" id="{6F13276F-3F38-B6C8-D0B6-89856A03729C}"/>
              </a:ext>
            </a:extLst>
          </xdr:cNvPr>
          <xdr:cNvSpPr/>
        </xdr:nvSpPr>
        <xdr:spPr>
          <a:xfrm>
            <a:off x="24638000" y="53162200"/>
            <a:ext cx="609600" cy="5080000"/>
          </a:xfrm>
          <a:prstGeom prst="roundRect">
            <a:avLst>
              <a:gd name="adj" fmla="val 50000"/>
            </a:avLst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fr-FR" sz="2400" b="1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la semaine précédente</a:t>
            </a:r>
          </a:p>
        </xdr:txBody>
      </xdr:sp>
    </xdr:grpSp>
    <xdr:clientData/>
  </xdr:twoCellAnchor>
  <xdr:twoCellAnchor>
    <xdr:from>
      <xdr:col>21</xdr:col>
      <xdr:colOff>152400</xdr:colOff>
      <xdr:row>255</xdr:row>
      <xdr:rowOff>144239</xdr:rowOff>
    </xdr:from>
    <xdr:to>
      <xdr:col>23</xdr:col>
      <xdr:colOff>634615</xdr:colOff>
      <xdr:row>276</xdr:row>
      <xdr:rowOff>204107</xdr:rowOff>
    </xdr:to>
    <xdr:grpSp>
      <xdr:nvGrpSpPr>
        <xdr:cNvPr id="236" name="Groupe 235">
          <a:extLst>
            <a:ext uri="{FF2B5EF4-FFF2-40B4-BE49-F238E27FC236}">
              <a16:creationId xmlns:a16="http://schemas.microsoft.com/office/drawing/2014/main" id="{EA5A885E-EE18-8D4E-917F-1D2757605B66}"/>
            </a:ext>
          </a:extLst>
        </xdr:cNvPr>
        <xdr:cNvGrpSpPr/>
      </xdr:nvGrpSpPr>
      <xdr:grpSpPr>
        <a:xfrm>
          <a:off x="24705733" y="61989391"/>
          <a:ext cx="2271761" cy="4908958"/>
          <a:chOff x="24638000" y="53162201"/>
          <a:chExt cx="2260215" cy="4860559"/>
        </a:xfrm>
      </xdr:grpSpPr>
      <xdr:sp macro="" textlink="'DONNEES '!J31">
        <xdr:nvSpPr>
          <xdr:cNvPr id="237" name="Rectangle : coins arrondis 236">
            <a:extLst>
              <a:ext uri="{FF2B5EF4-FFF2-40B4-BE49-F238E27FC236}">
                <a16:creationId xmlns:a16="http://schemas.microsoft.com/office/drawing/2014/main" id="{2EB5235D-F617-1F68-71D0-3949D16B97CB}"/>
              </a:ext>
            </a:extLst>
          </xdr:cNvPr>
          <xdr:cNvSpPr/>
        </xdr:nvSpPr>
        <xdr:spPr>
          <a:xfrm>
            <a:off x="25356681" y="53250340"/>
            <a:ext cx="1541534" cy="418477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F26683-9602-EB49-B695-4BA85B867CC1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-291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30">
        <xdr:nvSpPr>
          <xdr:cNvPr id="238" name="Rectangle : coins arrondis 237">
            <a:extLst>
              <a:ext uri="{FF2B5EF4-FFF2-40B4-BE49-F238E27FC236}">
                <a16:creationId xmlns:a16="http://schemas.microsoft.com/office/drawing/2014/main" id="{540909EF-6A6F-5CBF-4CE1-2AB2F8758FA7}"/>
              </a:ext>
            </a:extLst>
          </xdr:cNvPr>
          <xdr:cNvSpPr/>
        </xdr:nvSpPr>
        <xdr:spPr>
          <a:xfrm>
            <a:off x="25337231" y="53832429"/>
            <a:ext cx="1541534" cy="418476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732645-42AF-4449-8836-BE9AB5E8FC41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-16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29">
        <xdr:nvSpPr>
          <xdr:cNvPr id="239" name="Rectangle : coins arrondis 238">
            <a:extLst>
              <a:ext uri="{FF2B5EF4-FFF2-40B4-BE49-F238E27FC236}">
                <a16:creationId xmlns:a16="http://schemas.microsoft.com/office/drawing/2014/main" id="{3A2DEEA8-483D-2386-2217-6C52FA6A3D3B}"/>
              </a:ext>
            </a:extLst>
          </xdr:cNvPr>
          <xdr:cNvSpPr/>
        </xdr:nvSpPr>
        <xdr:spPr>
          <a:xfrm>
            <a:off x="25349762" y="54364944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56DA088-131A-2540-AB41-429092D107DD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-9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28">
        <xdr:nvSpPr>
          <xdr:cNvPr id="240" name="Rectangle : coins arrondis 239">
            <a:extLst>
              <a:ext uri="{FF2B5EF4-FFF2-40B4-BE49-F238E27FC236}">
                <a16:creationId xmlns:a16="http://schemas.microsoft.com/office/drawing/2014/main" id="{83DA1176-EFD4-99D6-A896-FDE23FE78B19}"/>
              </a:ext>
            </a:extLst>
          </xdr:cNvPr>
          <xdr:cNvSpPr/>
        </xdr:nvSpPr>
        <xdr:spPr>
          <a:xfrm>
            <a:off x="25343104" y="54896232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0246380-BF63-D64A-A15D-36A159CC2F45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-69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27">
        <xdr:nvSpPr>
          <xdr:cNvPr id="241" name="Rectangle : coins arrondis 240">
            <a:extLst>
              <a:ext uri="{FF2B5EF4-FFF2-40B4-BE49-F238E27FC236}">
                <a16:creationId xmlns:a16="http://schemas.microsoft.com/office/drawing/2014/main" id="{9FEB9E54-A665-C330-768D-ECF73CBC5FE8}"/>
              </a:ext>
            </a:extLst>
          </xdr:cNvPr>
          <xdr:cNvSpPr/>
        </xdr:nvSpPr>
        <xdr:spPr>
          <a:xfrm>
            <a:off x="25342843" y="55418766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65292B9-AC25-4245-89AC-13A128D3F720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-45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26">
        <xdr:nvSpPr>
          <xdr:cNvPr id="242" name="Rectangle : coins arrondis 241">
            <a:extLst>
              <a:ext uri="{FF2B5EF4-FFF2-40B4-BE49-F238E27FC236}">
                <a16:creationId xmlns:a16="http://schemas.microsoft.com/office/drawing/2014/main" id="{37CF15B8-100C-0E61-84FC-AC149448B38B}"/>
              </a:ext>
            </a:extLst>
          </xdr:cNvPr>
          <xdr:cNvSpPr/>
        </xdr:nvSpPr>
        <xdr:spPr>
          <a:xfrm>
            <a:off x="25342580" y="55936917"/>
            <a:ext cx="1541534" cy="417252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B68DBA7-61A0-3649-9E51-E1ED509BB63C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-42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25">
        <xdr:nvSpPr>
          <xdr:cNvPr id="243" name="Rectangle : coins arrondis 242">
            <a:extLst>
              <a:ext uri="{FF2B5EF4-FFF2-40B4-BE49-F238E27FC236}">
                <a16:creationId xmlns:a16="http://schemas.microsoft.com/office/drawing/2014/main" id="{3283426E-3C79-08B7-06FB-703056B3DF20}"/>
              </a:ext>
            </a:extLst>
          </xdr:cNvPr>
          <xdr:cNvSpPr/>
        </xdr:nvSpPr>
        <xdr:spPr>
          <a:xfrm>
            <a:off x="25335925" y="56481336"/>
            <a:ext cx="1541534" cy="4045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BEC1B09-B7E9-6148-8722-33986F2D01BA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-10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24">
        <xdr:nvSpPr>
          <xdr:cNvPr id="244" name="Rectangle : coins arrondis 243">
            <a:extLst>
              <a:ext uri="{FF2B5EF4-FFF2-40B4-BE49-F238E27FC236}">
                <a16:creationId xmlns:a16="http://schemas.microsoft.com/office/drawing/2014/main" id="{DEB8BC08-4FD8-DD22-55B2-7FC797DD9CC8}"/>
              </a:ext>
            </a:extLst>
          </xdr:cNvPr>
          <xdr:cNvSpPr/>
        </xdr:nvSpPr>
        <xdr:spPr>
          <a:xfrm>
            <a:off x="25348456" y="57011767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273A29D-4BEE-7F42-8D14-ECD6F94A8393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+29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23">
        <xdr:nvSpPr>
          <xdr:cNvPr id="245" name="Rectangle : coins arrondis 244">
            <a:extLst>
              <a:ext uri="{FF2B5EF4-FFF2-40B4-BE49-F238E27FC236}">
                <a16:creationId xmlns:a16="http://schemas.microsoft.com/office/drawing/2014/main" id="{AACB1497-BC88-D97E-006C-0D8DF21679FC}"/>
              </a:ext>
            </a:extLst>
          </xdr:cNvPr>
          <xdr:cNvSpPr/>
        </xdr:nvSpPr>
        <xdr:spPr>
          <a:xfrm>
            <a:off x="25348456" y="57545167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EDBA221-DA96-9640-BBEA-F6E702D1337C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+31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246" name="Rectangle : coins arrondis 245">
            <a:extLst>
              <a:ext uri="{FF2B5EF4-FFF2-40B4-BE49-F238E27FC236}">
                <a16:creationId xmlns:a16="http://schemas.microsoft.com/office/drawing/2014/main" id="{8599344B-A011-8D03-A334-CBF10300E00E}"/>
              </a:ext>
            </a:extLst>
          </xdr:cNvPr>
          <xdr:cNvSpPr/>
        </xdr:nvSpPr>
        <xdr:spPr>
          <a:xfrm>
            <a:off x="24638000" y="53162201"/>
            <a:ext cx="609600" cy="4860559"/>
          </a:xfrm>
          <a:prstGeom prst="roundRect">
            <a:avLst>
              <a:gd name="adj" fmla="val 50000"/>
            </a:avLst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fr-FR" sz="2400" b="1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la semaine précédente</a:t>
            </a:r>
          </a:p>
        </xdr:txBody>
      </xdr:sp>
    </xdr:grpSp>
    <xdr:clientData/>
  </xdr:twoCellAnchor>
  <xdr:twoCellAnchor>
    <xdr:from>
      <xdr:col>21</xdr:col>
      <xdr:colOff>149665</xdr:colOff>
      <xdr:row>205</xdr:row>
      <xdr:rowOff>134053</xdr:rowOff>
    </xdr:from>
    <xdr:to>
      <xdr:col>23</xdr:col>
      <xdr:colOff>633488</xdr:colOff>
      <xdr:row>227</xdr:row>
      <xdr:rowOff>209569</xdr:rowOff>
    </xdr:to>
    <xdr:grpSp>
      <xdr:nvGrpSpPr>
        <xdr:cNvPr id="257" name="Groupe 256">
          <a:extLst>
            <a:ext uri="{FF2B5EF4-FFF2-40B4-BE49-F238E27FC236}">
              <a16:creationId xmlns:a16="http://schemas.microsoft.com/office/drawing/2014/main" id="{873A304C-4153-F42D-9B7F-4A9AD17AD672}"/>
            </a:ext>
          </a:extLst>
        </xdr:cNvPr>
        <xdr:cNvGrpSpPr/>
      </xdr:nvGrpSpPr>
      <xdr:grpSpPr>
        <a:xfrm>
          <a:off x="24702998" y="50433750"/>
          <a:ext cx="2273369" cy="5155516"/>
          <a:chOff x="24498299" y="48890147"/>
          <a:chExt cx="2269420" cy="5314266"/>
        </a:xfrm>
      </xdr:grpSpPr>
      <xdr:sp macro="" textlink="'DONNEES '!J82">
        <xdr:nvSpPr>
          <xdr:cNvPr id="248" name="Rectangle : coins arrondis 247">
            <a:extLst>
              <a:ext uri="{FF2B5EF4-FFF2-40B4-BE49-F238E27FC236}">
                <a16:creationId xmlns:a16="http://schemas.microsoft.com/office/drawing/2014/main" id="{826E3B87-9F8E-7343-8E86-D9D174FF45D3}"/>
              </a:ext>
            </a:extLst>
          </xdr:cNvPr>
          <xdr:cNvSpPr/>
        </xdr:nvSpPr>
        <xdr:spPr>
          <a:xfrm>
            <a:off x="25188685" y="48960677"/>
            <a:ext cx="1554117" cy="481237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FDDDF1-9150-674E-A961-96FBB411D506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-40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81">
        <xdr:nvSpPr>
          <xdr:cNvPr id="249" name="Rectangle : coins arrondis 248">
            <a:extLst>
              <a:ext uri="{FF2B5EF4-FFF2-40B4-BE49-F238E27FC236}">
                <a16:creationId xmlns:a16="http://schemas.microsoft.com/office/drawing/2014/main" id="{F5FF7497-B223-6440-8C4B-D0666BE0EFBA}"/>
              </a:ext>
            </a:extLst>
          </xdr:cNvPr>
          <xdr:cNvSpPr/>
        </xdr:nvSpPr>
        <xdr:spPr>
          <a:xfrm>
            <a:off x="25185559" y="49604536"/>
            <a:ext cx="1561074" cy="468505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82B58E9-C62C-6143-93A1-CDAB4191D919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-33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80">
        <xdr:nvSpPr>
          <xdr:cNvPr id="250" name="Rectangle : coins arrondis 249">
            <a:extLst>
              <a:ext uri="{FF2B5EF4-FFF2-40B4-BE49-F238E27FC236}">
                <a16:creationId xmlns:a16="http://schemas.microsoft.com/office/drawing/2014/main" id="{33C7E121-7078-3C47-80A4-DE04B1278057}"/>
              </a:ext>
            </a:extLst>
          </xdr:cNvPr>
          <xdr:cNvSpPr/>
        </xdr:nvSpPr>
        <xdr:spPr>
          <a:xfrm>
            <a:off x="25208739" y="50287935"/>
            <a:ext cx="1550393" cy="476249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066125-1F46-ED43-842B-56FB6C0D8186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79">
        <xdr:nvSpPr>
          <xdr:cNvPr id="251" name="Rectangle : coins arrondis 250">
            <a:extLst>
              <a:ext uri="{FF2B5EF4-FFF2-40B4-BE49-F238E27FC236}">
                <a16:creationId xmlns:a16="http://schemas.microsoft.com/office/drawing/2014/main" id="{8A6E788E-C356-7842-A7DA-4A37DC7FE4F0}"/>
              </a:ext>
            </a:extLst>
          </xdr:cNvPr>
          <xdr:cNvSpPr/>
        </xdr:nvSpPr>
        <xdr:spPr>
          <a:xfrm>
            <a:off x="25191417" y="50983476"/>
            <a:ext cx="1561074" cy="464108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A1C288-322E-274D-9739-925168C06CF3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-29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78">
        <xdr:nvSpPr>
          <xdr:cNvPr id="252" name="Rectangle : coins arrondis 251">
            <a:extLst>
              <a:ext uri="{FF2B5EF4-FFF2-40B4-BE49-F238E27FC236}">
                <a16:creationId xmlns:a16="http://schemas.microsoft.com/office/drawing/2014/main" id="{1B151F17-6CD3-F24C-9CC1-2F45FD76EC6B}"/>
              </a:ext>
            </a:extLst>
          </xdr:cNvPr>
          <xdr:cNvSpPr/>
        </xdr:nvSpPr>
        <xdr:spPr>
          <a:xfrm>
            <a:off x="25210369" y="51667454"/>
            <a:ext cx="1557350" cy="471274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05C782-8EE9-0041-8C61-742CB88ECB7D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-28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77">
        <xdr:nvSpPr>
          <xdr:cNvPr id="253" name="Rectangle : coins arrondis 252">
            <a:extLst>
              <a:ext uri="{FF2B5EF4-FFF2-40B4-BE49-F238E27FC236}">
                <a16:creationId xmlns:a16="http://schemas.microsoft.com/office/drawing/2014/main" id="{3842AA3D-2D49-4A4C-BDCF-934886F9B755}"/>
              </a:ext>
            </a:extLst>
          </xdr:cNvPr>
          <xdr:cNvSpPr/>
        </xdr:nvSpPr>
        <xdr:spPr>
          <a:xfrm>
            <a:off x="25210107" y="52358135"/>
            <a:ext cx="1557350" cy="471734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8FB5D0D-D923-BE47-B1B4-0628602533B4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-31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76">
        <xdr:nvSpPr>
          <xdr:cNvPr id="254" name="Rectangle : coins arrondis 253">
            <a:extLst>
              <a:ext uri="{FF2B5EF4-FFF2-40B4-BE49-F238E27FC236}">
                <a16:creationId xmlns:a16="http://schemas.microsoft.com/office/drawing/2014/main" id="{79F6CF3C-2DD8-4043-9F57-55EE0B3B310C}"/>
              </a:ext>
            </a:extLst>
          </xdr:cNvPr>
          <xdr:cNvSpPr/>
        </xdr:nvSpPr>
        <xdr:spPr>
          <a:xfrm>
            <a:off x="25184257" y="53042326"/>
            <a:ext cx="1561074" cy="478688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4FE120-F097-8649-B00B-E643DE3F69BD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75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75">
        <xdr:nvSpPr>
          <xdr:cNvPr id="255" name="Rectangle : coins arrondis 254">
            <a:extLst>
              <a:ext uri="{FF2B5EF4-FFF2-40B4-BE49-F238E27FC236}">
                <a16:creationId xmlns:a16="http://schemas.microsoft.com/office/drawing/2014/main" id="{8A871C83-27E0-6941-9315-F3D472B578C2}"/>
              </a:ext>
            </a:extLst>
          </xdr:cNvPr>
          <xdr:cNvSpPr/>
        </xdr:nvSpPr>
        <xdr:spPr>
          <a:xfrm>
            <a:off x="25207437" y="53738020"/>
            <a:ext cx="1550393" cy="466393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7A62C86-E153-3747-A8D3-46E4BE7F6422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81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256" name="Rectangle : coins arrondis 255">
            <a:extLst>
              <a:ext uri="{FF2B5EF4-FFF2-40B4-BE49-F238E27FC236}">
                <a16:creationId xmlns:a16="http://schemas.microsoft.com/office/drawing/2014/main" id="{75845FEC-2F37-EB4B-9412-7047B95AF1E0}"/>
              </a:ext>
            </a:extLst>
          </xdr:cNvPr>
          <xdr:cNvSpPr/>
        </xdr:nvSpPr>
        <xdr:spPr>
          <a:xfrm>
            <a:off x="24498299" y="48890147"/>
            <a:ext cx="611169" cy="5295004"/>
          </a:xfrm>
          <a:prstGeom prst="roundRect">
            <a:avLst>
              <a:gd name="adj" fmla="val 50000"/>
            </a:avLst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fr-FR" sz="2400" b="1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la semaine précédente</a:t>
            </a:r>
          </a:p>
        </xdr:txBody>
      </xdr:sp>
    </xdr:grpSp>
    <xdr:clientData/>
  </xdr:twoCellAnchor>
  <xdr:twoCellAnchor>
    <xdr:from>
      <xdr:col>21</xdr:col>
      <xdr:colOff>134565</xdr:colOff>
      <xdr:row>186</xdr:row>
      <xdr:rowOff>33284</xdr:rowOff>
    </xdr:from>
    <xdr:to>
      <xdr:col>21</xdr:col>
      <xdr:colOff>746797</xdr:colOff>
      <xdr:row>204</xdr:row>
      <xdr:rowOff>173182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C8D23C9B-4B80-9B4E-AD9B-97DC36951F25}"/>
            </a:ext>
          </a:extLst>
        </xdr:cNvPr>
        <xdr:cNvSpPr/>
      </xdr:nvSpPr>
      <xdr:spPr>
        <a:xfrm>
          <a:off x="24687898" y="45099042"/>
          <a:ext cx="612232" cy="514292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r-FR" sz="2400" b="1">
              <a:solidFill>
                <a:schemeClr val="accent2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Par rapport à la semaine précédente</a:t>
          </a:r>
        </a:p>
      </xdr:txBody>
    </xdr:sp>
    <xdr:clientData/>
  </xdr:twoCellAnchor>
  <xdr:twoCellAnchor>
    <xdr:from>
      <xdr:col>21</xdr:col>
      <xdr:colOff>855899</xdr:colOff>
      <xdr:row>134</xdr:row>
      <xdr:rowOff>199301</xdr:rowOff>
    </xdr:from>
    <xdr:to>
      <xdr:col>23</xdr:col>
      <xdr:colOff>632326</xdr:colOff>
      <xdr:row>155</xdr:row>
      <xdr:rowOff>96025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BF48760-7C98-99F1-96D6-F54F36ED0F5D}"/>
            </a:ext>
          </a:extLst>
        </xdr:cNvPr>
        <xdr:cNvGrpSpPr/>
      </xdr:nvGrpSpPr>
      <xdr:grpSpPr>
        <a:xfrm>
          <a:off x="25409232" y="33200059"/>
          <a:ext cx="1565973" cy="4745814"/>
          <a:chOff x="0" y="0"/>
          <a:chExt cx="1565863" cy="4745792"/>
        </a:xfrm>
        <a:solidFill>
          <a:schemeClr val="accent4">
            <a:lumMod val="20000"/>
            <a:lumOff val="80000"/>
          </a:schemeClr>
        </a:solidFill>
      </xdr:grpSpPr>
      <xdr:sp macro="" textlink="'DONNEES '!T41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id="{3BA91638-DBCF-1DB6-1701-1293FD01E188}"/>
              </a:ext>
            </a:extLst>
          </xdr:cNvPr>
          <xdr:cNvSpPr/>
        </xdr:nvSpPr>
        <xdr:spPr>
          <a:xfrm>
            <a:off x="20803" y="0"/>
            <a:ext cx="1545060" cy="41276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305C8A1-0CC6-DA4D-B76A-B342E2BC0B4D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+1,69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" textlink="'DONNEES '!T40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7516D71F-094F-D9FB-2E17-BC50AB8E6EC8}"/>
              </a:ext>
            </a:extLst>
          </xdr:cNvPr>
          <xdr:cNvSpPr/>
        </xdr:nvSpPr>
        <xdr:spPr>
          <a:xfrm>
            <a:off x="1309" y="618440"/>
            <a:ext cx="1545060" cy="41276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B7722AA5-66DB-4040-BCC5-17050A02ECA2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+0,08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" textlink="'DONNEES '!T39">
        <xdr:nvSpPr>
          <xdr:cNvPr id="232" name="Rectangle : coins arrondis 231">
            <a:extLst>
              <a:ext uri="{FF2B5EF4-FFF2-40B4-BE49-F238E27FC236}">
                <a16:creationId xmlns:a16="http://schemas.microsoft.com/office/drawing/2014/main" id="{CF1917EC-8AFB-E2AA-AACA-AD1E2A7F8180}"/>
              </a:ext>
            </a:extLst>
          </xdr:cNvPr>
          <xdr:cNvSpPr/>
        </xdr:nvSpPr>
        <xdr:spPr>
          <a:xfrm>
            <a:off x="13869" y="1218849"/>
            <a:ext cx="1545061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A45366E-95D3-8A48-80E8-316CD90B57A6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+2,38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" textlink="'DONNEES '!T38">
        <xdr:nvSpPr>
          <xdr:cNvPr id="233" name="Rectangle : coins arrondis 232">
            <a:extLst>
              <a:ext uri="{FF2B5EF4-FFF2-40B4-BE49-F238E27FC236}">
                <a16:creationId xmlns:a16="http://schemas.microsoft.com/office/drawing/2014/main" id="{87D6902C-68CE-B8CF-C1CD-18DC193A0C33}"/>
              </a:ext>
            </a:extLst>
          </xdr:cNvPr>
          <xdr:cNvSpPr/>
        </xdr:nvSpPr>
        <xdr:spPr>
          <a:xfrm>
            <a:off x="7195" y="1837288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89B650D-AEC6-EE4E-8FBF-A59439779AB9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-1,75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" textlink="'DONNEES '!T37">
        <xdr:nvSpPr>
          <xdr:cNvPr id="247" name="Rectangle : coins arrondis 246">
            <a:extLst>
              <a:ext uri="{FF2B5EF4-FFF2-40B4-BE49-F238E27FC236}">
                <a16:creationId xmlns:a16="http://schemas.microsoft.com/office/drawing/2014/main" id="{FBB1AF65-B2D7-68A8-3A58-26F4748DFEFB}"/>
              </a:ext>
            </a:extLst>
          </xdr:cNvPr>
          <xdr:cNvSpPr/>
        </xdr:nvSpPr>
        <xdr:spPr>
          <a:xfrm>
            <a:off x="6934" y="2466336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BB0CD817-A5D3-CC45-8B4D-36BDB611C9F1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-0,86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" textlink="'DONNEES '!T36">
        <xdr:nvSpPr>
          <xdr:cNvPr id="258" name="Rectangle : coins arrondis 257">
            <a:extLst>
              <a:ext uri="{FF2B5EF4-FFF2-40B4-BE49-F238E27FC236}">
                <a16:creationId xmlns:a16="http://schemas.microsoft.com/office/drawing/2014/main" id="{0B92836C-E8CE-0463-633E-B8AAB2ACD822}"/>
              </a:ext>
            </a:extLst>
          </xdr:cNvPr>
          <xdr:cNvSpPr/>
        </xdr:nvSpPr>
        <xdr:spPr>
          <a:xfrm>
            <a:off x="6671" y="3091059"/>
            <a:ext cx="1545060" cy="411558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A9C19B1-FF37-C149-89D2-8F1DE371FECD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+0,07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" textlink="'DONNEES '!T35">
        <xdr:nvSpPr>
          <xdr:cNvPr id="259" name="Rectangle : coins arrondis 258">
            <a:extLst>
              <a:ext uri="{FF2B5EF4-FFF2-40B4-BE49-F238E27FC236}">
                <a16:creationId xmlns:a16="http://schemas.microsoft.com/office/drawing/2014/main" id="{67480352-A75F-48B1-D565-9C32C10CC722}"/>
              </a:ext>
            </a:extLst>
          </xdr:cNvPr>
          <xdr:cNvSpPr/>
        </xdr:nvSpPr>
        <xdr:spPr>
          <a:xfrm>
            <a:off x="0" y="3683966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83B00F14-6699-3942-B4FC-CBF2411D7369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-3,73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" textlink="'DONNEES '!T34">
        <xdr:nvSpPr>
          <xdr:cNvPr id="260" name="Rectangle : coins arrondis 259">
            <a:extLst>
              <a:ext uri="{FF2B5EF4-FFF2-40B4-BE49-F238E27FC236}">
                <a16:creationId xmlns:a16="http://schemas.microsoft.com/office/drawing/2014/main" id="{67B12408-CB1D-C04A-E830-DDD7CFF46862}"/>
              </a:ext>
            </a:extLst>
          </xdr:cNvPr>
          <xdr:cNvSpPr/>
        </xdr:nvSpPr>
        <xdr:spPr>
          <a:xfrm>
            <a:off x="12560" y="4334235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4A3E341-A2C1-EC48-87D3-6CE0ABC2B77D}" type="TxLink">
              <a:rPr lang="en-US" sz="2400" b="1" i="0" u="none" strike="noStrike">
                <a:solidFill>
                  <a:schemeClr val="accent4">
                    <a:lumMod val="50000"/>
                  </a:schemeClr>
                </a:solidFill>
                <a:latin typeface="Avenir Next Condensed Regular"/>
              </a:rPr>
              <a:pPr algn="ctr"/>
              <a:t>-7,29</a:t>
            </a:fld>
            <a:endParaRPr lang="fr-FR" sz="2400" b="1">
              <a:solidFill>
                <a:schemeClr val="accent4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21</xdr:col>
      <xdr:colOff>201658</xdr:colOff>
      <xdr:row>134</xdr:row>
      <xdr:rowOff>122331</xdr:rowOff>
    </xdr:from>
    <xdr:to>
      <xdr:col>21</xdr:col>
      <xdr:colOff>813890</xdr:colOff>
      <xdr:row>156</xdr:row>
      <xdr:rowOff>85679</xdr:rowOff>
    </xdr:to>
    <xdr:sp macro="" textlink="">
      <xdr:nvSpPr>
        <xdr:cNvPr id="261" name="Rectangle : coins arrondis 260">
          <a:extLst>
            <a:ext uri="{FF2B5EF4-FFF2-40B4-BE49-F238E27FC236}">
              <a16:creationId xmlns:a16="http://schemas.microsoft.com/office/drawing/2014/main" id="{7F7E084A-2B0E-7346-90A5-23F37E7647AD}"/>
            </a:ext>
          </a:extLst>
        </xdr:cNvPr>
        <xdr:cNvSpPr/>
      </xdr:nvSpPr>
      <xdr:spPr>
        <a:xfrm>
          <a:off x="24853265" y="32711438"/>
          <a:ext cx="612232" cy="4952634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Par rapport à la semaine précédente</a:t>
          </a:r>
        </a:p>
      </xdr:txBody>
    </xdr:sp>
    <xdr:clientData/>
  </xdr:twoCellAnchor>
  <xdr:twoCellAnchor>
    <xdr:from>
      <xdr:col>12</xdr:col>
      <xdr:colOff>360132</xdr:colOff>
      <xdr:row>111</xdr:row>
      <xdr:rowOff>30748</xdr:rowOff>
    </xdr:from>
    <xdr:to>
      <xdr:col>24</xdr:col>
      <xdr:colOff>0</xdr:colOff>
      <xdr:row>133</xdr:row>
      <xdr:rowOff>41630</xdr:rowOff>
    </xdr:to>
    <xdr:grpSp>
      <xdr:nvGrpSpPr>
        <xdr:cNvPr id="309" name="Groupe 308">
          <a:extLst>
            <a:ext uri="{FF2B5EF4-FFF2-40B4-BE49-F238E27FC236}">
              <a16:creationId xmlns:a16="http://schemas.microsoft.com/office/drawing/2014/main" id="{BE62D8E2-05B5-46A3-309A-FA1460D43120}"/>
            </a:ext>
          </a:extLst>
        </xdr:cNvPr>
        <xdr:cNvGrpSpPr/>
      </xdr:nvGrpSpPr>
      <xdr:grpSpPr>
        <a:xfrm>
          <a:off x="14079980" y="27605142"/>
          <a:ext cx="13109565" cy="5206336"/>
          <a:chOff x="13943610" y="26287717"/>
          <a:chExt cx="12984071" cy="5023601"/>
        </a:xfrm>
      </xdr:grpSpPr>
      <xdr:grpSp>
        <xdr:nvGrpSpPr>
          <xdr:cNvPr id="178" name="Groupe 177">
            <a:extLst>
              <a:ext uri="{FF2B5EF4-FFF2-40B4-BE49-F238E27FC236}">
                <a16:creationId xmlns:a16="http://schemas.microsoft.com/office/drawing/2014/main" id="{931B1852-F041-3F48-BAB6-B3CA5403DFD7}"/>
              </a:ext>
            </a:extLst>
          </xdr:cNvPr>
          <xdr:cNvGrpSpPr/>
        </xdr:nvGrpSpPr>
        <xdr:grpSpPr>
          <a:xfrm>
            <a:off x="13943610" y="26302466"/>
            <a:ext cx="12984071" cy="4963307"/>
            <a:chOff x="779132" y="29108399"/>
            <a:chExt cx="8297134" cy="4150629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graphicFrame macro="">
          <xdr:nvGraphicFramePr>
            <xdr:cNvPr id="179" name="Graphique 178">
              <a:extLst>
                <a:ext uri="{FF2B5EF4-FFF2-40B4-BE49-F238E27FC236}">
                  <a16:creationId xmlns:a16="http://schemas.microsoft.com/office/drawing/2014/main" id="{A5E58A2E-FB28-9074-672F-E514CE6E54D7}"/>
                </a:ext>
              </a:extLst>
            </xdr:cNvPr>
            <xdr:cNvGraphicFramePr/>
          </xdr:nvGraphicFramePr>
          <xdr:xfrm>
            <a:off x="1227153" y="29108399"/>
            <a:ext cx="7849113" cy="414866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180" name="Rectangle : avec coins arrondis en haut 179">
              <a:extLst>
                <a:ext uri="{FF2B5EF4-FFF2-40B4-BE49-F238E27FC236}">
                  <a16:creationId xmlns:a16="http://schemas.microsoft.com/office/drawing/2014/main" id="{2F780198-0DDA-4843-101C-752DF99C3ECC}"/>
                </a:ext>
              </a:extLst>
            </xdr:cNvPr>
            <xdr:cNvSpPr/>
          </xdr:nvSpPr>
          <xdr:spPr>
            <a:xfrm rot="16200000">
              <a:off x="-1008316" y="30895847"/>
              <a:ext cx="4150629" cy="575733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rgbClr val="A243E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fr-FR" sz="3600" b="1">
                  <a:solidFill>
                    <a:srgbClr val="EBDEF8"/>
                  </a:solidFill>
                  <a:latin typeface="Avenir Next Condensed" panose="020B0506020202020204" pitchFamily="34" charset="0"/>
                </a:rPr>
                <a:t>VPHE -</a:t>
              </a:r>
              <a:r>
                <a:rPr lang="fr-FR" sz="3600" b="1" baseline="0">
                  <a:solidFill>
                    <a:srgbClr val="EBDEF8"/>
                  </a:solidFill>
                  <a:latin typeface="Avenir Next Condensed" panose="020B0506020202020204" pitchFamily="34" charset="0"/>
                </a:rPr>
                <a:t> JUIN</a:t>
              </a:r>
            </a:p>
          </xdr:txBody>
        </xdr:sp>
      </xdr:grpSp>
      <xdr:grpSp>
        <xdr:nvGrpSpPr>
          <xdr:cNvPr id="262" name="Groupe 261">
            <a:extLst>
              <a:ext uri="{FF2B5EF4-FFF2-40B4-BE49-F238E27FC236}">
                <a16:creationId xmlns:a16="http://schemas.microsoft.com/office/drawing/2014/main" id="{C631FC89-A864-F544-829D-3079FDCD18F3}"/>
              </a:ext>
            </a:extLst>
          </xdr:cNvPr>
          <xdr:cNvGrpSpPr/>
        </xdr:nvGrpSpPr>
        <xdr:grpSpPr>
          <a:xfrm>
            <a:off x="25183161" y="26426759"/>
            <a:ext cx="1649229" cy="4587258"/>
            <a:chOff x="0" y="0"/>
            <a:chExt cx="1676490" cy="4745792"/>
          </a:xfrm>
          <a:solidFill>
            <a:srgbClr val="EBDEF8"/>
          </a:solidFill>
        </xdr:grpSpPr>
        <xdr:sp macro="" textlink="'DONNEES '!T61">
          <xdr:nvSpPr>
            <xdr:cNvPr id="263" name="Rectangle : coins arrondis 262">
              <a:extLst>
                <a:ext uri="{FF2B5EF4-FFF2-40B4-BE49-F238E27FC236}">
                  <a16:creationId xmlns:a16="http://schemas.microsoft.com/office/drawing/2014/main" id="{302BD67D-DB58-0960-ECDC-F039D6E040FF}"/>
                </a:ext>
              </a:extLst>
            </xdr:cNvPr>
            <xdr:cNvSpPr/>
          </xdr:nvSpPr>
          <xdr:spPr>
            <a:xfrm>
              <a:off x="20803" y="0"/>
              <a:ext cx="1636314" cy="478554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DF2A5B27-0579-184E-9338-8B76FEEDE075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+10,37 €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T60">
          <xdr:nvSpPr>
            <xdr:cNvPr id="264" name="Rectangle : coins arrondis 263">
              <a:extLst>
                <a:ext uri="{FF2B5EF4-FFF2-40B4-BE49-F238E27FC236}">
                  <a16:creationId xmlns:a16="http://schemas.microsoft.com/office/drawing/2014/main" id="{CD952C68-DFAD-5F39-73FC-2D8837B0537C}"/>
                </a:ext>
              </a:extLst>
            </xdr:cNvPr>
            <xdr:cNvSpPr/>
          </xdr:nvSpPr>
          <xdr:spPr>
            <a:xfrm>
              <a:off x="1309" y="618440"/>
              <a:ext cx="1655808" cy="417168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D0B5475C-CBD4-FD4B-BCD2-D519173DF31A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+11,86 €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T59">
          <xdr:nvSpPr>
            <xdr:cNvPr id="265" name="Rectangle : coins arrondis 264">
              <a:extLst>
                <a:ext uri="{FF2B5EF4-FFF2-40B4-BE49-F238E27FC236}">
                  <a16:creationId xmlns:a16="http://schemas.microsoft.com/office/drawing/2014/main" id="{F5731FC8-9C8E-332A-16FD-BA2FBA712604}"/>
                </a:ext>
              </a:extLst>
            </xdr:cNvPr>
            <xdr:cNvSpPr/>
          </xdr:nvSpPr>
          <xdr:spPr>
            <a:xfrm>
              <a:off x="13869" y="1218849"/>
              <a:ext cx="1545061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1787CD3-FEAC-4C49-9F2E-E1BE7B3D717C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+1,58 €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T58">
          <xdr:nvSpPr>
            <xdr:cNvPr id="266" name="Rectangle : coins arrondis 265">
              <a:extLst>
                <a:ext uri="{FF2B5EF4-FFF2-40B4-BE49-F238E27FC236}">
                  <a16:creationId xmlns:a16="http://schemas.microsoft.com/office/drawing/2014/main" id="{7A4311B2-1F90-15A9-5D88-461DC94E8894}"/>
                </a:ext>
              </a:extLst>
            </xdr:cNvPr>
            <xdr:cNvSpPr/>
          </xdr:nvSpPr>
          <xdr:spPr>
            <a:xfrm>
              <a:off x="7195" y="1837288"/>
              <a:ext cx="1545060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E8F5E50-2BFB-7A4F-961B-1A8CBF790A50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-1,81 €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T57">
          <xdr:nvSpPr>
            <xdr:cNvPr id="267" name="Rectangle : coins arrondis 266">
              <a:extLst>
                <a:ext uri="{FF2B5EF4-FFF2-40B4-BE49-F238E27FC236}">
                  <a16:creationId xmlns:a16="http://schemas.microsoft.com/office/drawing/2014/main" id="{C8019642-220C-7C48-527C-A49A9F6CDD7D}"/>
                </a:ext>
              </a:extLst>
            </xdr:cNvPr>
            <xdr:cNvSpPr/>
          </xdr:nvSpPr>
          <xdr:spPr>
            <a:xfrm>
              <a:off x="6934" y="2466336"/>
              <a:ext cx="1545060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69EF96EC-1C38-E445-8480-6CDE23854F3C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+3,28 €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T56">
          <xdr:nvSpPr>
            <xdr:cNvPr id="268" name="Rectangle : coins arrondis 267">
              <a:extLst>
                <a:ext uri="{FF2B5EF4-FFF2-40B4-BE49-F238E27FC236}">
                  <a16:creationId xmlns:a16="http://schemas.microsoft.com/office/drawing/2014/main" id="{43B37ECC-2946-7E65-9701-358E90883BB9}"/>
                </a:ext>
              </a:extLst>
            </xdr:cNvPr>
            <xdr:cNvSpPr/>
          </xdr:nvSpPr>
          <xdr:spPr>
            <a:xfrm>
              <a:off x="6670" y="3091059"/>
              <a:ext cx="1669819" cy="460889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292CE5A-6BCC-514F-AC33-5ACA1F7B9C0A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+10,29 €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T55">
          <xdr:nvSpPr>
            <xdr:cNvPr id="269" name="Rectangle : coins arrondis 268">
              <a:extLst>
                <a:ext uri="{FF2B5EF4-FFF2-40B4-BE49-F238E27FC236}">
                  <a16:creationId xmlns:a16="http://schemas.microsoft.com/office/drawing/2014/main" id="{26CAAB82-14A2-4950-58EF-E7FC480F0BD5}"/>
                </a:ext>
              </a:extLst>
            </xdr:cNvPr>
            <xdr:cNvSpPr/>
          </xdr:nvSpPr>
          <xdr:spPr>
            <a:xfrm>
              <a:off x="0" y="3683966"/>
              <a:ext cx="1676490" cy="444244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9E6A803B-47EF-5B4D-8FA9-195576A79763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-12,65 €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T54">
          <xdr:nvSpPr>
            <xdr:cNvPr id="270" name="Rectangle : coins arrondis 269">
              <a:extLst>
                <a:ext uri="{FF2B5EF4-FFF2-40B4-BE49-F238E27FC236}">
                  <a16:creationId xmlns:a16="http://schemas.microsoft.com/office/drawing/2014/main" id="{9E474EE1-F330-126E-CCCC-014CB363639F}"/>
                </a:ext>
              </a:extLst>
            </xdr:cNvPr>
            <xdr:cNvSpPr/>
          </xdr:nvSpPr>
          <xdr:spPr>
            <a:xfrm>
              <a:off x="12560" y="4334235"/>
              <a:ext cx="1545060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A6EFF1C7-907E-754D-B057-C347EAC388FB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-10,11 €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</xdr:grpSp>
      <xdr:sp macro="" textlink="">
        <xdr:nvSpPr>
          <xdr:cNvPr id="271" name="Rectangle : coins arrondis 270">
            <a:extLst>
              <a:ext uri="{FF2B5EF4-FFF2-40B4-BE49-F238E27FC236}">
                <a16:creationId xmlns:a16="http://schemas.microsoft.com/office/drawing/2014/main" id="{166C3D50-5900-7B4C-84F7-C93A1B0A5A14}"/>
              </a:ext>
            </a:extLst>
          </xdr:cNvPr>
          <xdr:cNvSpPr/>
        </xdr:nvSpPr>
        <xdr:spPr>
          <a:xfrm>
            <a:off x="24546815" y="26287717"/>
            <a:ext cx="604356" cy="5023601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ctr"/>
            <a:r>
              <a:rPr lang="fr-FR" sz="2400" b="1">
                <a:solidFill>
                  <a:srgbClr val="7030A0"/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la semaine précédente</a:t>
            </a:r>
          </a:p>
        </xdr:txBody>
      </xdr:sp>
    </xdr:grpSp>
    <xdr:clientData/>
  </xdr:twoCellAnchor>
  <xdr:twoCellAnchor>
    <xdr:from>
      <xdr:col>9</xdr:col>
      <xdr:colOff>843225</xdr:colOff>
      <xdr:row>205</xdr:row>
      <xdr:rowOff>160341</xdr:rowOff>
    </xdr:from>
    <xdr:to>
      <xdr:col>11</xdr:col>
      <xdr:colOff>684697</xdr:colOff>
      <xdr:row>229</xdr:row>
      <xdr:rowOff>110240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3414DFDF-4D06-964F-AF53-FD64DD1C0319}"/>
            </a:ext>
          </a:extLst>
        </xdr:cNvPr>
        <xdr:cNvGrpSpPr/>
      </xdr:nvGrpSpPr>
      <xdr:grpSpPr>
        <a:xfrm>
          <a:off x="10964740" y="50460038"/>
          <a:ext cx="2266018" cy="5491717"/>
          <a:chOff x="24498299" y="48890147"/>
          <a:chExt cx="2269420" cy="5295004"/>
        </a:xfrm>
      </xdr:grpSpPr>
      <xdr:sp macro="" textlink="'DONNEES '!T82">
        <xdr:nvSpPr>
          <xdr:cNvPr id="50" name="Rectangle : coins arrondis 49">
            <a:extLst>
              <a:ext uri="{FF2B5EF4-FFF2-40B4-BE49-F238E27FC236}">
                <a16:creationId xmlns:a16="http://schemas.microsoft.com/office/drawing/2014/main" id="{9FEBCEB4-1A72-EAD5-3719-9849A932507F}"/>
              </a:ext>
            </a:extLst>
          </xdr:cNvPr>
          <xdr:cNvSpPr/>
        </xdr:nvSpPr>
        <xdr:spPr>
          <a:xfrm>
            <a:off x="25188685" y="48960677"/>
            <a:ext cx="1554117" cy="481237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02A1CDB-C784-2749-93A5-6E2C7DBC3A74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-6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81">
        <xdr:nvSpPr>
          <xdr:cNvPr id="131" name="Rectangle : coins arrondis 130">
            <a:extLst>
              <a:ext uri="{FF2B5EF4-FFF2-40B4-BE49-F238E27FC236}">
                <a16:creationId xmlns:a16="http://schemas.microsoft.com/office/drawing/2014/main" id="{2A14A3BD-652B-91BE-13F6-1F22AFCC5356}"/>
              </a:ext>
            </a:extLst>
          </xdr:cNvPr>
          <xdr:cNvSpPr/>
        </xdr:nvSpPr>
        <xdr:spPr>
          <a:xfrm>
            <a:off x="25185559" y="49604536"/>
            <a:ext cx="1561074" cy="468505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D873AC4-8D72-DD42-9A26-DC6AA6081A7C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80">
        <xdr:nvSpPr>
          <xdr:cNvPr id="132" name="Rectangle : coins arrondis 131">
            <a:extLst>
              <a:ext uri="{FF2B5EF4-FFF2-40B4-BE49-F238E27FC236}">
                <a16:creationId xmlns:a16="http://schemas.microsoft.com/office/drawing/2014/main" id="{5E0D25E5-48E1-3111-D720-8A95441AF333}"/>
              </a:ext>
            </a:extLst>
          </xdr:cNvPr>
          <xdr:cNvSpPr/>
        </xdr:nvSpPr>
        <xdr:spPr>
          <a:xfrm>
            <a:off x="25208739" y="50247440"/>
            <a:ext cx="1550393" cy="476249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24E7C3D-BA7E-7E43-9597-FDA4FECDEBEF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-25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79">
        <xdr:nvSpPr>
          <xdr:cNvPr id="209" name="Rectangle : coins arrondis 208">
            <a:extLst>
              <a:ext uri="{FF2B5EF4-FFF2-40B4-BE49-F238E27FC236}">
                <a16:creationId xmlns:a16="http://schemas.microsoft.com/office/drawing/2014/main" id="{7290EA84-08E2-26A9-A761-097EAFD8009E}"/>
              </a:ext>
            </a:extLst>
          </xdr:cNvPr>
          <xdr:cNvSpPr/>
        </xdr:nvSpPr>
        <xdr:spPr>
          <a:xfrm>
            <a:off x="25191417" y="50902485"/>
            <a:ext cx="1561074" cy="464108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5DF713-93E4-EF48-B677-3E756DAB7705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-15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78">
        <xdr:nvSpPr>
          <xdr:cNvPr id="210" name="Rectangle : coins arrondis 209">
            <a:extLst>
              <a:ext uri="{FF2B5EF4-FFF2-40B4-BE49-F238E27FC236}">
                <a16:creationId xmlns:a16="http://schemas.microsoft.com/office/drawing/2014/main" id="{B3413BF1-9EE0-DACF-8358-ABC5170880C5}"/>
              </a:ext>
            </a:extLst>
          </xdr:cNvPr>
          <xdr:cNvSpPr/>
        </xdr:nvSpPr>
        <xdr:spPr>
          <a:xfrm>
            <a:off x="25210369" y="51545967"/>
            <a:ext cx="1557350" cy="471274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80944BA-5FBE-584C-8C86-522A5999C506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-44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77">
        <xdr:nvSpPr>
          <xdr:cNvPr id="228" name="Rectangle : coins arrondis 227">
            <a:extLst>
              <a:ext uri="{FF2B5EF4-FFF2-40B4-BE49-F238E27FC236}">
                <a16:creationId xmlns:a16="http://schemas.microsoft.com/office/drawing/2014/main" id="{25F0B1F6-EACD-7AF9-758A-331C14A271A3}"/>
              </a:ext>
            </a:extLst>
          </xdr:cNvPr>
          <xdr:cNvSpPr/>
        </xdr:nvSpPr>
        <xdr:spPr>
          <a:xfrm>
            <a:off x="25210107" y="52196153"/>
            <a:ext cx="1557350" cy="471734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2F6061-8402-5E4C-AD61-2DC9B8F55266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-24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76">
        <xdr:nvSpPr>
          <xdr:cNvPr id="272" name="Rectangle : coins arrondis 271">
            <a:extLst>
              <a:ext uri="{FF2B5EF4-FFF2-40B4-BE49-F238E27FC236}">
                <a16:creationId xmlns:a16="http://schemas.microsoft.com/office/drawing/2014/main" id="{08C4F9EB-0791-9E4A-4E5D-07C59CF0F0FB}"/>
              </a:ext>
            </a:extLst>
          </xdr:cNvPr>
          <xdr:cNvSpPr/>
        </xdr:nvSpPr>
        <xdr:spPr>
          <a:xfrm>
            <a:off x="25184257" y="52819602"/>
            <a:ext cx="1561074" cy="478688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B96286-35CB-B847-B836-715F48010131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+3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75">
        <xdr:nvSpPr>
          <xdr:cNvPr id="273" name="Rectangle : coins arrondis 272">
            <a:extLst>
              <a:ext uri="{FF2B5EF4-FFF2-40B4-BE49-F238E27FC236}">
                <a16:creationId xmlns:a16="http://schemas.microsoft.com/office/drawing/2014/main" id="{F1423824-66B1-EA36-B191-678ED53A4FE2}"/>
              </a:ext>
            </a:extLst>
          </xdr:cNvPr>
          <xdr:cNvSpPr/>
        </xdr:nvSpPr>
        <xdr:spPr>
          <a:xfrm>
            <a:off x="25207437" y="53474803"/>
            <a:ext cx="1550393" cy="466393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252AD48-E8FC-4D40-8B56-92E416D08EE7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-0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274" name="Rectangle : coins arrondis 273">
            <a:extLst>
              <a:ext uri="{FF2B5EF4-FFF2-40B4-BE49-F238E27FC236}">
                <a16:creationId xmlns:a16="http://schemas.microsoft.com/office/drawing/2014/main" id="{CB65C2C0-5901-8ECC-2BCA-A07A97ABA383}"/>
              </a:ext>
            </a:extLst>
          </xdr:cNvPr>
          <xdr:cNvSpPr/>
        </xdr:nvSpPr>
        <xdr:spPr>
          <a:xfrm>
            <a:off x="24498299" y="48890147"/>
            <a:ext cx="611169" cy="5295004"/>
          </a:xfrm>
          <a:prstGeom prst="roundRect">
            <a:avLst>
              <a:gd name="adj" fmla="val 50000"/>
            </a:avLst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fr-FR" sz="2400" b="1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2025</a:t>
            </a:r>
          </a:p>
        </xdr:txBody>
      </xdr:sp>
    </xdr:grpSp>
    <xdr:clientData/>
  </xdr:twoCellAnchor>
  <xdr:twoCellAnchor>
    <xdr:from>
      <xdr:col>9</xdr:col>
      <xdr:colOff>881671</xdr:colOff>
      <xdr:row>231</xdr:row>
      <xdr:rowOff>198702</xdr:rowOff>
    </xdr:from>
    <xdr:to>
      <xdr:col>11</xdr:col>
      <xdr:colOff>694777</xdr:colOff>
      <xdr:row>253</xdr:row>
      <xdr:rowOff>15232</xdr:rowOff>
    </xdr:to>
    <xdr:grpSp>
      <xdr:nvGrpSpPr>
        <xdr:cNvPr id="275" name="Groupe 274">
          <a:extLst>
            <a:ext uri="{FF2B5EF4-FFF2-40B4-BE49-F238E27FC236}">
              <a16:creationId xmlns:a16="http://schemas.microsoft.com/office/drawing/2014/main" id="{7BE00483-FD53-D04F-96AE-275A0040913C}"/>
            </a:ext>
          </a:extLst>
        </xdr:cNvPr>
        <xdr:cNvGrpSpPr/>
      </xdr:nvGrpSpPr>
      <xdr:grpSpPr>
        <a:xfrm>
          <a:off x="11003186" y="56502035"/>
          <a:ext cx="2237652" cy="4896530"/>
          <a:chOff x="24638000" y="53326559"/>
          <a:chExt cx="2240677" cy="4650280"/>
        </a:xfrm>
      </xdr:grpSpPr>
      <xdr:sp macro="" textlink="'DONNEES '!T19">
        <xdr:nvSpPr>
          <xdr:cNvPr id="276" name="Rectangle : coins arrondis 275">
            <a:extLst>
              <a:ext uri="{FF2B5EF4-FFF2-40B4-BE49-F238E27FC236}">
                <a16:creationId xmlns:a16="http://schemas.microsoft.com/office/drawing/2014/main" id="{A3851E8E-0501-362E-96A9-5ED54CD2769A}"/>
              </a:ext>
            </a:extLst>
          </xdr:cNvPr>
          <xdr:cNvSpPr/>
        </xdr:nvSpPr>
        <xdr:spPr>
          <a:xfrm>
            <a:off x="25337143" y="53326559"/>
            <a:ext cx="1541534" cy="418477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960F34-A4B9-C141-B3D6-645BC9CADD57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+15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18">
        <xdr:nvSpPr>
          <xdr:cNvPr id="277" name="Rectangle : coins arrondis 276">
            <a:extLst>
              <a:ext uri="{FF2B5EF4-FFF2-40B4-BE49-F238E27FC236}">
                <a16:creationId xmlns:a16="http://schemas.microsoft.com/office/drawing/2014/main" id="{6422959C-549B-F6D7-03E0-4F06E2F48393}"/>
              </a:ext>
            </a:extLst>
          </xdr:cNvPr>
          <xdr:cNvSpPr/>
        </xdr:nvSpPr>
        <xdr:spPr>
          <a:xfrm>
            <a:off x="25317693" y="53927703"/>
            <a:ext cx="1541534" cy="418476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5351BC-A3FA-5248-8F03-A104858B1DEC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+2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17">
        <xdr:nvSpPr>
          <xdr:cNvPr id="278" name="Rectangle : coins arrondis 277">
            <a:extLst>
              <a:ext uri="{FF2B5EF4-FFF2-40B4-BE49-F238E27FC236}">
                <a16:creationId xmlns:a16="http://schemas.microsoft.com/office/drawing/2014/main" id="{BAEA017C-F7FC-18CA-B19A-89E594EC2A8C}"/>
              </a:ext>
            </a:extLst>
          </xdr:cNvPr>
          <xdr:cNvSpPr/>
        </xdr:nvSpPr>
        <xdr:spPr>
          <a:xfrm>
            <a:off x="25330224" y="54536435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A5C2DD-CCEA-354D-9B78-7EC2225FDFBE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+15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16">
        <xdr:nvSpPr>
          <xdr:cNvPr id="279" name="Rectangle : coins arrondis 278">
            <a:extLst>
              <a:ext uri="{FF2B5EF4-FFF2-40B4-BE49-F238E27FC236}">
                <a16:creationId xmlns:a16="http://schemas.microsoft.com/office/drawing/2014/main" id="{0ACF35D4-AAFD-CB06-D0FB-13DC4B77CD9D}"/>
              </a:ext>
            </a:extLst>
          </xdr:cNvPr>
          <xdr:cNvSpPr/>
        </xdr:nvSpPr>
        <xdr:spPr>
          <a:xfrm>
            <a:off x="25323566" y="55107370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E82B38A-3DC6-BF44-8BC8-47AD7F5FB9A9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-89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15">
        <xdr:nvSpPr>
          <xdr:cNvPr id="280" name="Rectangle : coins arrondis 279">
            <a:extLst>
              <a:ext uri="{FF2B5EF4-FFF2-40B4-BE49-F238E27FC236}">
                <a16:creationId xmlns:a16="http://schemas.microsoft.com/office/drawing/2014/main" id="{4BF1BD83-52BA-EA6F-947C-892BA669E6E9}"/>
              </a:ext>
            </a:extLst>
          </xdr:cNvPr>
          <xdr:cNvSpPr/>
        </xdr:nvSpPr>
        <xdr:spPr>
          <a:xfrm>
            <a:off x="25323305" y="55687836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9477D18-BEF5-BD49-AF12-B39688459A21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-100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14">
        <xdr:nvSpPr>
          <xdr:cNvPr id="281" name="Rectangle : coins arrondis 280">
            <a:extLst>
              <a:ext uri="{FF2B5EF4-FFF2-40B4-BE49-F238E27FC236}">
                <a16:creationId xmlns:a16="http://schemas.microsoft.com/office/drawing/2014/main" id="{1FEE333A-3244-809F-F592-E43FCB82260B}"/>
              </a:ext>
            </a:extLst>
          </xdr:cNvPr>
          <xdr:cNvSpPr/>
        </xdr:nvSpPr>
        <xdr:spPr>
          <a:xfrm>
            <a:off x="25323042" y="56245635"/>
            <a:ext cx="1541534" cy="417252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F877CB9-5B6E-FA41-8693-B674E621E66F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-49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13">
        <xdr:nvSpPr>
          <xdr:cNvPr id="282" name="Rectangle : coins arrondis 281">
            <a:extLst>
              <a:ext uri="{FF2B5EF4-FFF2-40B4-BE49-F238E27FC236}">
                <a16:creationId xmlns:a16="http://schemas.microsoft.com/office/drawing/2014/main" id="{FCDC6B04-44C5-95A2-2D52-6032DDDAAEA6}"/>
              </a:ext>
            </a:extLst>
          </xdr:cNvPr>
          <xdr:cNvSpPr/>
        </xdr:nvSpPr>
        <xdr:spPr>
          <a:xfrm>
            <a:off x="25316387" y="56847990"/>
            <a:ext cx="1541534" cy="4045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95A13F9-A72E-974B-81B9-AE3B2AE990F0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+1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12">
        <xdr:nvSpPr>
          <xdr:cNvPr id="283" name="Rectangle : coins arrondis 282">
            <a:extLst>
              <a:ext uri="{FF2B5EF4-FFF2-40B4-BE49-F238E27FC236}">
                <a16:creationId xmlns:a16="http://schemas.microsoft.com/office/drawing/2014/main" id="{427F1116-FB61-0817-C366-304F809A41CD}"/>
              </a:ext>
            </a:extLst>
          </xdr:cNvPr>
          <xdr:cNvSpPr/>
        </xdr:nvSpPr>
        <xdr:spPr>
          <a:xfrm>
            <a:off x="25328918" y="57435584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C653612-ED9C-064A-B856-170751A44B84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-48</a:t>
            </a:fld>
            <a:endParaRPr lang="fr-FR" sz="2400" b="1">
              <a:solidFill>
                <a:schemeClr val="accent6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284" name="Rectangle : coins arrondis 283">
            <a:extLst>
              <a:ext uri="{FF2B5EF4-FFF2-40B4-BE49-F238E27FC236}">
                <a16:creationId xmlns:a16="http://schemas.microsoft.com/office/drawing/2014/main" id="{2F9B77A6-79A9-F3F3-8ECC-0A6C5411FCC2}"/>
              </a:ext>
            </a:extLst>
          </xdr:cNvPr>
          <xdr:cNvSpPr/>
        </xdr:nvSpPr>
        <xdr:spPr>
          <a:xfrm>
            <a:off x="24638000" y="53371802"/>
            <a:ext cx="609600" cy="4605037"/>
          </a:xfrm>
          <a:prstGeom prst="roundRect">
            <a:avLst>
              <a:gd name="adj" fmla="val 50000"/>
            </a:avLst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fr-FR" sz="2400" b="1">
                <a:solidFill>
                  <a:schemeClr val="accent6">
                    <a:lumMod val="75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2025</a:t>
            </a:r>
          </a:p>
        </xdr:txBody>
      </xdr:sp>
    </xdr:grpSp>
    <xdr:clientData/>
  </xdr:twoCellAnchor>
  <xdr:twoCellAnchor>
    <xdr:from>
      <xdr:col>9</xdr:col>
      <xdr:colOff>544287</xdr:colOff>
      <xdr:row>88</xdr:row>
      <xdr:rowOff>152400</xdr:rowOff>
    </xdr:from>
    <xdr:to>
      <xdr:col>9</xdr:col>
      <xdr:colOff>1077687</xdr:colOff>
      <xdr:row>105</xdr:row>
      <xdr:rowOff>177800</xdr:rowOff>
    </xdr:to>
    <xdr:sp macro="" textlink="">
      <xdr:nvSpPr>
        <xdr:cNvPr id="285" name="Rectangle : coins arrondis 284">
          <a:extLst>
            <a:ext uri="{FF2B5EF4-FFF2-40B4-BE49-F238E27FC236}">
              <a16:creationId xmlns:a16="http://schemas.microsoft.com/office/drawing/2014/main" id="{EAF3DEAE-7D19-BED3-AE42-DB5D4D93E681}"/>
            </a:ext>
          </a:extLst>
        </xdr:cNvPr>
        <xdr:cNvSpPr/>
      </xdr:nvSpPr>
      <xdr:spPr>
        <a:xfrm>
          <a:off x="10577287" y="22849114"/>
          <a:ext cx="533400" cy="4034972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fr-FR" sz="2400" b="1">
              <a:solidFill>
                <a:schemeClr val="accent1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rPr>
            <a:t>Par</a:t>
          </a:r>
          <a:r>
            <a:rPr lang="fr-FR" sz="2400" b="1" baseline="0">
              <a:solidFill>
                <a:schemeClr val="accent1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rPr>
            <a:t> rapport à 2025</a:t>
          </a:r>
          <a:endParaRPr lang="fr-FR" sz="2400" b="1">
            <a:solidFill>
              <a:schemeClr val="accent1">
                <a:lumMod val="20000"/>
                <a:lumOff val="8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9</xdr:col>
      <xdr:colOff>939800</xdr:colOff>
      <xdr:row>255</xdr:row>
      <xdr:rowOff>203206</xdr:rowOff>
    </xdr:from>
    <xdr:to>
      <xdr:col>11</xdr:col>
      <xdr:colOff>752906</xdr:colOff>
      <xdr:row>277</xdr:row>
      <xdr:rowOff>19736</xdr:rowOff>
    </xdr:to>
    <xdr:grpSp>
      <xdr:nvGrpSpPr>
        <xdr:cNvPr id="286" name="Groupe 285">
          <a:extLst>
            <a:ext uri="{FF2B5EF4-FFF2-40B4-BE49-F238E27FC236}">
              <a16:creationId xmlns:a16="http://schemas.microsoft.com/office/drawing/2014/main" id="{5D93DA56-3330-6E4E-BE36-27BFCF35ECB8}"/>
            </a:ext>
          </a:extLst>
        </xdr:cNvPr>
        <xdr:cNvGrpSpPr/>
      </xdr:nvGrpSpPr>
      <xdr:grpSpPr>
        <a:xfrm>
          <a:off x="11061315" y="62048358"/>
          <a:ext cx="2237652" cy="4896530"/>
          <a:chOff x="24638000" y="53326559"/>
          <a:chExt cx="2240677" cy="4650280"/>
        </a:xfrm>
      </xdr:grpSpPr>
      <xdr:sp macro="" textlink="'DONNEES '!T23">
        <xdr:nvSpPr>
          <xdr:cNvPr id="287" name="Rectangle : coins arrondis 286">
            <a:extLst>
              <a:ext uri="{FF2B5EF4-FFF2-40B4-BE49-F238E27FC236}">
                <a16:creationId xmlns:a16="http://schemas.microsoft.com/office/drawing/2014/main" id="{06C806B6-8817-DF97-7DB6-8AE60A2CEE01}"/>
              </a:ext>
            </a:extLst>
          </xdr:cNvPr>
          <xdr:cNvSpPr/>
        </xdr:nvSpPr>
        <xdr:spPr>
          <a:xfrm>
            <a:off x="25337143" y="53326559"/>
            <a:ext cx="1541534" cy="418477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822369C-12E4-6642-8156-A34B9D09992B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-70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24">
        <xdr:nvSpPr>
          <xdr:cNvPr id="288" name="Rectangle : coins arrondis 287">
            <a:extLst>
              <a:ext uri="{FF2B5EF4-FFF2-40B4-BE49-F238E27FC236}">
                <a16:creationId xmlns:a16="http://schemas.microsoft.com/office/drawing/2014/main" id="{2F8CD990-47AD-2451-F8F3-AC53577E3236}"/>
              </a:ext>
            </a:extLst>
          </xdr:cNvPr>
          <xdr:cNvSpPr/>
        </xdr:nvSpPr>
        <xdr:spPr>
          <a:xfrm>
            <a:off x="25317693" y="53927703"/>
            <a:ext cx="1541534" cy="418476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788760F-45FF-BC4E-87E8-FD2154127238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-39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25">
        <xdr:nvSpPr>
          <xdr:cNvPr id="289" name="Rectangle : coins arrondis 288">
            <a:extLst>
              <a:ext uri="{FF2B5EF4-FFF2-40B4-BE49-F238E27FC236}">
                <a16:creationId xmlns:a16="http://schemas.microsoft.com/office/drawing/2014/main" id="{29BE6778-A2AA-4532-1837-CD0D171949AD}"/>
              </a:ext>
            </a:extLst>
          </xdr:cNvPr>
          <xdr:cNvSpPr/>
        </xdr:nvSpPr>
        <xdr:spPr>
          <a:xfrm>
            <a:off x="25330224" y="54536435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3469C4-0A7A-034E-A026-88DF71A66685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-101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26">
        <xdr:nvSpPr>
          <xdr:cNvPr id="290" name="Rectangle : coins arrondis 289">
            <a:extLst>
              <a:ext uri="{FF2B5EF4-FFF2-40B4-BE49-F238E27FC236}">
                <a16:creationId xmlns:a16="http://schemas.microsoft.com/office/drawing/2014/main" id="{E0976AD7-9BB7-6253-E2C4-9CD13EBB0A78}"/>
              </a:ext>
            </a:extLst>
          </xdr:cNvPr>
          <xdr:cNvSpPr/>
        </xdr:nvSpPr>
        <xdr:spPr>
          <a:xfrm>
            <a:off x="25323566" y="55107370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84DBC63-180B-724E-8538-F1B13FAB0A77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-57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27">
        <xdr:nvSpPr>
          <xdr:cNvPr id="291" name="Rectangle : coins arrondis 290">
            <a:extLst>
              <a:ext uri="{FF2B5EF4-FFF2-40B4-BE49-F238E27FC236}">
                <a16:creationId xmlns:a16="http://schemas.microsoft.com/office/drawing/2014/main" id="{28970FB9-7DD1-6BC8-C67F-4DB3F550E4B2}"/>
              </a:ext>
            </a:extLst>
          </xdr:cNvPr>
          <xdr:cNvSpPr/>
        </xdr:nvSpPr>
        <xdr:spPr>
          <a:xfrm>
            <a:off x="25323305" y="55687836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7E058E-C99E-874B-8268-268E8AAE77E4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-51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28">
        <xdr:nvSpPr>
          <xdr:cNvPr id="292" name="Rectangle : coins arrondis 291">
            <a:extLst>
              <a:ext uri="{FF2B5EF4-FFF2-40B4-BE49-F238E27FC236}">
                <a16:creationId xmlns:a16="http://schemas.microsoft.com/office/drawing/2014/main" id="{463DBD9B-C67C-FE9B-702E-B2E8D21D3F31}"/>
              </a:ext>
            </a:extLst>
          </xdr:cNvPr>
          <xdr:cNvSpPr/>
        </xdr:nvSpPr>
        <xdr:spPr>
          <a:xfrm>
            <a:off x="25323042" y="56245635"/>
            <a:ext cx="1541534" cy="417252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0049CA5-176C-7B41-AED7-5D4C736B57AE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-112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29">
        <xdr:nvSpPr>
          <xdr:cNvPr id="293" name="Rectangle : coins arrondis 292">
            <a:extLst>
              <a:ext uri="{FF2B5EF4-FFF2-40B4-BE49-F238E27FC236}">
                <a16:creationId xmlns:a16="http://schemas.microsoft.com/office/drawing/2014/main" id="{B0C2168E-C66D-479F-CFF4-59657BA095BD}"/>
              </a:ext>
            </a:extLst>
          </xdr:cNvPr>
          <xdr:cNvSpPr/>
        </xdr:nvSpPr>
        <xdr:spPr>
          <a:xfrm>
            <a:off x="25316387" y="56847990"/>
            <a:ext cx="1541534" cy="4045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58A9DC1-D5C4-3F42-BE01-99856676DFD4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-37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30">
        <xdr:nvSpPr>
          <xdr:cNvPr id="294" name="Rectangle : coins arrondis 293">
            <a:extLst>
              <a:ext uri="{FF2B5EF4-FFF2-40B4-BE49-F238E27FC236}">
                <a16:creationId xmlns:a16="http://schemas.microsoft.com/office/drawing/2014/main" id="{3F36DE21-2107-C027-8521-F4BB8510D3AD}"/>
              </a:ext>
            </a:extLst>
          </xdr:cNvPr>
          <xdr:cNvSpPr/>
        </xdr:nvSpPr>
        <xdr:spPr>
          <a:xfrm>
            <a:off x="25328918" y="57435584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B6E3E8-05EC-8A42-BB89-B7505F5FDA88}" type="TxLink"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-35</a:t>
            </a:fld>
            <a:endParaRPr lang="fr-FR" sz="2400" b="1">
              <a:solidFill>
                <a:schemeClr val="accent5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295" name="Rectangle : coins arrondis 294">
            <a:extLst>
              <a:ext uri="{FF2B5EF4-FFF2-40B4-BE49-F238E27FC236}">
                <a16:creationId xmlns:a16="http://schemas.microsoft.com/office/drawing/2014/main" id="{8D6B1294-E6E1-4166-CC2C-03F693958C85}"/>
              </a:ext>
            </a:extLst>
          </xdr:cNvPr>
          <xdr:cNvSpPr/>
        </xdr:nvSpPr>
        <xdr:spPr>
          <a:xfrm>
            <a:off x="24638000" y="53371802"/>
            <a:ext cx="609600" cy="4605037"/>
          </a:xfrm>
          <a:prstGeom prst="roundRect">
            <a:avLst>
              <a:gd name="adj" fmla="val 50000"/>
            </a:avLst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fr-FR" sz="2400" b="1">
                <a:solidFill>
                  <a:schemeClr val="accent5">
                    <a:lumMod val="75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2025</a:t>
            </a:r>
          </a:p>
        </xdr:txBody>
      </xdr:sp>
    </xdr:grpSp>
    <xdr:clientData/>
  </xdr:twoCellAnchor>
  <xdr:twoCellAnchor>
    <xdr:from>
      <xdr:col>0</xdr:col>
      <xdr:colOff>718546</xdr:colOff>
      <xdr:row>186</xdr:row>
      <xdr:rowOff>31056</xdr:rowOff>
    </xdr:from>
    <xdr:to>
      <xdr:col>11</xdr:col>
      <xdr:colOff>997857</xdr:colOff>
      <xdr:row>204</xdr:row>
      <xdr:rowOff>0</xdr:rowOff>
    </xdr:to>
    <xdr:grpSp>
      <xdr:nvGrpSpPr>
        <xdr:cNvPr id="306" name="Groupe 305">
          <a:extLst>
            <a:ext uri="{FF2B5EF4-FFF2-40B4-BE49-F238E27FC236}">
              <a16:creationId xmlns:a16="http://schemas.microsoft.com/office/drawing/2014/main" id="{D20AFA3C-F568-F544-9DE3-60776FF97FB8}"/>
            </a:ext>
          </a:extLst>
        </xdr:cNvPr>
        <xdr:cNvGrpSpPr/>
      </xdr:nvGrpSpPr>
      <xdr:grpSpPr>
        <a:xfrm>
          <a:off x="718546" y="45096814"/>
          <a:ext cx="12825372" cy="4971974"/>
          <a:chOff x="541866" y="29108399"/>
          <a:chExt cx="8443422" cy="428051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307" name="Graphique 306">
            <a:extLst>
              <a:ext uri="{FF2B5EF4-FFF2-40B4-BE49-F238E27FC236}">
                <a16:creationId xmlns:a16="http://schemas.microsoft.com/office/drawing/2014/main" id="{8B477D12-AE87-9F8B-BDDC-7271D7093CF7}"/>
              </a:ext>
            </a:extLst>
          </xdr:cNvPr>
          <xdr:cNvGraphicFramePr/>
        </xdr:nvGraphicFramePr>
        <xdr:xfrm>
          <a:off x="1018155" y="29108399"/>
          <a:ext cx="7967133" cy="42708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08" name="Rectangle : avec coins arrondis en haut 307">
            <a:extLst>
              <a:ext uri="{FF2B5EF4-FFF2-40B4-BE49-F238E27FC236}">
                <a16:creationId xmlns:a16="http://schemas.microsoft.com/office/drawing/2014/main" id="{4902289A-DE41-8065-F14B-F9CEA8536A40}"/>
              </a:ext>
            </a:extLst>
          </xdr:cNvPr>
          <xdr:cNvSpPr/>
        </xdr:nvSpPr>
        <xdr:spPr>
          <a:xfrm rot="16200000">
            <a:off x="-1310523" y="30960789"/>
            <a:ext cx="4280512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2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PACE - ANNUEL</a:t>
            </a:r>
          </a:p>
        </xdr:txBody>
      </xdr:sp>
    </xdr:grpSp>
    <xdr:clientData/>
  </xdr:twoCellAnchor>
  <xdr:twoCellAnchor>
    <xdr:from>
      <xdr:col>9</xdr:col>
      <xdr:colOff>924848</xdr:colOff>
      <xdr:row>279</xdr:row>
      <xdr:rowOff>196452</xdr:rowOff>
    </xdr:from>
    <xdr:to>
      <xdr:col>11</xdr:col>
      <xdr:colOff>737954</xdr:colOff>
      <xdr:row>301</xdr:row>
      <xdr:rowOff>7068</xdr:rowOff>
    </xdr:to>
    <xdr:grpSp>
      <xdr:nvGrpSpPr>
        <xdr:cNvPr id="310" name="Groupe 309">
          <a:extLst>
            <a:ext uri="{FF2B5EF4-FFF2-40B4-BE49-F238E27FC236}">
              <a16:creationId xmlns:a16="http://schemas.microsoft.com/office/drawing/2014/main" id="{7CBB22FC-DAE9-D24E-A45B-A56F01E9D61D}"/>
            </a:ext>
          </a:extLst>
        </xdr:cNvPr>
        <xdr:cNvGrpSpPr/>
      </xdr:nvGrpSpPr>
      <xdr:grpSpPr>
        <a:xfrm>
          <a:off x="11046363" y="67583422"/>
          <a:ext cx="2237652" cy="4890616"/>
          <a:chOff x="24638000" y="53326559"/>
          <a:chExt cx="2240677" cy="4650280"/>
        </a:xfrm>
      </xdr:grpSpPr>
      <xdr:sp macro="" textlink="'DONNEES '!T51">
        <xdr:nvSpPr>
          <xdr:cNvPr id="311" name="Rectangle : coins arrondis 310">
            <a:extLst>
              <a:ext uri="{FF2B5EF4-FFF2-40B4-BE49-F238E27FC236}">
                <a16:creationId xmlns:a16="http://schemas.microsoft.com/office/drawing/2014/main" id="{5740547C-5B28-8917-E08D-13DB7E50C944}"/>
              </a:ext>
            </a:extLst>
          </xdr:cNvPr>
          <xdr:cNvSpPr/>
        </xdr:nvSpPr>
        <xdr:spPr>
          <a:xfrm>
            <a:off x="25337143" y="53326559"/>
            <a:ext cx="1541534" cy="418477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4C5239F-0381-A746-9656-039E098E3C2C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3%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50">
        <xdr:nvSpPr>
          <xdr:cNvPr id="312" name="Rectangle : coins arrondis 311">
            <a:extLst>
              <a:ext uri="{FF2B5EF4-FFF2-40B4-BE49-F238E27FC236}">
                <a16:creationId xmlns:a16="http://schemas.microsoft.com/office/drawing/2014/main" id="{3B8212A3-9DB5-CAFE-57D0-0B8AEA034F6F}"/>
              </a:ext>
            </a:extLst>
          </xdr:cNvPr>
          <xdr:cNvSpPr/>
        </xdr:nvSpPr>
        <xdr:spPr>
          <a:xfrm>
            <a:off x="25317693" y="53927703"/>
            <a:ext cx="1541534" cy="418476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12BC78B-0335-EC46-823D-FFF99FE18051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2%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49">
        <xdr:nvSpPr>
          <xdr:cNvPr id="313" name="Rectangle : coins arrondis 312">
            <a:extLst>
              <a:ext uri="{FF2B5EF4-FFF2-40B4-BE49-F238E27FC236}">
                <a16:creationId xmlns:a16="http://schemas.microsoft.com/office/drawing/2014/main" id="{BE2512AD-892F-B1D7-38A6-C2C6ED831532}"/>
              </a:ext>
            </a:extLst>
          </xdr:cNvPr>
          <xdr:cNvSpPr/>
        </xdr:nvSpPr>
        <xdr:spPr>
          <a:xfrm>
            <a:off x="25330224" y="54536435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57E69C1-4E79-0947-A3AA-77E3B981DCA6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3%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48">
        <xdr:nvSpPr>
          <xdr:cNvPr id="314" name="Rectangle : coins arrondis 313">
            <a:extLst>
              <a:ext uri="{FF2B5EF4-FFF2-40B4-BE49-F238E27FC236}">
                <a16:creationId xmlns:a16="http://schemas.microsoft.com/office/drawing/2014/main" id="{70810361-6A46-78E4-23AF-7465F84D7C3C}"/>
              </a:ext>
            </a:extLst>
          </xdr:cNvPr>
          <xdr:cNvSpPr/>
        </xdr:nvSpPr>
        <xdr:spPr>
          <a:xfrm>
            <a:off x="25323566" y="55107370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419381-C227-944F-A8D2-BFE547D217AF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1%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47">
        <xdr:nvSpPr>
          <xdr:cNvPr id="315" name="Rectangle : coins arrondis 314">
            <a:extLst>
              <a:ext uri="{FF2B5EF4-FFF2-40B4-BE49-F238E27FC236}">
                <a16:creationId xmlns:a16="http://schemas.microsoft.com/office/drawing/2014/main" id="{458A6C06-D8F6-89D2-40C3-4F71DB4AE296}"/>
              </a:ext>
            </a:extLst>
          </xdr:cNvPr>
          <xdr:cNvSpPr/>
        </xdr:nvSpPr>
        <xdr:spPr>
          <a:xfrm>
            <a:off x="25323305" y="55687836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700DE99-770D-F544-B03E-C5DE6D22B93B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-5%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46">
        <xdr:nvSpPr>
          <xdr:cNvPr id="316" name="Rectangle : coins arrondis 315">
            <a:extLst>
              <a:ext uri="{FF2B5EF4-FFF2-40B4-BE49-F238E27FC236}">
                <a16:creationId xmlns:a16="http://schemas.microsoft.com/office/drawing/2014/main" id="{67432671-04F6-6BCC-7903-E58E6A12FC9D}"/>
              </a:ext>
            </a:extLst>
          </xdr:cNvPr>
          <xdr:cNvSpPr/>
        </xdr:nvSpPr>
        <xdr:spPr>
          <a:xfrm>
            <a:off x="25323042" y="56245635"/>
            <a:ext cx="1541534" cy="417252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7577FB6-D7E8-1C49-BB39-1B141734FA16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0%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45">
        <xdr:nvSpPr>
          <xdr:cNvPr id="317" name="Rectangle : coins arrondis 316">
            <a:extLst>
              <a:ext uri="{FF2B5EF4-FFF2-40B4-BE49-F238E27FC236}">
                <a16:creationId xmlns:a16="http://schemas.microsoft.com/office/drawing/2014/main" id="{BC665F47-B945-442F-B7F7-DC50DEDEBC56}"/>
              </a:ext>
            </a:extLst>
          </xdr:cNvPr>
          <xdr:cNvSpPr/>
        </xdr:nvSpPr>
        <xdr:spPr>
          <a:xfrm>
            <a:off x="25316387" y="56847990"/>
            <a:ext cx="1541534" cy="404551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E91140E-29CD-CA46-8919-1B4BDCA19763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-4%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T44">
        <xdr:nvSpPr>
          <xdr:cNvPr id="318" name="Rectangle : coins arrondis 317">
            <a:extLst>
              <a:ext uri="{FF2B5EF4-FFF2-40B4-BE49-F238E27FC236}">
                <a16:creationId xmlns:a16="http://schemas.microsoft.com/office/drawing/2014/main" id="{2171F414-B8BB-B288-0547-62688EB69A59}"/>
              </a:ext>
            </a:extLst>
          </xdr:cNvPr>
          <xdr:cNvSpPr/>
        </xdr:nvSpPr>
        <xdr:spPr>
          <a:xfrm>
            <a:off x="25328918" y="57435584"/>
            <a:ext cx="1541534" cy="417251"/>
          </a:xfrm>
          <a:prstGeom prst="roundRect">
            <a:avLst>
              <a:gd name="adj" fmla="val 50000"/>
            </a:avLst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685B00E-E2EC-294C-A996-41CB22AD16A5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0%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">
        <xdr:nvSpPr>
          <xdr:cNvPr id="319" name="Rectangle : coins arrondis 318">
            <a:extLst>
              <a:ext uri="{FF2B5EF4-FFF2-40B4-BE49-F238E27FC236}">
                <a16:creationId xmlns:a16="http://schemas.microsoft.com/office/drawing/2014/main" id="{95AF2D45-7153-FE85-9EB6-239FA3205F54}"/>
              </a:ext>
            </a:extLst>
          </xdr:cNvPr>
          <xdr:cNvSpPr/>
        </xdr:nvSpPr>
        <xdr:spPr>
          <a:xfrm>
            <a:off x="24638000" y="53371802"/>
            <a:ext cx="609600" cy="4605037"/>
          </a:xfrm>
          <a:prstGeom prst="roundRect">
            <a:avLst>
              <a:gd name="adj" fmla="val 50000"/>
            </a:avLst>
          </a:prstGeom>
          <a:solidFill>
            <a:schemeClr val="accent3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fr-FR" sz="2400" b="1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2025</a:t>
            </a:r>
          </a:p>
        </xdr:txBody>
      </xdr:sp>
    </xdr:grpSp>
    <xdr:clientData/>
  </xdr:twoCellAnchor>
  <xdr:twoCellAnchor>
    <xdr:from>
      <xdr:col>1</xdr:col>
      <xdr:colOff>18144</xdr:colOff>
      <xdr:row>111</xdr:row>
      <xdr:rowOff>44129</xdr:rowOff>
    </xdr:from>
    <xdr:to>
      <xdr:col>11</xdr:col>
      <xdr:colOff>997857</xdr:colOff>
      <xdr:row>132</xdr:row>
      <xdr:rowOff>212857</xdr:rowOff>
    </xdr:to>
    <xdr:grpSp>
      <xdr:nvGrpSpPr>
        <xdr:cNvPr id="320" name="Groupe 319">
          <a:extLst>
            <a:ext uri="{FF2B5EF4-FFF2-40B4-BE49-F238E27FC236}">
              <a16:creationId xmlns:a16="http://schemas.microsoft.com/office/drawing/2014/main" id="{12D58532-D158-A645-B835-C00AC0F7A0C9}"/>
            </a:ext>
          </a:extLst>
        </xdr:cNvPr>
        <xdr:cNvGrpSpPr/>
      </xdr:nvGrpSpPr>
      <xdr:grpSpPr>
        <a:xfrm>
          <a:off x="749356" y="27618523"/>
          <a:ext cx="12794562" cy="5133273"/>
          <a:chOff x="13943610" y="26302466"/>
          <a:chExt cx="12984071" cy="4963307"/>
        </a:xfrm>
      </xdr:grpSpPr>
      <xdr:grpSp>
        <xdr:nvGrpSpPr>
          <xdr:cNvPr id="321" name="Groupe 320">
            <a:extLst>
              <a:ext uri="{FF2B5EF4-FFF2-40B4-BE49-F238E27FC236}">
                <a16:creationId xmlns:a16="http://schemas.microsoft.com/office/drawing/2014/main" id="{8731C6E5-6E92-394D-DB29-C9A8159BFF27}"/>
              </a:ext>
            </a:extLst>
          </xdr:cNvPr>
          <xdr:cNvGrpSpPr/>
        </xdr:nvGrpSpPr>
        <xdr:grpSpPr>
          <a:xfrm>
            <a:off x="13943610" y="26302466"/>
            <a:ext cx="12984071" cy="4963307"/>
            <a:chOff x="779132" y="29108399"/>
            <a:chExt cx="8297134" cy="4150629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graphicFrame macro="">
          <xdr:nvGraphicFramePr>
            <xdr:cNvPr id="332" name="Graphique 331">
              <a:extLst>
                <a:ext uri="{FF2B5EF4-FFF2-40B4-BE49-F238E27FC236}">
                  <a16:creationId xmlns:a16="http://schemas.microsoft.com/office/drawing/2014/main" id="{4F332443-1731-4FD1-76B8-A914B50EDB42}"/>
                </a:ext>
              </a:extLst>
            </xdr:cNvPr>
            <xdr:cNvGraphicFramePr/>
          </xdr:nvGraphicFramePr>
          <xdr:xfrm>
            <a:off x="1206948" y="29108399"/>
            <a:ext cx="7869318" cy="414866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33" name="Rectangle : avec coins arrondis en haut 332">
              <a:extLst>
                <a:ext uri="{FF2B5EF4-FFF2-40B4-BE49-F238E27FC236}">
                  <a16:creationId xmlns:a16="http://schemas.microsoft.com/office/drawing/2014/main" id="{99F2554D-1502-9D14-1300-050BE4DFEF31}"/>
                </a:ext>
              </a:extLst>
            </xdr:cNvPr>
            <xdr:cNvSpPr/>
          </xdr:nvSpPr>
          <xdr:spPr>
            <a:xfrm rot="16200000">
              <a:off x="-1008316" y="30895847"/>
              <a:ext cx="4150629" cy="575733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rgbClr val="A243E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fr-FR" sz="3600" b="1">
                  <a:solidFill>
                    <a:srgbClr val="EBDEF8"/>
                  </a:solidFill>
                  <a:latin typeface="Avenir Next Condensed" panose="020B0506020202020204" pitchFamily="34" charset="0"/>
                </a:rPr>
                <a:t>STAFFING -</a:t>
              </a:r>
              <a:r>
                <a:rPr lang="fr-FR" sz="3600" b="1" baseline="0">
                  <a:solidFill>
                    <a:srgbClr val="EBDEF8"/>
                  </a:solidFill>
                  <a:latin typeface="Avenir Next Condensed" panose="020B0506020202020204" pitchFamily="34" charset="0"/>
                </a:rPr>
                <a:t> ANNUEL</a:t>
              </a:r>
            </a:p>
          </xdr:txBody>
        </xdr:sp>
      </xdr:grpSp>
      <xdr:grpSp>
        <xdr:nvGrpSpPr>
          <xdr:cNvPr id="322" name="Groupe 321">
            <a:extLst>
              <a:ext uri="{FF2B5EF4-FFF2-40B4-BE49-F238E27FC236}">
                <a16:creationId xmlns:a16="http://schemas.microsoft.com/office/drawing/2014/main" id="{2227F2AC-3344-3ECF-2792-E0E62D697AB3}"/>
              </a:ext>
            </a:extLst>
          </xdr:cNvPr>
          <xdr:cNvGrpSpPr/>
        </xdr:nvGrpSpPr>
        <xdr:grpSpPr>
          <a:xfrm>
            <a:off x="25183161" y="26426759"/>
            <a:ext cx="1540401" cy="4587258"/>
            <a:chOff x="0" y="0"/>
            <a:chExt cx="1565863" cy="4745792"/>
          </a:xfrm>
          <a:solidFill>
            <a:srgbClr val="EBDEF8"/>
          </a:solidFill>
        </xdr:grpSpPr>
        <xdr:sp macro="" textlink="'DONNEES '!AD92">
          <xdr:nvSpPr>
            <xdr:cNvPr id="324" name="Rectangle : coins arrondis 323">
              <a:extLst>
                <a:ext uri="{FF2B5EF4-FFF2-40B4-BE49-F238E27FC236}">
                  <a16:creationId xmlns:a16="http://schemas.microsoft.com/office/drawing/2014/main" id="{97B6E31B-5273-0332-B40A-26D6F94B8179}"/>
                </a:ext>
              </a:extLst>
            </xdr:cNvPr>
            <xdr:cNvSpPr/>
          </xdr:nvSpPr>
          <xdr:spPr>
            <a:xfrm>
              <a:off x="20803" y="0"/>
              <a:ext cx="1545060" cy="412766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D38415CF-8816-6B49-A079-618B62FA9055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-15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AD91">
          <xdr:nvSpPr>
            <xdr:cNvPr id="325" name="Rectangle : coins arrondis 324">
              <a:extLst>
                <a:ext uri="{FF2B5EF4-FFF2-40B4-BE49-F238E27FC236}">
                  <a16:creationId xmlns:a16="http://schemas.microsoft.com/office/drawing/2014/main" id="{746FDE82-E4A7-FCF5-44C5-15A4E56873E8}"/>
                </a:ext>
              </a:extLst>
            </xdr:cNvPr>
            <xdr:cNvSpPr/>
          </xdr:nvSpPr>
          <xdr:spPr>
            <a:xfrm>
              <a:off x="1309" y="618440"/>
              <a:ext cx="1545060" cy="412766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ECEB8A60-AA39-4044-87FD-F35BDC764EDD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+10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AD90">
          <xdr:nvSpPr>
            <xdr:cNvPr id="326" name="Rectangle : coins arrondis 325">
              <a:extLst>
                <a:ext uri="{FF2B5EF4-FFF2-40B4-BE49-F238E27FC236}">
                  <a16:creationId xmlns:a16="http://schemas.microsoft.com/office/drawing/2014/main" id="{92DA7A3A-9B71-7A02-0773-3347A35B9D35}"/>
                </a:ext>
              </a:extLst>
            </xdr:cNvPr>
            <xdr:cNvSpPr/>
          </xdr:nvSpPr>
          <xdr:spPr>
            <a:xfrm>
              <a:off x="13869" y="1218849"/>
              <a:ext cx="1545061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3E7878E4-501A-9E43-AB76-408003F478F3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+4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AD89">
          <xdr:nvSpPr>
            <xdr:cNvPr id="327" name="Rectangle : coins arrondis 326">
              <a:extLst>
                <a:ext uri="{FF2B5EF4-FFF2-40B4-BE49-F238E27FC236}">
                  <a16:creationId xmlns:a16="http://schemas.microsoft.com/office/drawing/2014/main" id="{EF7E4403-C07F-123E-852E-85BDEC326A40}"/>
                </a:ext>
              </a:extLst>
            </xdr:cNvPr>
            <xdr:cNvSpPr/>
          </xdr:nvSpPr>
          <xdr:spPr>
            <a:xfrm>
              <a:off x="7195" y="1837288"/>
              <a:ext cx="1545060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F1BF4A96-59FC-0244-8365-3FAE77FEDBA2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-2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AD88">
          <xdr:nvSpPr>
            <xdr:cNvPr id="328" name="Rectangle : coins arrondis 327">
              <a:extLst>
                <a:ext uri="{FF2B5EF4-FFF2-40B4-BE49-F238E27FC236}">
                  <a16:creationId xmlns:a16="http://schemas.microsoft.com/office/drawing/2014/main" id="{CFB750BC-6E44-7D0E-7549-EEB3A67E7B24}"/>
                </a:ext>
              </a:extLst>
            </xdr:cNvPr>
            <xdr:cNvSpPr/>
          </xdr:nvSpPr>
          <xdr:spPr>
            <a:xfrm>
              <a:off x="6934" y="2466336"/>
              <a:ext cx="1545060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EE55C780-650C-1347-844F-CC113B1B0777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-3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AD87">
          <xdr:nvSpPr>
            <xdr:cNvPr id="329" name="Rectangle : coins arrondis 328">
              <a:extLst>
                <a:ext uri="{FF2B5EF4-FFF2-40B4-BE49-F238E27FC236}">
                  <a16:creationId xmlns:a16="http://schemas.microsoft.com/office/drawing/2014/main" id="{57BE1628-0DB5-6731-3A1E-B3119318CB5D}"/>
                </a:ext>
              </a:extLst>
            </xdr:cNvPr>
            <xdr:cNvSpPr/>
          </xdr:nvSpPr>
          <xdr:spPr>
            <a:xfrm>
              <a:off x="6671" y="3091059"/>
              <a:ext cx="1545060" cy="411558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E2B8EC02-1B13-3343-8915-A5256C55A693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-2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AD86">
          <xdr:nvSpPr>
            <xdr:cNvPr id="330" name="Rectangle : coins arrondis 329">
              <a:extLst>
                <a:ext uri="{FF2B5EF4-FFF2-40B4-BE49-F238E27FC236}">
                  <a16:creationId xmlns:a16="http://schemas.microsoft.com/office/drawing/2014/main" id="{4199BD01-15E9-701E-5DA1-24DA263D2572}"/>
                </a:ext>
              </a:extLst>
            </xdr:cNvPr>
            <xdr:cNvSpPr/>
          </xdr:nvSpPr>
          <xdr:spPr>
            <a:xfrm>
              <a:off x="0" y="3683966"/>
              <a:ext cx="1545060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F0D4E3C-5D3E-AD46-AD25-630C187193F0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-2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  <xdr:sp macro="" textlink="'DONNEES '!AD85">
          <xdr:nvSpPr>
            <xdr:cNvPr id="331" name="Rectangle : coins arrondis 330">
              <a:extLst>
                <a:ext uri="{FF2B5EF4-FFF2-40B4-BE49-F238E27FC236}">
                  <a16:creationId xmlns:a16="http://schemas.microsoft.com/office/drawing/2014/main" id="{6D1A0A69-032E-B377-7F94-F0F2CF0468D6}"/>
                </a:ext>
              </a:extLst>
            </xdr:cNvPr>
            <xdr:cNvSpPr/>
          </xdr:nvSpPr>
          <xdr:spPr>
            <a:xfrm>
              <a:off x="12560" y="4334235"/>
              <a:ext cx="1545060" cy="411557"/>
            </a:xfrm>
            <a:prstGeom prst="roundRect">
              <a:avLst>
                <a:gd name="adj" fmla="val 5000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CDA7B49A-169D-E243-950E-AAD7CE778365}" type="TxLink">
                <a:rPr lang="en-US" sz="2800" b="1" i="0" u="none" strike="noStrike">
                  <a:solidFill>
                    <a:srgbClr val="7030A0"/>
                  </a:solidFill>
                  <a:latin typeface="Avenir Next Condensed Regular"/>
                </a:rPr>
                <a:pPr algn="ctr"/>
                <a:t>-9</a:t>
              </a:fld>
              <a:endParaRPr lang="fr-FR" sz="2800" b="1">
                <a:solidFill>
                  <a:srgbClr val="7030A0"/>
                </a:solidFill>
              </a:endParaRPr>
            </a:p>
          </xdr:txBody>
        </xdr:sp>
      </xdr:grpSp>
      <xdr:sp macro="" textlink="">
        <xdr:nvSpPr>
          <xdr:cNvPr id="323" name="Rectangle : coins arrondis 322">
            <a:extLst>
              <a:ext uri="{FF2B5EF4-FFF2-40B4-BE49-F238E27FC236}">
                <a16:creationId xmlns:a16="http://schemas.microsoft.com/office/drawing/2014/main" id="{4728C684-FAFC-A2C0-D0B0-4D666E9042AB}"/>
              </a:ext>
            </a:extLst>
          </xdr:cNvPr>
          <xdr:cNvSpPr/>
        </xdr:nvSpPr>
        <xdr:spPr>
          <a:xfrm>
            <a:off x="24499792" y="26409002"/>
            <a:ext cx="604356" cy="4831679"/>
          </a:xfrm>
          <a:prstGeom prst="roundRect">
            <a:avLst>
              <a:gd name="adj" fmla="val 50000"/>
            </a:avLst>
          </a:prstGeom>
          <a:solidFill>
            <a:srgbClr val="C2A3EA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ctr"/>
            <a:r>
              <a:rPr lang="fr-FR" sz="2400" b="1">
                <a:solidFill>
                  <a:srgbClr val="7030A0"/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Par rapport à la moyenne</a:t>
            </a:r>
            <a:r>
              <a:rPr lang="fr-FR" sz="2400" b="1" baseline="0">
                <a:solidFill>
                  <a:srgbClr val="7030A0"/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 </a:t>
            </a:r>
            <a:r>
              <a:rPr lang="fr-FR" sz="2400" b="1">
                <a:solidFill>
                  <a:srgbClr val="7030A0"/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2025</a:t>
            </a:r>
          </a:p>
        </xdr:txBody>
      </xdr:sp>
    </xdr:grpSp>
    <xdr:clientData/>
  </xdr:twoCellAnchor>
  <xdr:twoCellAnchor>
    <xdr:from>
      <xdr:col>12</xdr:col>
      <xdr:colOff>366482</xdr:colOff>
      <xdr:row>63</xdr:row>
      <xdr:rowOff>48119</xdr:rowOff>
    </xdr:from>
    <xdr:to>
      <xdr:col>24</xdr:col>
      <xdr:colOff>10882</xdr:colOff>
      <xdr:row>85</xdr:row>
      <xdr:rowOff>208644</xdr:rowOff>
    </xdr:to>
    <xdr:grpSp>
      <xdr:nvGrpSpPr>
        <xdr:cNvPr id="61" name="Groupe 60">
          <a:extLst>
            <a:ext uri="{FF2B5EF4-FFF2-40B4-BE49-F238E27FC236}">
              <a16:creationId xmlns:a16="http://schemas.microsoft.com/office/drawing/2014/main" id="{5A03C60E-194B-C753-CC21-DBC38C2BBC23}"/>
            </a:ext>
          </a:extLst>
        </xdr:cNvPr>
        <xdr:cNvGrpSpPr/>
      </xdr:nvGrpSpPr>
      <xdr:grpSpPr>
        <a:xfrm>
          <a:off x="14086330" y="16538877"/>
          <a:ext cx="13114097" cy="5240525"/>
          <a:chOff x="541867" y="29108399"/>
          <a:chExt cx="8434568" cy="4893734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82" name="Graphique 81">
            <a:extLst>
              <a:ext uri="{FF2B5EF4-FFF2-40B4-BE49-F238E27FC236}">
                <a16:creationId xmlns:a16="http://schemas.microsoft.com/office/drawing/2014/main" id="{CF18A428-6B86-A6C2-AA57-D9EFA7C532F2}"/>
              </a:ext>
            </a:extLst>
          </xdr:cNvPr>
          <xdr:cNvGraphicFramePr/>
        </xdr:nvGraphicFramePr>
        <xdr:xfrm>
          <a:off x="1009302" y="29108399"/>
          <a:ext cx="7967133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83" name="Rectangle : avec coins arrondis en haut 82">
            <a:extLst>
              <a:ext uri="{FF2B5EF4-FFF2-40B4-BE49-F238E27FC236}">
                <a16:creationId xmlns:a16="http://schemas.microsoft.com/office/drawing/2014/main" id="{0DEE1511-77D4-289F-46DC-4B07CD445920}"/>
              </a:ext>
            </a:extLst>
          </xdr:cNvPr>
          <xdr:cNvSpPr/>
        </xdr:nvSpPr>
        <xdr:spPr>
          <a:xfrm rot="16200000">
            <a:off x="-1616534" y="31266801"/>
            <a:ext cx="4892535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t>PMIX UT/1000 - </a:t>
            </a:r>
            <a:r>
              <a:rPr lang="fr-FR" sz="2800" b="1">
                <a:solidFill>
                  <a:schemeClr val="accent6">
                    <a:lumMod val="50000"/>
                  </a:schemeClr>
                </a:solidFill>
                <a:latin typeface="Avenir Next Condensed" panose="020B0506020202020204" pitchFamily="34" charset="0"/>
              </a:rPr>
              <a:t>SEMAINE</a:t>
            </a:r>
          </a:p>
        </xdr:txBody>
      </xdr:sp>
    </xdr:grpSp>
    <xdr:clientData/>
  </xdr:twoCellAnchor>
  <xdr:twoCellAnchor>
    <xdr:from>
      <xdr:col>21</xdr:col>
      <xdr:colOff>573223</xdr:colOff>
      <xdr:row>63</xdr:row>
      <xdr:rowOff>185263</xdr:rowOff>
    </xdr:from>
    <xdr:to>
      <xdr:col>23</xdr:col>
      <xdr:colOff>484817</xdr:colOff>
      <xdr:row>65</xdr:row>
      <xdr:rowOff>72829</xdr:rowOff>
    </xdr:to>
    <xdr:sp macro="" textlink="'DONNEES '!AD27">
      <xdr:nvSpPr>
        <xdr:cNvPr id="87" name="Rectangle : coins arrondis 86">
          <a:extLst>
            <a:ext uri="{FF2B5EF4-FFF2-40B4-BE49-F238E27FC236}">
              <a16:creationId xmlns:a16="http://schemas.microsoft.com/office/drawing/2014/main" id="{65FB3EAC-2794-F363-70A1-91759341C369}"/>
            </a:ext>
          </a:extLst>
        </xdr:cNvPr>
        <xdr:cNvSpPr/>
      </xdr:nvSpPr>
      <xdr:spPr>
        <a:xfrm>
          <a:off x="25126556" y="16676021"/>
          <a:ext cx="1701140" cy="349384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EA38A6C-A4AA-8449-BC6F-949D07168CB9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67</a:t>
          </a:fld>
          <a:endParaRPr lang="fr-FR" sz="2400" b="1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21</xdr:col>
      <xdr:colOff>592131</xdr:colOff>
      <xdr:row>66</xdr:row>
      <xdr:rowOff>46547</xdr:rowOff>
    </xdr:from>
    <xdr:to>
      <xdr:col>23</xdr:col>
      <xdr:colOff>512560</xdr:colOff>
      <xdr:row>67</xdr:row>
      <xdr:rowOff>162338</xdr:rowOff>
    </xdr:to>
    <xdr:sp macro="" textlink="'DONNEES '!AD26">
      <xdr:nvSpPr>
        <xdr:cNvPr id="93" name="Rectangle : coins arrondis 92">
          <a:extLst>
            <a:ext uri="{FF2B5EF4-FFF2-40B4-BE49-F238E27FC236}">
              <a16:creationId xmlns:a16="http://schemas.microsoft.com/office/drawing/2014/main" id="{C3FD3BE6-7001-9C46-8159-DFB2C528921C}"/>
            </a:ext>
          </a:extLst>
        </xdr:cNvPr>
        <xdr:cNvSpPr/>
      </xdr:nvSpPr>
      <xdr:spPr>
        <a:xfrm>
          <a:off x="25145464" y="17230032"/>
          <a:ext cx="1709975" cy="346700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314507-6527-2F48-9351-987BDC349231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-3</a:t>
          </a:fld>
          <a:endParaRPr lang="fr-FR" sz="2400" b="1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21</xdr:col>
      <xdr:colOff>618675</xdr:colOff>
      <xdr:row>73</xdr:row>
      <xdr:rowOff>92015</xdr:rowOff>
    </xdr:from>
    <xdr:to>
      <xdr:col>23</xdr:col>
      <xdr:colOff>539104</xdr:colOff>
      <xdr:row>74</xdr:row>
      <xdr:rowOff>197833</xdr:rowOff>
    </xdr:to>
    <xdr:sp macro="" textlink="'DONNEES '!AD23">
      <xdr:nvSpPr>
        <xdr:cNvPr id="102" name="Rectangle : coins arrondis 101">
          <a:extLst>
            <a:ext uri="{FF2B5EF4-FFF2-40B4-BE49-F238E27FC236}">
              <a16:creationId xmlns:a16="http://schemas.microsoft.com/office/drawing/2014/main" id="{CD4207D5-9699-944A-A22D-A2427539CC32}"/>
            </a:ext>
          </a:extLst>
        </xdr:cNvPr>
        <xdr:cNvSpPr/>
      </xdr:nvSpPr>
      <xdr:spPr>
        <a:xfrm>
          <a:off x="25172008" y="18891863"/>
          <a:ext cx="1709975" cy="336728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D0F25E-6810-3B4B-BF2A-C1BAEFBB43B8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-52</a:t>
          </a:fld>
          <a:endParaRPr lang="fr-FR" sz="2400" b="1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21</xdr:col>
      <xdr:colOff>603533</xdr:colOff>
      <xdr:row>68</xdr:row>
      <xdr:rowOff>140685</xdr:rowOff>
    </xdr:from>
    <xdr:to>
      <xdr:col>23</xdr:col>
      <xdr:colOff>523962</xdr:colOff>
      <xdr:row>70</xdr:row>
      <xdr:rowOff>15595</xdr:rowOff>
    </xdr:to>
    <xdr:sp macro="" textlink="'DONNEES '!AD25">
      <xdr:nvSpPr>
        <xdr:cNvPr id="28" name="Rectangle : coins arrondis 27">
          <a:extLst>
            <a:ext uri="{FF2B5EF4-FFF2-40B4-BE49-F238E27FC236}">
              <a16:creationId xmlns:a16="http://schemas.microsoft.com/office/drawing/2014/main" id="{AD5AC452-AA38-C846-A045-33F6AB45137D}"/>
            </a:ext>
          </a:extLst>
        </xdr:cNvPr>
        <xdr:cNvSpPr/>
      </xdr:nvSpPr>
      <xdr:spPr>
        <a:xfrm>
          <a:off x="25156866" y="17785988"/>
          <a:ext cx="1709975" cy="336728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C8EA46-0E52-764A-A4EE-C1DC10A4CEB3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-67</a:t>
          </a:fld>
          <a:endParaRPr lang="fr-FR" sz="2400" b="1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21</xdr:col>
      <xdr:colOff>602648</xdr:colOff>
      <xdr:row>70</xdr:row>
      <xdr:rowOff>230431</xdr:rowOff>
    </xdr:from>
    <xdr:to>
      <xdr:col>23</xdr:col>
      <xdr:colOff>523077</xdr:colOff>
      <xdr:row>72</xdr:row>
      <xdr:rowOff>105341</xdr:rowOff>
    </xdr:to>
    <xdr:sp macro="" textlink="'DONNEES '!AD24">
      <xdr:nvSpPr>
        <xdr:cNvPr id="29" name="Rectangle : coins arrondis 28">
          <a:extLst>
            <a:ext uri="{FF2B5EF4-FFF2-40B4-BE49-F238E27FC236}">
              <a16:creationId xmlns:a16="http://schemas.microsoft.com/office/drawing/2014/main" id="{27411250-B2A2-C94B-85DA-E09ACAB4FC0C}"/>
            </a:ext>
          </a:extLst>
        </xdr:cNvPr>
        <xdr:cNvSpPr/>
      </xdr:nvSpPr>
      <xdr:spPr>
        <a:xfrm>
          <a:off x="25155981" y="18337552"/>
          <a:ext cx="1709975" cy="336728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9C4EB52-254A-C249-A8BA-CCBD538B09DB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=</a:t>
          </a:fld>
          <a:endParaRPr lang="fr-FR" sz="2400" b="1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13</xdr:col>
      <xdr:colOff>136768</xdr:colOff>
      <xdr:row>45</xdr:row>
      <xdr:rowOff>39077</xdr:rowOff>
    </xdr:from>
    <xdr:to>
      <xdr:col>23</xdr:col>
      <xdr:colOff>800099</xdr:colOff>
      <xdr:row>50</xdr:row>
      <xdr:rowOff>16188</xdr:rowOff>
    </xdr:to>
    <xdr:graphicFrame macro="">
      <xdr:nvGraphicFramePr>
        <xdr:cNvPr id="90" name="Graphique 89">
          <a:extLst>
            <a:ext uri="{FF2B5EF4-FFF2-40B4-BE49-F238E27FC236}">
              <a16:creationId xmlns:a16="http://schemas.microsoft.com/office/drawing/2014/main" id="{F6C15B7F-A0B8-7248-8E57-745CD8600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859693</xdr:colOff>
      <xdr:row>45</xdr:row>
      <xdr:rowOff>0</xdr:rowOff>
    </xdr:from>
    <xdr:to>
      <xdr:col>11</xdr:col>
      <xdr:colOff>929442</xdr:colOff>
      <xdr:row>49</xdr:row>
      <xdr:rowOff>218615</xdr:rowOff>
    </xdr:to>
    <xdr:graphicFrame macro="">
      <xdr:nvGraphicFramePr>
        <xdr:cNvPr id="91" name="Graphique 90">
          <a:extLst>
            <a:ext uri="{FF2B5EF4-FFF2-40B4-BE49-F238E27FC236}">
              <a16:creationId xmlns:a16="http://schemas.microsoft.com/office/drawing/2014/main" id="{6D9D6C60-5C20-8A40-B5F7-1BF6562A86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937846</xdr:colOff>
      <xdr:row>50</xdr:row>
      <xdr:rowOff>97691</xdr:rowOff>
    </xdr:from>
    <xdr:to>
      <xdr:col>11</xdr:col>
      <xdr:colOff>936536</xdr:colOff>
      <xdr:row>55</xdr:row>
      <xdr:rowOff>74803</xdr:rowOff>
    </xdr:to>
    <xdr:graphicFrame macro="">
      <xdr:nvGraphicFramePr>
        <xdr:cNvPr id="119" name="Graphique 118">
          <a:extLst>
            <a:ext uri="{FF2B5EF4-FFF2-40B4-BE49-F238E27FC236}">
              <a16:creationId xmlns:a16="http://schemas.microsoft.com/office/drawing/2014/main" id="{5CCD1DA5-93C3-F24D-A150-04C9C2FC5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156308</xdr:colOff>
      <xdr:row>50</xdr:row>
      <xdr:rowOff>39077</xdr:rowOff>
    </xdr:from>
    <xdr:to>
      <xdr:col>23</xdr:col>
      <xdr:colOff>787400</xdr:colOff>
      <xdr:row>55</xdr:row>
      <xdr:rowOff>16187</xdr:rowOff>
    </xdr:to>
    <xdr:graphicFrame macro="">
      <xdr:nvGraphicFramePr>
        <xdr:cNvPr id="121" name="Graphique 120">
          <a:extLst>
            <a:ext uri="{FF2B5EF4-FFF2-40B4-BE49-F238E27FC236}">
              <a16:creationId xmlns:a16="http://schemas.microsoft.com/office/drawing/2014/main" id="{F812496F-871E-1546-8D4D-B9CC74673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957386</xdr:colOff>
      <xdr:row>55</xdr:row>
      <xdr:rowOff>175847</xdr:rowOff>
    </xdr:from>
    <xdr:to>
      <xdr:col>11</xdr:col>
      <xdr:colOff>950727</xdr:colOff>
      <xdr:row>60</xdr:row>
      <xdr:rowOff>160000</xdr:rowOff>
    </xdr:to>
    <xdr:graphicFrame macro="">
      <xdr:nvGraphicFramePr>
        <xdr:cNvPr id="125" name="Graphique 124">
          <a:extLst>
            <a:ext uri="{FF2B5EF4-FFF2-40B4-BE49-F238E27FC236}">
              <a16:creationId xmlns:a16="http://schemas.microsoft.com/office/drawing/2014/main" id="{FB81354F-4879-E640-9E7C-E4F21DF03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175847</xdr:colOff>
      <xdr:row>55</xdr:row>
      <xdr:rowOff>175847</xdr:rowOff>
    </xdr:from>
    <xdr:to>
      <xdr:col>23</xdr:col>
      <xdr:colOff>787400</xdr:colOff>
      <xdr:row>60</xdr:row>
      <xdr:rowOff>159998</xdr:rowOff>
    </xdr:to>
    <xdr:graphicFrame macro="">
      <xdr:nvGraphicFramePr>
        <xdr:cNvPr id="126" name="Graphique 125">
          <a:extLst>
            <a:ext uri="{FF2B5EF4-FFF2-40B4-BE49-F238E27FC236}">
              <a16:creationId xmlns:a16="http://schemas.microsoft.com/office/drawing/2014/main" id="{CA84EDA8-F199-A143-83A2-9683DA892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12</xdr:col>
      <xdr:colOff>381000</xdr:colOff>
      <xdr:row>158</xdr:row>
      <xdr:rowOff>45363</xdr:rowOff>
    </xdr:from>
    <xdr:to>
      <xdr:col>24</xdr:col>
      <xdr:colOff>0</xdr:colOff>
      <xdr:row>180</xdr:row>
      <xdr:rowOff>172361</xdr:rowOff>
    </xdr:to>
    <xdr:grpSp>
      <xdr:nvGrpSpPr>
        <xdr:cNvPr id="89" name="Groupe 88">
          <a:extLst>
            <a:ext uri="{FF2B5EF4-FFF2-40B4-BE49-F238E27FC236}">
              <a16:creationId xmlns:a16="http://schemas.microsoft.com/office/drawing/2014/main" id="{BB7B62F0-658A-FE46-AFAA-CC5703441428}"/>
            </a:ext>
          </a:extLst>
        </xdr:cNvPr>
        <xdr:cNvGrpSpPr/>
      </xdr:nvGrpSpPr>
      <xdr:grpSpPr>
        <a:xfrm>
          <a:off x="14100848" y="38587939"/>
          <a:ext cx="13088697" cy="5206998"/>
          <a:chOff x="541867" y="29108400"/>
          <a:chExt cx="8404537" cy="4156908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92" name="Graphique 91">
            <a:extLst>
              <a:ext uri="{FF2B5EF4-FFF2-40B4-BE49-F238E27FC236}">
                <a16:creationId xmlns:a16="http://schemas.microsoft.com/office/drawing/2014/main" id="{23D32F53-CFFC-ACE3-3114-081D5079228E}"/>
              </a:ext>
            </a:extLst>
          </xdr:cNvPr>
          <xdr:cNvGraphicFramePr/>
        </xdr:nvGraphicFramePr>
        <xdr:xfrm>
          <a:off x="979271" y="29111523"/>
          <a:ext cx="7967133" cy="41486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  <xdr:sp macro="" textlink="">
        <xdr:nvSpPr>
          <xdr:cNvPr id="109" name="Rectangle : avec coins arrondis en haut 108">
            <a:extLst>
              <a:ext uri="{FF2B5EF4-FFF2-40B4-BE49-F238E27FC236}">
                <a16:creationId xmlns:a16="http://schemas.microsoft.com/office/drawing/2014/main" id="{73D77B3E-9861-BA48-0D7E-FD43E53D38B5}"/>
              </a:ext>
            </a:extLst>
          </xdr:cNvPr>
          <xdr:cNvSpPr/>
        </xdr:nvSpPr>
        <xdr:spPr>
          <a:xfrm rot="16200000">
            <a:off x="-1248720" y="30898987"/>
            <a:ext cx="4156908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3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TCHE - JUIN</a:t>
            </a:r>
            <a:endParaRPr lang="fr-FR" sz="3600" b="0">
              <a:solidFill>
                <a:schemeClr val="accent3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0</xdr:col>
      <xdr:colOff>713797</xdr:colOff>
      <xdr:row>158</xdr:row>
      <xdr:rowOff>41030</xdr:rowOff>
    </xdr:from>
    <xdr:to>
      <xdr:col>11</xdr:col>
      <xdr:colOff>1070015</xdr:colOff>
      <xdr:row>180</xdr:row>
      <xdr:rowOff>183764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5E1FC8C-C704-A623-C16B-6168556ADB3C}"/>
            </a:ext>
          </a:extLst>
        </xdr:cNvPr>
        <xdr:cNvGrpSpPr/>
      </xdr:nvGrpSpPr>
      <xdr:grpSpPr>
        <a:xfrm>
          <a:off x="713797" y="38583606"/>
          <a:ext cx="12902279" cy="5222734"/>
          <a:chOff x="713797" y="38095440"/>
          <a:chExt cx="12942825" cy="5132139"/>
        </a:xfrm>
      </xdr:grpSpPr>
      <xdr:graphicFrame macro="">
        <xdr:nvGraphicFramePr>
          <xdr:cNvPr id="161" name="Graphique 160">
            <a:extLst>
              <a:ext uri="{FF2B5EF4-FFF2-40B4-BE49-F238E27FC236}">
                <a16:creationId xmlns:a16="http://schemas.microsoft.com/office/drawing/2014/main" id="{EC1583DA-7FDE-D895-4909-2D4DFB3CC25B}"/>
              </a:ext>
            </a:extLst>
          </xdr:cNvPr>
          <xdr:cNvGraphicFramePr/>
        </xdr:nvGraphicFramePr>
        <xdr:xfrm>
          <a:off x="1430906" y="38095440"/>
          <a:ext cx="12225716" cy="511790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6"/>
          </a:graphicData>
        </a:graphic>
      </xdr:graphicFrame>
      <xdr:sp macro="" textlink="">
        <xdr:nvSpPr>
          <xdr:cNvPr id="162" name="Rectangle : avec coins arrondis en haut 161">
            <a:extLst>
              <a:ext uri="{FF2B5EF4-FFF2-40B4-BE49-F238E27FC236}">
                <a16:creationId xmlns:a16="http://schemas.microsoft.com/office/drawing/2014/main" id="{0947D2CF-8668-BDCB-E842-587FF5CD0400}"/>
              </a:ext>
            </a:extLst>
          </xdr:cNvPr>
          <xdr:cNvSpPr/>
        </xdr:nvSpPr>
        <xdr:spPr>
          <a:xfrm rot="16200000">
            <a:off x="-1409794" y="40222981"/>
            <a:ext cx="5128189" cy="881007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3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TCHE - ANNUEL</a:t>
            </a:r>
            <a:endParaRPr lang="fr-FR" sz="3600" b="0">
              <a:solidFill>
                <a:schemeClr val="accent3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13</xdr:col>
      <xdr:colOff>59269</xdr:colOff>
      <xdr:row>205</xdr:row>
      <xdr:rowOff>143931</xdr:rowOff>
    </xdr:from>
    <xdr:to>
      <xdr:col>13</xdr:col>
      <xdr:colOff>889002</xdr:colOff>
      <xdr:row>208</xdr:row>
      <xdr:rowOff>160865</xdr:rowOff>
    </xdr:to>
    <xdr:sp macro="" textlink="'DONNEES '!K82">
      <xdr:nvSpPr>
        <xdr:cNvPr id="35" name="Ellipse 34">
          <a:extLst>
            <a:ext uri="{FF2B5EF4-FFF2-40B4-BE49-F238E27FC236}">
              <a16:creationId xmlns:a16="http://schemas.microsoft.com/office/drawing/2014/main" id="{1B5EFF6E-74B0-8D8E-6ED1-D52714241523}"/>
            </a:ext>
          </a:extLst>
        </xdr:cNvPr>
        <xdr:cNvSpPr/>
      </xdr:nvSpPr>
      <xdr:spPr>
        <a:xfrm>
          <a:off x="14901336" y="50114198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B7DA490-9236-D349-8702-F5F3DB5F9DED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50801</xdr:colOff>
      <xdr:row>208</xdr:row>
      <xdr:rowOff>101599</xdr:rowOff>
    </xdr:from>
    <xdr:to>
      <xdr:col>13</xdr:col>
      <xdr:colOff>880534</xdr:colOff>
      <xdr:row>211</xdr:row>
      <xdr:rowOff>118533</xdr:rowOff>
    </xdr:to>
    <xdr:sp macro="" textlink="'DONNEES '!K81">
      <xdr:nvSpPr>
        <xdr:cNvPr id="36" name="Ellipse 35">
          <a:extLst>
            <a:ext uri="{FF2B5EF4-FFF2-40B4-BE49-F238E27FC236}">
              <a16:creationId xmlns:a16="http://schemas.microsoft.com/office/drawing/2014/main" id="{C5750A12-A464-E24D-8E8E-AA602774481E}"/>
            </a:ext>
          </a:extLst>
        </xdr:cNvPr>
        <xdr:cNvSpPr/>
      </xdr:nvSpPr>
      <xdr:spPr>
        <a:xfrm>
          <a:off x="14892868" y="50757666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AF54817-0871-C543-BCB5-1AF86E71F94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59267</xdr:colOff>
      <xdr:row>211</xdr:row>
      <xdr:rowOff>67732</xdr:rowOff>
    </xdr:from>
    <xdr:to>
      <xdr:col>13</xdr:col>
      <xdr:colOff>889000</xdr:colOff>
      <xdr:row>214</xdr:row>
      <xdr:rowOff>84666</xdr:rowOff>
    </xdr:to>
    <xdr:sp macro="" textlink="'DONNEES '!K80">
      <xdr:nvSpPr>
        <xdr:cNvPr id="44" name="Ellipse 43">
          <a:extLst>
            <a:ext uri="{FF2B5EF4-FFF2-40B4-BE49-F238E27FC236}">
              <a16:creationId xmlns:a16="http://schemas.microsoft.com/office/drawing/2014/main" id="{61085AE7-70CE-0345-BF68-987FC7B2DA30}"/>
            </a:ext>
          </a:extLst>
        </xdr:cNvPr>
        <xdr:cNvSpPr/>
      </xdr:nvSpPr>
      <xdr:spPr>
        <a:xfrm>
          <a:off x="14901334" y="51409599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B1BA6CE-492F-8B46-AE63-419A8AB367A8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59267</xdr:colOff>
      <xdr:row>214</xdr:row>
      <xdr:rowOff>33865</xdr:rowOff>
    </xdr:from>
    <xdr:to>
      <xdr:col>13</xdr:col>
      <xdr:colOff>889000</xdr:colOff>
      <xdr:row>217</xdr:row>
      <xdr:rowOff>50799</xdr:rowOff>
    </xdr:to>
    <xdr:sp macro="" textlink="'DONNEES '!K79">
      <xdr:nvSpPr>
        <xdr:cNvPr id="85" name="Ellipse 84">
          <a:extLst>
            <a:ext uri="{FF2B5EF4-FFF2-40B4-BE49-F238E27FC236}">
              <a16:creationId xmlns:a16="http://schemas.microsoft.com/office/drawing/2014/main" id="{09B9A4C2-A2A9-BD4D-8A0C-09561271EFD6}"/>
            </a:ext>
          </a:extLst>
        </xdr:cNvPr>
        <xdr:cNvSpPr/>
      </xdr:nvSpPr>
      <xdr:spPr>
        <a:xfrm>
          <a:off x="14901334" y="52061532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FDB3145-778D-1B4B-9645-7236DBACCEBB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59266</xdr:colOff>
      <xdr:row>217</xdr:row>
      <xdr:rowOff>25398</xdr:rowOff>
    </xdr:from>
    <xdr:to>
      <xdr:col>13</xdr:col>
      <xdr:colOff>888999</xdr:colOff>
      <xdr:row>220</xdr:row>
      <xdr:rowOff>42332</xdr:rowOff>
    </xdr:to>
    <xdr:sp macro="" textlink="'DONNEES '!K78">
      <xdr:nvSpPr>
        <xdr:cNvPr id="86" name="Ellipse 85">
          <a:extLst>
            <a:ext uri="{FF2B5EF4-FFF2-40B4-BE49-F238E27FC236}">
              <a16:creationId xmlns:a16="http://schemas.microsoft.com/office/drawing/2014/main" id="{3265CA41-4882-8245-A6D4-76FCC38D4898}"/>
            </a:ext>
          </a:extLst>
        </xdr:cNvPr>
        <xdr:cNvSpPr/>
      </xdr:nvSpPr>
      <xdr:spPr>
        <a:xfrm>
          <a:off x="14901333" y="52738865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8D084A6-7CE4-2F41-B583-761CC37AFAEB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59265</xdr:colOff>
      <xdr:row>220</xdr:row>
      <xdr:rowOff>8465</xdr:rowOff>
    </xdr:from>
    <xdr:to>
      <xdr:col>13</xdr:col>
      <xdr:colOff>888998</xdr:colOff>
      <xdr:row>223</xdr:row>
      <xdr:rowOff>25399</xdr:rowOff>
    </xdr:to>
    <xdr:sp macro="" textlink="'DONNEES '!K77">
      <xdr:nvSpPr>
        <xdr:cNvPr id="88" name="Ellipse 87">
          <a:extLst>
            <a:ext uri="{FF2B5EF4-FFF2-40B4-BE49-F238E27FC236}">
              <a16:creationId xmlns:a16="http://schemas.microsoft.com/office/drawing/2014/main" id="{C40EA410-7E9D-E341-BDA6-E9EB6D6B9459}"/>
            </a:ext>
          </a:extLst>
        </xdr:cNvPr>
        <xdr:cNvSpPr/>
      </xdr:nvSpPr>
      <xdr:spPr>
        <a:xfrm>
          <a:off x="14901332" y="53407732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9D5F09F-7E98-AC41-8C2F-75CCD8C14206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59265</xdr:colOff>
      <xdr:row>222</xdr:row>
      <xdr:rowOff>220132</xdr:rowOff>
    </xdr:from>
    <xdr:to>
      <xdr:col>13</xdr:col>
      <xdr:colOff>888998</xdr:colOff>
      <xdr:row>226</xdr:row>
      <xdr:rowOff>8466</xdr:rowOff>
    </xdr:to>
    <xdr:sp macro="" textlink="'DONNEES '!K76">
      <xdr:nvSpPr>
        <xdr:cNvPr id="103" name="Ellipse 102">
          <a:extLst>
            <a:ext uri="{FF2B5EF4-FFF2-40B4-BE49-F238E27FC236}">
              <a16:creationId xmlns:a16="http://schemas.microsoft.com/office/drawing/2014/main" id="{04B497EF-56CA-8541-8090-D5BF6202F83B}"/>
            </a:ext>
          </a:extLst>
        </xdr:cNvPr>
        <xdr:cNvSpPr/>
      </xdr:nvSpPr>
      <xdr:spPr>
        <a:xfrm>
          <a:off x="14901332" y="54076599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962BD0-1A23-9044-B375-54F65C42FB5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59264</xdr:colOff>
      <xdr:row>225</xdr:row>
      <xdr:rowOff>203198</xdr:rowOff>
    </xdr:from>
    <xdr:to>
      <xdr:col>13</xdr:col>
      <xdr:colOff>888997</xdr:colOff>
      <xdr:row>228</xdr:row>
      <xdr:rowOff>220132</xdr:rowOff>
    </xdr:to>
    <xdr:sp macro="" textlink="'DONNEES '!K75">
      <xdr:nvSpPr>
        <xdr:cNvPr id="105" name="Ellipse 104">
          <a:extLst>
            <a:ext uri="{FF2B5EF4-FFF2-40B4-BE49-F238E27FC236}">
              <a16:creationId xmlns:a16="http://schemas.microsoft.com/office/drawing/2014/main" id="{D5DD3E99-7F67-2744-B321-341A17160528}"/>
            </a:ext>
          </a:extLst>
        </xdr:cNvPr>
        <xdr:cNvSpPr/>
      </xdr:nvSpPr>
      <xdr:spPr>
        <a:xfrm>
          <a:off x="14901331" y="54745465"/>
          <a:ext cx="829733" cy="7027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D70A3F5-2E54-2644-AC7E-E2B9C174B6DB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60960</xdr:colOff>
      <xdr:row>111</xdr:row>
      <xdr:rowOff>81280</xdr:rowOff>
    </xdr:from>
    <xdr:to>
      <xdr:col>13</xdr:col>
      <xdr:colOff>924560</xdr:colOff>
      <xdr:row>114</xdr:row>
      <xdr:rowOff>208280</xdr:rowOff>
    </xdr:to>
    <xdr:sp macro="" textlink="'DONNEES '!U61">
      <xdr:nvSpPr>
        <xdr:cNvPr id="107" name="Ellipse 106">
          <a:extLst>
            <a:ext uri="{FF2B5EF4-FFF2-40B4-BE49-F238E27FC236}">
              <a16:creationId xmlns:a16="http://schemas.microsoft.com/office/drawing/2014/main" id="{E5A3887B-6EAB-932C-7EB4-94499BDB9FD9}"/>
            </a:ext>
          </a:extLst>
        </xdr:cNvPr>
        <xdr:cNvSpPr/>
      </xdr:nvSpPr>
      <xdr:spPr>
        <a:xfrm>
          <a:off x="14894560" y="27960320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277CD2B-D307-434F-A026-F07748C72E90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60960</xdr:colOff>
      <xdr:row>113</xdr:row>
      <xdr:rowOff>213360</xdr:rowOff>
    </xdr:from>
    <xdr:to>
      <xdr:col>13</xdr:col>
      <xdr:colOff>924560</xdr:colOff>
      <xdr:row>117</xdr:row>
      <xdr:rowOff>106680</xdr:rowOff>
    </xdr:to>
    <xdr:sp macro="" textlink="'DONNEES '!U60">
      <xdr:nvSpPr>
        <xdr:cNvPr id="110" name="Ellipse 109">
          <a:extLst>
            <a:ext uri="{FF2B5EF4-FFF2-40B4-BE49-F238E27FC236}">
              <a16:creationId xmlns:a16="http://schemas.microsoft.com/office/drawing/2014/main" id="{1B21CD4E-ACD5-B34D-BEEC-E2C2DBD66767}"/>
            </a:ext>
          </a:extLst>
        </xdr:cNvPr>
        <xdr:cNvSpPr/>
      </xdr:nvSpPr>
      <xdr:spPr>
        <a:xfrm>
          <a:off x="14894560" y="28559760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28BF286-5F7E-E047-9E99-11765674AB7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60960</xdr:colOff>
      <xdr:row>116</xdr:row>
      <xdr:rowOff>142240</xdr:rowOff>
    </xdr:from>
    <xdr:to>
      <xdr:col>13</xdr:col>
      <xdr:colOff>924560</xdr:colOff>
      <xdr:row>120</xdr:row>
      <xdr:rowOff>35560</xdr:rowOff>
    </xdr:to>
    <xdr:sp macro="" textlink="'DONNEES '!U59">
      <xdr:nvSpPr>
        <xdr:cNvPr id="111" name="Ellipse 110">
          <a:extLst>
            <a:ext uri="{FF2B5EF4-FFF2-40B4-BE49-F238E27FC236}">
              <a16:creationId xmlns:a16="http://schemas.microsoft.com/office/drawing/2014/main" id="{072A4B7B-5042-5B4E-B02F-101F412A0396}"/>
            </a:ext>
          </a:extLst>
        </xdr:cNvPr>
        <xdr:cNvSpPr/>
      </xdr:nvSpPr>
      <xdr:spPr>
        <a:xfrm>
          <a:off x="14894560" y="29189680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DB73BC0-DA1C-2F4D-98F4-C91B65A0A33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60960</xdr:colOff>
      <xdr:row>119</xdr:row>
      <xdr:rowOff>50800</xdr:rowOff>
    </xdr:from>
    <xdr:to>
      <xdr:col>13</xdr:col>
      <xdr:colOff>924560</xdr:colOff>
      <xdr:row>122</xdr:row>
      <xdr:rowOff>177800</xdr:rowOff>
    </xdr:to>
    <xdr:sp macro="" textlink="'DONNEES '!U58">
      <xdr:nvSpPr>
        <xdr:cNvPr id="112" name="Ellipse 111">
          <a:extLst>
            <a:ext uri="{FF2B5EF4-FFF2-40B4-BE49-F238E27FC236}">
              <a16:creationId xmlns:a16="http://schemas.microsoft.com/office/drawing/2014/main" id="{61751092-F30A-B54F-B316-501BFC7239E5}"/>
            </a:ext>
          </a:extLst>
        </xdr:cNvPr>
        <xdr:cNvSpPr/>
      </xdr:nvSpPr>
      <xdr:spPr>
        <a:xfrm>
          <a:off x="14894560" y="29799280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ED5A83D-37C8-D04C-8A10-6D05C954CF96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60960</xdr:colOff>
      <xdr:row>121</xdr:row>
      <xdr:rowOff>193040</xdr:rowOff>
    </xdr:from>
    <xdr:to>
      <xdr:col>13</xdr:col>
      <xdr:colOff>924560</xdr:colOff>
      <xdr:row>125</xdr:row>
      <xdr:rowOff>86360</xdr:rowOff>
    </xdr:to>
    <xdr:sp macro="" textlink="'DONNEES '!U57">
      <xdr:nvSpPr>
        <xdr:cNvPr id="113" name="Ellipse 112">
          <a:extLst>
            <a:ext uri="{FF2B5EF4-FFF2-40B4-BE49-F238E27FC236}">
              <a16:creationId xmlns:a16="http://schemas.microsoft.com/office/drawing/2014/main" id="{DFBD91CA-DF53-C440-B590-705EF769A86A}"/>
            </a:ext>
          </a:extLst>
        </xdr:cNvPr>
        <xdr:cNvSpPr/>
      </xdr:nvSpPr>
      <xdr:spPr>
        <a:xfrm>
          <a:off x="14894560" y="30408880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6F062CB-E0B8-7845-B55B-9DF29899F51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65492</xdr:colOff>
      <xdr:row>124</xdr:row>
      <xdr:rowOff>127225</xdr:rowOff>
    </xdr:from>
    <xdr:to>
      <xdr:col>13</xdr:col>
      <xdr:colOff>929092</xdr:colOff>
      <xdr:row>127</xdr:row>
      <xdr:rowOff>132305</xdr:rowOff>
    </xdr:to>
    <xdr:sp macro="" textlink="'DONNEES '!U56">
      <xdr:nvSpPr>
        <xdr:cNvPr id="115" name="Ellipse 114">
          <a:extLst>
            <a:ext uri="{FF2B5EF4-FFF2-40B4-BE49-F238E27FC236}">
              <a16:creationId xmlns:a16="http://schemas.microsoft.com/office/drawing/2014/main" id="{660EDB47-212E-A64E-9833-91B423B20D85}"/>
            </a:ext>
          </a:extLst>
        </xdr:cNvPr>
        <xdr:cNvSpPr/>
      </xdr:nvSpPr>
      <xdr:spPr>
        <a:xfrm>
          <a:off x="14899092" y="31044105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57BB24B-DA61-EA4B-B7D0-EE7069B913F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65492</xdr:colOff>
      <xdr:row>126</xdr:row>
      <xdr:rowOff>198345</xdr:rowOff>
    </xdr:from>
    <xdr:to>
      <xdr:col>13</xdr:col>
      <xdr:colOff>929092</xdr:colOff>
      <xdr:row>130</xdr:row>
      <xdr:rowOff>30705</xdr:rowOff>
    </xdr:to>
    <xdr:sp macro="" textlink="'DONNEES '!U55">
      <xdr:nvSpPr>
        <xdr:cNvPr id="117" name="Ellipse 116">
          <a:extLst>
            <a:ext uri="{FF2B5EF4-FFF2-40B4-BE49-F238E27FC236}">
              <a16:creationId xmlns:a16="http://schemas.microsoft.com/office/drawing/2014/main" id="{5628D2B1-B3DE-5B44-AC1B-590AEFD2413D}"/>
            </a:ext>
          </a:extLst>
        </xdr:cNvPr>
        <xdr:cNvSpPr/>
      </xdr:nvSpPr>
      <xdr:spPr>
        <a:xfrm>
          <a:off x="14899092" y="31643545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E520604-241A-5A48-8A50-90299163220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65492</xdr:colOff>
      <xdr:row>129</xdr:row>
      <xdr:rowOff>45945</xdr:rowOff>
    </xdr:from>
    <xdr:to>
      <xdr:col>13</xdr:col>
      <xdr:colOff>929092</xdr:colOff>
      <xdr:row>132</xdr:row>
      <xdr:rowOff>172945</xdr:rowOff>
    </xdr:to>
    <xdr:sp macro="" textlink="'DONNEES '!U54">
      <xdr:nvSpPr>
        <xdr:cNvPr id="118" name="Ellipse 117">
          <a:extLst>
            <a:ext uri="{FF2B5EF4-FFF2-40B4-BE49-F238E27FC236}">
              <a16:creationId xmlns:a16="http://schemas.microsoft.com/office/drawing/2014/main" id="{9C16AE86-D1F6-E049-9A33-C2733BC6AAF7}"/>
            </a:ext>
          </a:extLst>
        </xdr:cNvPr>
        <xdr:cNvSpPr/>
      </xdr:nvSpPr>
      <xdr:spPr>
        <a:xfrm>
          <a:off x="14899092" y="32253145"/>
          <a:ext cx="863600" cy="82804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F3452-449F-A547-9A53-EEAA72D84C3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24597</xdr:colOff>
      <xdr:row>186</xdr:row>
      <xdr:rowOff>50007</xdr:rowOff>
    </xdr:from>
    <xdr:to>
      <xdr:col>13</xdr:col>
      <xdr:colOff>868359</xdr:colOff>
      <xdr:row>188</xdr:row>
      <xdr:rowOff>228601</xdr:rowOff>
    </xdr:to>
    <xdr:sp macro="" textlink="'DONNEES '!AE41">
      <xdr:nvSpPr>
        <xdr:cNvPr id="159" name="Ellipse 158">
          <a:extLst>
            <a:ext uri="{FF2B5EF4-FFF2-40B4-BE49-F238E27FC236}">
              <a16:creationId xmlns:a16="http://schemas.microsoft.com/office/drawing/2014/main" id="{B93DDC40-A463-F5D0-D92F-57C5E0D9CAF7}"/>
            </a:ext>
          </a:extLst>
        </xdr:cNvPr>
        <xdr:cNvSpPr/>
      </xdr:nvSpPr>
      <xdr:spPr>
        <a:xfrm>
          <a:off x="14858197" y="44728607"/>
          <a:ext cx="843762" cy="76279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21BE297-ACBF-EC4D-BE8B-115397D0927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26186</xdr:colOff>
      <xdr:row>188</xdr:row>
      <xdr:rowOff>43655</xdr:rowOff>
    </xdr:from>
    <xdr:to>
      <xdr:col>13</xdr:col>
      <xdr:colOff>869948</xdr:colOff>
      <xdr:row>190</xdr:row>
      <xdr:rowOff>142040</xdr:rowOff>
    </xdr:to>
    <xdr:sp macro="" textlink="'DONNEES '!AE40">
      <xdr:nvSpPr>
        <xdr:cNvPr id="160" name="Ellipse 159">
          <a:extLst>
            <a:ext uri="{FF2B5EF4-FFF2-40B4-BE49-F238E27FC236}">
              <a16:creationId xmlns:a16="http://schemas.microsoft.com/office/drawing/2014/main" id="{60546BBD-45EC-334D-BBE4-8CE9B55DA81B}"/>
            </a:ext>
          </a:extLst>
        </xdr:cNvPr>
        <xdr:cNvSpPr/>
      </xdr:nvSpPr>
      <xdr:spPr>
        <a:xfrm>
          <a:off x="14859786" y="45306455"/>
          <a:ext cx="843762" cy="75878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E706315-E1B9-8E40-8B5B-9BD759239140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19836</xdr:colOff>
      <xdr:row>189</xdr:row>
      <xdr:rowOff>299243</xdr:rowOff>
    </xdr:from>
    <xdr:to>
      <xdr:col>13</xdr:col>
      <xdr:colOff>863598</xdr:colOff>
      <xdr:row>192</xdr:row>
      <xdr:rowOff>67428</xdr:rowOff>
    </xdr:to>
    <xdr:sp macro="" textlink="'DONNEES '!AE39">
      <xdr:nvSpPr>
        <xdr:cNvPr id="170" name="Ellipse 169">
          <a:extLst>
            <a:ext uri="{FF2B5EF4-FFF2-40B4-BE49-F238E27FC236}">
              <a16:creationId xmlns:a16="http://schemas.microsoft.com/office/drawing/2014/main" id="{E9F22A18-F13E-1842-8CAD-231D299D724E}"/>
            </a:ext>
          </a:extLst>
        </xdr:cNvPr>
        <xdr:cNvSpPr/>
      </xdr:nvSpPr>
      <xdr:spPr>
        <a:xfrm>
          <a:off x="14853436" y="45892243"/>
          <a:ext cx="843762" cy="75878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247135A-44C0-D748-84B4-568EE12C54A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21424</xdr:colOff>
      <xdr:row>191</xdr:row>
      <xdr:rowOff>213518</xdr:rowOff>
    </xdr:from>
    <xdr:to>
      <xdr:col>13</xdr:col>
      <xdr:colOff>865186</xdr:colOff>
      <xdr:row>193</xdr:row>
      <xdr:rowOff>311903</xdr:rowOff>
    </xdr:to>
    <xdr:sp macro="" textlink="'DONNEES '!AE38">
      <xdr:nvSpPr>
        <xdr:cNvPr id="171" name="Ellipse 170">
          <a:extLst>
            <a:ext uri="{FF2B5EF4-FFF2-40B4-BE49-F238E27FC236}">
              <a16:creationId xmlns:a16="http://schemas.microsoft.com/office/drawing/2014/main" id="{7C78294D-AB85-9245-90BB-6AD03F6A961B}"/>
            </a:ext>
          </a:extLst>
        </xdr:cNvPr>
        <xdr:cNvSpPr/>
      </xdr:nvSpPr>
      <xdr:spPr>
        <a:xfrm>
          <a:off x="14855024" y="46466918"/>
          <a:ext cx="843762" cy="75878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7600694-68D7-0F42-B638-8AC50898EEB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23012</xdr:colOff>
      <xdr:row>193</xdr:row>
      <xdr:rowOff>127793</xdr:rowOff>
    </xdr:from>
    <xdr:to>
      <xdr:col>13</xdr:col>
      <xdr:colOff>866774</xdr:colOff>
      <xdr:row>195</xdr:row>
      <xdr:rowOff>226178</xdr:rowOff>
    </xdr:to>
    <xdr:sp macro="" textlink="'DONNEES '!AE37">
      <xdr:nvSpPr>
        <xdr:cNvPr id="172" name="Ellipse 171">
          <a:extLst>
            <a:ext uri="{FF2B5EF4-FFF2-40B4-BE49-F238E27FC236}">
              <a16:creationId xmlns:a16="http://schemas.microsoft.com/office/drawing/2014/main" id="{8399FF22-9B6D-3C4F-9AFB-EE9395B4329E}"/>
            </a:ext>
          </a:extLst>
        </xdr:cNvPr>
        <xdr:cNvSpPr/>
      </xdr:nvSpPr>
      <xdr:spPr>
        <a:xfrm>
          <a:off x="14856612" y="47041593"/>
          <a:ext cx="843762" cy="75878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C106A3B-B4FF-3A49-9F79-44B45C5F2B8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24600</xdr:colOff>
      <xdr:row>195</xdr:row>
      <xdr:rowOff>42068</xdr:rowOff>
    </xdr:from>
    <xdr:to>
      <xdr:col>13</xdr:col>
      <xdr:colOff>868362</xdr:colOff>
      <xdr:row>198</xdr:row>
      <xdr:rowOff>106362</xdr:rowOff>
    </xdr:to>
    <xdr:sp macro="" textlink="'DONNEES '!AE36">
      <xdr:nvSpPr>
        <xdr:cNvPr id="181" name="Ellipse 180">
          <a:extLst>
            <a:ext uri="{FF2B5EF4-FFF2-40B4-BE49-F238E27FC236}">
              <a16:creationId xmlns:a16="http://schemas.microsoft.com/office/drawing/2014/main" id="{84B030C7-B6B9-134D-9241-0DCD5888151D}"/>
            </a:ext>
          </a:extLst>
        </xdr:cNvPr>
        <xdr:cNvSpPr/>
      </xdr:nvSpPr>
      <xdr:spPr>
        <a:xfrm>
          <a:off x="14858200" y="47616268"/>
          <a:ext cx="843762" cy="76279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7F694E5-D180-4E44-BCE7-95BE4C4BAB6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26188</xdr:colOff>
      <xdr:row>197</xdr:row>
      <xdr:rowOff>170656</xdr:rowOff>
    </xdr:from>
    <xdr:to>
      <xdr:col>13</xdr:col>
      <xdr:colOff>869950</xdr:colOff>
      <xdr:row>200</xdr:row>
      <xdr:rowOff>225588</xdr:rowOff>
    </xdr:to>
    <xdr:sp macro="" textlink="'DONNEES '!AE35">
      <xdr:nvSpPr>
        <xdr:cNvPr id="193" name="Ellipse 192">
          <a:extLst>
            <a:ext uri="{FF2B5EF4-FFF2-40B4-BE49-F238E27FC236}">
              <a16:creationId xmlns:a16="http://schemas.microsoft.com/office/drawing/2014/main" id="{3F4D54BD-DAA0-5547-BF00-B40F4F47C759}"/>
            </a:ext>
          </a:extLst>
        </xdr:cNvPr>
        <xdr:cNvSpPr/>
      </xdr:nvSpPr>
      <xdr:spPr>
        <a:xfrm>
          <a:off x="14859788" y="48202056"/>
          <a:ext cx="843762" cy="77883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8E7F50C-9386-7A4B-9810-256487750DB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19838</xdr:colOff>
      <xdr:row>200</xdr:row>
      <xdr:rowOff>37306</xdr:rowOff>
    </xdr:from>
    <xdr:to>
      <xdr:col>13</xdr:col>
      <xdr:colOff>863600</xdr:colOff>
      <xdr:row>203</xdr:row>
      <xdr:rowOff>114300</xdr:rowOff>
    </xdr:to>
    <xdr:sp macro="" textlink="'DONNEES '!AE34">
      <xdr:nvSpPr>
        <xdr:cNvPr id="194" name="Ellipse 193">
          <a:extLst>
            <a:ext uri="{FF2B5EF4-FFF2-40B4-BE49-F238E27FC236}">
              <a16:creationId xmlns:a16="http://schemas.microsoft.com/office/drawing/2014/main" id="{C0B12799-3C18-3E4F-9F7F-4DE244915C28}"/>
            </a:ext>
          </a:extLst>
        </xdr:cNvPr>
        <xdr:cNvSpPr/>
      </xdr:nvSpPr>
      <xdr:spPr>
        <a:xfrm>
          <a:off x="14853438" y="48792606"/>
          <a:ext cx="843762" cy="76279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B97F081-4BCD-A849-861C-727CA06E53D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14470</xdr:colOff>
      <xdr:row>231</xdr:row>
      <xdr:rowOff>37214</xdr:rowOff>
    </xdr:from>
    <xdr:to>
      <xdr:col>13</xdr:col>
      <xdr:colOff>973474</xdr:colOff>
      <xdr:row>234</xdr:row>
      <xdr:rowOff>112518</xdr:rowOff>
    </xdr:to>
    <xdr:sp macro="" textlink="'DONNEES '!$K$20">
      <xdr:nvSpPr>
        <xdr:cNvPr id="296" name="Ellipse 295">
          <a:extLst>
            <a:ext uri="{FF2B5EF4-FFF2-40B4-BE49-F238E27FC236}">
              <a16:creationId xmlns:a16="http://schemas.microsoft.com/office/drawing/2014/main" id="{F07C5EF8-6431-8F14-FFCA-6F8C9742FBB4}"/>
            </a:ext>
          </a:extLst>
        </xdr:cNvPr>
        <xdr:cNvSpPr/>
      </xdr:nvSpPr>
      <xdr:spPr>
        <a:xfrm>
          <a:off x="14848070" y="55879114"/>
          <a:ext cx="959004" cy="76110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2275CD5-EC1E-2043-A10F-7D107839CFAC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14470</xdr:colOff>
      <xdr:row>233</xdr:row>
      <xdr:rowOff>127000</xdr:rowOff>
    </xdr:from>
    <xdr:to>
      <xdr:col>13</xdr:col>
      <xdr:colOff>973474</xdr:colOff>
      <xdr:row>236</xdr:row>
      <xdr:rowOff>202304</xdr:rowOff>
    </xdr:to>
    <xdr:sp macro="" textlink="'DONNEES '!$K$19">
      <xdr:nvSpPr>
        <xdr:cNvPr id="297" name="Ellipse 296">
          <a:extLst>
            <a:ext uri="{FF2B5EF4-FFF2-40B4-BE49-F238E27FC236}">
              <a16:creationId xmlns:a16="http://schemas.microsoft.com/office/drawing/2014/main" id="{137E5E42-ACBC-E54B-AB57-02E2E629478C}"/>
            </a:ext>
          </a:extLst>
        </xdr:cNvPr>
        <xdr:cNvSpPr/>
      </xdr:nvSpPr>
      <xdr:spPr>
        <a:xfrm>
          <a:off x="14848070" y="56426100"/>
          <a:ext cx="959004" cy="76110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DD17E28-7503-9D4C-A77C-147E0EDF776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7381</xdr:colOff>
      <xdr:row>235</xdr:row>
      <xdr:rowOff>217378</xdr:rowOff>
    </xdr:from>
    <xdr:to>
      <xdr:col>13</xdr:col>
      <xdr:colOff>966385</xdr:colOff>
      <xdr:row>239</xdr:row>
      <xdr:rowOff>64082</xdr:rowOff>
    </xdr:to>
    <xdr:sp macro="" textlink="'DONNEES '!$K$18">
      <xdr:nvSpPr>
        <xdr:cNvPr id="298" name="Ellipse 297">
          <a:extLst>
            <a:ext uri="{FF2B5EF4-FFF2-40B4-BE49-F238E27FC236}">
              <a16:creationId xmlns:a16="http://schemas.microsoft.com/office/drawing/2014/main" id="{60F7384E-F6D1-0040-AFCD-1E88B1B092BF}"/>
            </a:ext>
          </a:extLst>
        </xdr:cNvPr>
        <xdr:cNvSpPr/>
      </xdr:nvSpPr>
      <xdr:spPr>
        <a:xfrm>
          <a:off x="14840981" y="56973678"/>
          <a:ext cx="959004" cy="76110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D884158-F508-234C-87BE-D09376CED246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6199</xdr:colOff>
      <xdr:row>238</xdr:row>
      <xdr:rowOff>76203</xdr:rowOff>
    </xdr:from>
    <xdr:to>
      <xdr:col>13</xdr:col>
      <xdr:colOff>965203</xdr:colOff>
      <xdr:row>241</xdr:row>
      <xdr:rowOff>151506</xdr:rowOff>
    </xdr:to>
    <xdr:sp macro="" textlink="'DONNEES '!$K$17">
      <xdr:nvSpPr>
        <xdr:cNvPr id="299" name="Ellipse 298">
          <a:extLst>
            <a:ext uri="{FF2B5EF4-FFF2-40B4-BE49-F238E27FC236}">
              <a16:creationId xmlns:a16="http://schemas.microsoft.com/office/drawing/2014/main" id="{E8C48E44-4074-8749-8BD9-B276B91A14F1}"/>
            </a:ext>
          </a:extLst>
        </xdr:cNvPr>
        <xdr:cNvSpPr/>
      </xdr:nvSpPr>
      <xdr:spPr>
        <a:xfrm>
          <a:off x="14839799" y="57518303"/>
          <a:ext cx="959004" cy="76110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5033ACA-E185-D64C-A6AF-83C0B4109F7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5017</xdr:colOff>
      <xdr:row>240</xdr:row>
      <xdr:rowOff>169534</xdr:rowOff>
    </xdr:from>
    <xdr:to>
      <xdr:col>13</xdr:col>
      <xdr:colOff>964021</xdr:colOff>
      <xdr:row>244</xdr:row>
      <xdr:rowOff>13878</xdr:rowOff>
    </xdr:to>
    <xdr:sp macro="" textlink="'DONNEES '!$K$16">
      <xdr:nvSpPr>
        <xdr:cNvPr id="300" name="Ellipse 299">
          <a:extLst>
            <a:ext uri="{FF2B5EF4-FFF2-40B4-BE49-F238E27FC236}">
              <a16:creationId xmlns:a16="http://schemas.microsoft.com/office/drawing/2014/main" id="{F0CD1037-4A90-DD4F-A4CD-13D2EA40332E}"/>
            </a:ext>
          </a:extLst>
        </xdr:cNvPr>
        <xdr:cNvSpPr/>
      </xdr:nvSpPr>
      <xdr:spPr>
        <a:xfrm>
          <a:off x="14838617" y="58068834"/>
          <a:ext cx="959004" cy="75874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FF56607-6763-6842-BF5C-DFC4886C7ED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3835</xdr:colOff>
      <xdr:row>243</xdr:row>
      <xdr:rowOff>20680</xdr:rowOff>
    </xdr:from>
    <xdr:to>
      <xdr:col>13</xdr:col>
      <xdr:colOff>962839</xdr:colOff>
      <xdr:row>246</xdr:row>
      <xdr:rowOff>95984</xdr:rowOff>
    </xdr:to>
    <xdr:sp macro="" textlink="'DONNEES '!$K$15">
      <xdr:nvSpPr>
        <xdr:cNvPr id="301" name="Ellipse 300">
          <a:extLst>
            <a:ext uri="{FF2B5EF4-FFF2-40B4-BE49-F238E27FC236}">
              <a16:creationId xmlns:a16="http://schemas.microsoft.com/office/drawing/2014/main" id="{1B57730F-C058-AE45-B1DE-7EEDA9C31B96}"/>
            </a:ext>
          </a:extLst>
        </xdr:cNvPr>
        <xdr:cNvSpPr/>
      </xdr:nvSpPr>
      <xdr:spPr>
        <a:xfrm>
          <a:off x="14837435" y="58605780"/>
          <a:ext cx="959004" cy="76110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8B7ECCA-5124-8244-B191-AA055AF98623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8560</xdr:colOff>
      <xdr:row>245</xdr:row>
      <xdr:rowOff>114012</xdr:rowOff>
    </xdr:from>
    <xdr:to>
      <xdr:col>13</xdr:col>
      <xdr:colOff>967564</xdr:colOff>
      <xdr:row>248</xdr:row>
      <xdr:rowOff>186956</xdr:rowOff>
    </xdr:to>
    <xdr:sp macro="" textlink="'DONNEES '!$K$14">
      <xdr:nvSpPr>
        <xdr:cNvPr id="302" name="Ellipse 301">
          <a:extLst>
            <a:ext uri="{FF2B5EF4-FFF2-40B4-BE49-F238E27FC236}">
              <a16:creationId xmlns:a16="http://schemas.microsoft.com/office/drawing/2014/main" id="{F6B344C4-542B-EB43-A9B3-3FF2664F6B80}"/>
            </a:ext>
          </a:extLst>
        </xdr:cNvPr>
        <xdr:cNvSpPr/>
      </xdr:nvSpPr>
      <xdr:spPr>
        <a:xfrm>
          <a:off x="14842160" y="59156312"/>
          <a:ext cx="959004" cy="75874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DEF75B3-2933-5D44-ADC7-ABBE48F8AD2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7378</xdr:colOff>
      <xdr:row>247</xdr:row>
      <xdr:rowOff>199665</xdr:rowOff>
    </xdr:from>
    <xdr:to>
      <xdr:col>13</xdr:col>
      <xdr:colOff>966382</xdr:colOff>
      <xdr:row>251</xdr:row>
      <xdr:rowOff>46368</xdr:rowOff>
    </xdr:to>
    <xdr:sp macro="" textlink="'DONNEES '!$K$13">
      <xdr:nvSpPr>
        <xdr:cNvPr id="303" name="Ellipse 302">
          <a:extLst>
            <a:ext uri="{FF2B5EF4-FFF2-40B4-BE49-F238E27FC236}">
              <a16:creationId xmlns:a16="http://schemas.microsoft.com/office/drawing/2014/main" id="{6A34B77D-3BDC-694F-9E39-1D66BC8C9D3E}"/>
            </a:ext>
          </a:extLst>
        </xdr:cNvPr>
        <xdr:cNvSpPr/>
      </xdr:nvSpPr>
      <xdr:spPr>
        <a:xfrm>
          <a:off x="14840978" y="59699165"/>
          <a:ext cx="959004" cy="76110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A8BCB4A-2312-1948-B0CD-ADF1E97A82D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6196</xdr:colOff>
      <xdr:row>250</xdr:row>
      <xdr:rowOff>64396</xdr:rowOff>
    </xdr:from>
    <xdr:to>
      <xdr:col>13</xdr:col>
      <xdr:colOff>965200</xdr:colOff>
      <xdr:row>253</xdr:row>
      <xdr:rowOff>139700</xdr:rowOff>
    </xdr:to>
    <xdr:sp macro="" textlink="'DONNEES '!$K$12">
      <xdr:nvSpPr>
        <xdr:cNvPr id="304" name="Ellipse 303">
          <a:extLst>
            <a:ext uri="{FF2B5EF4-FFF2-40B4-BE49-F238E27FC236}">
              <a16:creationId xmlns:a16="http://schemas.microsoft.com/office/drawing/2014/main" id="{1C225FBC-BD41-E34F-9C8D-BEC0204D33B3}"/>
            </a:ext>
          </a:extLst>
        </xdr:cNvPr>
        <xdr:cNvSpPr/>
      </xdr:nvSpPr>
      <xdr:spPr>
        <a:xfrm>
          <a:off x="14839796" y="60249696"/>
          <a:ext cx="959004" cy="76110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690E4FA-8011-5B40-9E5D-B614C85A3867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804865</xdr:colOff>
      <xdr:row>231</xdr:row>
      <xdr:rowOff>58929</xdr:rowOff>
    </xdr:from>
    <xdr:to>
      <xdr:col>2</xdr:col>
      <xdr:colOff>595080</xdr:colOff>
      <xdr:row>234</xdr:row>
      <xdr:rowOff>115100</xdr:rowOff>
    </xdr:to>
    <xdr:sp macro="" textlink="'DONNEES '!$U$19">
      <xdr:nvSpPr>
        <xdr:cNvPr id="305" name="Ellipse 304">
          <a:extLst>
            <a:ext uri="{FF2B5EF4-FFF2-40B4-BE49-F238E27FC236}">
              <a16:creationId xmlns:a16="http://schemas.microsoft.com/office/drawing/2014/main" id="{23A93B47-4E4A-A849-A7ED-2E215505FDDF}"/>
            </a:ext>
          </a:extLst>
        </xdr:cNvPr>
        <xdr:cNvSpPr/>
      </xdr:nvSpPr>
      <xdr:spPr>
        <a:xfrm>
          <a:off x="1528765" y="55900829"/>
          <a:ext cx="920515" cy="74197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D59BC45-C9B7-7744-9DBB-EA2DC6417E2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805124</xdr:colOff>
      <xdr:row>233</xdr:row>
      <xdr:rowOff>208418</xdr:rowOff>
    </xdr:from>
    <xdr:to>
      <xdr:col>2</xdr:col>
      <xdr:colOff>595339</xdr:colOff>
      <xdr:row>237</xdr:row>
      <xdr:rowOff>35990</xdr:rowOff>
    </xdr:to>
    <xdr:sp macro="" textlink="'DONNEES '!$U$18">
      <xdr:nvSpPr>
        <xdr:cNvPr id="334" name="Ellipse 333">
          <a:extLst>
            <a:ext uri="{FF2B5EF4-FFF2-40B4-BE49-F238E27FC236}">
              <a16:creationId xmlns:a16="http://schemas.microsoft.com/office/drawing/2014/main" id="{6B4CF4DB-54F0-AC40-8C05-D21FF7171427}"/>
            </a:ext>
          </a:extLst>
        </xdr:cNvPr>
        <xdr:cNvSpPr/>
      </xdr:nvSpPr>
      <xdr:spPr>
        <a:xfrm>
          <a:off x="1529024" y="56507518"/>
          <a:ext cx="920515" cy="74197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DBB4223-AA3C-ED40-9AC4-4EFCACF6A438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805383</xdr:colOff>
      <xdr:row>236</xdr:row>
      <xdr:rowOff>138836</xdr:rowOff>
    </xdr:from>
    <xdr:to>
      <xdr:col>2</xdr:col>
      <xdr:colOff>595598</xdr:colOff>
      <xdr:row>239</xdr:row>
      <xdr:rowOff>191228</xdr:rowOff>
    </xdr:to>
    <xdr:sp macro="" textlink="'DONNEES '!$U$17">
      <xdr:nvSpPr>
        <xdr:cNvPr id="335" name="Ellipse 334">
          <a:extLst>
            <a:ext uri="{FF2B5EF4-FFF2-40B4-BE49-F238E27FC236}">
              <a16:creationId xmlns:a16="http://schemas.microsoft.com/office/drawing/2014/main" id="{02400279-6810-274E-83C3-5377E0323F49}"/>
            </a:ext>
          </a:extLst>
        </xdr:cNvPr>
        <xdr:cNvSpPr/>
      </xdr:nvSpPr>
      <xdr:spPr>
        <a:xfrm>
          <a:off x="1529283" y="57123736"/>
          <a:ext cx="920515" cy="73819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8B361DA-C404-204F-9AB3-93FEE8F3C68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805644</xdr:colOff>
      <xdr:row>239</xdr:row>
      <xdr:rowOff>59727</xdr:rowOff>
    </xdr:from>
    <xdr:to>
      <xdr:col>2</xdr:col>
      <xdr:colOff>595859</xdr:colOff>
      <xdr:row>242</xdr:row>
      <xdr:rowOff>115899</xdr:rowOff>
    </xdr:to>
    <xdr:sp macro="" textlink="'DONNEES '!$U$16">
      <xdr:nvSpPr>
        <xdr:cNvPr id="336" name="Ellipse 335">
          <a:extLst>
            <a:ext uri="{FF2B5EF4-FFF2-40B4-BE49-F238E27FC236}">
              <a16:creationId xmlns:a16="http://schemas.microsoft.com/office/drawing/2014/main" id="{5B3F71CC-C123-614D-8C58-48E059E7A3CA}"/>
            </a:ext>
          </a:extLst>
        </xdr:cNvPr>
        <xdr:cNvSpPr/>
      </xdr:nvSpPr>
      <xdr:spPr>
        <a:xfrm>
          <a:off x="1529544" y="57730427"/>
          <a:ext cx="920515" cy="74197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C8AC88F-FB70-364E-84C9-9FFFBCFCB99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805903</xdr:colOff>
      <xdr:row>241</xdr:row>
      <xdr:rowOff>215827</xdr:rowOff>
    </xdr:from>
    <xdr:to>
      <xdr:col>2</xdr:col>
      <xdr:colOff>596118</xdr:colOff>
      <xdr:row>245</xdr:row>
      <xdr:rowOff>43398</xdr:rowOff>
    </xdr:to>
    <xdr:sp macro="" textlink="'DONNEES '!$U$15">
      <xdr:nvSpPr>
        <xdr:cNvPr id="337" name="Ellipse 336">
          <a:extLst>
            <a:ext uri="{FF2B5EF4-FFF2-40B4-BE49-F238E27FC236}">
              <a16:creationId xmlns:a16="http://schemas.microsoft.com/office/drawing/2014/main" id="{761B02D1-1FC5-C14B-97D9-F46E9A32A0A2}"/>
            </a:ext>
          </a:extLst>
        </xdr:cNvPr>
        <xdr:cNvSpPr/>
      </xdr:nvSpPr>
      <xdr:spPr>
        <a:xfrm>
          <a:off x="1529803" y="58343727"/>
          <a:ext cx="920515" cy="74197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21B4E0F-68D0-2F41-814A-891DB88484C0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812779</xdr:colOff>
      <xdr:row>244</xdr:row>
      <xdr:rowOff>146241</xdr:rowOff>
    </xdr:from>
    <xdr:to>
      <xdr:col>2</xdr:col>
      <xdr:colOff>602994</xdr:colOff>
      <xdr:row>247</xdr:row>
      <xdr:rowOff>198634</xdr:rowOff>
    </xdr:to>
    <xdr:sp macro="" textlink="'DONNEES '!$U$14">
      <xdr:nvSpPr>
        <xdr:cNvPr id="338" name="Ellipse 337">
          <a:extLst>
            <a:ext uri="{FF2B5EF4-FFF2-40B4-BE49-F238E27FC236}">
              <a16:creationId xmlns:a16="http://schemas.microsoft.com/office/drawing/2014/main" id="{9850D3E6-B066-1B4D-8C4E-9C241BE68BD4}"/>
            </a:ext>
          </a:extLst>
        </xdr:cNvPr>
        <xdr:cNvSpPr/>
      </xdr:nvSpPr>
      <xdr:spPr>
        <a:xfrm>
          <a:off x="1536679" y="58959941"/>
          <a:ext cx="920515" cy="73819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AE21953-61E9-BB4E-8AF4-FFB0D9DAC4C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806425</xdr:colOff>
      <xdr:row>247</xdr:row>
      <xdr:rowOff>67127</xdr:rowOff>
    </xdr:from>
    <xdr:to>
      <xdr:col>2</xdr:col>
      <xdr:colOff>596640</xdr:colOff>
      <xdr:row>250</xdr:row>
      <xdr:rowOff>123298</xdr:rowOff>
    </xdr:to>
    <xdr:sp macro="" textlink="'DONNEES '!$U$13">
      <xdr:nvSpPr>
        <xdr:cNvPr id="339" name="Ellipse 338">
          <a:extLst>
            <a:ext uri="{FF2B5EF4-FFF2-40B4-BE49-F238E27FC236}">
              <a16:creationId xmlns:a16="http://schemas.microsoft.com/office/drawing/2014/main" id="{F58E4431-5D72-284D-B26B-6A23AF6DEEC5}"/>
            </a:ext>
          </a:extLst>
        </xdr:cNvPr>
        <xdr:cNvSpPr/>
      </xdr:nvSpPr>
      <xdr:spPr>
        <a:xfrm>
          <a:off x="1530325" y="59566627"/>
          <a:ext cx="920515" cy="74197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88A4CD3-83CB-A645-8FE5-B18C09D3AE5B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806684</xdr:colOff>
      <xdr:row>249</xdr:row>
      <xdr:rowOff>223228</xdr:rowOff>
    </xdr:from>
    <xdr:to>
      <xdr:col>2</xdr:col>
      <xdr:colOff>596899</xdr:colOff>
      <xdr:row>253</xdr:row>
      <xdr:rowOff>50799</xdr:rowOff>
    </xdr:to>
    <xdr:sp macro="" textlink="'DONNEES '!$U$12">
      <xdr:nvSpPr>
        <xdr:cNvPr id="340" name="Ellipse 339">
          <a:extLst>
            <a:ext uri="{FF2B5EF4-FFF2-40B4-BE49-F238E27FC236}">
              <a16:creationId xmlns:a16="http://schemas.microsoft.com/office/drawing/2014/main" id="{D220473B-3B21-F044-ACAC-702C02A7C951}"/>
            </a:ext>
          </a:extLst>
        </xdr:cNvPr>
        <xdr:cNvSpPr/>
      </xdr:nvSpPr>
      <xdr:spPr>
        <a:xfrm>
          <a:off x="1530584" y="60179928"/>
          <a:ext cx="920515" cy="74197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19412D2-078D-C84D-B47C-CFA735F13248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3959</xdr:colOff>
      <xdr:row>255</xdr:row>
      <xdr:rowOff>47876</xdr:rowOff>
    </xdr:from>
    <xdr:to>
      <xdr:col>13</xdr:col>
      <xdr:colOff>1019012</xdr:colOff>
      <xdr:row>258</xdr:row>
      <xdr:rowOff>126981</xdr:rowOff>
    </xdr:to>
    <xdr:sp macro="" textlink="'DONNEES '!$K$31">
      <xdr:nvSpPr>
        <xdr:cNvPr id="341" name="Ellipse 340">
          <a:extLst>
            <a:ext uri="{FF2B5EF4-FFF2-40B4-BE49-F238E27FC236}">
              <a16:creationId xmlns:a16="http://schemas.microsoft.com/office/drawing/2014/main" id="{F8203EA8-A487-1D45-B0B6-C8E6FD676263}"/>
            </a:ext>
          </a:extLst>
        </xdr:cNvPr>
        <xdr:cNvSpPr/>
      </xdr:nvSpPr>
      <xdr:spPr>
        <a:xfrm>
          <a:off x="14837559" y="61376176"/>
          <a:ext cx="1015053" cy="76490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8951527-9449-4643-B43E-7D45881D7F7D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1167715</xdr:colOff>
      <xdr:row>257</xdr:row>
      <xdr:rowOff>125171</xdr:rowOff>
    </xdr:from>
    <xdr:to>
      <xdr:col>13</xdr:col>
      <xdr:colOff>1014368</xdr:colOff>
      <xdr:row>260</xdr:row>
      <xdr:rowOff>208663</xdr:rowOff>
    </xdr:to>
    <xdr:sp macro="" textlink="'DONNEES '!$K$30">
      <xdr:nvSpPr>
        <xdr:cNvPr id="342" name="Ellipse 341">
          <a:extLst>
            <a:ext uri="{FF2B5EF4-FFF2-40B4-BE49-F238E27FC236}">
              <a16:creationId xmlns:a16="http://schemas.microsoft.com/office/drawing/2014/main" id="{F817FCE7-AE1F-E44D-9830-7B35783FF688}"/>
            </a:ext>
          </a:extLst>
        </xdr:cNvPr>
        <xdr:cNvSpPr/>
      </xdr:nvSpPr>
      <xdr:spPr>
        <a:xfrm>
          <a:off x="14832915" y="61910671"/>
          <a:ext cx="1015053" cy="76929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3B1B230-A748-7F4B-9DA0-D887094D3E2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1499</xdr:colOff>
      <xdr:row>259</xdr:row>
      <xdr:rowOff>205744</xdr:rowOff>
    </xdr:from>
    <xdr:to>
      <xdr:col>13</xdr:col>
      <xdr:colOff>1016552</xdr:colOff>
      <xdr:row>263</xdr:row>
      <xdr:rowOff>56248</xdr:rowOff>
    </xdr:to>
    <xdr:sp macro="" textlink="'DONNEES '!$K$29">
      <xdr:nvSpPr>
        <xdr:cNvPr id="343" name="Ellipse 342">
          <a:extLst>
            <a:ext uri="{FF2B5EF4-FFF2-40B4-BE49-F238E27FC236}">
              <a16:creationId xmlns:a16="http://schemas.microsoft.com/office/drawing/2014/main" id="{CA3C6064-3563-F343-AEEE-A0288B53BB74}"/>
            </a:ext>
          </a:extLst>
        </xdr:cNvPr>
        <xdr:cNvSpPr/>
      </xdr:nvSpPr>
      <xdr:spPr>
        <a:xfrm>
          <a:off x="14835099" y="62448444"/>
          <a:ext cx="1015053" cy="76490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748202E-9586-714C-B54D-D292E5AF8676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3683</xdr:colOff>
      <xdr:row>262</xdr:row>
      <xdr:rowOff>54438</xdr:rowOff>
    </xdr:from>
    <xdr:to>
      <xdr:col>13</xdr:col>
      <xdr:colOff>1018736</xdr:colOff>
      <xdr:row>265</xdr:row>
      <xdr:rowOff>133543</xdr:rowOff>
    </xdr:to>
    <xdr:sp macro="" textlink="'DONNEES '!$K$28">
      <xdr:nvSpPr>
        <xdr:cNvPr id="344" name="Ellipse 343">
          <a:extLst>
            <a:ext uri="{FF2B5EF4-FFF2-40B4-BE49-F238E27FC236}">
              <a16:creationId xmlns:a16="http://schemas.microsoft.com/office/drawing/2014/main" id="{17A9B8FD-8C78-B745-8EB3-899A97DDC5B0}"/>
            </a:ext>
          </a:extLst>
        </xdr:cNvPr>
        <xdr:cNvSpPr/>
      </xdr:nvSpPr>
      <xdr:spPr>
        <a:xfrm>
          <a:off x="14837283" y="62982938"/>
          <a:ext cx="1015053" cy="76490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816BE76-B81E-6F4D-9414-149435EF93D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5867</xdr:colOff>
      <xdr:row>264</xdr:row>
      <xdr:rowOff>131732</xdr:rowOff>
    </xdr:from>
    <xdr:to>
      <xdr:col>13</xdr:col>
      <xdr:colOff>1020920</xdr:colOff>
      <xdr:row>267</xdr:row>
      <xdr:rowOff>215223</xdr:rowOff>
    </xdr:to>
    <xdr:sp macro="" textlink="'DONNEES '!$K$27">
      <xdr:nvSpPr>
        <xdr:cNvPr id="345" name="Ellipse 344">
          <a:extLst>
            <a:ext uri="{FF2B5EF4-FFF2-40B4-BE49-F238E27FC236}">
              <a16:creationId xmlns:a16="http://schemas.microsoft.com/office/drawing/2014/main" id="{82E1777D-33EE-CF4C-AB64-333577C3D127}"/>
            </a:ext>
          </a:extLst>
        </xdr:cNvPr>
        <xdr:cNvSpPr/>
      </xdr:nvSpPr>
      <xdr:spPr>
        <a:xfrm>
          <a:off x="14839467" y="63517432"/>
          <a:ext cx="1015053" cy="76929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B05A64-DDD8-2D41-BA3A-D981E0662D90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1223</xdr:colOff>
      <xdr:row>266</xdr:row>
      <xdr:rowOff>219133</xdr:rowOff>
    </xdr:from>
    <xdr:to>
      <xdr:col>13</xdr:col>
      <xdr:colOff>1016276</xdr:colOff>
      <xdr:row>270</xdr:row>
      <xdr:rowOff>69638</xdr:rowOff>
    </xdr:to>
    <xdr:sp macro="" textlink="'DONNEES '!$K$26">
      <xdr:nvSpPr>
        <xdr:cNvPr id="346" name="Ellipse 345">
          <a:extLst>
            <a:ext uri="{FF2B5EF4-FFF2-40B4-BE49-F238E27FC236}">
              <a16:creationId xmlns:a16="http://schemas.microsoft.com/office/drawing/2014/main" id="{70B65B90-DB8E-7B43-B6B9-12D3E5A4BBF7}"/>
            </a:ext>
          </a:extLst>
        </xdr:cNvPr>
        <xdr:cNvSpPr/>
      </xdr:nvSpPr>
      <xdr:spPr>
        <a:xfrm>
          <a:off x="14834823" y="64062033"/>
          <a:ext cx="1015053" cy="76490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786F4F7-9714-BD4A-9E9A-4AD03FE05C2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3407</xdr:colOff>
      <xdr:row>269</xdr:row>
      <xdr:rowOff>67828</xdr:rowOff>
    </xdr:from>
    <xdr:to>
      <xdr:col>13</xdr:col>
      <xdr:colOff>1018460</xdr:colOff>
      <xdr:row>272</xdr:row>
      <xdr:rowOff>146933</xdr:rowOff>
    </xdr:to>
    <xdr:sp macro="" textlink="'DONNEES '!$K$25">
      <xdr:nvSpPr>
        <xdr:cNvPr id="347" name="Ellipse 346">
          <a:extLst>
            <a:ext uri="{FF2B5EF4-FFF2-40B4-BE49-F238E27FC236}">
              <a16:creationId xmlns:a16="http://schemas.microsoft.com/office/drawing/2014/main" id="{2EF4B384-A3EF-6D40-9D15-FF62D5643785}"/>
            </a:ext>
          </a:extLst>
        </xdr:cNvPr>
        <xdr:cNvSpPr/>
      </xdr:nvSpPr>
      <xdr:spPr>
        <a:xfrm>
          <a:off x="14837007" y="64596528"/>
          <a:ext cx="1015053" cy="76490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5800878-712F-5D41-BA15-9D60A64759C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12</xdr:col>
      <xdr:colOff>1167163</xdr:colOff>
      <xdr:row>271</xdr:row>
      <xdr:rowOff>145122</xdr:rowOff>
    </xdr:from>
    <xdr:to>
      <xdr:col>13</xdr:col>
      <xdr:colOff>1013816</xdr:colOff>
      <xdr:row>275</xdr:row>
      <xdr:rowOff>13</xdr:rowOff>
    </xdr:to>
    <xdr:sp macro="" textlink="'DONNEES '!$K$24">
      <xdr:nvSpPr>
        <xdr:cNvPr id="348" name="Ellipse 347">
          <a:extLst>
            <a:ext uri="{FF2B5EF4-FFF2-40B4-BE49-F238E27FC236}">
              <a16:creationId xmlns:a16="http://schemas.microsoft.com/office/drawing/2014/main" id="{AEAE241A-4E80-7F48-9FE4-2FD043987BC4}"/>
            </a:ext>
          </a:extLst>
        </xdr:cNvPr>
        <xdr:cNvSpPr/>
      </xdr:nvSpPr>
      <xdr:spPr>
        <a:xfrm>
          <a:off x="14832363" y="65131022"/>
          <a:ext cx="1015053" cy="76929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63FD775-4DF5-3E40-BA71-D553C7CC5F3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13</xdr:col>
      <xdr:colOff>947</xdr:colOff>
      <xdr:row>273</xdr:row>
      <xdr:rowOff>225695</xdr:rowOff>
    </xdr:from>
    <xdr:to>
      <xdr:col>13</xdr:col>
      <xdr:colOff>1016000</xdr:colOff>
      <xdr:row>277</xdr:row>
      <xdr:rowOff>76200</xdr:rowOff>
    </xdr:to>
    <xdr:sp macro="" textlink="'DONNEES '!$K$23">
      <xdr:nvSpPr>
        <xdr:cNvPr id="349" name="Ellipse 348">
          <a:extLst>
            <a:ext uri="{FF2B5EF4-FFF2-40B4-BE49-F238E27FC236}">
              <a16:creationId xmlns:a16="http://schemas.microsoft.com/office/drawing/2014/main" id="{B17FDF08-7346-884F-BEE9-E431C8EF035E}"/>
            </a:ext>
          </a:extLst>
        </xdr:cNvPr>
        <xdr:cNvSpPr/>
      </xdr:nvSpPr>
      <xdr:spPr>
        <a:xfrm>
          <a:off x="14834547" y="65668795"/>
          <a:ext cx="1015053" cy="76490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FCA231A-9B4A-E745-A731-F221A3E654E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759741</xdr:colOff>
      <xdr:row>255</xdr:row>
      <xdr:rowOff>63160</xdr:rowOff>
    </xdr:from>
    <xdr:to>
      <xdr:col>2</xdr:col>
      <xdr:colOff>533202</xdr:colOff>
      <xdr:row>258</xdr:row>
      <xdr:rowOff>131489</xdr:rowOff>
    </xdr:to>
    <xdr:sp macro="" textlink="'DONNEES '!$U$30">
      <xdr:nvSpPr>
        <xdr:cNvPr id="350" name="Ellipse 349">
          <a:extLst>
            <a:ext uri="{FF2B5EF4-FFF2-40B4-BE49-F238E27FC236}">
              <a16:creationId xmlns:a16="http://schemas.microsoft.com/office/drawing/2014/main" id="{972E8714-4C3A-7742-B9F8-E9E6AF45436F}"/>
            </a:ext>
          </a:extLst>
        </xdr:cNvPr>
        <xdr:cNvSpPr/>
      </xdr:nvSpPr>
      <xdr:spPr>
        <a:xfrm>
          <a:off x="1483641" y="61391460"/>
          <a:ext cx="903761" cy="75412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3B8AF60-C591-6842-A689-6B14358562F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758198</xdr:colOff>
      <xdr:row>257</xdr:row>
      <xdr:rowOff>213252</xdr:rowOff>
    </xdr:from>
    <xdr:to>
      <xdr:col>2</xdr:col>
      <xdr:colOff>531659</xdr:colOff>
      <xdr:row>261</xdr:row>
      <xdr:rowOff>52981</xdr:rowOff>
    </xdr:to>
    <xdr:sp macro="" textlink="'DONNEES '!$U$29">
      <xdr:nvSpPr>
        <xdr:cNvPr id="351" name="Ellipse 350">
          <a:extLst>
            <a:ext uri="{FF2B5EF4-FFF2-40B4-BE49-F238E27FC236}">
              <a16:creationId xmlns:a16="http://schemas.microsoft.com/office/drawing/2014/main" id="{9AE2D261-52AD-CA41-A6FC-5D44F41E52C9}"/>
            </a:ext>
          </a:extLst>
        </xdr:cNvPr>
        <xdr:cNvSpPr/>
      </xdr:nvSpPr>
      <xdr:spPr>
        <a:xfrm>
          <a:off x="1482098" y="61998752"/>
          <a:ext cx="903761" cy="75412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3E108ED-505D-F64F-9BEC-84B81BF5706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762154</xdr:colOff>
      <xdr:row>260</xdr:row>
      <xdr:rowOff>137056</xdr:rowOff>
    </xdr:from>
    <xdr:to>
      <xdr:col>2</xdr:col>
      <xdr:colOff>535615</xdr:colOff>
      <xdr:row>263</xdr:row>
      <xdr:rowOff>202337</xdr:rowOff>
    </xdr:to>
    <xdr:sp macro="" textlink="'DONNEES '!$U$28">
      <xdr:nvSpPr>
        <xdr:cNvPr id="352" name="Ellipse 351">
          <a:extLst>
            <a:ext uri="{FF2B5EF4-FFF2-40B4-BE49-F238E27FC236}">
              <a16:creationId xmlns:a16="http://schemas.microsoft.com/office/drawing/2014/main" id="{245829C7-B5D6-B847-9166-5B9399DF60E7}"/>
            </a:ext>
          </a:extLst>
        </xdr:cNvPr>
        <xdr:cNvSpPr/>
      </xdr:nvSpPr>
      <xdr:spPr>
        <a:xfrm>
          <a:off x="1486054" y="62608356"/>
          <a:ext cx="903761" cy="75108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EB505E8-C1B4-8C43-A39B-AA33EDEDADA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760611</xdr:colOff>
      <xdr:row>263</xdr:row>
      <xdr:rowOff>53054</xdr:rowOff>
    </xdr:from>
    <xdr:to>
      <xdr:col>2</xdr:col>
      <xdr:colOff>534072</xdr:colOff>
      <xdr:row>266</xdr:row>
      <xdr:rowOff>121383</xdr:rowOff>
    </xdr:to>
    <xdr:sp macro="" textlink="'DONNEES '!$U$27">
      <xdr:nvSpPr>
        <xdr:cNvPr id="353" name="Ellipse 352">
          <a:extLst>
            <a:ext uri="{FF2B5EF4-FFF2-40B4-BE49-F238E27FC236}">
              <a16:creationId xmlns:a16="http://schemas.microsoft.com/office/drawing/2014/main" id="{0748ABAC-2037-FE4B-AAE1-CA3413DEEA20}"/>
            </a:ext>
          </a:extLst>
        </xdr:cNvPr>
        <xdr:cNvSpPr/>
      </xdr:nvSpPr>
      <xdr:spPr>
        <a:xfrm>
          <a:off x="1484511" y="63210154"/>
          <a:ext cx="903761" cy="75412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5532A8-350B-B446-88D8-FBB021D30A70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759069</xdr:colOff>
      <xdr:row>265</xdr:row>
      <xdr:rowOff>203148</xdr:rowOff>
    </xdr:from>
    <xdr:to>
      <xdr:col>2</xdr:col>
      <xdr:colOff>532530</xdr:colOff>
      <xdr:row>269</xdr:row>
      <xdr:rowOff>42877</xdr:rowOff>
    </xdr:to>
    <xdr:sp macro="" textlink="'DONNEES '!$U$26">
      <xdr:nvSpPr>
        <xdr:cNvPr id="354" name="Ellipse 353">
          <a:extLst>
            <a:ext uri="{FF2B5EF4-FFF2-40B4-BE49-F238E27FC236}">
              <a16:creationId xmlns:a16="http://schemas.microsoft.com/office/drawing/2014/main" id="{2B51F886-DBE7-E941-B9C8-61E5F917A4A7}"/>
            </a:ext>
          </a:extLst>
        </xdr:cNvPr>
        <xdr:cNvSpPr/>
      </xdr:nvSpPr>
      <xdr:spPr>
        <a:xfrm>
          <a:off x="1482969" y="63817448"/>
          <a:ext cx="903761" cy="75412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4E18DAE-6953-3A43-8B37-598901B8417D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757527</xdr:colOff>
      <xdr:row>268</xdr:row>
      <xdr:rowOff>121453</xdr:rowOff>
    </xdr:from>
    <xdr:to>
      <xdr:col>2</xdr:col>
      <xdr:colOff>530988</xdr:colOff>
      <xdr:row>271</xdr:row>
      <xdr:rowOff>186735</xdr:rowOff>
    </xdr:to>
    <xdr:sp macro="" textlink="'DONNEES '!$U$25">
      <xdr:nvSpPr>
        <xdr:cNvPr id="355" name="Ellipse 354">
          <a:extLst>
            <a:ext uri="{FF2B5EF4-FFF2-40B4-BE49-F238E27FC236}">
              <a16:creationId xmlns:a16="http://schemas.microsoft.com/office/drawing/2014/main" id="{201974C0-52B0-3C4B-B22C-F80AC2F057EE}"/>
            </a:ext>
          </a:extLst>
        </xdr:cNvPr>
        <xdr:cNvSpPr/>
      </xdr:nvSpPr>
      <xdr:spPr>
        <a:xfrm>
          <a:off x="1481427" y="64421553"/>
          <a:ext cx="903761" cy="75108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8855680-1ED0-0E4C-BDFF-7E5751B4B03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761482</xdr:colOff>
      <xdr:row>271</xdr:row>
      <xdr:rowOff>48443</xdr:rowOff>
    </xdr:from>
    <xdr:to>
      <xdr:col>2</xdr:col>
      <xdr:colOff>534943</xdr:colOff>
      <xdr:row>274</xdr:row>
      <xdr:rowOff>116771</xdr:rowOff>
    </xdr:to>
    <xdr:sp macro="" textlink="'DONNEES '!$U$24">
      <xdr:nvSpPr>
        <xdr:cNvPr id="356" name="Ellipse 355">
          <a:extLst>
            <a:ext uri="{FF2B5EF4-FFF2-40B4-BE49-F238E27FC236}">
              <a16:creationId xmlns:a16="http://schemas.microsoft.com/office/drawing/2014/main" id="{C2EC02D5-CEC5-1644-A90A-5BCF403BB55E}"/>
            </a:ext>
          </a:extLst>
        </xdr:cNvPr>
        <xdr:cNvSpPr/>
      </xdr:nvSpPr>
      <xdr:spPr>
        <a:xfrm>
          <a:off x="1485382" y="65034343"/>
          <a:ext cx="903761" cy="75412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0CF3DC3-B93E-C645-94D9-C088F27DF00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759939</xdr:colOff>
      <xdr:row>273</xdr:row>
      <xdr:rowOff>193385</xdr:rowOff>
    </xdr:from>
    <xdr:to>
      <xdr:col>2</xdr:col>
      <xdr:colOff>533400</xdr:colOff>
      <xdr:row>277</xdr:row>
      <xdr:rowOff>25400</xdr:rowOff>
    </xdr:to>
    <xdr:sp macro="" textlink="'DONNEES '!$U$23">
      <xdr:nvSpPr>
        <xdr:cNvPr id="357" name="Ellipse 356">
          <a:extLst>
            <a:ext uri="{FF2B5EF4-FFF2-40B4-BE49-F238E27FC236}">
              <a16:creationId xmlns:a16="http://schemas.microsoft.com/office/drawing/2014/main" id="{48FE54A6-E02B-784C-974E-80A6E7C7BA63}"/>
            </a:ext>
          </a:extLst>
        </xdr:cNvPr>
        <xdr:cNvSpPr/>
      </xdr:nvSpPr>
      <xdr:spPr>
        <a:xfrm>
          <a:off x="1483839" y="65636485"/>
          <a:ext cx="903761" cy="74641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FB1F3F8-88A5-D043-8C56-D3F0244307DD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787402</xdr:colOff>
      <xdr:row>279</xdr:row>
      <xdr:rowOff>67883</xdr:rowOff>
    </xdr:from>
    <xdr:to>
      <xdr:col>2</xdr:col>
      <xdr:colOff>598747</xdr:colOff>
      <xdr:row>282</xdr:row>
      <xdr:rowOff>146780</xdr:rowOff>
    </xdr:to>
    <xdr:sp macro="" textlink="'DONNEES '!$U$51">
      <xdr:nvSpPr>
        <xdr:cNvPr id="358" name="Ellipse 357">
          <a:extLst>
            <a:ext uri="{FF2B5EF4-FFF2-40B4-BE49-F238E27FC236}">
              <a16:creationId xmlns:a16="http://schemas.microsoft.com/office/drawing/2014/main" id="{EAEDF800-00A3-0D49-8A5C-5B6A8416B0D3}"/>
            </a:ext>
          </a:extLst>
        </xdr:cNvPr>
        <xdr:cNvSpPr/>
      </xdr:nvSpPr>
      <xdr:spPr>
        <a:xfrm>
          <a:off x="1511302" y="66882583"/>
          <a:ext cx="941645" cy="76469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A893167-F550-BD48-8FA4-222C8E34019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788360</xdr:colOff>
      <xdr:row>281</xdr:row>
      <xdr:rowOff>220178</xdr:rowOff>
    </xdr:from>
    <xdr:to>
      <xdr:col>2</xdr:col>
      <xdr:colOff>599705</xdr:colOff>
      <xdr:row>285</xdr:row>
      <xdr:rowOff>70475</xdr:rowOff>
    </xdr:to>
    <xdr:sp macro="" textlink="'DONNEES '!$U$50">
      <xdr:nvSpPr>
        <xdr:cNvPr id="359" name="Ellipse 358">
          <a:extLst>
            <a:ext uri="{FF2B5EF4-FFF2-40B4-BE49-F238E27FC236}">
              <a16:creationId xmlns:a16="http://schemas.microsoft.com/office/drawing/2014/main" id="{4A3E8792-2976-B24B-8771-45EAED3BC62C}"/>
            </a:ext>
          </a:extLst>
        </xdr:cNvPr>
        <xdr:cNvSpPr/>
      </xdr:nvSpPr>
      <xdr:spPr>
        <a:xfrm>
          <a:off x="1512260" y="67492078"/>
          <a:ext cx="941645" cy="76469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6F29089-F7DA-B442-9A48-B846EEF80AFC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787201</xdr:colOff>
      <xdr:row>284</xdr:row>
      <xdr:rowOff>143978</xdr:rowOff>
    </xdr:from>
    <xdr:to>
      <xdr:col>2</xdr:col>
      <xdr:colOff>598546</xdr:colOff>
      <xdr:row>287</xdr:row>
      <xdr:rowOff>223319</xdr:rowOff>
    </xdr:to>
    <xdr:sp macro="" textlink="'DONNEES '!$U$49">
      <xdr:nvSpPr>
        <xdr:cNvPr id="360" name="Ellipse 359">
          <a:extLst>
            <a:ext uri="{FF2B5EF4-FFF2-40B4-BE49-F238E27FC236}">
              <a16:creationId xmlns:a16="http://schemas.microsoft.com/office/drawing/2014/main" id="{013A2F44-4317-5044-B2E6-98E75B602F90}"/>
            </a:ext>
          </a:extLst>
        </xdr:cNvPr>
        <xdr:cNvSpPr/>
      </xdr:nvSpPr>
      <xdr:spPr>
        <a:xfrm>
          <a:off x="1511101" y="68101678"/>
          <a:ext cx="941645" cy="76514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5BD36FF-959B-1745-9D45-67156296FED3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786043</xdr:colOff>
      <xdr:row>287</xdr:row>
      <xdr:rowOff>68107</xdr:rowOff>
    </xdr:from>
    <xdr:to>
      <xdr:col>2</xdr:col>
      <xdr:colOff>597388</xdr:colOff>
      <xdr:row>290</xdr:row>
      <xdr:rowOff>147004</xdr:rowOff>
    </xdr:to>
    <xdr:sp macro="" textlink="'DONNEES '!$U$48">
      <xdr:nvSpPr>
        <xdr:cNvPr id="361" name="Ellipse 360">
          <a:extLst>
            <a:ext uri="{FF2B5EF4-FFF2-40B4-BE49-F238E27FC236}">
              <a16:creationId xmlns:a16="http://schemas.microsoft.com/office/drawing/2014/main" id="{6099C28A-87A9-544D-AFCD-16C1C710668C}"/>
            </a:ext>
          </a:extLst>
        </xdr:cNvPr>
        <xdr:cNvSpPr/>
      </xdr:nvSpPr>
      <xdr:spPr>
        <a:xfrm>
          <a:off x="1509943" y="68711607"/>
          <a:ext cx="941645" cy="76469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99ECA90-ADD1-8A47-A414-DD93AEB7004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784884</xdr:colOff>
      <xdr:row>289</xdr:row>
      <xdr:rowOff>216688</xdr:rowOff>
    </xdr:from>
    <xdr:to>
      <xdr:col>2</xdr:col>
      <xdr:colOff>596229</xdr:colOff>
      <xdr:row>293</xdr:row>
      <xdr:rowOff>66985</xdr:rowOff>
    </xdr:to>
    <xdr:sp macro="" textlink="'DONNEES '!$U$47">
      <xdr:nvSpPr>
        <xdr:cNvPr id="362" name="Ellipse 361">
          <a:extLst>
            <a:ext uri="{FF2B5EF4-FFF2-40B4-BE49-F238E27FC236}">
              <a16:creationId xmlns:a16="http://schemas.microsoft.com/office/drawing/2014/main" id="{C3B5A282-B47C-A648-AAE8-A822F1BC624F}"/>
            </a:ext>
          </a:extLst>
        </xdr:cNvPr>
        <xdr:cNvSpPr/>
      </xdr:nvSpPr>
      <xdr:spPr>
        <a:xfrm>
          <a:off x="1508784" y="69317388"/>
          <a:ext cx="941645" cy="76469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98DA289-8487-5947-A519-45860E1B603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783723</xdr:colOff>
      <xdr:row>292</xdr:row>
      <xdr:rowOff>136338</xdr:rowOff>
    </xdr:from>
    <xdr:to>
      <xdr:col>2</xdr:col>
      <xdr:colOff>595068</xdr:colOff>
      <xdr:row>295</xdr:row>
      <xdr:rowOff>215679</xdr:rowOff>
    </xdr:to>
    <xdr:sp macro="" textlink="'DONNEES '!$U$46">
      <xdr:nvSpPr>
        <xdr:cNvPr id="363" name="Ellipse 362">
          <a:extLst>
            <a:ext uri="{FF2B5EF4-FFF2-40B4-BE49-F238E27FC236}">
              <a16:creationId xmlns:a16="http://schemas.microsoft.com/office/drawing/2014/main" id="{6CE85780-682E-1444-8851-34ABF5AF5D23}"/>
            </a:ext>
          </a:extLst>
        </xdr:cNvPr>
        <xdr:cNvSpPr/>
      </xdr:nvSpPr>
      <xdr:spPr>
        <a:xfrm>
          <a:off x="1507623" y="69922838"/>
          <a:ext cx="941645" cy="76514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D22F315-67A5-1342-B87C-73EB07AE0720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782562</xdr:colOff>
      <xdr:row>295</xdr:row>
      <xdr:rowOff>60470</xdr:rowOff>
    </xdr:from>
    <xdr:to>
      <xdr:col>2</xdr:col>
      <xdr:colOff>593907</xdr:colOff>
      <xdr:row>298</xdr:row>
      <xdr:rowOff>139367</xdr:rowOff>
    </xdr:to>
    <xdr:sp macro="" textlink="'DONNEES '!$U$45">
      <xdr:nvSpPr>
        <xdr:cNvPr id="364" name="Ellipse 363">
          <a:extLst>
            <a:ext uri="{FF2B5EF4-FFF2-40B4-BE49-F238E27FC236}">
              <a16:creationId xmlns:a16="http://schemas.microsoft.com/office/drawing/2014/main" id="{463F30F2-8C66-B64E-9AB8-A2EBF568154A}"/>
            </a:ext>
          </a:extLst>
        </xdr:cNvPr>
        <xdr:cNvSpPr/>
      </xdr:nvSpPr>
      <xdr:spPr>
        <a:xfrm>
          <a:off x="1506462" y="70532770"/>
          <a:ext cx="941645" cy="76469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2009D26-BFE6-B74F-8516-8DEF5B3629FB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785554</xdr:colOff>
      <xdr:row>297</xdr:row>
      <xdr:rowOff>213202</xdr:rowOff>
    </xdr:from>
    <xdr:to>
      <xdr:col>2</xdr:col>
      <xdr:colOff>596899</xdr:colOff>
      <xdr:row>301</xdr:row>
      <xdr:rowOff>63499</xdr:rowOff>
    </xdr:to>
    <xdr:sp macro="" textlink="'DONNEES '!$U$44">
      <xdr:nvSpPr>
        <xdr:cNvPr id="365" name="Ellipse 364">
          <a:extLst>
            <a:ext uri="{FF2B5EF4-FFF2-40B4-BE49-F238E27FC236}">
              <a16:creationId xmlns:a16="http://schemas.microsoft.com/office/drawing/2014/main" id="{C29D8223-7A2E-A343-824B-92BDAAAE0A81}"/>
            </a:ext>
          </a:extLst>
        </xdr:cNvPr>
        <xdr:cNvSpPr/>
      </xdr:nvSpPr>
      <xdr:spPr>
        <a:xfrm>
          <a:off x="1509454" y="71142702"/>
          <a:ext cx="941645" cy="76469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0469A29-FB64-0347-8ED7-D6EC036FA88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783961</xdr:colOff>
      <xdr:row>303</xdr:row>
      <xdr:rowOff>61825</xdr:rowOff>
    </xdr:from>
    <xdr:to>
      <xdr:col>2</xdr:col>
      <xdr:colOff>544379</xdr:colOff>
      <xdr:row>306</xdr:row>
      <xdr:rowOff>93614</xdr:rowOff>
    </xdr:to>
    <xdr:sp macro="" textlink="'DONNEES '!$K$61">
      <xdr:nvSpPr>
        <xdr:cNvPr id="366" name="Ellipse 365">
          <a:extLst>
            <a:ext uri="{FF2B5EF4-FFF2-40B4-BE49-F238E27FC236}">
              <a16:creationId xmlns:a16="http://schemas.microsoft.com/office/drawing/2014/main" id="{08E600EC-3233-4041-AF4E-6B145A14D045}"/>
            </a:ext>
          </a:extLst>
        </xdr:cNvPr>
        <xdr:cNvSpPr/>
      </xdr:nvSpPr>
      <xdr:spPr>
        <a:xfrm>
          <a:off x="1507861" y="72362925"/>
          <a:ext cx="890718" cy="71758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A1F5EA8-64AC-2849-941F-EB95FC39E57D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783057</xdr:colOff>
      <xdr:row>305</xdr:row>
      <xdr:rowOff>218020</xdr:rowOff>
    </xdr:from>
    <xdr:to>
      <xdr:col>2</xdr:col>
      <xdr:colOff>543475</xdr:colOff>
      <xdr:row>309</xdr:row>
      <xdr:rowOff>21210</xdr:rowOff>
    </xdr:to>
    <xdr:sp macro="" textlink="'DONNEES '!$K$60">
      <xdr:nvSpPr>
        <xdr:cNvPr id="367" name="Ellipse 366">
          <a:extLst>
            <a:ext uri="{FF2B5EF4-FFF2-40B4-BE49-F238E27FC236}">
              <a16:creationId xmlns:a16="http://schemas.microsoft.com/office/drawing/2014/main" id="{1468A3C5-32F6-5344-993E-0B42EDFCD22A}"/>
            </a:ext>
          </a:extLst>
        </xdr:cNvPr>
        <xdr:cNvSpPr/>
      </xdr:nvSpPr>
      <xdr:spPr>
        <a:xfrm>
          <a:off x="1506957" y="72976320"/>
          <a:ext cx="890718" cy="71759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5A5AC5-2AF6-2543-A6E7-B818351CB0F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778386</xdr:colOff>
      <xdr:row>308</xdr:row>
      <xdr:rowOff>146314</xdr:rowOff>
    </xdr:from>
    <xdr:to>
      <xdr:col>2</xdr:col>
      <xdr:colOff>538804</xdr:colOff>
      <xdr:row>311</xdr:row>
      <xdr:rowOff>177765</xdr:rowOff>
    </xdr:to>
    <xdr:sp macro="" textlink="'DONNEES '!$K$59">
      <xdr:nvSpPr>
        <xdr:cNvPr id="368" name="Ellipse 367">
          <a:extLst>
            <a:ext uri="{FF2B5EF4-FFF2-40B4-BE49-F238E27FC236}">
              <a16:creationId xmlns:a16="http://schemas.microsoft.com/office/drawing/2014/main" id="{751D088E-1A22-7849-8597-1957CE799969}"/>
            </a:ext>
          </a:extLst>
        </xdr:cNvPr>
        <xdr:cNvSpPr/>
      </xdr:nvSpPr>
      <xdr:spPr>
        <a:xfrm>
          <a:off x="1502286" y="73590414"/>
          <a:ext cx="890718" cy="71725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E375847-30A1-FA4C-8208-4F234CB9AC11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778205</xdr:colOff>
      <xdr:row>311</xdr:row>
      <xdr:rowOff>74335</xdr:rowOff>
    </xdr:from>
    <xdr:to>
      <xdr:col>2</xdr:col>
      <xdr:colOff>538623</xdr:colOff>
      <xdr:row>314</xdr:row>
      <xdr:rowOff>106124</xdr:rowOff>
    </xdr:to>
    <xdr:sp macro="" textlink="'DONNEES '!$K$58">
      <xdr:nvSpPr>
        <xdr:cNvPr id="369" name="Ellipse 368">
          <a:extLst>
            <a:ext uri="{FF2B5EF4-FFF2-40B4-BE49-F238E27FC236}">
              <a16:creationId xmlns:a16="http://schemas.microsoft.com/office/drawing/2014/main" id="{86C22D17-24CE-B941-99F4-6F255923B36A}"/>
            </a:ext>
          </a:extLst>
        </xdr:cNvPr>
        <xdr:cNvSpPr/>
      </xdr:nvSpPr>
      <xdr:spPr>
        <a:xfrm>
          <a:off x="1502105" y="74204235"/>
          <a:ext cx="890718" cy="71758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71C9A27-4D5A-6041-A232-1AE571431BBC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778021</xdr:colOff>
      <xdr:row>313</xdr:row>
      <xdr:rowOff>226465</xdr:rowOff>
    </xdr:from>
    <xdr:to>
      <xdr:col>2</xdr:col>
      <xdr:colOff>538439</xdr:colOff>
      <xdr:row>317</xdr:row>
      <xdr:rowOff>29655</xdr:rowOff>
    </xdr:to>
    <xdr:sp macro="" textlink="'DONNEES '!$K$57">
      <xdr:nvSpPr>
        <xdr:cNvPr id="370" name="Ellipse 369">
          <a:extLst>
            <a:ext uri="{FF2B5EF4-FFF2-40B4-BE49-F238E27FC236}">
              <a16:creationId xmlns:a16="http://schemas.microsoft.com/office/drawing/2014/main" id="{0CFB2A4A-D101-534D-AD4A-B6375B70D16A}"/>
            </a:ext>
          </a:extLst>
        </xdr:cNvPr>
        <xdr:cNvSpPr/>
      </xdr:nvSpPr>
      <xdr:spPr>
        <a:xfrm>
          <a:off x="1501921" y="74813565"/>
          <a:ext cx="890718" cy="71759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0F4D7CF-1722-3045-AE21-9B7B37BE79F7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777837</xdr:colOff>
      <xdr:row>316</xdr:row>
      <xdr:rowOff>150270</xdr:rowOff>
    </xdr:from>
    <xdr:to>
      <xdr:col>2</xdr:col>
      <xdr:colOff>538255</xdr:colOff>
      <xdr:row>319</xdr:row>
      <xdr:rowOff>181721</xdr:rowOff>
    </xdr:to>
    <xdr:sp macro="" textlink="'DONNEES '!$K$56">
      <xdr:nvSpPr>
        <xdr:cNvPr id="371" name="Ellipse 370">
          <a:extLst>
            <a:ext uri="{FF2B5EF4-FFF2-40B4-BE49-F238E27FC236}">
              <a16:creationId xmlns:a16="http://schemas.microsoft.com/office/drawing/2014/main" id="{DB8BC9B1-4A88-0043-91E6-266D5EB791D3}"/>
            </a:ext>
          </a:extLst>
        </xdr:cNvPr>
        <xdr:cNvSpPr/>
      </xdr:nvSpPr>
      <xdr:spPr>
        <a:xfrm>
          <a:off x="1501737" y="75423170"/>
          <a:ext cx="890718" cy="71725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F361B27-B9CD-5D45-9F08-32303BC6EC5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</xdr:col>
      <xdr:colOff>777654</xdr:colOff>
      <xdr:row>319</xdr:row>
      <xdr:rowOff>78289</xdr:rowOff>
    </xdr:from>
    <xdr:to>
      <xdr:col>2</xdr:col>
      <xdr:colOff>538072</xdr:colOff>
      <xdr:row>322</xdr:row>
      <xdr:rowOff>110078</xdr:rowOff>
    </xdr:to>
    <xdr:sp macro="" textlink="'DONNEES '!$K$55">
      <xdr:nvSpPr>
        <xdr:cNvPr id="372" name="Ellipse 371">
          <a:extLst>
            <a:ext uri="{FF2B5EF4-FFF2-40B4-BE49-F238E27FC236}">
              <a16:creationId xmlns:a16="http://schemas.microsoft.com/office/drawing/2014/main" id="{AA93144C-0E37-7D46-AB6E-C96336530465}"/>
            </a:ext>
          </a:extLst>
        </xdr:cNvPr>
        <xdr:cNvSpPr/>
      </xdr:nvSpPr>
      <xdr:spPr>
        <a:xfrm>
          <a:off x="1501554" y="76036989"/>
          <a:ext cx="890718" cy="71758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B420F02-2B86-0C47-84CA-FC7D27CDD700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</xdr:col>
      <xdr:colOff>772982</xdr:colOff>
      <xdr:row>322</xdr:row>
      <xdr:rowOff>6310</xdr:rowOff>
    </xdr:from>
    <xdr:to>
      <xdr:col>2</xdr:col>
      <xdr:colOff>533400</xdr:colOff>
      <xdr:row>325</xdr:row>
      <xdr:rowOff>38100</xdr:rowOff>
    </xdr:to>
    <xdr:sp macro="" textlink="'DONNEES '!$K$54">
      <xdr:nvSpPr>
        <xdr:cNvPr id="373" name="Ellipse 372">
          <a:extLst>
            <a:ext uri="{FF2B5EF4-FFF2-40B4-BE49-F238E27FC236}">
              <a16:creationId xmlns:a16="http://schemas.microsoft.com/office/drawing/2014/main" id="{EBC83115-DCA9-2248-91E3-923E0951BDE4}"/>
            </a:ext>
          </a:extLst>
        </xdr:cNvPr>
        <xdr:cNvSpPr/>
      </xdr:nvSpPr>
      <xdr:spPr>
        <a:xfrm>
          <a:off x="1496882" y="76650810"/>
          <a:ext cx="890718" cy="71759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FECE765-84D3-9642-B38D-2E990B0F3D8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12</xdr:col>
      <xdr:colOff>1139962</xdr:colOff>
      <xdr:row>303</xdr:row>
      <xdr:rowOff>99339</xdr:rowOff>
    </xdr:from>
    <xdr:to>
      <xdr:col>13</xdr:col>
      <xdr:colOff>861304</xdr:colOff>
      <xdr:row>306</xdr:row>
      <xdr:rowOff>131128</xdr:rowOff>
    </xdr:to>
    <xdr:sp macro="" textlink="'DONNEES '!$K$71">
      <xdr:nvSpPr>
        <xdr:cNvPr id="374" name="Ellipse 373">
          <a:extLst>
            <a:ext uri="{FF2B5EF4-FFF2-40B4-BE49-F238E27FC236}">
              <a16:creationId xmlns:a16="http://schemas.microsoft.com/office/drawing/2014/main" id="{F9980B83-DE4F-F146-9338-3193DC08304B}"/>
            </a:ext>
          </a:extLst>
        </xdr:cNvPr>
        <xdr:cNvSpPr/>
      </xdr:nvSpPr>
      <xdr:spPr>
        <a:xfrm>
          <a:off x="14797667" y="72530978"/>
          <a:ext cx="887244" cy="71883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AE1D244-60CD-7C49-AF93-45D3DCC1F3F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1139058</xdr:colOff>
      <xdr:row>306</xdr:row>
      <xdr:rowOff>21072</xdr:rowOff>
    </xdr:from>
    <xdr:to>
      <xdr:col>13</xdr:col>
      <xdr:colOff>860400</xdr:colOff>
      <xdr:row>309</xdr:row>
      <xdr:rowOff>58724</xdr:rowOff>
    </xdr:to>
    <xdr:sp macro="" textlink="'DONNEES '!$K$70">
      <xdr:nvSpPr>
        <xdr:cNvPr id="375" name="Ellipse 374">
          <a:extLst>
            <a:ext uri="{FF2B5EF4-FFF2-40B4-BE49-F238E27FC236}">
              <a16:creationId xmlns:a16="http://schemas.microsoft.com/office/drawing/2014/main" id="{27B8BEA6-0B97-FE46-B5BE-3664B25309EA}"/>
            </a:ext>
          </a:extLst>
        </xdr:cNvPr>
        <xdr:cNvSpPr/>
      </xdr:nvSpPr>
      <xdr:spPr>
        <a:xfrm>
          <a:off x="14796763" y="73139761"/>
          <a:ext cx="887244" cy="72470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804013E-728A-1449-B340-C28C42A5C7E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1134387</xdr:colOff>
      <xdr:row>308</xdr:row>
      <xdr:rowOff>183828</xdr:rowOff>
    </xdr:from>
    <xdr:to>
      <xdr:col>13</xdr:col>
      <xdr:colOff>855729</xdr:colOff>
      <xdr:row>311</xdr:row>
      <xdr:rowOff>215279</xdr:rowOff>
    </xdr:to>
    <xdr:sp macro="" textlink="'DONNEES '!$K$69">
      <xdr:nvSpPr>
        <xdr:cNvPr id="376" name="Ellipse 375">
          <a:extLst>
            <a:ext uri="{FF2B5EF4-FFF2-40B4-BE49-F238E27FC236}">
              <a16:creationId xmlns:a16="http://schemas.microsoft.com/office/drawing/2014/main" id="{BD6B8085-40B2-0840-8FD4-5DB63EE5151F}"/>
            </a:ext>
          </a:extLst>
        </xdr:cNvPr>
        <xdr:cNvSpPr/>
      </xdr:nvSpPr>
      <xdr:spPr>
        <a:xfrm>
          <a:off x="14792092" y="73760549"/>
          <a:ext cx="887244" cy="7185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F9B1BD8-09B0-9245-9176-F925A6251B8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1134206</xdr:colOff>
      <xdr:row>311</xdr:row>
      <xdr:rowOff>111849</xdr:rowOff>
    </xdr:from>
    <xdr:to>
      <xdr:col>13</xdr:col>
      <xdr:colOff>855548</xdr:colOff>
      <xdr:row>314</xdr:row>
      <xdr:rowOff>143638</xdr:rowOff>
    </xdr:to>
    <xdr:sp macro="" textlink="'DONNEES '!$K$68">
      <xdr:nvSpPr>
        <xdr:cNvPr id="377" name="Ellipse 376">
          <a:extLst>
            <a:ext uri="{FF2B5EF4-FFF2-40B4-BE49-F238E27FC236}">
              <a16:creationId xmlns:a16="http://schemas.microsoft.com/office/drawing/2014/main" id="{94E0081F-75E1-6140-83E3-B09C781AD16E}"/>
            </a:ext>
          </a:extLst>
        </xdr:cNvPr>
        <xdr:cNvSpPr/>
      </xdr:nvSpPr>
      <xdr:spPr>
        <a:xfrm>
          <a:off x="14791911" y="74375619"/>
          <a:ext cx="887244" cy="71883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9EBED4B-34F0-1442-B295-D2D4D99FC30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1134022</xdr:colOff>
      <xdr:row>314</xdr:row>
      <xdr:rowOff>29517</xdr:rowOff>
    </xdr:from>
    <xdr:to>
      <xdr:col>13</xdr:col>
      <xdr:colOff>855364</xdr:colOff>
      <xdr:row>317</xdr:row>
      <xdr:rowOff>67169</xdr:rowOff>
    </xdr:to>
    <xdr:sp macro="" textlink="'DONNEES '!$K$67">
      <xdr:nvSpPr>
        <xdr:cNvPr id="378" name="Ellipse 377">
          <a:extLst>
            <a:ext uri="{FF2B5EF4-FFF2-40B4-BE49-F238E27FC236}">
              <a16:creationId xmlns:a16="http://schemas.microsoft.com/office/drawing/2014/main" id="{DA37EE9C-F3BA-7B44-A024-21CE9AE5D569}"/>
            </a:ext>
          </a:extLst>
        </xdr:cNvPr>
        <xdr:cNvSpPr/>
      </xdr:nvSpPr>
      <xdr:spPr>
        <a:xfrm>
          <a:off x="14791727" y="74980337"/>
          <a:ext cx="887244" cy="72470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D1B1277-902E-D14D-B23D-A19E699F46CF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1133838</xdr:colOff>
      <xdr:row>316</xdr:row>
      <xdr:rowOff>187784</xdr:rowOff>
    </xdr:from>
    <xdr:to>
      <xdr:col>13</xdr:col>
      <xdr:colOff>855180</xdr:colOff>
      <xdr:row>319</xdr:row>
      <xdr:rowOff>219235</xdr:rowOff>
    </xdr:to>
    <xdr:sp macro="" textlink="'DONNEES '!$K$66">
      <xdr:nvSpPr>
        <xdr:cNvPr id="379" name="Ellipse 378">
          <a:extLst>
            <a:ext uri="{FF2B5EF4-FFF2-40B4-BE49-F238E27FC236}">
              <a16:creationId xmlns:a16="http://schemas.microsoft.com/office/drawing/2014/main" id="{5B0DABBF-B0D3-C147-AD86-2DA807F9074D}"/>
            </a:ext>
          </a:extLst>
        </xdr:cNvPr>
        <xdr:cNvSpPr/>
      </xdr:nvSpPr>
      <xdr:spPr>
        <a:xfrm>
          <a:off x="14791543" y="75596636"/>
          <a:ext cx="887244" cy="718501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3DC541D-3822-6542-A68B-CBA09189942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1133655</xdr:colOff>
      <xdr:row>319</xdr:row>
      <xdr:rowOff>115803</xdr:rowOff>
    </xdr:from>
    <xdr:to>
      <xdr:col>13</xdr:col>
      <xdr:colOff>854997</xdr:colOff>
      <xdr:row>322</xdr:row>
      <xdr:rowOff>147592</xdr:rowOff>
    </xdr:to>
    <xdr:sp macro="" textlink="'DONNEES '!$K$65">
      <xdr:nvSpPr>
        <xdr:cNvPr id="380" name="Ellipse 379">
          <a:extLst>
            <a:ext uri="{FF2B5EF4-FFF2-40B4-BE49-F238E27FC236}">
              <a16:creationId xmlns:a16="http://schemas.microsoft.com/office/drawing/2014/main" id="{F44DFFD5-24FB-FE4A-93AE-FE385E4EF1B3}"/>
            </a:ext>
          </a:extLst>
        </xdr:cNvPr>
        <xdr:cNvSpPr/>
      </xdr:nvSpPr>
      <xdr:spPr>
        <a:xfrm>
          <a:off x="14791360" y="76211705"/>
          <a:ext cx="887244" cy="71883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82632D5-72AD-5941-8814-5BA02D33E35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1128983</xdr:colOff>
      <xdr:row>322</xdr:row>
      <xdr:rowOff>43824</xdr:rowOff>
    </xdr:from>
    <xdr:to>
      <xdr:col>13</xdr:col>
      <xdr:colOff>850325</xdr:colOff>
      <xdr:row>325</xdr:row>
      <xdr:rowOff>75614</xdr:rowOff>
    </xdr:to>
    <xdr:sp macro="" textlink="'DONNEES '!$K$64">
      <xdr:nvSpPr>
        <xdr:cNvPr id="381" name="Ellipse 380">
          <a:extLst>
            <a:ext uri="{FF2B5EF4-FFF2-40B4-BE49-F238E27FC236}">
              <a16:creationId xmlns:a16="http://schemas.microsoft.com/office/drawing/2014/main" id="{0D1E6EB5-4C12-0644-975A-DA41A706CDA7}"/>
            </a:ext>
          </a:extLst>
        </xdr:cNvPr>
        <xdr:cNvSpPr/>
      </xdr:nvSpPr>
      <xdr:spPr>
        <a:xfrm>
          <a:off x="14786688" y="76826775"/>
          <a:ext cx="887244" cy="718839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6D9C83E-95C9-AC4B-A702-3F0955036AF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🔴</a:t>
          </a:fld>
          <a:endParaRPr lang="fr-FR" sz="2800"/>
        </a:p>
      </xdr:txBody>
    </xdr:sp>
    <xdr:clientData/>
  </xdr:twoCellAnchor>
  <xdr:twoCellAnchor>
    <xdr:from>
      <xdr:col>12</xdr:col>
      <xdr:colOff>1169568</xdr:colOff>
      <xdr:row>327</xdr:row>
      <xdr:rowOff>81057</xdr:rowOff>
    </xdr:from>
    <xdr:to>
      <xdr:col>13</xdr:col>
      <xdr:colOff>890910</xdr:colOff>
      <xdr:row>330</xdr:row>
      <xdr:rowOff>112847</xdr:rowOff>
    </xdr:to>
    <xdr:sp macro="" textlink="'DONNEES '!$U$71">
      <xdr:nvSpPr>
        <xdr:cNvPr id="382" name="Ellipse 381">
          <a:extLst>
            <a:ext uri="{FF2B5EF4-FFF2-40B4-BE49-F238E27FC236}">
              <a16:creationId xmlns:a16="http://schemas.microsoft.com/office/drawing/2014/main" id="{83CC5AD5-B023-754E-9802-F449F8DE7E4C}"/>
            </a:ext>
          </a:extLst>
        </xdr:cNvPr>
        <xdr:cNvSpPr/>
      </xdr:nvSpPr>
      <xdr:spPr>
        <a:xfrm>
          <a:off x="14866030" y="79661211"/>
          <a:ext cx="893649" cy="7351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111539B-AB45-2B4E-B36B-4B0265F304BB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1168664</xdr:colOff>
      <xdr:row>330</xdr:row>
      <xdr:rowOff>2791</xdr:rowOff>
    </xdr:from>
    <xdr:to>
      <xdr:col>13</xdr:col>
      <xdr:colOff>890006</xdr:colOff>
      <xdr:row>333</xdr:row>
      <xdr:rowOff>40442</xdr:rowOff>
    </xdr:to>
    <xdr:sp macro="" textlink="'DONNEES '!$U$70">
      <xdr:nvSpPr>
        <xdr:cNvPr id="383" name="Ellipse 382">
          <a:extLst>
            <a:ext uri="{FF2B5EF4-FFF2-40B4-BE49-F238E27FC236}">
              <a16:creationId xmlns:a16="http://schemas.microsoft.com/office/drawing/2014/main" id="{B0B32824-AA1C-714D-9B37-365FC57E6AA3}"/>
            </a:ext>
          </a:extLst>
        </xdr:cNvPr>
        <xdr:cNvSpPr/>
      </xdr:nvSpPr>
      <xdr:spPr>
        <a:xfrm>
          <a:off x="14865126" y="80286329"/>
          <a:ext cx="893649" cy="741036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AE6059C-F85E-0B47-93E1-3B599D8B3A56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1163993</xdr:colOff>
      <xdr:row>332</xdr:row>
      <xdr:rowOff>165546</xdr:rowOff>
    </xdr:from>
    <xdr:to>
      <xdr:col>13</xdr:col>
      <xdr:colOff>885335</xdr:colOff>
      <xdr:row>335</xdr:row>
      <xdr:rowOff>196997</xdr:rowOff>
    </xdr:to>
    <xdr:sp macro="" textlink="'DONNEES '!$U$69">
      <xdr:nvSpPr>
        <xdr:cNvPr id="384" name="Ellipse 383">
          <a:extLst>
            <a:ext uri="{FF2B5EF4-FFF2-40B4-BE49-F238E27FC236}">
              <a16:creationId xmlns:a16="http://schemas.microsoft.com/office/drawing/2014/main" id="{F4B5A426-2612-284B-97FE-D014EF02B239}"/>
            </a:ext>
          </a:extLst>
        </xdr:cNvPr>
        <xdr:cNvSpPr/>
      </xdr:nvSpPr>
      <xdr:spPr>
        <a:xfrm>
          <a:off x="14860455" y="80918008"/>
          <a:ext cx="893649" cy="73483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98AC251-9391-7E4D-AA83-52AB9CD075C5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1163812</xdr:colOff>
      <xdr:row>335</xdr:row>
      <xdr:rowOff>93567</xdr:rowOff>
    </xdr:from>
    <xdr:to>
      <xdr:col>13</xdr:col>
      <xdr:colOff>885154</xdr:colOff>
      <xdr:row>338</xdr:row>
      <xdr:rowOff>125356</xdr:rowOff>
    </xdr:to>
    <xdr:sp macro="" textlink="'DONNEES '!$U$68">
      <xdr:nvSpPr>
        <xdr:cNvPr id="385" name="Ellipse 384">
          <a:extLst>
            <a:ext uri="{FF2B5EF4-FFF2-40B4-BE49-F238E27FC236}">
              <a16:creationId xmlns:a16="http://schemas.microsoft.com/office/drawing/2014/main" id="{C1BE9E6E-F9ED-3A4D-9AF7-2718F63810C0}"/>
            </a:ext>
          </a:extLst>
        </xdr:cNvPr>
        <xdr:cNvSpPr/>
      </xdr:nvSpPr>
      <xdr:spPr>
        <a:xfrm>
          <a:off x="14860274" y="81549413"/>
          <a:ext cx="893649" cy="7351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AE24A68-F04D-1740-A660-542A50CE208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1163628</xdr:colOff>
      <xdr:row>338</xdr:row>
      <xdr:rowOff>11235</xdr:rowOff>
    </xdr:from>
    <xdr:to>
      <xdr:col>13</xdr:col>
      <xdr:colOff>884970</xdr:colOff>
      <xdr:row>341</xdr:row>
      <xdr:rowOff>48887</xdr:rowOff>
    </xdr:to>
    <xdr:sp macro="" textlink="'DONNEES '!$U$67">
      <xdr:nvSpPr>
        <xdr:cNvPr id="386" name="Ellipse 385">
          <a:extLst>
            <a:ext uri="{FF2B5EF4-FFF2-40B4-BE49-F238E27FC236}">
              <a16:creationId xmlns:a16="http://schemas.microsoft.com/office/drawing/2014/main" id="{F4311773-C6E5-9E44-BCEA-A2EB51AC8C9B}"/>
            </a:ext>
          </a:extLst>
        </xdr:cNvPr>
        <xdr:cNvSpPr/>
      </xdr:nvSpPr>
      <xdr:spPr>
        <a:xfrm>
          <a:off x="14860090" y="82170466"/>
          <a:ext cx="893649" cy="741036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88CB4B6-4C4F-8347-BA91-DEFC573A320C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1163444</xdr:colOff>
      <xdr:row>340</xdr:row>
      <xdr:rowOff>169502</xdr:rowOff>
    </xdr:from>
    <xdr:to>
      <xdr:col>13</xdr:col>
      <xdr:colOff>884786</xdr:colOff>
      <xdr:row>343</xdr:row>
      <xdr:rowOff>200954</xdr:rowOff>
    </xdr:to>
    <xdr:sp macro="" textlink="'DONNEES '!$U$66">
      <xdr:nvSpPr>
        <xdr:cNvPr id="387" name="Ellipse 386">
          <a:extLst>
            <a:ext uri="{FF2B5EF4-FFF2-40B4-BE49-F238E27FC236}">
              <a16:creationId xmlns:a16="http://schemas.microsoft.com/office/drawing/2014/main" id="{075E4009-B6AA-534A-81C8-6C280E8FDAD2}"/>
            </a:ext>
          </a:extLst>
        </xdr:cNvPr>
        <xdr:cNvSpPr/>
      </xdr:nvSpPr>
      <xdr:spPr>
        <a:xfrm>
          <a:off x="14859906" y="82797656"/>
          <a:ext cx="893649" cy="734836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E9F3831-59B0-1043-85BE-230B3BCF51A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1163261</xdr:colOff>
      <xdr:row>343</xdr:row>
      <xdr:rowOff>97522</xdr:rowOff>
    </xdr:from>
    <xdr:to>
      <xdr:col>13</xdr:col>
      <xdr:colOff>884603</xdr:colOff>
      <xdr:row>346</xdr:row>
      <xdr:rowOff>129310</xdr:rowOff>
    </xdr:to>
    <xdr:sp macro="" textlink="'DONNEES '!$U$65">
      <xdr:nvSpPr>
        <xdr:cNvPr id="388" name="Ellipse 387">
          <a:extLst>
            <a:ext uri="{FF2B5EF4-FFF2-40B4-BE49-F238E27FC236}">
              <a16:creationId xmlns:a16="http://schemas.microsoft.com/office/drawing/2014/main" id="{82E77646-4A4F-BB49-B12B-93B70D05EAB2}"/>
            </a:ext>
          </a:extLst>
        </xdr:cNvPr>
        <xdr:cNvSpPr/>
      </xdr:nvSpPr>
      <xdr:spPr>
        <a:xfrm>
          <a:off x="14859723" y="83429060"/>
          <a:ext cx="893649" cy="73517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E5BAC24-33E4-894D-A3BA-4D40E26C8458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12</xdr:col>
      <xdr:colOff>1158589</xdr:colOff>
      <xdr:row>346</xdr:row>
      <xdr:rowOff>25542</xdr:rowOff>
    </xdr:from>
    <xdr:to>
      <xdr:col>13</xdr:col>
      <xdr:colOff>879931</xdr:colOff>
      <xdr:row>349</xdr:row>
      <xdr:rowOff>57332</xdr:rowOff>
    </xdr:to>
    <xdr:sp macro="" textlink="'DONNEES '!$U$63">
      <xdr:nvSpPr>
        <xdr:cNvPr id="389" name="Ellipse 388">
          <a:extLst>
            <a:ext uri="{FF2B5EF4-FFF2-40B4-BE49-F238E27FC236}">
              <a16:creationId xmlns:a16="http://schemas.microsoft.com/office/drawing/2014/main" id="{09896B86-F81F-EF45-AE48-CD84E8375A41}"/>
            </a:ext>
          </a:extLst>
        </xdr:cNvPr>
        <xdr:cNvSpPr/>
      </xdr:nvSpPr>
      <xdr:spPr>
        <a:xfrm>
          <a:off x="14855051" y="84060465"/>
          <a:ext cx="893649" cy="7351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79CCBA4-1C08-1446-AA93-257981469B63}" type="TxLink">
            <a:rPr lang="en-US" sz="1200" b="1" i="0" u="none" strike="noStrike">
              <a:solidFill>
                <a:srgbClr val="C65911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6588</xdr:colOff>
      <xdr:row>346</xdr:row>
      <xdr:rowOff>15454</xdr:rowOff>
    </xdr:from>
    <xdr:to>
      <xdr:col>13</xdr:col>
      <xdr:colOff>900237</xdr:colOff>
      <xdr:row>349</xdr:row>
      <xdr:rowOff>47242</xdr:rowOff>
    </xdr:to>
    <xdr:sp macro="" textlink="'DONNEES '!$U$64">
      <xdr:nvSpPr>
        <xdr:cNvPr id="390" name="Ellipse 389">
          <a:extLst>
            <a:ext uri="{FF2B5EF4-FFF2-40B4-BE49-F238E27FC236}">
              <a16:creationId xmlns:a16="http://schemas.microsoft.com/office/drawing/2014/main" id="{9B93C970-3013-6B41-99CE-211F9BF59E22}"/>
            </a:ext>
          </a:extLst>
        </xdr:cNvPr>
        <xdr:cNvSpPr/>
      </xdr:nvSpPr>
      <xdr:spPr>
        <a:xfrm>
          <a:off x="14875357" y="84050377"/>
          <a:ext cx="893649" cy="73517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4150A82-8487-054F-8F6B-CDCFA15EC9E9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🟢</a:t>
          </a:fld>
          <a:endParaRPr lang="fr-FR" sz="2800"/>
        </a:p>
      </xdr:txBody>
    </xdr:sp>
    <xdr:clientData/>
  </xdr:twoCellAnchor>
  <xdr:twoCellAnchor>
    <xdr:from>
      <xdr:col>13</xdr:col>
      <xdr:colOff>10996</xdr:colOff>
      <xdr:row>279</xdr:row>
      <xdr:rowOff>68069</xdr:rowOff>
    </xdr:from>
    <xdr:to>
      <xdr:col>13</xdr:col>
      <xdr:colOff>953837</xdr:colOff>
      <xdr:row>282</xdr:row>
      <xdr:rowOff>146966</xdr:rowOff>
    </xdr:to>
    <xdr:sp macro="" textlink="'DONNEES '!$K$51">
      <xdr:nvSpPr>
        <xdr:cNvPr id="43" name="Ellipse 42">
          <a:extLst>
            <a:ext uri="{FF2B5EF4-FFF2-40B4-BE49-F238E27FC236}">
              <a16:creationId xmlns:a16="http://schemas.microsoft.com/office/drawing/2014/main" id="{9E54B2AF-C179-FA4D-A9CD-922C6296042A}"/>
            </a:ext>
          </a:extLst>
        </xdr:cNvPr>
        <xdr:cNvSpPr/>
      </xdr:nvSpPr>
      <xdr:spPr>
        <a:xfrm>
          <a:off x="14846394" y="65894529"/>
          <a:ext cx="942841" cy="75323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AAAE3C5-3EB5-5741-9C8C-8E2C0A623482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11954</xdr:colOff>
      <xdr:row>281</xdr:row>
      <xdr:rowOff>220364</xdr:rowOff>
    </xdr:from>
    <xdr:to>
      <xdr:col>13</xdr:col>
      <xdr:colOff>954795</xdr:colOff>
      <xdr:row>285</xdr:row>
      <xdr:rowOff>70661</xdr:rowOff>
    </xdr:to>
    <xdr:sp macro="" textlink="'DONNEES '!$K$50">
      <xdr:nvSpPr>
        <xdr:cNvPr id="47" name="Ellipse 46">
          <a:extLst>
            <a:ext uri="{FF2B5EF4-FFF2-40B4-BE49-F238E27FC236}">
              <a16:creationId xmlns:a16="http://schemas.microsoft.com/office/drawing/2014/main" id="{E851BE9F-D4B8-5545-896D-59AB9C055387}"/>
            </a:ext>
          </a:extLst>
        </xdr:cNvPr>
        <xdr:cNvSpPr/>
      </xdr:nvSpPr>
      <xdr:spPr>
        <a:xfrm>
          <a:off x="14847352" y="66496382"/>
          <a:ext cx="942841" cy="74941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495CCF0-7B02-DE49-8F7C-727DFB4ABD8F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10795</xdr:colOff>
      <xdr:row>284</xdr:row>
      <xdr:rowOff>144164</xdr:rowOff>
    </xdr:from>
    <xdr:to>
      <xdr:col>13</xdr:col>
      <xdr:colOff>953636</xdr:colOff>
      <xdr:row>287</xdr:row>
      <xdr:rowOff>223505</xdr:rowOff>
    </xdr:to>
    <xdr:sp macro="" textlink="'DONNEES '!$K$49">
      <xdr:nvSpPr>
        <xdr:cNvPr id="48" name="Ellipse 47">
          <a:extLst>
            <a:ext uri="{FF2B5EF4-FFF2-40B4-BE49-F238E27FC236}">
              <a16:creationId xmlns:a16="http://schemas.microsoft.com/office/drawing/2014/main" id="{29C3CEB7-F192-4C4F-8F19-9004B8066671}"/>
            </a:ext>
          </a:extLst>
        </xdr:cNvPr>
        <xdr:cNvSpPr/>
      </xdr:nvSpPr>
      <xdr:spPr>
        <a:xfrm>
          <a:off x="14846193" y="67094518"/>
          <a:ext cx="942841" cy="75367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88BBF32-6585-CC42-829A-BABCC62B4BFE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9637</xdr:colOff>
      <xdr:row>287</xdr:row>
      <xdr:rowOff>68293</xdr:rowOff>
    </xdr:from>
    <xdr:to>
      <xdr:col>13</xdr:col>
      <xdr:colOff>952478</xdr:colOff>
      <xdr:row>290</xdr:row>
      <xdr:rowOff>147190</xdr:rowOff>
    </xdr:to>
    <xdr:sp macro="" textlink="'DONNEES '!$K$48">
      <xdr:nvSpPr>
        <xdr:cNvPr id="49" name="Ellipse 48">
          <a:extLst>
            <a:ext uri="{FF2B5EF4-FFF2-40B4-BE49-F238E27FC236}">
              <a16:creationId xmlns:a16="http://schemas.microsoft.com/office/drawing/2014/main" id="{02C3B187-C58A-DE47-A840-14F45179E991}"/>
            </a:ext>
          </a:extLst>
        </xdr:cNvPr>
        <xdr:cNvSpPr/>
      </xdr:nvSpPr>
      <xdr:spPr>
        <a:xfrm>
          <a:off x="14845035" y="67692983"/>
          <a:ext cx="942841" cy="7532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18D9DD-238F-8345-8717-B9B5FEEB5D9A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8478</xdr:colOff>
      <xdr:row>289</xdr:row>
      <xdr:rowOff>216874</xdr:rowOff>
    </xdr:from>
    <xdr:to>
      <xdr:col>13</xdr:col>
      <xdr:colOff>951319</xdr:colOff>
      <xdr:row>293</xdr:row>
      <xdr:rowOff>67171</xdr:rowOff>
    </xdr:to>
    <xdr:sp macro="" textlink="'DONNEES '!$K$47">
      <xdr:nvSpPr>
        <xdr:cNvPr id="51" name="Ellipse 50">
          <a:extLst>
            <a:ext uri="{FF2B5EF4-FFF2-40B4-BE49-F238E27FC236}">
              <a16:creationId xmlns:a16="http://schemas.microsoft.com/office/drawing/2014/main" id="{9D5CF55E-2DAF-AF4D-93E7-40A79CBDE516}"/>
            </a:ext>
          </a:extLst>
        </xdr:cNvPr>
        <xdr:cNvSpPr/>
      </xdr:nvSpPr>
      <xdr:spPr>
        <a:xfrm>
          <a:off x="14843876" y="68291122"/>
          <a:ext cx="942841" cy="74941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C5F1120-2724-7B44-B093-80F6107C6943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7317</xdr:colOff>
      <xdr:row>292</xdr:row>
      <xdr:rowOff>136524</xdr:rowOff>
    </xdr:from>
    <xdr:to>
      <xdr:col>13</xdr:col>
      <xdr:colOff>950158</xdr:colOff>
      <xdr:row>295</xdr:row>
      <xdr:rowOff>215865</xdr:rowOff>
    </xdr:to>
    <xdr:sp macro="" textlink="'DONNEES '!$K$46">
      <xdr:nvSpPr>
        <xdr:cNvPr id="56" name="Ellipse 55">
          <a:extLst>
            <a:ext uri="{FF2B5EF4-FFF2-40B4-BE49-F238E27FC236}">
              <a16:creationId xmlns:a16="http://schemas.microsoft.com/office/drawing/2014/main" id="{429435DF-25E6-6344-A7FF-39CAE7850426}"/>
            </a:ext>
          </a:extLst>
        </xdr:cNvPr>
        <xdr:cNvSpPr/>
      </xdr:nvSpPr>
      <xdr:spPr>
        <a:xfrm>
          <a:off x="14842715" y="68885108"/>
          <a:ext cx="942841" cy="75367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67C67B6-8839-264B-87F7-E417AC72BBFF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6156</xdr:colOff>
      <xdr:row>295</xdr:row>
      <xdr:rowOff>60656</xdr:rowOff>
    </xdr:from>
    <xdr:to>
      <xdr:col>13</xdr:col>
      <xdr:colOff>948997</xdr:colOff>
      <xdr:row>298</xdr:row>
      <xdr:rowOff>139553</xdr:rowOff>
    </xdr:to>
    <xdr:sp macro="" textlink="'DONNEES '!$K$45">
      <xdr:nvSpPr>
        <xdr:cNvPr id="62" name="Ellipse 61">
          <a:extLst>
            <a:ext uri="{FF2B5EF4-FFF2-40B4-BE49-F238E27FC236}">
              <a16:creationId xmlns:a16="http://schemas.microsoft.com/office/drawing/2014/main" id="{55979884-A379-FD45-B50B-DC4886EBFA0F}"/>
            </a:ext>
          </a:extLst>
        </xdr:cNvPr>
        <xdr:cNvSpPr/>
      </xdr:nvSpPr>
      <xdr:spPr>
        <a:xfrm>
          <a:off x="14841554" y="69483576"/>
          <a:ext cx="942841" cy="75323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6B0911D-B93A-7745-8B7F-476943E462F4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13</xdr:col>
      <xdr:colOff>9148</xdr:colOff>
      <xdr:row>297</xdr:row>
      <xdr:rowOff>213388</xdr:rowOff>
    </xdr:from>
    <xdr:to>
      <xdr:col>13</xdr:col>
      <xdr:colOff>951989</xdr:colOff>
      <xdr:row>301</xdr:row>
      <xdr:rowOff>63685</xdr:rowOff>
    </xdr:to>
    <xdr:sp macro="" textlink="'DONNEES '!$K$44">
      <xdr:nvSpPr>
        <xdr:cNvPr id="63" name="Ellipse 62">
          <a:extLst>
            <a:ext uri="{FF2B5EF4-FFF2-40B4-BE49-F238E27FC236}">
              <a16:creationId xmlns:a16="http://schemas.microsoft.com/office/drawing/2014/main" id="{3EB37025-FD6D-724D-8874-A4DF6F65B024}"/>
            </a:ext>
          </a:extLst>
        </xdr:cNvPr>
        <xdr:cNvSpPr/>
      </xdr:nvSpPr>
      <xdr:spPr>
        <a:xfrm>
          <a:off x="14844546" y="70085866"/>
          <a:ext cx="942841" cy="74941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524ACCA-CDA7-5449-8DD7-1D3505412553}" type="TxLink">
            <a:rPr lang="en-US" sz="2800" b="0" i="0" u="none" strike="noStrike">
              <a:solidFill>
                <a:srgbClr val="000000"/>
              </a:solidFill>
              <a:latin typeface="Avenir Next Condensed Regular"/>
            </a:rPr>
            <a:pPr algn="l"/>
            <a:t> </a:t>
          </a:fld>
          <a:endParaRPr lang="fr-FR" sz="2800"/>
        </a:p>
      </xdr:txBody>
    </xdr:sp>
    <xdr:clientData/>
  </xdr:twoCellAnchor>
  <xdr:twoCellAnchor>
    <xdr:from>
      <xdr:col>21</xdr:col>
      <xdr:colOff>802918</xdr:colOff>
      <xdr:row>303</xdr:row>
      <xdr:rowOff>207283</xdr:rowOff>
    </xdr:from>
    <xdr:to>
      <xdr:col>23</xdr:col>
      <xdr:colOff>589351</xdr:colOff>
      <xdr:row>324</xdr:row>
      <xdr:rowOff>85606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ED8C3DF7-515A-198F-734E-16C162C4176A}"/>
            </a:ext>
          </a:extLst>
        </xdr:cNvPr>
        <xdr:cNvGrpSpPr/>
      </xdr:nvGrpSpPr>
      <xdr:grpSpPr>
        <a:xfrm>
          <a:off x="25356251" y="73136071"/>
          <a:ext cx="1575979" cy="4727414"/>
          <a:chOff x="0" y="0"/>
          <a:chExt cx="1565863" cy="4785144"/>
        </a:xfrm>
        <a:solidFill>
          <a:schemeClr val="accent2">
            <a:lumMod val="20000"/>
            <a:lumOff val="80000"/>
          </a:schemeClr>
        </a:solidFill>
      </xdr:grpSpPr>
      <xdr:sp macro="" textlink="'DONNEES '!J71">
        <xdr:nvSpPr>
          <xdr:cNvPr id="65" name="Rectangle : coins arrondis 64">
            <a:extLst>
              <a:ext uri="{FF2B5EF4-FFF2-40B4-BE49-F238E27FC236}">
                <a16:creationId xmlns:a16="http://schemas.microsoft.com/office/drawing/2014/main" id="{FF6691B5-6614-1AAF-77CA-55FDF0A9CB8F}"/>
              </a:ext>
            </a:extLst>
          </xdr:cNvPr>
          <xdr:cNvSpPr/>
        </xdr:nvSpPr>
        <xdr:spPr>
          <a:xfrm>
            <a:off x="20803" y="0"/>
            <a:ext cx="1545060" cy="41276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629AA972-145E-8545-BD3E-ADE25E170AA8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3,4%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70">
        <xdr:nvSpPr>
          <xdr:cNvPr id="66" name="Rectangle : coins arrondis 65">
            <a:extLst>
              <a:ext uri="{FF2B5EF4-FFF2-40B4-BE49-F238E27FC236}">
                <a16:creationId xmlns:a16="http://schemas.microsoft.com/office/drawing/2014/main" id="{CF82AA00-338E-2CDE-BC54-82393A5C5808}"/>
              </a:ext>
            </a:extLst>
          </xdr:cNvPr>
          <xdr:cNvSpPr/>
        </xdr:nvSpPr>
        <xdr:spPr>
          <a:xfrm>
            <a:off x="1309" y="620451"/>
            <a:ext cx="1545060" cy="41276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1CC8C02-D0E4-1B48-A4B2-681D7029E3BB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6,9%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69">
        <xdr:nvSpPr>
          <xdr:cNvPr id="67" name="Rectangle : coins arrondis 66">
            <a:extLst>
              <a:ext uri="{FF2B5EF4-FFF2-40B4-BE49-F238E27FC236}">
                <a16:creationId xmlns:a16="http://schemas.microsoft.com/office/drawing/2014/main" id="{29ABA222-ED5A-FB9C-8B5E-7D6C5FD92177}"/>
              </a:ext>
            </a:extLst>
          </xdr:cNvPr>
          <xdr:cNvSpPr/>
        </xdr:nvSpPr>
        <xdr:spPr>
          <a:xfrm>
            <a:off x="13869" y="1220860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6335283-2406-474F-A529-C881036ED280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1,9%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68">
        <xdr:nvSpPr>
          <xdr:cNvPr id="68" name="Rectangle : coins arrondis 67">
            <a:extLst>
              <a:ext uri="{FF2B5EF4-FFF2-40B4-BE49-F238E27FC236}">
                <a16:creationId xmlns:a16="http://schemas.microsoft.com/office/drawing/2014/main" id="{FBE06599-F0E7-470C-C589-D08CC78F180A}"/>
              </a:ext>
            </a:extLst>
          </xdr:cNvPr>
          <xdr:cNvSpPr/>
        </xdr:nvSpPr>
        <xdr:spPr>
          <a:xfrm>
            <a:off x="7195" y="1841309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905593D-FB5C-6F41-8806-7EBBBBF375B2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7,3%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67">
        <xdr:nvSpPr>
          <xdr:cNvPr id="69" name="Rectangle : coins arrondis 68">
            <a:extLst>
              <a:ext uri="{FF2B5EF4-FFF2-40B4-BE49-F238E27FC236}">
                <a16:creationId xmlns:a16="http://schemas.microsoft.com/office/drawing/2014/main" id="{D203AEBA-153F-7734-22F2-834804AE2D66}"/>
              </a:ext>
            </a:extLst>
          </xdr:cNvPr>
          <xdr:cNvSpPr/>
        </xdr:nvSpPr>
        <xdr:spPr>
          <a:xfrm>
            <a:off x="6934" y="2495632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0D631A64-8385-0E44-85C3-D881F4D43C5B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12,3%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66">
        <xdr:nvSpPr>
          <xdr:cNvPr id="70" name="Rectangle : coins arrondis 69">
            <a:extLst>
              <a:ext uri="{FF2B5EF4-FFF2-40B4-BE49-F238E27FC236}">
                <a16:creationId xmlns:a16="http://schemas.microsoft.com/office/drawing/2014/main" id="{C094C87B-EF4C-03AF-7DA6-131212F68347}"/>
              </a:ext>
            </a:extLst>
          </xdr:cNvPr>
          <xdr:cNvSpPr/>
        </xdr:nvSpPr>
        <xdr:spPr>
          <a:xfrm>
            <a:off x="6671" y="3124378"/>
            <a:ext cx="1545060" cy="411558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97E56DC-0132-0744-99BD-8BAD3A5AD1B8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-1,7%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65">
        <xdr:nvSpPr>
          <xdr:cNvPr id="71" name="Rectangle : coins arrondis 70">
            <a:extLst>
              <a:ext uri="{FF2B5EF4-FFF2-40B4-BE49-F238E27FC236}">
                <a16:creationId xmlns:a16="http://schemas.microsoft.com/office/drawing/2014/main" id="{ADB12423-B6B2-FFCC-73DA-24E91A690865}"/>
              </a:ext>
            </a:extLst>
          </xdr:cNvPr>
          <xdr:cNvSpPr/>
        </xdr:nvSpPr>
        <xdr:spPr>
          <a:xfrm>
            <a:off x="0" y="3757780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5823F1BF-4D75-1144-8878-E31CA30240FD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-3,1%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  <xdr:sp macro="" textlink="'DONNEES '!J64">
        <xdr:nvSpPr>
          <xdr:cNvPr id="72" name="Rectangle : coins arrondis 71">
            <a:extLst>
              <a:ext uri="{FF2B5EF4-FFF2-40B4-BE49-F238E27FC236}">
                <a16:creationId xmlns:a16="http://schemas.microsoft.com/office/drawing/2014/main" id="{E7181033-C6B7-A97F-4FE9-72DA1A8DCA5C}"/>
              </a:ext>
            </a:extLst>
          </xdr:cNvPr>
          <xdr:cNvSpPr/>
        </xdr:nvSpPr>
        <xdr:spPr>
          <a:xfrm>
            <a:off x="12560" y="4373587"/>
            <a:ext cx="1545060" cy="41155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F843E82-F607-C44D-BBE0-714B6D1EBE39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" panose="020B0506020202020204" pitchFamily="34" charset="0"/>
              </a:rPr>
              <a:pPr algn="ctr"/>
              <a:t>-7,4%</a:t>
            </a:fld>
            <a:endParaRPr lang="fr-FR" sz="2400" b="1">
              <a:solidFill>
                <a:schemeClr val="accent2">
                  <a:lumMod val="75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  <xdr:twoCellAnchor>
    <xdr:from>
      <xdr:col>21</xdr:col>
      <xdr:colOff>616632</xdr:colOff>
      <xdr:row>75</xdr:row>
      <xdr:rowOff>182819</xdr:rowOff>
    </xdr:from>
    <xdr:to>
      <xdr:col>23</xdr:col>
      <xdr:colOff>537061</xdr:colOff>
      <xdr:row>77</xdr:row>
      <xdr:rowOff>57729</xdr:rowOff>
    </xdr:to>
    <xdr:sp macro="" textlink="'DONNEES '!AD22">
      <xdr:nvSpPr>
        <xdr:cNvPr id="94" name="Rectangle : coins arrondis 93">
          <a:extLst>
            <a:ext uri="{FF2B5EF4-FFF2-40B4-BE49-F238E27FC236}">
              <a16:creationId xmlns:a16="http://schemas.microsoft.com/office/drawing/2014/main" id="{A65F25DD-FDA3-0042-8713-A2BF6EE26BC2}"/>
            </a:ext>
          </a:extLst>
        </xdr:cNvPr>
        <xdr:cNvSpPr/>
      </xdr:nvSpPr>
      <xdr:spPr>
        <a:xfrm>
          <a:off x="25169965" y="19444486"/>
          <a:ext cx="1709975" cy="336728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A797B-0704-DC41-B067-575E6DB16979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18</a:t>
          </a:fld>
          <a:endParaRPr lang="fr-FR" sz="2400" b="1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20</xdr:col>
      <xdr:colOff>1251633</xdr:colOff>
      <xdr:row>63</xdr:row>
      <xdr:rowOff>67361</xdr:rowOff>
    </xdr:from>
    <xdr:to>
      <xdr:col>21</xdr:col>
      <xdr:colOff>421166</xdr:colOff>
      <xdr:row>85</xdr:row>
      <xdr:rowOff>118160</xdr:rowOff>
    </xdr:to>
    <xdr:sp macro="" textlink="">
      <xdr:nvSpPr>
        <xdr:cNvPr id="96" name="Rectangle : coins arrondis 95">
          <a:extLst>
            <a:ext uri="{FF2B5EF4-FFF2-40B4-BE49-F238E27FC236}">
              <a16:creationId xmlns:a16="http://schemas.microsoft.com/office/drawing/2014/main" id="{3A8B3C0A-555A-D04A-BE2D-06A567F889C7}"/>
            </a:ext>
          </a:extLst>
        </xdr:cNvPr>
        <xdr:cNvSpPr/>
      </xdr:nvSpPr>
      <xdr:spPr>
        <a:xfrm>
          <a:off x="24361785" y="16558119"/>
          <a:ext cx="612714" cy="513079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r-FR" sz="2400" b="1">
              <a:solidFill>
                <a:schemeClr val="accent6">
                  <a:lumMod val="20000"/>
                  <a:lumOff val="8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Par rapport à la semaine précédente</a:t>
          </a:r>
        </a:p>
      </xdr:txBody>
    </xdr:sp>
    <xdr:clientData/>
  </xdr:twoCellAnchor>
  <xdr:twoCellAnchor>
    <xdr:from>
      <xdr:col>21</xdr:col>
      <xdr:colOff>634335</xdr:colOff>
      <xdr:row>78</xdr:row>
      <xdr:rowOff>27340</xdr:rowOff>
    </xdr:from>
    <xdr:to>
      <xdr:col>23</xdr:col>
      <xdr:colOff>554764</xdr:colOff>
      <xdr:row>79</xdr:row>
      <xdr:rowOff>133159</xdr:rowOff>
    </xdr:to>
    <xdr:sp macro="" textlink="'DONNEES '!AD21">
      <xdr:nvSpPr>
        <xdr:cNvPr id="84" name="Rectangle : coins arrondis 83">
          <a:extLst>
            <a:ext uri="{FF2B5EF4-FFF2-40B4-BE49-F238E27FC236}">
              <a16:creationId xmlns:a16="http://schemas.microsoft.com/office/drawing/2014/main" id="{1F1E7BFE-32A5-C948-A2C6-828798126DEF}"/>
            </a:ext>
          </a:extLst>
        </xdr:cNvPr>
        <xdr:cNvSpPr/>
      </xdr:nvSpPr>
      <xdr:spPr>
        <a:xfrm>
          <a:off x="25187668" y="19981734"/>
          <a:ext cx="1709975" cy="336728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E752AE6-6AF5-3542-AF25-7581894DE6A4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32</a:t>
          </a:fld>
          <a:endParaRPr lang="en-US" sz="2400" b="1" i="0" u="none" strike="noStrike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21</xdr:col>
      <xdr:colOff>613553</xdr:colOff>
      <xdr:row>80</xdr:row>
      <xdr:rowOff>102770</xdr:rowOff>
    </xdr:from>
    <xdr:to>
      <xdr:col>23</xdr:col>
      <xdr:colOff>533982</xdr:colOff>
      <xdr:row>81</xdr:row>
      <xdr:rowOff>208589</xdr:rowOff>
    </xdr:to>
    <xdr:sp macro="" textlink="'DONNEES '!AD20">
      <xdr:nvSpPr>
        <xdr:cNvPr id="97" name="Rectangle : coins arrondis 96">
          <a:extLst>
            <a:ext uri="{FF2B5EF4-FFF2-40B4-BE49-F238E27FC236}">
              <a16:creationId xmlns:a16="http://schemas.microsoft.com/office/drawing/2014/main" id="{C0E5BA5F-1909-014E-911E-56DD921BAB05}"/>
            </a:ext>
          </a:extLst>
        </xdr:cNvPr>
        <xdr:cNvSpPr/>
      </xdr:nvSpPr>
      <xdr:spPr>
        <a:xfrm>
          <a:off x="25166886" y="20518982"/>
          <a:ext cx="1709975" cy="336728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AFF14EC-5A71-394B-A4A3-B4B59F570177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13</a:t>
          </a:fld>
          <a:endParaRPr lang="en-US" sz="2400" b="1" i="0" u="none" strike="noStrike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21</xdr:col>
      <xdr:colOff>612013</xdr:colOff>
      <xdr:row>82</xdr:row>
      <xdr:rowOff>178200</xdr:rowOff>
    </xdr:from>
    <xdr:to>
      <xdr:col>23</xdr:col>
      <xdr:colOff>532442</xdr:colOff>
      <xdr:row>84</xdr:row>
      <xdr:rowOff>53110</xdr:rowOff>
    </xdr:to>
    <xdr:sp macro="" textlink="'DONNEES '!AD19">
      <xdr:nvSpPr>
        <xdr:cNvPr id="98" name="Rectangle : coins arrondis 97">
          <a:extLst>
            <a:ext uri="{FF2B5EF4-FFF2-40B4-BE49-F238E27FC236}">
              <a16:creationId xmlns:a16="http://schemas.microsoft.com/office/drawing/2014/main" id="{030CA356-DFBD-7D46-B734-5AC6E27E41A9}"/>
            </a:ext>
          </a:extLst>
        </xdr:cNvPr>
        <xdr:cNvSpPr/>
      </xdr:nvSpPr>
      <xdr:spPr>
        <a:xfrm>
          <a:off x="25165346" y="21056230"/>
          <a:ext cx="1709975" cy="336728"/>
        </a:xfrm>
        <a:prstGeom prst="roundRect">
          <a:avLst>
            <a:gd name="adj" fmla="val 45239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52D2D6B-CB86-9F49-87AE-A81FA2CA2408}" type="TxLink">
            <a:rPr lang="en-US" sz="2400" b="1" i="0" u="none" strike="noStrike">
              <a:solidFill>
                <a:schemeClr val="accent6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13</a:t>
          </a:fld>
          <a:endParaRPr lang="en-US" sz="2400" b="1" i="0" u="none" strike="noStrike">
            <a:solidFill>
              <a:schemeClr val="accent6">
                <a:lumMod val="50000"/>
              </a:schemeClr>
            </a:solidFill>
            <a:latin typeface="Avenir Next Condensed" panose="020B0506020202020204" pitchFamily="34" charset="0"/>
          </a:endParaRPr>
        </a:p>
      </xdr:txBody>
    </xdr:sp>
    <xdr:clientData/>
  </xdr:twoCellAnchor>
  <xdr:twoCellAnchor>
    <xdr:from>
      <xdr:col>0</xdr:col>
      <xdr:colOff>700423</xdr:colOff>
      <xdr:row>134</xdr:row>
      <xdr:rowOff>63066</xdr:rowOff>
    </xdr:from>
    <xdr:to>
      <xdr:col>11</xdr:col>
      <xdr:colOff>1058333</xdr:colOff>
      <xdr:row>156</xdr:row>
      <xdr:rowOff>190065</xdr:rowOff>
    </xdr:to>
    <xdr:grpSp>
      <xdr:nvGrpSpPr>
        <xdr:cNvPr id="99" name="Groupe 98">
          <a:extLst>
            <a:ext uri="{FF2B5EF4-FFF2-40B4-BE49-F238E27FC236}">
              <a16:creationId xmlns:a16="http://schemas.microsoft.com/office/drawing/2014/main" id="{6784FF55-6E41-2C44-922F-8DB59507C4B9}"/>
            </a:ext>
          </a:extLst>
        </xdr:cNvPr>
        <xdr:cNvGrpSpPr/>
      </xdr:nvGrpSpPr>
      <xdr:grpSpPr>
        <a:xfrm>
          <a:off x="700423" y="33063824"/>
          <a:ext cx="12903971" cy="5206999"/>
          <a:chOff x="541865" y="29108400"/>
          <a:chExt cx="8397462" cy="4893767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aphicFrame macro="">
        <xdr:nvGraphicFramePr>
          <xdr:cNvPr id="120" name="Graphique 119">
            <a:extLst>
              <a:ext uri="{FF2B5EF4-FFF2-40B4-BE49-F238E27FC236}">
                <a16:creationId xmlns:a16="http://schemas.microsoft.com/office/drawing/2014/main" id="{AD35F2AD-A365-2F45-9ED2-5B46843FF581}"/>
              </a:ext>
            </a:extLst>
          </xdr:cNvPr>
          <xdr:cNvGraphicFramePr/>
        </xdr:nvGraphicFramePr>
        <xdr:xfrm>
          <a:off x="972194" y="29108400"/>
          <a:ext cx="7967133" cy="48937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sp macro="" textlink="">
        <xdr:nvSpPr>
          <xdr:cNvPr id="163" name="Rectangle : avec coins arrondis en haut 162">
            <a:extLst>
              <a:ext uri="{FF2B5EF4-FFF2-40B4-BE49-F238E27FC236}">
                <a16:creationId xmlns:a16="http://schemas.microsoft.com/office/drawing/2014/main" id="{CFF79601-8BDB-D724-7644-BFE9686F31AF}"/>
              </a:ext>
            </a:extLst>
          </xdr:cNvPr>
          <xdr:cNvSpPr/>
        </xdr:nvSpPr>
        <xdr:spPr>
          <a:xfrm rot="16200000">
            <a:off x="-1617151" y="31267417"/>
            <a:ext cx="4893766" cy="575733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fr-FR" sz="3600" b="1">
                <a:solidFill>
                  <a:schemeClr val="accent4">
                    <a:lumMod val="20000"/>
                    <a:lumOff val="80000"/>
                  </a:schemeClr>
                </a:solidFill>
                <a:latin typeface="Avenir Next Condensed" panose="020B0506020202020204" pitchFamily="34" charset="0"/>
              </a:rPr>
              <a:t>UVHE - ANNUEL</a:t>
            </a:r>
            <a:endParaRPr lang="fr-FR" sz="3200" b="1">
              <a:solidFill>
                <a:schemeClr val="accent4">
                  <a:lumMod val="20000"/>
                  <a:lumOff val="80000"/>
                </a:schemeClr>
              </a:solidFill>
              <a:latin typeface="Avenir Next Condensed" panose="020B0506020202020204" pitchFamily="34" charset="0"/>
            </a:endParaRPr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0.7965</cdr:x>
      <cdr:y>0.04318</cdr:y>
    </cdr:from>
    <cdr:to>
      <cdr:x>0.84594</cdr:x>
      <cdr:y>0.99239</cdr:y>
    </cdr:to>
    <cdr:sp macro="" textlink="">
      <cdr:nvSpPr>
        <cdr:cNvPr id="2" name="Rectangle : coins arrondis 1">
          <a:extLst xmlns:a="http://schemas.openxmlformats.org/drawingml/2006/main">
            <a:ext uri="{FF2B5EF4-FFF2-40B4-BE49-F238E27FC236}">
              <a16:creationId xmlns:a16="http://schemas.microsoft.com/office/drawing/2014/main" id="{C8D23C9B-4B80-9B4E-AD9B-97DC36951F25}"/>
            </a:ext>
          </a:extLst>
        </cdr:cNvPr>
        <cdr:cNvSpPr/>
      </cdr:nvSpPr>
      <cdr:spPr>
        <a:xfrm xmlns:a="http://schemas.openxmlformats.org/drawingml/2006/main">
          <a:off x="9913922" y="226158"/>
          <a:ext cx="615371" cy="4971080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="vert270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2400" b="1">
              <a:solidFill>
                <a:schemeClr val="accent2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Par rapport à la semaine précédente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0.85096</cdr:x>
      <cdr:y>0.03673</cdr:y>
    </cdr:from>
    <cdr:to>
      <cdr:x>0.97632</cdr:x>
      <cdr:y>0.12286</cdr:y>
    </cdr:to>
    <cdr:sp macro="" textlink="'DONNEES '!$T$71">
      <cdr:nvSpPr>
        <cdr:cNvPr id="2" name="Rectangle : coins arrondis 1">
          <a:extLst xmlns:a="http://schemas.openxmlformats.org/drawingml/2006/main">
            <a:ext uri="{FF2B5EF4-FFF2-40B4-BE49-F238E27FC236}">
              <a16:creationId xmlns:a16="http://schemas.microsoft.com/office/drawing/2014/main" id="{EF8142EA-37B1-5876-B74A-6C8235118363}"/>
            </a:ext>
          </a:extLst>
        </cdr:cNvPr>
        <cdr:cNvSpPr/>
      </cdr:nvSpPr>
      <cdr:spPr>
        <a:xfrm xmlns:a="http://schemas.openxmlformats.org/drawingml/2006/main">
          <a:off x="10469954" y="184484"/>
          <a:ext cx="1542381" cy="432618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34CC800-A13C-7B4F-B82A-64587865D0C4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+0,8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0.85063</cdr:x>
      <cdr:y>0.15607</cdr:y>
    </cdr:from>
    <cdr:to>
      <cdr:x>0.97599</cdr:x>
      <cdr:y>0.24119</cdr:y>
    </cdr:to>
    <cdr:sp macro="" textlink="'DONNEES '!$T$70">
      <cdr:nvSpPr>
        <cdr:cNvPr id="3" name="Rectangle : coins arrondis 2">
          <a:extLst xmlns:a="http://schemas.openxmlformats.org/drawingml/2006/main">
            <a:ext uri="{FF2B5EF4-FFF2-40B4-BE49-F238E27FC236}">
              <a16:creationId xmlns:a16="http://schemas.microsoft.com/office/drawing/2014/main" id="{6E95FB9F-67AB-4748-B981-CD3F4FC2AB1E}"/>
            </a:ext>
          </a:extLst>
        </cdr:cNvPr>
        <cdr:cNvSpPr/>
      </cdr:nvSpPr>
      <cdr:spPr>
        <a:xfrm xmlns:a="http://schemas.openxmlformats.org/drawingml/2006/main">
          <a:off x="10465875" y="783912"/>
          <a:ext cx="1542381" cy="427551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C5E9FEC-A363-014B-8A35-D82119E1CB2C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+0,7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0.85059</cdr:x>
      <cdr:y>0.27555</cdr:y>
    </cdr:from>
    <cdr:to>
      <cdr:x>0.97595</cdr:x>
      <cdr:y>0.36067</cdr:y>
    </cdr:to>
    <cdr:sp macro="" textlink="'DONNEES '!$T$69">
      <cdr:nvSpPr>
        <cdr:cNvPr id="4" name="Rectangle : coins arrondis 3">
          <a:extLst xmlns:a="http://schemas.openxmlformats.org/drawingml/2006/main">
            <a:ext uri="{FF2B5EF4-FFF2-40B4-BE49-F238E27FC236}">
              <a16:creationId xmlns:a16="http://schemas.microsoft.com/office/drawing/2014/main" id="{387287CC-A762-AA48-A42C-E139E1D8D84D}"/>
            </a:ext>
          </a:extLst>
        </cdr:cNvPr>
        <cdr:cNvSpPr/>
      </cdr:nvSpPr>
      <cdr:spPr>
        <a:xfrm xmlns:a="http://schemas.openxmlformats.org/drawingml/2006/main">
          <a:off x="10465442" y="1384064"/>
          <a:ext cx="1542381" cy="427550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836F895-0274-3C43-98B8-90ABFC3B70A9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+0,7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0.85017</cdr:x>
      <cdr:y>0.39266</cdr:y>
    </cdr:from>
    <cdr:to>
      <cdr:x>0.97586</cdr:x>
      <cdr:y>0.47778</cdr:y>
    </cdr:to>
    <cdr:sp macro="" textlink="'DONNEES '!$T$68">
      <cdr:nvSpPr>
        <cdr:cNvPr id="5" name="Rectangle : coins arrondis 4">
          <a:extLst xmlns:a="http://schemas.openxmlformats.org/drawingml/2006/main">
            <a:ext uri="{FF2B5EF4-FFF2-40B4-BE49-F238E27FC236}">
              <a16:creationId xmlns:a16="http://schemas.microsoft.com/office/drawing/2014/main" id="{962FCF81-ADC4-FB48-A634-63AE5D8B69E7}"/>
            </a:ext>
          </a:extLst>
        </cdr:cNvPr>
        <cdr:cNvSpPr/>
      </cdr:nvSpPr>
      <cdr:spPr>
        <a:xfrm xmlns:a="http://schemas.openxmlformats.org/drawingml/2006/main">
          <a:off x="10460280" y="1972303"/>
          <a:ext cx="1546400" cy="427551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FA6D871-B996-9943-8C07-632CBD183990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+0,9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0.85197</cdr:x>
      <cdr:y>0.5074</cdr:y>
    </cdr:from>
    <cdr:to>
      <cdr:x>0.97733</cdr:x>
      <cdr:y>0.59252</cdr:y>
    </cdr:to>
    <cdr:sp macro="" textlink="'DONNEES '!$T$67">
      <cdr:nvSpPr>
        <cdr:cNvPr id="6" name="Rectangle : coins arrondis 5">
          <a:extLst xmlns:a="http://schemas.openxmlformats.org/drawingml/2006/main">
            <a:ext uri="{FF2B5EF4-FFF2-40B4-BE49-F238E27FC236}">
              <a16:creationId xmlns:a16="http://schemas.microsoft.com/office/drawing/2014/main" id="{4ACCFB28-8372-D24D-87DD-4855735135CE}"/>
            </a:ext>
          </a:extLst>
        </cdr:cNvPr>
        <cdr:cNvSpPr/>
      </cdr:nvSpPr>
      <cdr:spPr>
        <a:xfrm xmlns:a="http://schemas.openxmlformats.org/drawingml/2006/main">
          <a:off x="10482409" y="2548632"/>
          <a:ext cx="1542381" cy="427551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E0F558B-C462-414D-9867-EA6416CA25CB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-0,3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0.85028</cdr:x>
      <cdr:y>0.62675</cdr:y>
    </cdr:from>
    <cdr:to>
      <cdr:x>0.97596</cdr:x>
      <cdr:y>0.712</cdr:y>
    </cdr:to>
    <cdr:sp macro="" textlink="'DONNEES '!$T$66">
      <cdr:nvSpPr>
        <cdr:cNvPr id="7" name="Rectangle : coins arrondis 6">
          <a:extLst xmlns:a="http://schemas.openxmlformats.org/drawingml/2006/main">
            <a:ext uri="{FF2B5EF4-FFF2-40B4-BE49-F238E27FC236}">
              <a16:creationId xmlns:a16="http://schemas.microsoft.com/office/drawing/2014/main" id="{31580309-B880-B24B-89E4-1335499C236A}"/>
            </a:ext>
          </a:extLst>
        </cdr:cNvPr>
        <cdr:cNvSpPr/>
      </cdr:nvSpPr>
      <cdr:spPr>
        <a:xfrm xmlns:a="http://schemas.openxmlformats.org/drawingml/2006/main">
          <a:off x="10461579" y="3148113"/>
          <a:ext cx="1546400" cy="428221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02AE2C-B403-3D43-80DB-2246AFB33B7E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-0,9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0.85107</cdr:x>
      <cdr:y>0.74904</cdr:y>
    </cdr:from>
    <cdr:to>
      <cdr:x>0.97643</cdr:x>
      <cdr:y>0.83429</cdr:y>
    </cdr:to>
    <cdr:sp macro="" textlink="'DONNEES '!$T$65">
      <cdr:nvSpPr>
        <cdr:cNvPr id="8" name="Rectangle : coins arrondis 7">
          <a:extLst xmlns:a="http://schemas.openxmlformats.org/drawingml/2006/main">
            <a:ext uri="{FF2B5EF4-FFF2-40B4-BE49-F238E27FC236}">
              <a16:creationId xmlns:a16="http://schemas.microsoft.com/office/drawing/2014/main" id="{4BF1D11E-C701-E048-B924-47BE58778690}"/>
            </a:ext>
          </a:extLst>
        </cdr:cNvPr>
        <cdr:cNvSpPr/>
      </cdr:nvSpPr>
      <cdr:spPr>
        <a:xfrm xmlns:a="http://schemas.openxmlformats.org/drawingml/2006/main">
          <a:off x="10471295" y="3762349"/>
          <a:ext cx="1542381" cy="428221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21FA8E-39F0-1D48-9027-22B6FCDAB24F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+0,6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0.84982</cdr:x>
      <cdr:y>0.86687</cdr:y>
    </cdr:from>
    <cdr:to>
      <cdr:x>0.9755</cdr:x>
      <cdr:y>0.95212</cdr:y>
    </cdr:to>
    <cdr:sp macro="" textlink="'DONNEES '!$T$64">
      <cdr:nvSpPr>
        <cdr:cNvPr id="9" name="Rectangle : coins arrondis 8">
          <a:extLst xmlns:a="http://schemas.openxmlformats.org/drawingml/2006/main">
            <a:ext uri="{FF2B5EF4-FFF2-40B4-BE49-F238E27FC236}">
              <a16:creationId xmlns:a16="http://schemas.microsoft.com/office/drawing/2014/main" id="{9B4A022F-9CBF-2944-8CE9-604FDD789C09}"/>
            </a:ext>
          </a:extLst>
        </cdr:cNvPr>
        <cdr:cNvSpPr/>
      </cdr:nvSpPr>
      <cdr:spPr>
        <a:xfrm xmlns:a="http://schemas.openxmlformats.org/drawingml/2006/main">
          <a:off x="10455887" y="4354209"/>
          <a:ext cx="1546400" cy="428221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13A8414-6984-AC42-98EA-CF0BCC195398}" type="TxLink">
            <a:rPr lang="en-US" sz="2400" b="1" i="0" u="none" strike="noStrike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</a:rPr>
            <a:pPr algn="ctr"/>
            <a:t>+0,1</a:t>
          </a:fld>
          <a:endParaRPr lang="fr-FR" sz="2400" b="1">
            <a:solidFill>
              <a:schemeClr val="accent4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0.79549</cdr:x>
      <cdr:y>0.00124</cdr:y>
    </cdr:from>
    <cdr:to>
      <cdr:x>0.84525</cdr:x>
      <cdr:y>0.96982</cdr:y>
    </cdr:to>
    <cdr:sp macro="" textlink="">
      <cdr:nvSpPr>
        <cdr:cNvPr id="10" name="Rectangle : coins arrondis 9">
          <a:extLst xmlns:a="http://schemas.openxmlformats.org/drawingml/2006/main">
            <a:ext uri="{FF2B5EF4-FFF2-40B4-BE49-F238E27FC236}">
              <a16:creationId xmlns:a16="http://schemas.microsoft.com/office/drawing/2014/main" id="{7F7E084A-2B0E-7346-90A5-23F37E7647AD}"/>
            </a:ext>
          </a:extLst>
        </cdr:cNvPr>
        <cdr:cNvSpPr/>
      </cdr:nvSpPr>
      <cdr:spPr>
        <a:xfrm xmlns:a="http://schemas.openxmlformats.org/drawingml/2006/main">
          <a:off x="9787467" y="6239"/>
          <a:ext cx="612232" cy="4865102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="vert270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Par rapport à la semaine précédente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0.84848</cdr:x>
      <cdr:y>0.03421</cdr:y>
    </cdr:from>
    <cdr:to>
      <cdr:x>0.97503</cdr:x>
      <cdr:y>0.9375</cdr:y>
    </cdr:to>
    <cdr:grpSp>
      <cdr:nvGrpSpPr>
        <cdr:cNvPr id="10" name="Groupe 9">
          <a:extLst xmlns:a="http://schemas.openxmlformats.org/drawingml/2006/main">
            <a:ext uri="{FF2B5EF4-FFF2-40B4-BE49-F238E27FC236}">
              <a16:creationId xmlns:a16="http://schemas.microsoft.com/office/drawing/2014/main" id="{04276D81-D005-6AC2-B5EE-48A4CB50316A}"/>
            </a:ext>
          </a:extLst>
        </cdr:cNvPr>
        <cdr:cNvGrpSpPr/>
      </cdr:nvGrpSpPr>
      <cdr:grpSpPr>
        <a:xfrm xmlns:a="http://schemas.openxmlformats.org/drawingml/2006/main">
          <a:off x="10499380" y="168379"/>
          <a:ext cx="1565973" cy="4445927"/>
          <a:chOff x="50800" y="50800"/>
          <a:chExt cx="1565863" cy="4572614"/>
        </a:xfrm>
        <a:solidFill xmlns:a="http://schemas.openxmlformats.org/drawingml/2006/main">
          <a:schemeClr val="accent2">
            <a:lumMod val="20000"/>
            <a:lumOff val="80000"/>
          </a:schemeClr>
        </a:solidFill>
      </cdr:grpSpPr>
      <cdr:sp macro="" textlink="'DONNEES '!$AD$41">
        <cdr:nvSpPr>
          <cdr:cNvPr id="2" name="Rectangle : coins arrondis 1">
            <a:extLst xmlns:a="http://schemas.openxmlformats.org/drawingml/2006/main">
              <a:ext uri="{FF2B5EF4-FFF2-40B4-BE49-F238E27FC236}">
                <a16:creationId xmlns:a16="http://schemas.microsoft.com/office/drawing/2014/main" id="{A3916C8F-DB15-C44A-9C99-82F8A3DB99D3}"/>
              </a:ext>
            </a:extLst>
          </cdr:cNvPr>
          <cdr:cNvSpPr/>
        </cdr:nvSpPr>
        <cdr:spPr>
          <a:xfrm xmlns:a="http://schemas.openxmlformats.org/drawingml/2006/main">
            <a:off x="71603" y="50800"/>
            <a:ext cx="1545060" cy="412766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C226935E-DC31-6A4D-887C-8504B306958C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-1,30%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  <cdr:sp macro="" textlink="'DONNEES '!$AD$40">
        <cdr:nvSpPr>
          <cdr:cNvPr id="3" name="Rectangle : coins arrondis 2">
            <a:extLst xmlns:a="http://schemas.openxmlformats.org/drawingml/2006/main">
              <a:ext uri="{FF2B5EF4-FFF2-40B4-BE49-F238E27FC236}">
                <a16:creationId xmlns:a16="http://schemas.microsoft.com/office/drawing/2014/main" id="{0D23620B-CEE3-814D-B8E6-1BD41275BB58}"/>
              </a:ext>
            </a:extLst>
          </cdr:cNvPr>
          <cdr:cNvSpPr/>
        </cdr:nvSpPr>
        <cdr:spPr>
          <a:xfrm xmlns:a="http://schemas.openxmlformats.org/drawingml/2006/main">
            <a:off x="52109" y="649998"/>
            <a:ext cx="1545060" cy="412766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6F42E29E-D996-EF47-B853-33C33FCE3E70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+0,05%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  <cdr:sp macro="" textlink="'DONNEES '!$AD$39">
        <cdr:nvSpPr>
          <cdr:cNvPr id="4" name="Rectangle : coins arrondis 3">
            <a:extLst xmlns:a="http://schemas.openxmlformats.org/drawingml/2006/main">
              <a:ext uri="{FF2B5EF4-FFF2-40B4-BE49-F238E27FC236}">
                <a16:creationId xmlns:a16="http://schemas.microsoft.com/office/drawing/2014/main" id="{0017148F-0238-D143-8A59-04DDF1FAAD96}"/>
              </a:ext>
            </a:extLst>
          </cdr:cNvPr>
          <cdr:cNvSpPr/>
        </cdr:nvSpPr>
        <cdr:spPr>
          <a:xfrm xmlns:a="http://schemas.openxmlformats.org/drawingml/2006/main">
            <a:off x="64669" y="1250407"/>
            <a:ext cx="1545060" cy="411557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A4F68E95-9921-4E4E-A4E4-EEB1E23C6744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-0,11%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  <cdr:sp macro="" textlink="'DONNEES '!$AD$38">
        <cdr:nvSpPr>
          <cdr:cNvPr id="5" name="Rectangle : coins arrondis 4">
            <a:extLst xmlns:a="http://schemas.openxmlformats.org/drawingml/2006/main">
              <a:ext uri="{FF2B5EF4-FFF2-40B4-BE49-F238E27FC236}">
                <a16:creationId xmlns:a16="http://schemas.microsoft.com/office/drawing/2014/main" id="{0B8BA03C-7EB9-414B-B466-4F83D8FF9243}"/>
              </a:ext>
            </a:extLst>
          </cdr:cNvPr>
          <cdr:cNvSpPr/>
        </cdr:nvSpPr>
        <cdr:spPr>
          <a:xfrm xmlns:a="http://schemas.openxmlformats.org/drawingml/2006/main">
            <a:off x="57995" y="1849604"/>
            <a:ext cx="1545060" cy="411557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CF4156DA-D010-4149-84B7-610B1CC72EDB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-0,16%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  <cdr:sp macro="" textlink="'DONNEES '!$AD$37">
        <cdr:nvSpPr>
          <cdr:cNvPr id="6" name="Rectangle : coins arrondis 5">
            <a:extLst xmlns:a="http://schemas.openxmlformats.org/drawingml/2006/main">
              <a:ext uri="{FF2B5EF4-FFF2-40B4-BE49-F238E27FC236}">
                <a16:creationId xmlns:a16="http://schemas.microsoft.com/office/drawing/2014/main" id="{A1BE8A08-7C60-F040-A9DD-8464A2223D00}"/>
              </a:ext>
            </a:extLst>
          </cdr:cNvPr>
          <cdr:cNvSpPr/>
        </cdr:nvSpPr>
        <cdr:spPr>
          <a:xfrm xmlns:a="http://schemas.openxmlformats.org/drawingml/2006/main">
            <a:off x="57734" y="2440168"/>
            <a:ext cx="1545060" cy="411557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A3DDACD2-4972-6447-A2DA-5C1B070C49DB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+0,05%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  <cdr:sp macro="" textlink="'DONNEES '!$AD$36">
        <cdr:nvSpPr>
          <cdr:cNvPr id="7" name="Rectangle : coins arrondis 6">
            <a:extLst xmlns:a="http://schemas.openxmlformats.org/drawingml/2006/main">
              <a:ext uri="{FF2B5EF4-FFF2-40B4-BE49-F238E27FC236}">
                <a16:creationId xmlns:a16="http://schemas.microsoft.com/office/drawing/2014/main" id="{670B8F65-BAE6-E44E-A803-347611D56F7F}"/>
              </a:ext>
            </a:extLst>
          </cdr:cNvPr>
          <cdr:cNvSpPr/>
        </cdr:nvSpPr>
        <cdr:spPr>
          <a:xfrm xmlns:a="http://schemas.openxmlformats.org/drawingml/2006/main">
            <a:off x="57471" y="3026408"/>
            <a:ext cx="1545060" cy="411558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2170A60B-5240-AA48-8277-D1B5122AE75B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+0,10%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  <cdr:sp macro="" textlink="'DONNEES '!$AD$35">
        <cdr:nvSpPr>
          <cdr:cNvPr id="8" name="Rectangle : coins arrondis 7">
            <a:extLst xmlns:a="http://schemas.openxmlformats.org/drawingml/2006/main">
              <a:ext uri="{FF2B5EF4-FFF2-40B4-BE49-F238E27FC236}">
                <a16:creationId xmlns:a16="http://schemas.microsoft.com/office/drawing/2014/main" id="{BA9B4BFF-C2E7-B649-B01A-DB53E2203447}"/>
              </a:ext>
            </a:extLst>
          </cdr:cNvPr>
          <cdr:cNvSpPr/>
        </cdr:nvSpPr>
        <cdr:spPr>
          <a:xfrm xmlns:a="http://schemas.openxmlformats.org/drawingml/2006/main">
            <a:off x="50800" y="3638557"/>
            <a:ext cx="1545060" cy="411557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BA5CB614-1823-AB45-A947-9481086A2FC9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+0,07%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  <cdr:sp macro="" textlink="'DONNEES '!$AD$34">
        <cdr:nvSpPr>
          <cdr:cNvPr id="9" name="Rectangle : coins arrondis 8">
            <a:extLst xmlns:a="http://schemas.openxmlformats.org/drawingml/2006/main">
              <a:ext uri="{FF2B5EF4-FFF2-40B4-BE49-F238E27FC236}">
                <a16:creationId xmlns:a16="http://schemas.microsoft.com/office/drawing/2014/main" id="{FFBBC8C6-BEC4-984B-8D66-F0356973C79F}"/>
              </a:ext>
            </a:extLst>
          </cdr:cNvPr>
          <cdr:cNvSpPr/>
        </cdr:nvSpPr>
        <cdr:spPr>
          <a:xfrm xmlns:a="http://schemas.openxmlformats.org/drawingml/2006/main">
            <a:off x="63360" y="4211857"/>
            <a:ext cx="1545060" cy="411557"/>
          </a:xfrm>
          <a:prstGeom xmlns:a="http://schemas.openxmlformats.org/drawingml/2006/main" prst="roundRect">
            <a:avLst>
              <a:gd name="adj" fmla="val 50000"/>
            </a:avLst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354202FF-5816-2C47-94C2-CC1131A897D8}" type="TxLink">
              <a:rPr lang="en-US" sz="2400" b="1" i="0" u="none" strike="noStrike">
                <a:solidFill>
                  <a:schemeClr val="accent2">
                    <a:lumMod val="75000"/>
                  </a:schemeClr>
                </a:solidFill>
                <a:latin typeface="Avenir Next Condensed Regular"/>
              </a:rPr>
              <a:pPr algn="ctr"/>
              <a:t>+0,34%</a:t>
            </a:fld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dr:txBody>
      </cdr:sp>
    </cdr:grp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0.01224</cdr:x>
      <cdr:y>0.01457</cdr:y>
    </cdr:from>
    <cdr:to>
      <cdr:x>0.07412</cdr:x>
      <cdr:y>0.13393</cdr:y>
    </cdr:to>
    <cdr:sp macro="" textlink="'DONNEES '!$U$82">
      <cdr:nvSpPr>
        <cdr:cNvPr id="2" name="Ellipse 1">
          <a:extLst xmlns:a="http://schemas.openxmlformats.org/drawingml/2006/main">
            <a:ext uri="{FF2B5EF4-FFF2-40B4-BE49-F238E27FC236}">
              <a16:creationId xmlns:a16="http://schemas.microsoft.com/office/drawing/2014/main" id="{B4478303-2AF2-F36A-F879-5E51E9C42026}"/>
            </a:ext>
          </a:extLst>
        </cdr:cNvPr>
        <cdr:cNvSpPr/>
      </cdr:nvSpPr>
      <cdr:spPr>
        <a:xfrm xmlns:a="http://schemas.openxmlformats.org/drawingml/2006/main">
          <a:off x="148234" y="83198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6474C9A9-F37A-BE4D-B7D5-7B5BB7053259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🟢</a:t>
          </a:fld>
          <a:endParaRPr lang="fr-FR" sz="2800" kern="1200"/>
        </a:p>
      </cdr:txBody>
    </cdr:sp>
  </cdr:relSizeAnchor>
  <cdr:relSizeAnchor xmlns:cdr="http://schemas.openxmlformats.org/drawingml/2006/chartDrawing">
    <cdr:from>
      <cdr:x>0.01152</cdr:x>
      <cdr:y>0.13018</cdr:y>
    </cdr:from>
    <cdr:to>
      <cdr:x>0.07341</cdr:x>
      <cdr:y>0.24954</cdr:y>
    </cdr:to>
    <cdr:sp macro="" textlink="'DONNEES '!$U$81">
      <cdr:nvSpPr>
        <cdr:cNvPr id="3" name="Ellipse 2">
          <a:extLst xmlns:a="http://schemas.openxmlformats.org/drawingml/2006/main">
            <a:ext uri="{FF2B5EF4-FFF2-40B4-BE49-F238E27FC236}">
              <a16:creationId xmlns:a16="http://schemas.microsoft.com/office/drawing/2014/main" id="{A724094F-7479-19FC-B584-031BC1D7C479}"/>
            </a:ext>
          </a:extLst>
        </cdr:cNvPr>
        <cdr:cNvSpPr/>
      </cdr:nvSpPr>
      <cdr:spPr>
        <a:xfrm xmlns:a="http://schemas.openxmlformats.org/drawingml/2006/main">
          <a:off x="139613" y="743527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E7C9D39-C941-0F4A-B8B8-9321AF4033E3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🟢</a:t>
          </a:fld>
          <a:endParaRPr lang="fr-FR" sz="2800" kern="1200"/>
        </a:p>
      </cdr:txBody>
    </cdr:sp>
  </cdr:relSizeAnchor>
  <cdr:relSizeAnchor xmlns:cdr="http://schemas.openxmlformats.org/drawingml/2006/chartDrawing">
    <cdr:from>
      <cdr:x>0.01152</cdr:x>
      <cdr:y>0.24991</cdr:y>
    </cdr:from>
    <cdr:to>
      <cdr:x>0.07341</cdr:x>
      <cdr:y>0.36927</cdr:y>
    </cdr:to>
    <cdr:sp macro="" textlink="'DONNEES '!$U$80">
      <cdr:nvSpPr>
        <cdr:cNvPr id="4" name="Ellipse 3">
          <a:extLst xmlns:a="http://schemas.openxmlformats.org/drawingml/2006/main">
            <a:ext uri="{FF2B5EF4-FFF2-40B4-BE49-F238E27FC236}">
              <a16:creationId xmlns:a16="http://schemas.microsoft.com/office/drawing/2014/main" id="{A724094F-7479-19FC-B584-031BC1D7C479}"/>
            </a:ext>
          </a:extLst>
        </cdr:cNvPr>
        <cdr:cNvSpPr/>
      </cdr:nvSpPr>
      <cdr:spPr>
        <a:xfrm xmlns:a="http://schemas.openxmlformats.org/drawingml/2006/main">
          <a:off x="139614" y="1427374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599E6E3-A57E-EE4E-8D2F-4399164E5749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🟢</a:t>
          </a:fld>
          <a:endParaRPr lang="fr-FR" sz="2800" kern="1200"/>
        </a:p>
      </cdr:txBody>
    </cdr:sp>
  </cdr:relSizeAnchor>
  <cdr:relSizeAnchor xmlns:cdr="http://schemas.openxmlformats.org/drawingml/2006/chartDrawing">
    <cdr:from>
      <cdr:x>0.01152</cdr:x>
      <cdr:y>0.36808</cdr:y>
    </cdr:from>
    <cdr:to>
      <cdr:x>0.07341</cdr:x>
      <cdr:y>0.48745</cdr:y>
    </cdr:to>
    <cdr:sp macro="" textlink="'DONNEES '!$U$79">
      <cdr:nvSpPr>
        <cdr:cNvPr id="5" name="Ellipse 4">
          <a:extLst xmlns:a="http://schemas.openxmlformats.org/drawingml/2006/main">
            <a:ext uri="{FF2B5EF4-FFF2-40B4-BE49-F238E27FC236}">
              <a16:creationId xmlns:a16="http://schemas.microsoft.com/office/drawing/2014/main" id="{A724094F-7479-19FC-B584-031BC1D7C479}"/>
            </a:ext>
          </a:extLst>
        </cdr:cNvPr>
        <cdr:cNvSpPr/>
      </cdr:nvSpPr>
      <cdr:spPr>
        <a:xfrm xmlns:a="http://schemas.openxmlformats.org/drawingml/2006/main">
          <a:off x="139614" y="2102338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10DA07-09D0-7144-8794-18AF98EA48F2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🟢</a:t>
          </a:fld>
          <a:endParaRPr lang="fr-FR" sz="2800" kern="1200"/>
        </a:p>
      </cdr:txBody>
    </cdr:sp>
  </cdr:relSizeAnchor>
  <cdr:relSizeAnchor xmlns:cdr="http://schemas.openxmlformats.org/drawingml/2006/chartDrawing">
    <cdr:from>
      <cdr:x>0.01152</cdr:x>
      <cdr:y>0.48626</cdr:y>
    </cdr:from>
    <cdr:to>
      <cdr:x>0.07341</cdr:x>
      <cdr:y>0.60562</cdr:y>
    </cdr:to>
    <cdr:sp macro="" textlink="'DONNEES '!$U$78">
      <cdr:nvSpPr>
        <cdr:cNvPr id="6" name="Ellipse 5">
          <a:extLst xmlns:a="http://schemas.openxmlformats.org/drawingml/2006/main">
            <a:ext uri="{FF2B5EF4-FFF2-40B4-BE49-F238E27FC236}">
              <a16:creationId xmlns:a16="http://schemas.microsoft.com/office/drawing/2014/main" id="{A724094F-7479-19FC-B584-031BC1D7C479}"/>
            </a:ext>
          </a:extLst>
        </cdr:cNvPr>
        <cdr:cNvSpPr/>
      </cdr:nvSpPr>
      <cdr:spPr>
        <a:xfrm xmlns:a="http://schemas.openxmlformats.org/drawingml/2006/main">
          <a:off x="139613" y="2777304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B9A32B6-FD3B-EA41-8B2F-16DF5A24D3D8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🔴</a:t>
          </a:fld>
          <a:endParaRPr lang="fr-FR" sz="2800" kern="1200"/>
        </a:p>
      </cdr:txBody>
    </cdr:sp>
  </cdr:relSizeAnchor>
  <cdr:relSizeAnchor xmlns:cdr="http://schemas.openxmlformats.org/drawingml/2006/chartDrawing">
    <cdr:from>
      <cdr:x>0.01226</cdr:x>
      <cdr:y>0.60443</cdr:y>
    </cdr:from>
    <cdr:to>
      <cdr:x>0.07414</cdr:x>
      <cdr:y>0.7238</cdr:y>
    </cdr:to>
    <cdr:sp macro="" textlink="'DONNEES '!$U$77">
      <cdr:nvSpPr>
        <cdr:cNvPr id="7" name="Ellipse 6">
          <a:extLst xmlns:a="http://schemas.openxmlformats.org/drawingml/2006/main">
            <a:ext uri="{FF2B5EF4-FFF2-40B4-BE49-F238E27FC236}">
              <a16:creationId xmlns:a16="http://schemas.microsoft.com/office/drawing/2014/main" id="{A724094F-7479-19FC-B584-031BC1D7C479}"/>
            </a:ext>
          </a:extLst>
        </cdr:cNvPr>
        <cdr:cNvSpPr/>
      </cdr:nvSpPr>
      <cdr:spPr>
        <a:xfrm xmlns:a="http://schemas.openxmlformats.org/drawingml/2006/main">
          <a:off x="148494" y="3452269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4E5A0D7-182B-0F49-B207-199FDE62FE71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🔴</a:t>
          </a:fld>
          <a:endParaRPr lang="fr-FR" sz="2800" kern="1200"/>
        </a:p>
      </cdr:txBody>
    </cdr:sp>
  </cdr:relSizeAnchor>
  <cdr:relSizeAnchor xmlns:cdr="http://schemas.openxmlformats.org/drawingml/2006/chartDrawing">
    <cdr:from>
      <cdr:x>0.01079</cdr:x>
      <cdr:y>0.72261</cdr:y>
    </cdr:from>
    <cdr:to>
      <cdr:x>0.07267</cdr:x>
      <cdr:y>0.84197</cdr:y>
    </cdr:to>
    <cdr:sp macro="" textlink="'DONNEES '!$U$76">
      <cdr:nvSpPr>
        <cdr:cNvPr id="8" name="Ellipse 7">
          <a:extLst xmlns:a="http://schemas.openxmlformats.org/drawingml/2006/main">
            <a:ext uri="{FF2B5EF4-FFF2-40B4-BE49-F238E27FC236}">
              <a16:creationId xmlns:a16="http://schemas.microsoft.com/office/drawing/2014/main" id="{A724094F-7479-19FC-B584-031BC1D7C479}"/>
            </a:ext>
          </a:extLst>
        </cdr:cNvPr>
        <cdr:cNvSpPr/>
      </cdr:nvSpPr>
      <cdr:spPr>
        <a:xfrm xmlns:a="http://schemas.openxmlformats.org/drawingml/2006/main">
          <a:off x="130732" y="4127234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86345B-0F99-DD4A-A38C-05AD384F90DA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🔴</a:t>
          </a:fld>
          <a:endParaRPr lang="fr-FR" sz="2800" kern="1200"/>
        </a:p>
      </cdr:txBody>
    </cdr:sp>
  </cdr:relSizeAnchor>
  <cdr:relSizeAnchor xmlns:cdr="http://schemas.openxmlformats.org/drawingml/2006/chartDrawing">
    <cdr:from>
      <cdr:x>0.01152</cdr:x>
      <cdr:y>0.84078</cdr:y>
    </cdr:from>
    <cdr:to>
      <cdr:x>0.07341</cdr:x>
      <cdr:y>0.96015</cdr:y>
    </cdr:to>
    <cdr:sp macro="" textlink="'DONNEES '!$U$75">
      <cdr:nvSpPr>
        <cdr:cNvPr id="9" name="Ellipse 8">
          <a:extLst xmlns:a="http://schemas.openxmlformats.org/drawingml/2006/main">
            <a:ext uri="{FF2B5EF4-FFF2-40B4-BE49-F238E27FC236}">
              <a16:creationId xmlns:a16="http://schemas.microsoft.com/office/drawing/2014/main" id="{A724094F-7479-19FC-B584-031BC1D7C479}"/>
            </a:ext>
          </a:extLst>
        </cdr:cNvPr>
        <cdr:cNvSpPr/>
      </cdr:nvSpPr>
      <cdr:spPr>
        <a:xfrm xmlns:a="http://schemas.openxmlformats.org/drawingml/2006/main">
          <a:off x="139613" y="4802199"/>
          <a:ext cx="749703" cy="6817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A8D7077-A56F-0B42-84D5-0977AD08BEEA}" type="TxLink">
            <a:rPr lang="en-US" sz="2800" b="0" i="0" u="none" strike="noStrike" kern="1200">
              <a:solidFill>
                <a:srgbClr val="000000"/>
              </a:solidFill>
              <a:latin typeface="Avenir Next Condensed Regular"/>
            </a:rPr>
            <a:pPr/>
            <a:t>🔴</a:t>
          </a:fld>
          <a:endParaRPr lang="fr-FR" sz="2800" kern="12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0.77034</cdr:x>
      <cdr:y>0</cdr:y>
    </cdr:from>
    <cdr:to>
      <cdr:x>0.82119</cdr:x>
      <cdr:y>0.96944</cdr:y>
    </cdr:to>
    <cdr:sp macro="" textlink="">
      <cdr:nvSpPr>
        <cdr:cNvPr id="2" name="Rectangle : coins arrondis 1">
          <a:extLst xmlns:a="http://schemas.openxmlformats.org/drawingml/2006/main">
            <a:ext uri="{FF2B5EF4-FFF2-40B4-BE49-F238E27FC236}">
              <a16:creationId xmlns:a16="http://schemas.microsoft.com/office/drawing/2014/main" id="{7F7E084A-2B0E-7346-90A5-23F37E7647AD}"/>
            </a:ext>
          </a:extLst>
        </cdr:cNvPr>
        <cdr:cNvSpPr/>
      </cdr:nvSpPr>
      <cdr:spPr>
        <a:xfrm xmlns:a="http://schemas.openxmlformats.org/drawingml/2006/main">
          <a:off x="9275010" y="0"/>
          <a:ext cx="612232" cy="4865102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4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="vert270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Par rapport au</a:t>
          </a:r>
          <a:r>
            <a:rPr lang="fr-FR" sz="2400" b="1" baseline="0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 mois</a:t>
          </a:r>
          <a:r>
            <a:rPr lang="fr-FR" sz="2400" b="1">
              <a:solidFill>
                <a:schemeClr val="accent4">
                  <a:lumMod val="50000"/>
                </a:schemeClr>
              </a:solidFill>
              <a:latin typeface="Avenir Next Condensed" panose="020B0506020202020204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 précédent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0.76797</cdr:x>
      <cdr:y>0.03421</cdr:y>
    </cdr:from>
    <cdr:to>
      <cdr:x>0.97503</cdr:x>
      <cdr:y>0.11575</cdr:y>
    </cdr:to>
    <cdr:sp macro="" textlink="'DONNEES '!$I$92">
      <cdr:nvSpPr>
        <cdr:cNvPr id="12" name="Rectangle : coins arrondis 1">
          <a:extLst xmlns:a="http://schemas.openxmlformats.org/drawingml/2006/main">
            <a:ext uri="{FF2B5EF4-FFF2-40B4-BE49-F238E27FC236}">
              <a16:creationId xmlns:a16="http://schemas.microsoft.com/office/drawing/2014/main" id="{A3916C8F-DB15-C44A-9C99-82F8A3DB99D3}"/>
            </a:ext>
          </a:extLst>
        </cdr:cNvPr>
        <cdr:cNvSpPr/>
      </cdr:nvSpPr>
      <cdr:spPr>
        <a:xfrm xmlns:a="http://schemas.openxmlformats.org/drawingml/2006/main">
          <a:off x="9293871" y="169707"/>
          <a:ext cx="2505845" cy="404495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9F0A23E-CEC2-0642-BA10-3F0040553D52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Avenir Next Condensed Regular"/>
            </a:rPr>
            <a:pPr algn="ctr"/>
            <a:t>Stratégique</a:t>
          </a:fld>
          <a:endParaRPr lang="fr-FR" sz="2400" b="1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0.76536</cdr:x>
      <cdr:y>0.15258</cdr:y>
    </cdr:from>
    <cdr:to>
      <cdr:x>0.97242</cdr:x>
      <cdr:y>0.23412</cdr:y>
    </cdr:to>
    <cdr:sp macro="" textlink="'DONNEES '!$I$91">
      <cdr:nvSpPr>
        <cdr:cNvPr id="13" name="Rectangle : coins arrondis 2">
          <a:extLst xmlns:a="http://schemas.openxmlformats.org/drawingml/2006/main">
            <a:ext uri="{FF2B5EF4-FFF2-40B4-BE49-F238E27FC236}">
              <a16:creationId xmlns:a16="http://schemas.microsoft.com/office/drawing/2014/main" id="{0D23620B-CEE3-814D-B8E6-1BD41275BB58}"/>
            </a:ext>
          </a:extLst>
        </cdr:cNvPr>
        <cdr:cNvSpPr/>
      </cdr:nvSpPr>
      <cdr:spPr>
        <a:xfrm xmlns:a="http://schemas.openxmlformats.org/drawingml/2006/main">
          <a:off x="9262255" y="756898"/>
          <a:ext cx="2505845" cy="404495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2BAD054-4A86-FE4C-9AC7-94815C4E1E81}" type="TxLink">
            <a:rPr lang="en-US" sz="2400" b="1" i="0" u="none" strike="noStrike">
              <a:solidFill>
                <a:schemeClr val="accent4">
                  <a:lumMod val="75000"/>
                </a:schemeClr>
              </a:solidFill>
              <a:latin typeface="Avenir Next Condensed Regular"/>
            </a:rPr>
            <a:pPr algn="ctr"/>
            <a:t>Ciblé</a:t>
          </a:fld>
          <a:endParaRPr lang="fr-FR" sz="2400" b="1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0.76704</cdr:x>
      <cdr:y>0.27118</cdr:y>
    </cdr:from>
    <cdr:to>
      <cdr:x>0.9741</cdr:x>
      <cdr:y>0.35248</cdr:y>
    </cdr:to>
    <cdr:sp macro="" textlink="'DONNEES '!$I$90">
      <cdr:nvSpPr>
        <cdr:cNvPr id="14" name="Rectangle : coins arrondis 3">
          <a:extLst xmlns:a="http://schemas.openxmlformats.org/drawingml/2006/main">
            <a:ext uri="{FF2B5EF4-FFF2-40B4-BE49-F238E27FC236}">
              <a16:creationId xmlns:a16="http://schemas.microsoft.com/office/drawing/2014/main" id="{0017148F-0238-D143-8A59-04DDF1FAAD96}"/>
            </a:ext>
          </a:extLst>
        </cdr:cNvPr>
        <cdr:cNvSpPr/>
      </cdr:nvSpPr>
      <cdr:spPr>
        <a:xfrm xmlns:a="http://schemas.openxmlformats.org/drawingml/2006/main">
          <a:off x="9282625" y="1345275"/>
          <a:ext cx="2505845" cy="403310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46F3A4A-516B-F242-BE75-E3178705A01D}" type="TxLink">
            <a:rPr lang="en-US" sz="2400" b="1" i="0" u="none" strike="noStrike">
              <a:solidFill>
                <a:schemeClr val="accent4">
                  <a:lumMod val="75000"/>
                </a:schemeClr>
              </a:solidFill>
              <a:latin typeface="Avenir Next Condensed Regular"/>
            </a:rPr>
            <a:pPr algn="ctr"/>
            <a:t>Ciblé</a:t>
          </a:fld>
          <a:endParaRPr lang="fr-FR" sz="2400" b="1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0.76614</cdr:x>
      <cdr:y>0.38955</cdr:y>
    </cdr:from>
    <cdr:to>
      <cdr:x>0.97321</cdr:x>
      <cdr:y>0.47085</cdr:y>
    </cdr:to>
    <cdr:sp macro="" textlink="'DONNEES '!$I$89">
      <cdr:nvSpPr>
        <cdr:cNvPr id="15" name="Rectangle : coins arrondis 4">
          <a:extLst xmlns:a="http://schemas.openxmlformats.org/drawingml/2006/main">
            <a:ext uri="{FF2B5EF4-FFF2-40B4-BE49-F238E27FC236}">
              <a16:creationId xmlns:a16="http://schemas.microsoft.com/office/drawing/2014/main" id="{0B8BA03C-7EB9-414B-B466-4F83D8FF9243}"/>
            </a:ext>
          </a:extLst>
        </cdr:cNvPr>
        <cdr:cNvSpPr/>
      </cdr:nvSpPr>
      <cdr:spPr>
        <a:xfrm xmlns:a="http://schemas.openxmlformats.org/drawingml/2006/main">
          <a:off x="9271801" y="1932465"/>
          <a:ext cx="2505845" cy="403310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64E92A4-0EF3-4149-8EF6-75E12D5C8697}" type="TxLink">
            <a:rPr lang="en-US" sz="2400" b="1" i="0" u="none" strike="noStrike">
              <a:solidFill>
                <a:schemeClr val="accent4">
                  <a:lumMod val="75000"/>
                </a:schemeClr>
              </a:solidFill>
              <a:latin typeface="Avenir Next Condensed Regular"/>
            </a:rPr>
            <a:pPr algn="ctr"/>
            <a:t>Ciblé</a:t>
          </a:fld>
          <a:endParaRPr lang="fr-FR" sz="2400" b="1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0.76611</cdr:x>
      <cdr:y>0.50621</cdr:y>
    </cdr:from>
    <cdr:to>
      <cdr:x>0.97317</cdr:x>
      <cdr:y>0.58751</cdr:y>
    </cdr:to>
    <cdr:sp macro="" textlink="'DONNEES '!$I$88">
      <cdr:nvSpPr>
        <cdr:cNvPr id="16" name="Rectangle : coins arrondis 5">
          <a:extLst xmlns:a="http://schemas.openxmlformats.org/drawingml/2006/main">
            <a:ext uri="{FF2B5EF4-FFF2-40B4-BE49-F238E27FC236}">
              <a16:creationId xmlns:a16="http://schemas.microsoft.com/office/drawing/2014/main" id="{A1BE8A08-7C60-F040-A9DD-8464A2223D00}"/>
            </a:ext>
          </a:extLst>
        </cdr:cNvPr>
        <cdr:cNvSpPr/>
      </cdr:nvSpPr>
      <cdr:spPr>
        <a:xfrm xmlns:a="http://schemas.openxmlformats.org/drawingml/2006/main">
          <a:off x="9271378" y="2511194"/>
          <a:ext cx="2505845" cy="403310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E79DB8F-3036-1F44-8FC5-2907D039D3E3}" type="TxLink">
            <a:rPr lang="en-US" sz="2400" b="1" i="0" u="none" strike="noStrike">
              <a:solidFill>
                <a:schemeClr val="accent4">
                  <a:lumMod val="75000"/>
                </a:schemeClr>
              </a:solidFill>
              <a:latin typeface="Avenir Next Condensed Regular"/>
            </a:rPr>
            <a:pPr algn="ctr"/>
            <a:t>Ciblé</a:t>
          </a:fld>
          <a:endParaRPr lang="fr-FR" sz="2400" b="1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0.76607</cdr:x>
      <cdr:y>0.62202</cdr:y>
    </cdr:from>
    <cdr:to>
      <cdr:x>0.97314</cdr:x>
      <cdr:y>0.70332</cdr:y>
    </cdr:to>
    <cdr:sp macro="" textlink="'DONNEES '!$I$87">
      <cdr:nvSpPr>
        <cdr:cNvPr id="17" name="Rectangle : coins arrondis 6">
          <a:extLst xmlns:a="http://schemas.openxmlformats.org/drawingml/2006/main">
            <a:ext uri="{FF2B5EF4-FFF2-40B4-BE49-F238E27FC236}">
              <a16:creationId xmlns:a16="http://schemas.microsoft.com/office/drawing/2014/main" id="{670B8F65-BAE6-E44E-A803-347611D56F7F}"/>
            </a:ext>
          </a:extLst>
        </cdr:cNvPr>
        <cdr:cNvSpPr/>
      </cdr:nvSpPr>
      <cdr:spPr>
        <a:xfrm xmlns:a="http://schemas.openxmlformats.org/drawingml/2006/main">
          <a:off x="9270951" y="3085687"/>
          <a:ext cx="2505845" cy="403311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24ACD6D-451D-A445-A83E-29955B178300}" type="TxLink">
            <a:rPr lang="en-US" sz="2400" b="1" i="0" u="none" strike="noStrike">
              <a:solidFill>
                <a:schemeClr val="accent4">
                  <a:lumMod val="75000"/>
                </a:schemeClr>
              </a:solidFill>
              <a:latin typeface="Avenir Next Condensed Regular"/>
            </a:rPr>
            <a:pPr algn="ctr"/>
            <a:t>Ciblé</a:t>
          </a:fld>
          <a:endParaRPr lang="fr-FR" sz="2400" b="1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0.76518</cdr:x>
      <cdr:y>0.74295</cdr:y>
    </cdr:from>
    <cdr:to>
      <cdr:x>0.97224</cdr:x>
      <cdr:y>0.82425</cdr:y>
    </cdr:to>
    <cdr:sp macro="" textlink="'DONNEES '!$I$86">
      <cdr:nvSpPr>
        <cdr:cNvPr id="18" name="Rectangle : coins arrondis 7">
          <a:extLst xmlns:a="http://schemas.openxmlformats.org/drawingml/2006/main">
            <a:ext uri="{FF2B5EF4-FFF2-40B4-BE49-F238E27FC236}">
              <a16:creationId xmlns:a16="http://schemas.microsoft.com/office/drawing/2014/main" id="{BA9B4BFF-C2E7-B649-B01A-DB53E2203447}"/>
            </a:ext>
          </a:extLst>
        </cdr:cNvPr>
        <cdr:cNvSpPr/>
      </cdr:nvSpPr>
      <cdr:spPr>
        <a:xfrm xmlns:a="http://schemas.openxmlformats.org/drawingml/2006/main">
          <a:off x="9260132" y="3685569"/>
          <a:ext cx="2505845" cy="403310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558349F-0835-CD42-89FA-BC145A4DF527}" type="TxLink">
            <a:rPr lang="en-US" sz="2400" b="1" i="0" u="none" strike="noStrike">
              <a:solidFill>
                <a:schemeClr val="accent4">
                  <a:lumMod val="75000"/>
                </a:schemeClr>
              </a:solidFill>
              <a:latin typeface="Avenir Next Condensed Regular"/>
            </a:rPr>
            <a:pPr algn="ctr"/>
            <a:t>Ciblé</a:t>
          </a:fld>
          <a:endParaRPr lang="fr-FR" sz="2400" b="1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0.76686</cdr:x>
      <cdr:y>0.8562</cdr:y>
    </cdr:from>
    <cdr:to>
      <cdr:x>0.97393</cdr:x>
      <cdr:y>0.9375</cdr:y>
    </cdr:to>
    <cdr:sp macro="" textlink="'DONNEES '!$I$85">
      <cdr:nvSpPr>
        <cdr:cNvPr id="19" name="Rectangle : coins arrondis 8">
          <a:extLst xmlns:a="http://schemas.openxmlformats.org/drawingml/2006/main">
            <a:ext uri="{FF2B5EF4-FFF2-40B4-BE49-F238E27FC236}">
              <a16:creationId xmlns:a16="http://schemas.microsoft.com/office/drawing/2014/main" id="{FFBBC8C6-BEC4-984B-8D66-F0356973C79F}"/>
            </a:ext>
          </a:extLst>
        </cdr:cNvPr>
        <cdr:cNvSpPr/>
      </cdr:nvSpPr>
      <cdr:spPr>
        <a:xfrm xmlns:a="http://schemas.openxmlformats.org/drawingml/2006/main">
          <a:off x="9280502" y="4247380"/>
          <a:ext cx="2505845" cy="403310"/>
        </a:xfrm>
        <a:prstGeom xmlns:a="http://schemas.openxmlformats.org/drawingml/2006/main" prst="roundRect">
          <a:avLst>
            <a:gd name="adj" fmla="val 50000"/>
          </a:avLst>
        </a:prstGeom>
        <a:solidFill xmlns:a="http://schemas.openxmlformats.org/drawingml/2006/main">
          <a:schemeClr val="accent2">
            <a:lumMod val="20000"/>
            <a:lumOff val="8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95BFF6D-3472-8A40-87B7-DA98A2E99CA7}" type="TxLink">
            <a:rPr lang="en-US" sz="2400" b="1" i="0" u="none" strike="noStrike">
              <a:solidFill>
                <a:srgbClr val="C00000"/>
              </a:solidFill>
              <a:latin typeface="Avenir Next Condensed Regular"/>
            </a:rPr>
            <a:pPr algn="ctr"/>
            <a:t>Fondamentaux</a:t>
          </a:fld>
          <a:endParaRPr lang="fr-FR" sz="2400" b="1">
            <a:solidFill>
              <a:srgbClr val="C00000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0.80134</cdr:x>
      <cdr:y>0.02965</cdr:y>
    </cdr:from>
    <cdr:to>
      <cdr:x>0.98593</cdr:x>
      <cdr:y>0.95752</cdr:y>
    </cdr:to>
    <cdr:grpSp>
      <cdr:nvGrpSpPr>
        <cdr:cNvPr id="20" name="Groupe 19">
          <a:extLst xmlns:a="http://schemas.openxmlformats.org/drawingml/2006/main">
            <a:ext uri="{FF2B5EF4-FFF2-40B4-BE49-F238E27FC236}">
              <a16:creationId xmlns:a16="http://schemas.microsoft.com/office/drawing/2014/main" id="{F23EEA69-2B24-0C9A-E396-16655C835106}"/>
            </a:ext>
          </a:extLst>
        </cdr:cNvPr>
        <cdr:cNvGrpSpPr/>
      </cdr:nvGrpSpPr>
      <cdr:grpSpPr>
        <a:xfrm xmlns:a="http://schemas.openxmlformats.org/drawingml/2006/main">
          <a:off x="9942636" y="154081"/>
          <a:ext cx="2290302" cy="4821838"/>
          <a:chOff x="9055135" y="140158"/>
          <a:chExt cx="2289333" cy="4722172"/>
        </a:xfrm>
      </cdr:grpSpPr>
      <cdr:sp macro="" textlink="'DONNEES '!$P$95">
        <cdr:nvSpPr>
          <cdr:cNvPr id="3" name="Rectangle : coins arrondis 2">
            <a:extLst xmlns:a="http://schemas.openxmlformats.org/drawingml/2006/main">
              <a:ext uri="{FF2B5EF4-FFF2-40B4-BE49-F238E27FC236}">
                <a16:creationId xmlns:a16="http://schemas.microsoft.com/office/drawing/2014/main" id="{5740547C-5B28-8917-E08D-13DB7E50C944}"/>
              </a:ext>
            </a:extLst>
          </cdr:cNvPr>
          <cdr:cNvSpPr/>
        </cdr:nvSpPr>
        <cdr:spPr>
          <a:xfrm xmlns:a="http://schemas.openxmlformats.org/drawingml/2006/main">
            <a:off x="9769505" y="140158"/>
            <a:ext cx="1574963" cy="424953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58D36E6A-3304-474B-90EF-36775ED14B18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5,50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P$96">
        <cdr:nvSpPr>
          <cdr:cNvPr id="4" name="Rectangle : coins arrondis 3">
            <a:extLst xmlns:a="http://schemas.openxmlformats.org/drawingml/2006/main">
              <a:ext uri="{FF2B5EF4-FFF2-40B4-BE49-F238E27FC236}">
                <a16:creationId xmlns:a16="http://schemas.microsoft.com/office/drawing/2014/main" id="{3B8212A3-9DB5-CAFE-57D0-0B8AEA034F6F}"/>
              </a:ext>
            </a:extLst>
          </cdr:cNvPr>
          <cdr:cNvSpPr/>
        </cdr:nvSpPr>
        <cdr:spPr>
          <a:xfrm xmlns:a="http://schemas.openxmlformats.org/drawingml/2006/main">
            <a:off x="9749537" y="750615"/>
            <a:ext cx="1575087" cy="424902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1D8BBC31-2F48-DE41-8EBE-ACAC6E4C747B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6,06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P$97">
        <cdr:nvSpPr>
          <cdr:cNvPr id="5" name="Rectangle : coins arrondis 4">
            <a:extLst xmlns:a="http://schemas.openxmlformats.org/drawingml/2006/main">
              <a:ext uri="{FF2B5EF4-FFF2-40B4-BE49-F238E27FC236}">
                <a16:creationId xmlns:a16="http://schemas.microsoft.com/office/drawing/2014/main" id="{BE2512AD-892F-B1D7-38A6-C2C6ED831532}"/>
              </a:ext>
            </a:extLst>
          </cdr:cNvPr>
          <cdr:cNvSpPr/>
        </cdr:nvSpPr>
        <cdr:spPr>
          <a:xfrm xmlns:a="http://schemas.openxmlformats.org/drawingml/2006/main">
            <a:off x="9762436" y="1368756"/>
            <a:ext cx="1574962" cy="423681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4CC2F314-900B-C34F-8B3E-A36B65DDF856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5,05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P$98">
        <cdr:nvSpPr>
          <cdr:cNvPr id="6" name="Rectangle : coins arrondis 5">
            <a:extLst xmlns:a="http://schemas.openxmlformats.org/drawingml/2006/main">
              <a:ext uri="{FF2B5EF4-FFF2-40B4-BE49-F238E27FC236}">
                <a16:creationId xmlns:a16="http://schemas.microsoft.com/office/drawing/2014/main" id="{70810361-6A46-78E4-23AF-7465F84D7C3C}"/>
              </a:ext>
            </a:extLst>
          </cdr:cNvPr>
          <cdr:cNvSpPr/>
        </cdr:nvSpPr>
        <cdr:spPr>
          <a:xfrm xmlns:a="http://schemas.openxmlformats.org/drawingml/2006/main">
            <a:off x="9755615" y="1948525"/>
            <a:ext cx="1574962" cy="423681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AA8BD879-6EEF-B749-9CE1-DC4D73EE6E38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5,42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P$99">
        <cdr:nvSpPr>
          <cdr:cNvPr id="7" name="Rectangle : coins arrondis 6">
            <a:extLst xmlns:a="http://schemas.openxmlformats.org/drawingml/2006/main">
              <a:ext uri="{FF2B5EF4-FFF2-40B4-BE49-F238E27FC236}">
                <a16:creationId xmlns:a16="http://schemas.microsoft.com/office/drawing/2014/main" id="{458A6C06-D8F6-89D2-40C3-4F71DB4AE296}"/>
              </a:ext>
            </a:extLst>
          </cdr:cNvPr>
          <cdr:cNvSpPr/>
        </cdr:nvSpPr>
        <cdr:spPr>
          <a:xfrm xmlns:a="http://schemas.openxmlformats.org/drawingml/2006/main">
            <a:off x="9755367" y="2537963"/>
            <a:ext cx="1574962" cy="423681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97224784-807B-2647-8DF7-AFEC0BA9ADC0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4,78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P$100">
        <cdr:nvSpPr>
          <cdr:cNvPr id="8" name="Rectangle : coins arrondis 7">
            <a:extLst xmlns:a="http://schemas.openxmlformats.org/drawingml/2006/main">
              <a:ext uri="{FF2B5EF4-FFF2-40B4-BE49-F238E27FC236}">
                <a16:creationId xmlns:a16="http://schemas.microsoft.com/office/drawing/2014/main" id="{67432671-04F6-6BCC-7903-E58E6A12FC9D}"/>
              </a:ext>
            </a:extLst>
          </cdr:cNvPr>
          <cdr:cNvSpPr/>
        </cdr:nvSpPr>
        <cdr:spPr>
          <a:xfrm xmlns:a="http://schemas.openxmlformats.org/drawingml/2006/main">
            <a:off x="9754994" y="3104347"/>
            <a:ext cx="1575087" cy="423732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577EBCA9-9EA5-9543-9B94-E7E9865BACF0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4,99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P$101">
        <cdr:nvSpPr>
          <cdr:cNvPr id="9" name="Rectangle : coins arrondis 8">
            <a:extLst xmlns:a="http://schemas.openxmlformats.org/drawingml/2006/main">
              <a:ext uri="{FF2B5EF4-FFF2-40B4-BE49-F238E27FC236}">
                <a16:creationId xmlns:a16="http://schemas.microsoft.com/office/drawing/2014/main" id="{BC665F47-B945-442F-B7F7-DC50DEDEBC56}"/>
              </a:ext>
            </a:extLst>
          </cdr:cNvPr>
          <cdr:cNvSpPr/>
        </cdr:nvSpPr>
        <cdr:spPr>
          <a:xfrm xmlns:a="http://schemas.openxmlformats.org/drawingml/2006/main">
            <a:off x="9748297" y="3716025"/>
            <a:ext cx="1574963" cy="410805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C95F9E07-9E64-D241-BC44-6DEA32F72B51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4,88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P$102">
        <cdr:nvSpPr>
          <cdr:cNvPr id="10" name="Rectangle : coins arrondis 9">
            <a:extLst xmlns:a="http://schemas.openxmlformats.org/drawingml/2006/main">
              <a:ext uri="{FF2B5EF4-FFF2-40B4-BE49-F238E27FC236}">
                <a16:creationId xmlns:a16="http://schemas.microsoft.com/office/drawing/2014/main" id="{2171F414-B8BB-B288-0547-62688EB69A59}"/>
              </a:ext>
            </a:extLst>
          </cdr:cNvPr>
          <cdr:cNvSpPr/>
        </cdr:nvSpPr>
        <cdr:spPr>
          <a:xfrm xmlns:a="http://schemas.openxmlformats.org/drawingml/2006/main">
            <a:off x="9761072" y="4312690"/>
            <a:ext cx="1574962" cy="423732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22845B28-B0C9-974C-A02C-3143878BA40F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4,85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">
        <cdr:nvSpPr>
          <cdr:cNvPr id="11" name="Rectangle : coins arrondis 10">
            <a:extLst xmlns:a="http://schemas.openxmlformats.org/drawingml/2006/main">
              <a:ext uri="{FF2B5EF4-FFF2-40B4-BE49-F238E27FC236}">
                <a16:creationId xmlns:a16="http://schemas.microsoft.com/office/drawing/2014/main" id="{95AF2D45-7153-FE85-9EB6-239FA3205F54}"/>
              </a:ext>
            </a:extLst>
          </cdr:cNvPr>
          <cdr:cNvSpPr/>
        </cdr:nvSpPr>
        <cdr:spPr>
          <a:xfrm xmlns:a="http://schemas.openxmlformats.org/drawingml/2006/main">
            <a:off x="9055135" y="186114"/>
            <a:ext cx="622841" cy="4676216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60000"/>
              <a:lumOff val="4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="vert270" rtlCol="0" anchor="t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fr-FR" sz="2400" b="1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OBJECTIF MOIS</a:t>
            </a:r>
          </a:p>
        </cdr:txBody>
      </cdr:sp>
    </cdr:grpSp>
  </cdr:relSizeAnchor>
  <cdr:relSizeAnchor xmlns:cdr="http://schemas.openxmlformats.org/drawingml/2006/chartDrawing">
    <cdr:from>
      <cdr:x>0.01418</cdr:x>
      <cdr:y>0.03994</cdr:y>
    </cdr:from>
    <cdr:to>
      <cdr:x>0.07315</cdr:x>
      <cdr:y>0.12344</cdr:y>
    </cdr:to>
    <cdr:sp macro="" textlink="'DONNEES '!$Q$95">
      <cdr:nvSpPr>
        <cdr:cNvPr id="12" name="Rectangle : coins arrondis 11">
          <a:extLst xmlns:a="http://schemas.openxmlformats.org/drawingml/2006/main">
            <a:ext uri="{FF2B5EF4-FFF2-40B4-BE49-F238E27FC236}">
              <a16:creationId xmlns:a16="http://schemas.microsoft.com/office/drawing/2014/main" id="{E8060CE4-2DD4-FE22-58AC-0F02B2B834E3}"/>
            </a:ext>
          </a:extLst>
        </cdr:cNvPr>
        <cdr:cNvSpPr/>
      </cdr:nvSpPr>
      <cdr:spPr>
        <a:xfrm xmlns:a="http://schemas.openxmlformats.org/drawingml/2006/main">
          <a:off x="175204" y="202638"/>
          <a:ext cx="728723" cy="423680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B3B2912-E211-1543-AA29-F192536721BD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0.01454</cdr:x>
      <cdr:y>0.15852</cdr:y>
    </cdr:from>
    <cdr:to>
      <cdr:x>0.07351</cdr:x>
      <cdr:y>0.24202</cdr:y>
    </cdr:to>
    <cdr:sp macro="" textlink="'DONNEES '!$Q$96">
      <cdr:nvSpPr>
        <cdr:cNvPr id="13" name="Rectangle : coins arrondis 12">
          <a:extLst xmlns:a="http://schemas.openxmlformats.org/drawingml/2006/main">
            <a:ext uri="{FF2B5EF4-FFF2-40B4-BE49-F238E27FC236}">
              <a16:creationId xmlns:a16="http://schemas.microsoft.com/office/drawing/2014/main" id="{BA81547D-47C5-7445-AD7C-8F04163357BE}"/>
            </a:ext>
          </a:extLst>
        </cdr:cNvPr>
        <cdr:cNvSpPr/>
      </cdr:nvSpPr>
      <cdr:spPr>
        <a:xfrm xmlns:a="http://schemas.openxmlformats.org/drawingml/2006/main">
          <a:off x="179648" y="804314"/>
          <a:ext cx="728722" cy="423680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6D90A61-27ED-BE4C-8A27-5F9A342FC8E7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0.01526</cdr:x>
      <cdr:y>0.27646</cdr:y>
    </cdr:from>
    <cdr:to>
      <cdr:x>0.07423</cdr:x>
      <cdr:y>0.35996</cdr:y>
    </cdr:to>
    <cdr:sp macro="" textlink="'DONNEES '!$Q$97">
      <cdr:nvSpPr>
        <cdr:cNvPr id="14" name="Rectangle : coins arrondis 13">
          <a:extLst xmlns:a="http://schemas.openxmlformats.org/drawingml/2006/main">
            <a:ext uri="{FF2B5EF4-FFF2-40B4-BE49-F238E27FC236}">
              <a16:creationId xmlns:a16="http://schemas.microsoft.com/office/drawing/2014/main" id="{BA81547D-47C5-7445-AD7C-8F04163357BE}"/>
            </a:ext>
          </a:extLst>
        </cdr:cNvPr>
        <cdr:cNvSpPr/>
      </cdr:nvSpPr>
      <cdr:spPr>
        <a:xfrm xmlns:a="http://schemas.openxmlformats.org/drawingml/2006/main">
          <a:off x="188537" y="1402764"/>
          <a:ext cx="728723" cy="423680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E6693D6-481F-5241-80AD-383B8850AA25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0.01562</cdr:x>
      <cdr:y>0.39536</cdr:y>
    </cdr:from>
    <cdr:to>
      <cdr:x>0.07459</cdr:x>
      <cdr:y>0.47886</cdr:y>
    </cdr:to>
    <cdr:sp macro="" textlink="'DONNEES '!$Q$98">
      <cdr:nvSpPr>
        <cdr:cNvPr id="15" name="Rectangle : coins arrondis 14">
          <a:extLst xmlns:a="http://schemas.openxmlformats.org/drawingml/2006/main">
            <a:ext uri="{FF2B5EF4-FFF2-40B4-BE49-F238E27FC236}">
              <a16:creationId xmlns:a16="http://schemas.microsoft.com/office/drawing/2014/main" id="{BA81547D-47C5-7445-AD7C-8F04163357BE}"/>
            </a:ext>
          </a:extLst>
        </cdr:cNvPr>
        <cdr:cNvSpPr/>
      </cdr:nvSpPr>
      <cdr:spPr>
        <a:xfrm xmlns:a="http://schemas.openxmlformats.org/drawingml/2006/main">
          <a:off x="192981" y="2006086"/>
          <a:ext cx="728722" cy="423680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805E573-82C6-EA40-A32E-7D5CE40AFCA2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0.01598</cdr:x>
      <cdr:y>0.51353</cdr:y>
    </cdr:from>
    <cdr:to>
      <cdr:x>0.07495</cdr:x>
      <cdr:y>0.59703</cdr:y>
    </cdr:to>
    <cdr:sp macro="" textlink="'DONNEES '!$Q$99">
      <cdr:nvSpPr>
        <cdr:cNvPr id="16" name="Rectangle : coins arrondis 15">
          <a:extLst xmlns:a="http://schemas.openxmlformats.org/drawingml/2006/main">
            <a:ext uri="{FF2B5EF4-FFF2-40B4-BE49-F238E27FC236}">
              <a16:creationId xmlns:a16="http://schemas.microsoft.com/office/drawing/2014/main" id="{BA81547D-47C5-7445-AD7C-8F04163357BE}"/>
            </a:ext>
          </a:extLst>
        </cdr:cNvPr>
        <cdr:cNvSpPr/>
      </cdr:nvSpPr>
      <cdr:spPr>
        <a:xfrm xmlns:a="http://schemas.openxmlformats.org/drawingml/2006/main">
          <a:off x="197426" y="2605648"/>
          <a:ext cx="728722" cy="423681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134FC3F-F579-CD43-84D8-FD82A0DBB4F7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0.01562</cdr:x>
      <cdr:y>0.63197</cdr:y>
    </cdr:from>
    <cdr:to>
      <cdr:x>0.07459</cdr:x>
      <cdr:y>0.71547</cdr:y>
    </cdr:to>
    <cdr:sp macro="" textlink="'DONNEES '!$Q$100">
      <cdr:nvSpPr>
        <cdr:cNvPr id="17" name="Rectangle : coins arrondis 16">
          <a:extLst xmlns:a="http://schemas.openxmlformats.org/drawingml/2006/main">
            <a:ext uri="{FF2B5EF4-FFF2-40B4-BE49-F238E27FC236}">
              <a16:creationId xmlns:a16="http://schemas.microsoft.com/office/drawing/2014/main" id="{BA81547D-47C5-7445-AD7C-8F04163357BE}"/>
            </a:ext>
          </a:extLst>
        </cdr:cNvPr>
        <cdr:cNvSpPr/>
      </cdr:nvSpPr>
      <cdr:spPr>
        <a:xfrm xmlns:a="http://schemas.openxmlformats.org/drawingml/2006/main">
          <a:off x="192981" y="3206645"/>
          <a:ext cx="728722" cy="423680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530FFB1-0713-094B-93D9-AED8E367D3C7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0.0167</cdr:x>
      <cdr:y>0.75033</cdr:y>
    </cdr:from>
    <cdr:to>
      <cdr:x>0.07567</cdr:x>
      <cdr:y>0.83382</cdr:y>
    </cdr:to>
    <cdr:sp macro="" textlink="'DONNEES '!$Q$101">
      <cdr:nvSpPr>
        <cdr:cNvPr id="18" name="Rectangle : coins arrondis 17">
          <a:extLst xmlns:a="http://schemas.openxmlformats.org/drawingml/2006/main">
            <a:ext uri="{FF2B5EF4-FFF2-40B4-BE49-F238E27FC236}">
              <a16:creationId xmlns:a16="http://schemas.microsoft.com/office/drawing/2014/main" id="{BA81547D-47C5-7445-AD7C-8F04163357BE}"/>
            </a:ext>
          </a:extLst>
        </cdr:cNvPr>
        <cdr:cNvSpPr/>
      </cdr:nvSpPr>
      <cdr:spPr>
        <a:xfrm xmlns:a="http://schemas.openxmlformats.org/drawingml/2006/main">
          <a:off x="206313" y="3807201"/>
          <a:ext cx="728723" cy="423628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CBB6362-6254-A249-99A7-4615FE5C5335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0.01777</cdr:x>
      <cdr:y>0.86811</cdr:y>
    </cdr:from>
    <cdr:to>
      <cdr:x>0.07674</cdr:x>
      <cdr:y>0.95161</cdr:y>
    </cdr:to>
    <cdr:sp macro="" textlink="'DONNEES '!$Q$102">
      <cdr:nvSpPr>
        <cdr:cNvPr id="19" name="Rectangle : coins arrondis 18">
          <a:extLst xmlns:a="http://schemas.openxmlformats.org/drawingml/2006/main">
            <a:ext uri="{FF2B5EF4-FFF2-40B4-BE49-F238E27FC236}">
              <a16:creationId xmlns:a16="http://schemas.microsoft.com/office/drawing/2014/main" id="{BA81547D-47C5-7445-AD7C-8F04163357BE}"/>
            </a:ext>
          </a:extLst>
        </cdr:cNvPr>
        <cdr:cNvSpPr/>
      </cdr:nvSpPr>
      <cdr:spPr>
        <a:xfrm xmlns:a="http://schemas.openxmlformats.org/drawingml/2006/main">
          <a:off x="219646" y="4404784"/>
          <a:ext cx="728723" cy="423680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EFA6B62-EBED-4A4A-A32E-BE0C8BE833AD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0.80376</cdr:x>
      <cdr:y>0.02947</cdr:y>
    </cdr:from>
    <cdr:to>
      <cdr:x>0.98752</cdr:x>
      <cdr:y>0.95734</cdr:y>
    </cdr:to>
    <cdr:grpSp>
      <cdr:nvGrpSpPr>
        <cdr:cNvPr id="12" name="Groupe 11">
          <a:extLst xmlns:a="http://schemas.openxmlformats.org/drawingml/2006/main">
            <a:ext uri="{FF2B5EF4-FFF2-40B4-BE49-F238E27FC236}">
              <a16:creationId xmlns:a16="http://schemas.microsoft.com/office/drawing/2014/main" id="{26679184-F365-1E41-9BA6-7BE041688A51}"/>
            </a:ext>
          </a:extLst>
        </cdr:cNvPr>
        <cdr:cNvGrpSpPr/>
      </cdr:nvGrpSpPr>
      <cdr:grpSpPr>
        <a:xfrm xmlns:a="http://schemas.openxmlformats.org/drawingml/2006/main">
          <a:off x="9795757" y="153487"/>
          <a:ext cx="2239560" cy="4832575"/>
          <a:chOff x="8864303" y="145100"/>
          <a:chExt cx="2230926" cy="4888671"/>
        </a:xfrm>
      </cdr:grpSpPr>
      <cdr:sp macro="" textlink="'DONNEES '!$Z$95">
        <cdr:nvSpPr>
          <cdr:cNvPr id="21" name="Rectangle : coins arrondis 2">
            <a:extLst xmlns:a="http://schemas.openxmlformats.org/drawingml/2006/main">
              <a:ext uri="{FF2B5EF4-FFF2-40B4-BE49-F238E27FC236}">
                <a16:creationId xmlns:a16="http://schemas.microsoft.com/office/drawing/2014/main" id="{5740547C-5B28-8917-E08D-13DB7E50C944}"/>
              </a:ext>
            </a:extLst>
          </cdr:cNvPr>
          <cdr:cNvSpPr/>
        </cdr:nvSpPr>
        <cdr:spPr>
          <a:xfrm xmlns:a="http://schemas.openxmlformats.org/drawingml/2006/main">
            <a:off x="9553458" y="145100"/>
            <a:ext cx="1541771" cy="439937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6A6591B8-A004-CE47-B7CC-3B32578E6E99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5,47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Z$96">
        <cdr:nvSpPr>
          <cdr:cNvPr id="22" name="Rectangle : coins arrondis 3">
            <a:extLst xmlns:a="http://schemas.openxmlformats.org/drawingml/2006/main">
              <a:ext uri="{FF2B5EF4-FFF2-40B4-BE49-F238E27FC236}">
                <a16:creationId xmlns:a16="http://schemas.microsoft.com/office/drawing/2014/main" id="{3B8212A3-9DB5-CAFE-57D0-0B8AEA034F6F}"/>
              </a:ext>
            </a:extLst>
          </cdr:cNvPr>
          <cdr:cNvSpPr/>
        </cdr:nvSpPr>
        <cdr:spPr>
          <a:xfrm xmlns:a="http://schemas.openxmlformats.org/drawingml/2006/main">
            <a:off x="9533911" y="777081"/>
            <a:ext cx="1541893" cy="439884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FA9EF26B-4706-DB47-A31F-4C8632AA8DDC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5,70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Z$97">
        <cdr:nvSpPr>
          <cdr:cNvPr id="23" name="Rectangle : coins arrondis 4">
            <a:extLst xmlns:a="http://schemas.openxmlformats.org/drawingml/2006/main">
              <a:ext uri="{FF2B5EF4-FFF2-40B4-BE49-F238E27FC236}">
                <a16:creationId xmlns:a16="http://schemas.microsoft.com/office/drawing/2014/main" id="{BE2512AD-892F-B1D7-38A6-C2C6ED831532}"/>
              </a:ext>
            </a:extLst>
          </cdr:cNvPr>
          <cdr:cNvSpPr/>
        </cdr:nvSpPr>
        <cdr:spPr>
          <a:xfrm xmlns:a="http://schemas.openxmlformats.org/drawingml/2006/main">
            <a:off x="9546538" y="1417017"/>
            <a:ext cx="1541771" cy="438620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4C8918A7-5443-4448-B376-D102BACBCA97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4,85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Z$98">
        <cdr:nvSpPr>
          <cdr:cNvPr id="24" name="Rectangle : coins arrondis 5">
            <a:extLst xmlns:a="http://schemas.openxmlformats.org/drawingml/2006/main">
              <a:ext uri="{FF2B5EF4-FFF2-40B4-BE49-F238E27FC236}">
                <a16:creationId xmlns:a16="http://schemas.microsoft.com/office/drawing/2014/main" id="{70810361-6A46-78E4-23AF-7465F84D7C3C}"/>
              </a:ext>
            </a:extLst>
          </cdr:cNvPr>
          <cdr:cNvSpPr/>
        </cdr:nvSpPr>
        <cdr:spPr>
          <a:xfrm xmlns:a="http://schemas.openxmlformats.org/drawingml/2006/main">
            <a:off x="9539860" y="2017228"/>
            <a:ext cx="1541771" cy="438619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791625B3-5FAE-A842-8ED7-116C8CDDBD84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5,25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Z$99">
        <cdr:nvSpPr>
          <cdr:cNvPr id="25" name="Rectangle : coins arrondis 6">
            <a:extLst xmlns:a="http://schemas.openxmlformats.org/drawingml/2006/main">
              <a:ext uri="{FF2B5EF4-FFF2-40B4-BE49-F238E27FC236}">
                <a16:creationId xmlns:a16="http://schemas.microsoft.com/office/drawing/2014/main" id="{458A6C06-D8F6-89D2-40C3-4F71DB4AE296}"/>
              </a:ext>
            </a:extLst>
          </cdr:cNvPr>
          <cdr:cNvSpPr/>
        </cdr:nvSpPr>
        <cdr:spPr>
          <a:xfrm xmlns:a="http://schemas.openxmlformats.org/drawingml/2006/main">
            <a:off x="9539617" y="2627449"/>
            <a:ext cx="1541771" cy="438619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22018B00-5357-DE42-B395-21DB2432A5AB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4,60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Z$100">
        <cdr:nvSpPr>
          <cdr:cNvPr id="26" name="Rectangle : coins arrondis 7">
            <a:extLst xmlns:a="http://schemas.openxmlformats.org/drawingml/2006/main">
              <a:ext uri="{FF2B5EF4-FFF2-40B4-BE49-F238E27FC236}">
                <a16:creationId xmlns:a16="http://schemas.microsoft.com/office/drawing/2014/main" id="{67432671-04F6-6BCC-7903-E58E6A12FC9D}"/>
              </a:ext>
            </a:extLst>
          </cdr:cNvPr>
          <cdr:cNvSpPr/>
        </cdr:nvSpPr>
        <cdr:spPr>
          <a:xfrm xmlns:a="http://schemas.openxmlformats.org/drawingml/2006/main">
            <a:off x="9539253" y="3213803"/>
            <a:ext cx="1541892" cy="438672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9C953EC9-931D-4947-A557-CFE8BDC94367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4,80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Z$101">
        <cdr:nvSpPr>
          <cdr:cNvPr id="27" name="Rectangle : coins arrondis 8">
            <a:extLst xmlns:a="http://schemas.openxmlformats.org/drawingml/2006/main">
              <a:ext uri="{FF2B5EF4-FFF2-40B4-BE49-F238E27FC236}">
                <a16:creationId xmlns:a16="http://schemas.microsoft.com/office/drawing/2014/main" id="{BC665F47-B945-442F-B7F7-DC50DEDEBC56}"/>
              </a:ext>
            </a:extLst>
          </cdr:cNvPr>
          <cdr:cNvSpPr/>
        </cdr:nvSpPr>
        <cdr:spPr>
          <a:xfrm xmlns:a="http://schemas.openxmlformats.org/drawingml/2006/main">
            <a:off x="9532697" y="3847048"/>
            <a:ext cx="1541771" cy="425290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F7129F13-05B1-964C-8FC4-28B833CA69DF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4,65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'DONNEES '!$Z$102">
        <cdr:nvSpPr>
          <cdr:cNvPr id="28" name="Rectangle : coins arrondis 9">
            <a:extLst xmlns:a="http://schemas.openxmlformats.org/drawingml/2006/main">
              <a:ext uri="{FF2B5EF4-FFF2-40B4-BE49-F238E27FC236}">
                <a16:creationId xmlns:a16="http://schemas.microsoft.com/office/drawing/2014/main" id="{2171F414-B8BB-B288-0547-62688EB69A59}"/>
              </a:ext>
            </a:extLst>
          </cdr:cNvPr>
          <cdr:cNvSpPr/>
        </cdr:nvSpPr>
        <cdr:spPr>
          <a:xfrm xmlns:a="http://schemas.openxmlformats.org/drawingml/2006/main">
            <a:off x="9545202" y="4464751"/>
            <a:ext cx="1541771" cy="438672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20000"/>
              <a:lumOff val="8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EECD2BEE-EFBF-6F47-B065-F8C9EB11E15E}" type="TxLink">
              <a:rPr lang="en-US" sz="2400" b="1" i="0" u="none" strike="noStrike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</a:rPr>
              <a:pPr algn="ctr"/>
              <a:t>4,75</a:t>
            </a:fld>
            <a:endParaRPr lang="fr-FR" sz="2400" b="1">
              <a:solidFill>
                <a:schemeClr val="accent3">
                  <a:lumMod val="50000"/>
                </a:schemeClr>
              </a:solidFill>
              <a:latin typeface="Avenir Next Condensed" panose="020B0506020202020204" pitchFamily="34" charset="0"/>
            </a:endParaRPr>
          </a:p>
        </cdr:txBody>
      </cdr:sp>
      <cdr:sp macro="" textlink="">
        <cdr:nvSpPr>
          <cdr:cNvPr id="29" name="Rectangle : coins arrondis 10">
            <a:extLst xmlns:a="http://schemas.openxmlformats.org/drawingml/2006/main">
              <a:ext uri="{FF2B5EF4-FFF2-40B4-BE49-F238E27FC236}">
                <a16:creationId xmlns:a16="http://schemas.microsoft.com/office/drawing/2014/main" id="{95AF2D45-7153-FE85-9EB6-239FA3205F54}"/>
              </a:ext>
            </a:extLst>
          </cdr:cNvPr>
          <cdr:cNvSpPr/>
        </cdr:nvSpPr>
        <cdr:spPr>
          <a:xfrm xmlns:a="http://schemas.openxmlformats.org/drawingml/2006/main">
            <a:off x="8864303" y="192676"/>
            <a:ext cx="609715" cy="4841095"/>
          </a:xfrm>
          <a:prstGeom xmlns:a="http://schemas.openxmlformats.org/drawingml/2006/main" prst="roundRect">
            <a:avLst>
              <a:gd name="adj" fmla="val 50000"/>
            </a:avLst>
          </a:prstGeom>
          <a:solidFill xmlns:a="http://schemas.openxmlformats.org/drawingml/2006/main">
            <a:schemeClr val="accent3">
              <a:lumMod val="60000"/>
              <a:lumOff val="40000"/>
            </a:schemeClr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="vert270" rtlCol="0" anchor="t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fr-FR" sz="2400" b="1">
                <a:solidFill>
                  <a:schemeClr val="accent3">
                    <a:lumMod val="50000"/>
                  </a:schemeClr>
                </a:solidFill>
                <a:latin typeface="Avenir Next Condensed" panose="020B0506020202020204" pitchFamily="34" charset="0"/>
                <a:ea typeface="Segoe UI Historic" panose="020B0502040204020203" pitchFamily="34" charset="0"/>
                <a:cs typeface="Segoe UI Historic" panose="020B0502040204020203" pitchFamily="34" charset="0"/>
              </a:rPr>
              <a:t>OBJECTIF ANNUEL</a:t>
            </a:r>
          </a:p>
        </cdr:txBody>
      </cdr:sp>
    </cdr:grpSp>
  </cdr:relSizeAnchor>
  <cdr:relSizeAnchor xmlns:cdr="http://schemas.openxmlformats.org/drawingml/2006/chartDrawing">
    <cdr:from>
      <cdr:x>0.01233</cdr:x>
      <cdr:y>0.03829</cdr:y>
    </cdr:from>
    <cdr:to>
      <cdr:x>0.07235</cdr:x>
      <cdr:y>0.12159</cdr:y>
    </cdr:to>
    <cdr:sp macro="" textlink="'DONNEES '!$AA$95">
      <cdr:nvSpPr>
        <cdr:cNvPr id="38" name="Rectangle : coins arrondis 37">
          <a:extLst xmlns:a="http://schemas.openxmlformats.org/drawingml/2006/main">
            <a:ext uri="{FF2B5EF4-FFF2-40B4-BE49-F238E27FC236}">
              <a16:creationId xmlns:a16="http://schemas.microsoft.com/office/drawing/2014/main" id="{C9717D46-543F-45F7-1642-EFE6ED06A9E1}"/>
            </a:ext>
          </a:extLst>
        </cdr:cNvPr>
        <cdr:cNvSpPr/>
      </cdr:nvSpPr>
      <cdr:spPr>
        <a:xfrm xmlns:a="http://schemas.openxmlformats.org/drawingml/2006/main">
          <a:off x="149738" y="194721"/>
          <a:ext cx="728603" cy="423655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AE4157A-AA80-2A44-A425-EE371C100EC6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0.01183</cdr:x>
      <cdr:y>0.15898</cdr:y>
    </cdr:from>
    <cdr:to>
      <cdr:x>0.07185</cdr:x>
      <cdr:y>0.24229</cdr:y>
    </cdr:to>
    <cdr:sp macro="" textlink="'DONNEES '!$AA$96">
      <cdr:nvSpPr>
        <cdr:cNvPr id="39" name="Rectangle : coins arrondis 38">
          <a:extLst xmlns:a="http://schemas.openxmlformats.org/drawingml/2006/main">
            <a:ext uri="{FF2B5EF4-FFF2-40B4-BE49-F238E27FC236}">
              <a16:creationId xmlns:a16="http://schemas.microsoft.com/office/drawing/2014/main" id="{768332CA-CFBA-9EAB-82FC-B9D8822DA30A}"/>
            </a:ext>
          </a:extLst>
        </cdr:cNvPr>
        <cdr:cNvSpPr/>
      </cdr:nvSpPr>
      <cdr:spPr>
        <a:xfrm xmlns:a="http://schemas.openxmlformats.org/drawingml/2006/main">
          <a:off x="143582" y="808567"/>
          <a:ext cx="728603" cy="423706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C2A3094-459C-B440-8A07-170F17431ED6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0.01233</cdr:x>
      <cdr:y>0.27915</cdr:y>
    </cdr:from>
    <cdr:to>
      <cdr:x>0.07235</cdr:x>
      <cdr:y>0.36246</cdr:y>
    </cdr:to>
    <cdr:sp macro="" textlink="'DONNEES '!$AA$97">
      <cdr:nvSpPr>
        <cdr:cNvPr id="40" name="Rectangle : coins arrondis 39">
          <a:extLst xmlns:a="http://schemas.openxmlformats.org/drawingml/2006/main">
            <a:ext uri="{FF2B5EF4-FFF2-40B4-BE49-F238E27FC236}">
              <a16:creationId xmlns:a16="http://schemas.microsoft.com/office/drawing/2014/main" id="{F1E2BD1F-0134-3803-2AAF-F791FF822108}"/>
            </a:ext>
          </a:extLst>
        </cdr:cNvPr>
        <cdr:cNvSpPr/>
      </cdr:nvSpPr>
      <cdr:spPr>
        <a:xfrm xmlns:a="http://schemas.openxmlformats.org/drawingml/2006/main">
          <a:off x="149738" y="1419721"/>
          <a:ext cx="728602" cy="423706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889F99B-9C83-BE4D-A857-4064DD57F343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0.01183</cdr:x>
      <cdr:y>0.39703</cdr:y>
    </cdr:from>
    <cdr:to>
      <cdr:x>0.07185</cdr:x>
      <cdr:y>0.48033</cdr:y>
    </cdr:to>
    <cdr:sp macro="" textlink="'DONNEES '!$AA$98">
      <cdr:nvSpPr>
        <cdr:cNvPr id="41" name="Rectangle : coins arrondis 40">
          <a:extLst xmlns:a="http://schemas.openxmlformats.org/drawingml/2006/main">
            <a:ext uri="{FF2B5EF4-FFF2-40B4-BE49-F238E27FC236}">
              <a16:creationId xmlns:a16="http://schemas.microsoft.com/office/drawing/2014/main" id="{58982300-7C88-EE8B-CDC7-31DF5174C3C7}"/>
            </a:ext>
          </a:extLst>
        </cdr:cNvPr>
        <cdr:cNvSpPr/>
      </cdr:nvSpPr>
      <cdr:spPr>
        <a:xfrm xmlns:a="http://schemas.openxmlformats.org/drawingml/2006/main">
          <a:off x="143582" y="2019264"/>
          <a:ext cx="728603" cy="423656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C51BD0B-507C-A74F-9553-9147F673972D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🔴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0.01233</cdr:x>
      <cdr:y>0.51384</cdr:y>
    </cdr:from>
    <cdr:to>
      <cdr:x>0.07235</cdr:x>
      <cdr:y>0.59715</cdr:y>
    </cdr:to>
    <cdr:sp macro="" textlink="'DONNEES '!$AA$99">
      <cdr:nvSpPr>
        <cdr:cNvPr id="42" name="Rectangle : coins arrondis 41">
          <a:extLst xmlns:a="http://schemas.openxmlformats.org/drawingml/2006/main">
            <a:ext uri="{FF2B5EF4-FFF2-40B4-BE49-F238E27FC236}">
              <a16:creationId xmlns:a16="http://schemas.microsoft.com/office/drawing/2014/main" id="{4EDEF9E3-6F49-7C43-3EFE-EAAFBBAAE6BF}"/>
            </a:ext>
          </a:extLst>
        </cdr:cNvPr>
        <cdr:cNvSpPr/>
      </cdr:nvSpPr>
      <cdr:spPr>
        <a:xfrm xmlns:a="http://schemas.openxmlformats.org/drawingml/2006/main">
          <a:off x="149738" y="2613326"/>
          <a:ext cx="728602" cy="423706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69EA1A7-6A18-254F-8E4E-DE3E04EBC3C4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0.01233</cdr:x>
      <cdr:y>0.63325</cdr:y>
    </cdr:from>
    <cdr:to>
      <cdr:x>0.07235</cdr:x>
      <cdr:y>0.71655</cdr:y>
    </cdr:to>
    <cdr:sp macro="" textlink="'DONNEES '!$AA$100">
      <cdr:nvSpPr>
        <cdr:cNvPr id="43" name="Rectangle : coins arrondis 42">
          <a:extLst xmlns:a="http://schemas.openxmlformats.org/drawingml/2006/main">
            <a:ext uri="{FF2B5EF4-FFF2-40B4-BE49-F238E27FC236}">
              <a16:creationId xmlns:a16="http://schemas.microsoft.com/office/drawing/2014/main" id="{B66A72F6-6F91-9B38-2AD7-9AB956CE25B8}"/>
            </a:ext>
          </a:extLst>
        </cdr:cNvPr>
        <cdr:cNvSpPr/>
      </cdr:nvSpPr>
      <cdr:spPr>
        <a:xfrm xmlns:a="http://schemas.openxmlformats.org/drawingml/2006/main">
          <a:off x="149738" y="3220631"/>
          <a:ext cx="728603" cy="423655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CDC1FEE-629D-5043-8755-3DEFE5A1BD72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0.01233</cdr:x>
      <cdr:y>0.7522</cdr:y>
    </cdr:from>
    <cdr:to>
      <cdr:x>0.07235</cdr:x>
      <cdr:y>0.8355</cdr:y>
    </cdr:to>
    <cdr:sp macro="" textlink="'DONNEES '!$AA$101">
      <cdr:nvSpPr>
        <cdr:cNvPr id="44" name="Rectangle : coins arrondis 43">
          <a:extLst xmlns:a="http://schemas.openxmlformats.org/drawingml/2006/main">
            <a:ext uri="{FF2B5EF4-FFF2-40B4-BE49-F238E27FC236}">
              <a16:creationId xmlns:a16="http://schemas.microsoft.com/office/drawing/2014/main" id="{2EB7A2C7-B7E1-C39D-9A0C-F53CF423321B}"/>
            </a:ext>
          </a:extLst>
        </cdr:cNvPr>
        <cdr:cNvSpPr/>
      </cdr:nvSpPr>
      <cdr:spPr>
        <a:xfrm xmlns:a="http://schemas.openxmlformats.org/drawingml/2006/main">
          <a:off x="149738" y="3825598"/>
          <a:ext cx="728603" cy="423656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5CD6DC2-73BE-5346-806C-174505016A0C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0.01233</cdr:x>
      <cdr:y>0.87026</cdr:y>
    </cdr:from>
    <cdr:to>
      <cdr:x>0.07235</cdr:x>
      <cdr:y>0.95357</cdr:y>
    </cdr:to>
    <cdr:sp macro="" textlink="'DONNEES '!$AA$102">
      <cdr:nvSpPr>
        <cdr:cNvPr id="45" name="Rectangle : coins arrondis 44">
          <a:extLst xmlns:a="http://schemas.openxmlformats.org/drawingml/2006/main">
            <a:ext uri="{FF2B5EF4-FFF2-40B4-BE49-F238E27FC236}">
              <a16:creationId xmlns:a16="http://schemas.microsoft.com/office/drawing/2014/main" id="{06776C67-11BC-1306-7AA4-DF83F8B8018E}"/>
            </a:ext>
          </a:extLst>
        </cdr:cNvPr>
        <cdr:cNvSpPr/>
      </cdr:nvSpPr>
      <cdr:spPr>
        <a:xfrm xmlns:a="http://schemas.openxmlformats.org/drawingml/2006/main">
          <a:off x="149738" y="4426057"/>
          <a:ext cx="728603" cy="423706"/>
        </a:xfrm>
        <a:prstGeom xmlns:a="http://schemas.openxmlformats.org/drawingml/2006/main" prst="roundRect">
          <a:avLst>
            <a:gd name="adj" fmla="val 50000"/>
          </a:avLst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C854068-39F1-FD4A-BE34-980A8256C6D0}" type="TxLink">
            <a:rPr lang="en-US" sz="2800" b="1" i="0" u="none" strike="noStrike">
              <a:solidFill>
                <a:srgbClr val="2F75B5"/>
              </a:solidFill>
              <a:latin typeface="Avenir Next Condensed Regular"/>
            </a:rPr>
            <a:pPr algn="ctr"/>
            <a:t>🟢</a:t>
          </a:fld>
          <a:endParaRPr lang="fr-FR" sz="2800" b="1">
            <a:solidFill>
              <a:schemeClr val="accent3">
                <a:lumMod val="50000"/>
              </a:schemeClr>
            </a:solidFill>
            <a:latin typeface="Avenir Next Condensed" panose="020B0506020202020204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723900</xdr:colOff>
      <xdr:row>2</xdr:row>
      <xdr:rowOff>0</xdr:rowOff>
    </xdr:from>
    <xdr:to>
      <xdr:col>16</xdr:col>
      <xdr:colOff>381000</xdr:colOff>
      <xdr:row>7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8CAD78F-E610-450C-9DDA-B3C80F7BAC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1%20PNL/2026/COMPARABLE/COMPARABLE%20PREV%202026.xlsx" TargetMode="External"/><Relationship Id="rId2" Type="http://schemas.openxmlformats.org/officeDocument/2006/relationships/externalLinkPath" Target="/Users/matthieujacob/Desktop/00%20MCDONALD'S/001%20PNL/2026/COMPARABLE/COMPARABLE%20PREV%202026.xlsx" TargetMode="External"/><Relationship Id="rId1" Type="http://schemas.openxmlformats.org/officeDocument/2006/relationships/externalLinkPath" Target="/Users/matthieujacob/Desktop/00%20MCDONALD'S/001%20PNL/2026/COMPARABLE/COMPARABLE%20PREV%202026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CHAMNORD.xlsx" TargetMode="External"/><Relationship Id="rId2" Type="http://schemas.openxmlformats.org/officeDocument/2006/relationships/externalLinkPath" Target="/Users/matthieujacob/Desktop/00%20MCDONALD'S/006%20TBJ/2026/TBJ%202026%20-%20CHAMNORD.xlsx" TargetMode="External"/><Relationship Id="rId1" Type="http://schemas.openxmlformats.org/officeDocument/2006/relationships/externalLinkPath" Target="/Users/matthieujacob/Desktop/00%20MCDONALD'S/006%20TBJ/2026/TBJ%202026%20-%20CHAMNORD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AIX.xlsx" TargetMode="External"/><Relationship Id="rId2" Type="http://schemas.openxmlformats.org/officeDocument/2006/relationships/externalLinkPath" Target="/Users/matthieujacob/Desktop/00%20MCDONALD'S/006%20TBJ/2026/TBJ%202026%20-%20AIX.xlsx" TargetMode="External"/><Relationship Id="rId1" Type="http://schemas.openxmlformats.org/officeDocument/2006/relationships/externalLinkPath" Target="/Users/matthieujacob/Desktop/00%20MCDONALD'S/006%20TBJ/2026/TBJ%202026%20-%20AIX.xlsx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BELLEY.xlsx" TargetMode="External"/><Relationship Id="rId2" Type="http://schemas.openxmlformats.org/officeDocument/2006/relationships/externalLinkPath" Target="/Users/matthieujacob/Desktop/00%20MCDONALD'S/006%20TBJ/2026/TBJ%202026%20-%20BELLEY.xlsx" TargetMode="External"/><Relationship Id="rId1" Type="http://schemas.openxmlformats.org/officeDocument/2006/relationships/externalLinkPath" Target="/Users/matthieujacob/Desktop/00%20MCDONALD'S/006%20TBJ/2026/TBJ%202026%20-%20BELLEY.xlsx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STALBAN.xlsx" TargetMode="External"/><Relationship Id="rId2" Type="http://schemas.openxmlformats.org/officeDocument/2006/relationships/externalLinkPath" Target="/Users/matthieujacob/Desktop/00%20MCDONALD'S/006%20TBJ/2026/TBJ%202026%20-%20STALBAN.xlsx" TargetMode="External"/><Relationship Id="rId1" Type="http://schemas.openxmlformats.org/officeDocument/2006/relationships/externalLinkPath" Target="/Users/matthieujacob/Desktop/00%20MCDONALD'S/006%20TBJ/2026/TBJ%202026%20-%20STALBAN.xlsx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ABRETS.xlsx" TargetMode="External"/><Relationship Id="rId2" Type="http://schemas.openxmlformats.org/officeDocument/2006/relationships/externalLinkPath" Target="/Users/matthieujacob/Desktop/00%20MCDONALD'S/006%20TBJ/2026/TBJ%202026%20-%20ABRETS.xlsx" TargetMode="External"/><Relationship Id="rId1" Type="http://schemas.openxmlformats.org/officeDocument/2006/relationships/externalLinkPath" Target="/Users/matthieujacob/Desktop/00%20MCDONALD'S/006%20TBJ/2026/TBJ%202026%20-%20ABRETS.xlsx" TargetMode="External"/></Relationships>
</file>

<file path=xl/externalLinks/_rels/externalLink7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PDB.xlsx" TargetMode="External"/><Relationship Id="rId2" Type="http://schemas.openxmlformats.org/officeDocument/2006/relationships/externalLinkPath" Target="/Users/matthieujacob/Desktop/00%20MCDONALD'S/006%20TBJ/2026/TBJ%202026%20-%20PDB.xlsx" TargetMode="External"/><Relationship Id="rId1" Type="http://schemas.openxmlformats.org/officeDocument/2006/relationships/externalLinkPath" Target="/Users/matthieujacob/Desktop/00%20MCDONALD'S/006%20TBJ/2026/TBJ%202026%20-%20PDB.xlsx" TargetMode="External"/></Relationships>
</file>

<file path=xl/externalLinks/_rels/externalLink8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FRANCIN.xlsx" TargetMode="External"/><Relationship Id="rId2" Type="http://schemas.openxmlformats.org/officeDocument/2006/relationships/externalLinkPath" Target="/Users/matthieujacob/Desktop/00%20MCDONALD'S/006%20TBJ/2026/TBJ%202026%20-%20FRANCIN.xlsx" TargetMode="External"/><Relationship Id="rId1" Type="http://schemas.openxmlformats.org/officeDocument/2006/relationships/externalLinkPath" Target="/Users/matthieujacob/Desktop/00%20MCDONALD'S/006%20TBJ/2026/TBJ%202026%20-%20FRANCIN.xlsx" TargetMode="External"/></Relationships>
</file>

<file path=xl/externalLinks/_rels/externalLink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TBJ/2026/TBJ%202026%20-%20VIVIERS.xlsx" TargetMode="External"/><Relationship Id="rId2" Type="http://schemas.openxmlformats.org/officeDocument/2006/relationships/externalLinkPath" Target="/Users/matthieujacob/Desktop/00%20MCDONALD'S/006%20TBJ/2026/TBJ%202026%20-%20VIVIERS.xlsx" TargetMode="External"/><Relationship Id="rId1" Type="http://schemas.openxmlformats.org/officeDocument/2006/relationships/externalLinkPath" Target="/Users/matthieujacob/Desktop/00%20MCDONALD'S/006%20TBJ/2026/TBJ%202026%20-%20VIVIERS.xlsx" TargetMode="External"/></Relationships>
</file>

<file path=xl/externalLinks/_rels/externalLink10.xml.rels><?xml version="1.0" encoding="UTF-8" standalone="yes"?>
<Relationships xmlns="http://schemas.openxmlformats.org/package/2006/relationships"><Relationship Id="rId3" Type="http://schemas.openxmlformats.org/officeDocument/2006/relationships/externalLinkPath" Target="../2025/INDICES%20DE%20GESTION%202025.xlsm" TargetMode="External"/><Relationship Id="rId2" Type="http://schemas.openxmlformats.org/officeDocument/2006/relationships/externalLinkPath" Target="/Users/matthieujacob/Desktop/00%20MCDONALD'S/003%20INDICES%20DE%20GESTION/2025/INDICES%20DE%20GESTION%202025.xlsm" TargetMode="External"/><Relationship Id="rId1" Type="http://schemas.openxmlformats.org/officeDocument/2006/relationships/externalLinkPath" Target="/Users/matthieujacob/Desktop/00%20MCDONALD'S/003%20INDICES%20DE%20GESTION/2025/INDICES%20DE%20GESTION%202025.xlsm" TargetMode="External"/></Relationships>
</file>

<file path=xl/externalLinks/_rels/externalLink1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TCHE/TCHE%20IDEALE.xlsx" TargetMode="External"/><Relationship Id="rId2" Type="http://schemas.openxmlformats.org/officeDocument/2006/relationships/externalLinkPath" Target="/Users/matthieujacob/Desktop/00%20MCDONALD'S/TCHE/TCHE%20IDEALE.xlsx" TargetMode="External"/><Relationship Id="rId1" Type="http://schemas.openxmlformats.org/officeDocument/2006/relationships/externalLinkPath" Target="/Users/matthieujacob/Desktop/00%20MCDONALD'S/TCHE/TCHE%20IDEALE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TCHE/TCHE%20REELLE.xlsx" TargetMode="External"/><Relationship Id="rId1" Type="http://schemas.openxmlformats.org/officeDocument/2006/relationships/externalLinkPath" Target="/Users/matthieujacob/Desktop/00%20MCDONALD'S/TCHE/TCHE%20REELLE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atthieujacob/Desktop/00%20MCDONALD'S/003%20INDICES%20DE%20GESTION/2026/C&amp;C%202026.xlsx" TargetMode="External"/><Relationship Id="rId1" Type="http://schemas.openxmlformats.org/officeDocument/2006/relationships/externalLinkPath" Target="C&amp;C%202026.xlsx" TargetMode="External"/></Relationships>
</file>

<file path=xl/externalLinks/_rels/externalLink1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CHAMNORD%202026.xlsx" TargetMode="External"/><Relationship Id="rId2" Type="http://schemas.openxmlformats.org/officeDocument/2006/relationships/externalLinkPath" Target="/Users/matthieujacob/Desktop/00%20MCDONALD'S/006%20INDICATEURS%20OPERATIONNELS/CHAMNORD%202026.xlsx" TargetMode="External"/><Relationship Id="rId1" Type="http://schemas.openxmlformats.org/officeDocument/2006/relationships/externalLinkPath" Target="/Users/matthieujacob/Desktop/00%20MCDONALD'S/006%20INDICATEURS%20OPERATIONNELS/CHAMNORD%202026.xlsx" TargetMode="External"/></Relationships>
</file>

<file path=xl/externalLinks/_rels/externalLink15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AIX%20LES%20BAINS%202026.xlsx" TargetMode="External"/><Relationship Id="rId2" Type="http://schemas.openxmlformats.org/officeDocument/2006/relationships/externalLinkPath" Target="/Users/matthieujacob/Desktop/00%20MCDONALD'S/006%20INDICATEURS%20OPERATIONNELS/AIX%20LES%20BAINS%202026.xlsx" TargetMode="External"/><Relationship Id="rId1" Type="http://schemas.openxmlformats.org/officeDocument/2006/relationships/externalLinkPath" Target="/Users/matthieujacob/Desktop/00%20MCDONALD'S/006%20INDICATEURS%20OPERATIONNELS/AIX%20LES%20BAINS%202026.xlsx" TargetMode="External"/></Relationships>
</file>

<file path=xl/externalLinks/_rels/externalLink16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BELLEY%202026.xlsx" TargetMode="External"/><Relationship Id="rId2" Type="http://schemas.openxmlformats.org/officeDocument/2006/relationships/externalLinkPath" Target="/Users/matthieujacob/Desktop/00%20MCDONALD'S/006%20INDICATEURS%20OPERATIONNELS/BELLEY%202026.xlsx" TargetMode="External"/><Relationship Id="rId1" Type="http://schemas.openxmlformats.org/officeDocument/2006/relationships/externalLinkPath" Target="/Users/matthieujacob/Desktop/00%20MCDONALD'S/006%20INDICATEURS%20OPERATIONNELS/BELLEY%202026.xlsx" TargetMode="External"/></Relationships>
</file>

<file path=xl/externalLinks/_rels/externalLink17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ST%20ALBAN%202026.xlsx" TargetMode="External"/><Relationship Id="rId2" Type="http://schemas.openxmlformats.org/officeDocument/2006/relationships/externalLinkPath" Target="/Users/matthieujacob/Desktop/00%20MCDONALD'S/006%20INDICATEURS%20OPERATIONNELS/ST%20ALBAN%202026.xlsx" TargetMode="External"/><Relationship Id="rId1" Type="http://schemas.openxmlformats.org/officeDocument/2006/relationships/externalLinkPath" Target="/Users/matthieujacob/Desktop/00%20MCDONALD'S/006%20INDICATEURS%20OPERATIONNELS/ST%20ALBAN%202026.xlsx" TargetMode="External"/></Relationships>
</file>

<file path=xl/externalLinks/_rels/externalLink18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LES%20ABRETS%202026.xlsx" TargetMode="External"/><Relationship Id="rId2" Type="http://schemas.openxmlformats.org/officeDocument/2006/relationships/externalLinkPath" Target="/Users/matthieujacob/Desktop/00%20MCDONALD'S/006%20INDICATEURS%20OPERATIONNELS/LES%20ABRETS%202026.xlsx" TargetMode="External"/><Relationship Id="rId1" Type="http://schemas.openxmlformats.org/officeDocument/2006/relationships/externalLinkPath" Target="/Users/matthieujacob/Desktop/00%20MCDONALD'S/006%20INDICATEURS%20OPERATIONNELS/LES%20ABRETS%202026.xlsx" TargetMode="External"/></Relationships>
</file>

<file path=xl/externalLinks/_rels/externalLink1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PDB%202026.xlsx" TargetMode="External"/><Relationship Id="rId2" Type="http://schemas.openxmlformats.org/officeDocument/2006/relationships/externalLinkPath" Target="/Users/matthieujacob/Desktop/00%20MCDONALD'S/006%20INDICATEURS%20OPERATIONNELS/PDB%202026.xlsx" TargetMode="External"/><Relationship Id="rId1" Type="http://schemas.openxmlformats.org/officeDocument/2006/relationships/externalLinkPath" Target="/Users/matthieujacob/Desktop/00%20MCDONALD'S/006%20INDICATEURS%20OPERATIONNELS/PDB%202026.xlsx" TargetMode="External"/></Relationships>
</file>

<file path=xl/externalLinks/_rels/externalLink20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FRANCIN%202026.xlsx" TargetMode="External"/><Relationship Id="rId2" Type="http://schemas.openxmlformats.org/officeDocument/2006/relationships/externalLinkPath" Target="/Users/matthieujacob/Desktop/00%20MCDONALD'S/006%20INDICATEURS%20OPERATIONNELS/FRANCIN%202026.xlsx" TargetMode="External"/><Relationship Id="rId1" Type="http://schemas.openxmlformats.org/officeDocument/2006/relationships/externalLinkPath" Target="/Users/matthieujacob/Desktop/00%20MCDONALD'S/006%20INDICATEURS%20OPERATIONNELS/FRANCIN%202026.xlsx" TargetMode="External"/></Relationships>
</file>

<file path=xl/externalLinks/_rels/externalLink2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06%20INDICATEURS%20OPERATIONNELS/VIVIERS%202026.xlsx" TargetMode="External"/><Relationship Id="rId2" Type="http://schemas.openxmlformats.org/officeDocument/2006/relationships/externalLinkPath" Target="/Users/matthieujacob/Desktop/00%20MCDONALD'S/006%20INDICATEURS%20OPERATIONNELS/VIVIERS%202026.xlsx" TargetMode="External"/><Relationship Id="rId1" Type="http://schemas.openxmlformats.org/officeDocument/2006/relationships/externalLinkPath" Target="/Users/matthieujacob/Desktop/00%20MCDONALD'S/006%20INDICATEURS%20OPERATIONNELS/VIVIERS%20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LOBAL 25"/>
      <sheetName val="GLOBAL SIMULATION"/>
      <sheetName val="GLOBAL PREV AN"/>
      <sheetName val="GLOBAL 26"/>
      <sheetName val="GLOBAL PREV"/>
      <sheetName val="FRANCHISE 25"/>
      <sheetName val="FRANCHISE PREV"/>
      <sheetName val="FRANCHISE 26"/>
      <sheetName val="FRANCHISE COMP PREV"/>
      <sheetName val="COMP MATTHIEU"/>
      <sheetName val="NORMAC 25"/>
      <sheetName val="NORMAC PREV"/>
      <sheetName val="NORMAC 26"/>
      <sheetName val="NORMAC COMP PREV"/>
      <sheetName val="NORMAC COMP 25"/>
      <sheetName val="TGM 25"/>
      <sheetName val="TGM PREV"/>
      <sheetName val="TGM 26"/>
      <sheetName val="TGM COMP PREV"/>
      <sheetName val="TGM COMP 25"/>
      <sheetName val="FLORJER 25"/>
      <sheetName val="FLORJER PREV"/>
      <sheetName val="FLORJER 26"/>
      <sheetName val="FLORJER COMP PREV"/>
      <sheetName val="FLORJER COMP 25"/>
      <sheetName val="BASARCHE 25"/>
      <sheetName val="BASARCHE PREV"/>
      <sheetName val="BASARCHE 26"/>
      <sheetName val="BASARCHE COMP PREV"/>
      <sheetName val="BASARCHE COMP 25"/>
      <sheetName val="CAMAIEU 25"/>
      <sheetName val="CAMAIEU PREV"/>
      <sheetName val="CAMAIEU 26"/>
      <sheetName val="CAMAIEU COMP PREV"/>
      <sheetName val="CAMAIEU COMP 25"/>
      <sheetName val="GLENANS 25"/>
      <sheetName val="GLENANS PREV"/>
      <sheetName val="GLENANS 26"/>
      <sheetName val="GLENANS COMP PREV"/>
      <sheetName val="GLENANS COMP 25"/>
      <sheetName val="JARV 25"/>
      <sheetName val="JARV PREV"/>
      <sheetName val="JARV 26"/>
      <sheetName val="JARV COMP PREV"/>
      <sheetName val="JARV COMP 25"/>
      <sheetName val="THENALAC 25"/>
      <sheetName val="THENALAC PREV"/>
      <sheetName val="THENALAC 26"/>
      <sheetName val="THENALAC COMP PREV"/>
      <sheetName val="THENALAC COMP 25"/>
      <sheetName val="ALIOME 25"/>
      <sheetName val="ALIOME PREV"/>
      <sheetName val="COMP ALIOME 25"/>
      <sheetName val="COMP ALIOME PREV "/>
      <sheetName val="VALENTIN 25"/>
      <sheetName val="VALENTIN PREV"/>
      <sheetName val="COMP VALENTIN 25"/>
      <sheetName val="COMP VALENTIN PREV"/>
    </sheetNames>
    <sheetDataSet>
      <sheetData sheetId="0"/>
      <sheetData sheetId="1"/>
      <sheetData sheetId="2">
        <row r="6">
          <cell r="C6">
            <v>7508792.2689460944</v>
          </cell>
          <cell r="D6">
            <v>1.0135700207344307</v>
          </cell>
          <cell r="F6">
            <v>5242221.8686564788</v>
          </cell>
          <cell r="G6">
            <v>1.0175120086677949</v>
          </cell>
          <cell r="I6">
            <v>4545046.46</v>
          </cell>
          <cell r="J6">
            <v>1.01</v>
          </cell>
          <cell r="L6">
            <v>5621943.722090872</v>
          </cell>
          <cell r="M6">
            <v>1.0157079895376462</v>
          </cell>
          <cell r="O6">
            <v>3630243</v>
          </cell>
          <cell r="P6">
            <v>1.01</v>
          </cell>
          <cell r="R6">
            <v>3672653</v>
          </cell>
          <cell r="S6">
            <v>1.0102750804610348</v>
          </cell>
          <cell r="U6">
            <v>3426122</v>
          </cell>
          <cell r="V6">
            <v>1.01</v>
          </cell>
          <cell r="X6">
            <v>3080500</v>
          </cell>
          <cell r="Y6">
            <v>1.01</v>
          </cell>
          <cell r="AA6">
            <v>36727522.319693446</v>
          </cell>
          <cell r="AB6">
            <v>1.0126950932975809</v>
          </cell>
        </row>
        <row r="7">
          <cell r="C7">
            <v>7408262</v>
          </cell>
          <cell r="D7">
            <v>1</v>
          </cell>
          <cell r="F7">
            <v>5152000</v>
          </cell>
          <cell r="G7">
            <v>1</v>
          </cell>
          <cell r="I7">
            <v>4500046</v>
          </cell>
          <cell r="J7">
            <v>1</v>
          </cell>
          <cell r="L7">
            <v>5535000</v>
          </cell>
          <cell r="M7">
            <v>1</v>
          </cell>
          <cell r="O7">
            <v>3594300</v>
          </cell>
          <cell r="P7">
            <v>1</v>
          </cell>
          <cell r="R7">
            <v>3635300</v>
          </cell>
          <cell r="S7">
            <v>1</v>
          </cell>
          <cell r="U7">
            <v>3392200</v>
          </cell>
          <cell r="V7">
            <v>1</v>
          </cell>
          <cell r="X7">
            <v>3050000</v>
          </cell>
          <cell r="Y7">
            <v>1</v>
          </cell>
          <cell r="AA7">
            <v>36267108</v>
          </cell>
          <cell r="AB7">
            <v>1</v>
          </cell>
        </row>
        <row r="8">
          <cell r="C8">
            <v>1529806.1030000001</v>
          </cell>
          <cell r="D8">
            <v>0.20650000000000002</v>
          </cell>
          <cell r="F8">
            <v>1056044.5</v>
          </cell>
          <cell r="G8">
            <v>0.20497758152173914</v>
          </cell>
          <cell r="I8">
            <v>922509.42999999993</v>
          </cell>
          <cell r="J8">
            <v>0.20499999999999999</v>
          </cell>
          <cell r="L8">
            <v>1142977.5000000002</v>
          </cell>
          <cell r="M8">
            <v>0.20650000000000004</v>
          </cell>
          <cell r="O8">
            <v>754803</v>
          </cell>
          <cell r="P8">
            <v>0.21</v>
          </cell>
          <cell r="R8">
            <v>752507.1</v>
          </cell>
          <cell r="S8">
            <v>0.20699999999999999</v>
          </cell>
          <cell r="U8">
            <v>712362</v>
          </cell>
          <cell r="V8">
            <v>0.21</v>
          </cell>
          <cell r="X8">
            <v>631349.99999999988</v>
          </cell>
          <cell r="Y8">
            <v>0.20699999999999996</v>
          </cell>
          <cell r="AA8">
            <v>7502359.6329999994</v>
          </cell>
          <cell r="AB8">
            <v>0.20686401664560625</v>
          </cell>
        </row>
        <row r="9">
          <cell r="C9">
            <v>34818.831399999995</v>
          </cell>
          <cell r="D9">
            <v>4.6999999999999993E-3</v>
          </cell>
          <cell r="F9">
            <v>23184</v>
          </cell>
          <cell r="G9">
            <v>4.4999999999999997E-3</v>
          </cell>
          <cell r="I9">
            <v>22500.23</v>
          </cell>
          <cell r="J9">
            <v>5.0000000000000001E-3</v>
          </cell>
          <cell r="L9">
            <v>27675</v>
          </cell>
          <cell r="M9">
            <v>5.0000000000000001E-3</v>
          </cell>
          <cell r="O9">
            <v>17971.5</v>
          </cell>
          <cell r="P9">
            <v>5.0000000000000001E-3</v>
          </cell>
          <cell r="R9">
            <v>16358.849999999999</v>
          </cell>
          <cell r="S9">
            <v>4.4999999999999997E-3</v>
          </cell>
          <cell r="U9">
            <v>16961</v>
          </cell>
          <cell r="V9">
            <v>5.0000000000000001E-3</v>
          </cell>
          <cell r="X9">
            <v>18300</v>
          </cell>
          <cell r="Y9">
            <v>6.0000000000000001E-3</v>
          </cell>
          <cell r="AA9">
            <v>177769.41139999998</v>
          </cell>
          <cell r="AB9">
            <v>4.9016704447456903E-3</v>
          </cell>
        </row>
        <row r="10">
          <cell r="C10">
            <v>37041.31</v>
          </cell>
          <cell r="D10">
            <v>5.0000000000000001E-3</v>
          </cell>
          <cell r="F10">
            <v>28335.999999999996</v>
          </cell>
          <cell r="G10">
            <v>5.4999999999999997E-3</v>
          </cell>
          <cell r="I10">
            <v>22500.23</v>
          </cell>
          <cell r="J10">
            <v>5.0000000000000001E-3</v>
          </cell>
          <cell r="L10">
            <v>33210</v>
          </cell>
          <cell r="M10">
            <v>6.0000000000000001E-3</v>
          </cell>
          <cell r="O10">
            <v>17971.5</v>
          </cell>
          <cell r="P10">
            <v>5.0000000000000001E-3</v>
          </cell>
          <cell r="R10">
            <v>19994.149999999994</v>
          </cell>
          <cell r="S10">
            <v>5.4999999999999988E-3</v>
          </cell>
          <cell r="U10">
            <v>16961</v>
          </cell>
          <cell r="V10">
            <v>5.0000000000000001E-3</v>
          </cell>
          <cell r="X10">
            <v>21350</v>
          </cell>
          <cell r="Y10">
            <v>7.0000000000000001E-3</v>
          </cell>
          <cell r="AA10">
            <v>197364.18999999997</v>
          </cell>
          <cell r="AB10">
            <v>5.4419610739295772E-3</v>
          </cell>
        </row>
        <row r="11">
          <cell r="C11">
            <v>148165.24</v>
          </cell>
          <cell r="D11">
            <v>0.02</v>
          </cell>
          <cell r="F11">
            <v>100464</v>
          </cell>
          <cell r="G11">
            <v>1.95E-2</v>
          </cell>
          <cell r="I11">
            <v>85500.873999999996</v>
          </cell>
          <cell r="J11">
            <v>1.9E-2</v>
          </cell>
          <cell r="L11">
            <v>116235.00000000001</v>
          </cell>
          <cell r="M11">
            <v>2.1000000000000001E-2</v>
          </cell>
          <cell r="O11">
            <v>73683.150000000009</v>
          </cell>
          <cell r="P11">
            <v>2.0500000000000001E-2</v>
          </cell>
          <cell r="R11">
            <v>74523.650000000009</v>
          </cell>
          <cell r="S11">
            <v>2.0500000000000001E-2</v>
          </cell>
          <cell r="U11">
            <v>67844</v>
          </cell>
          <cell r="V11">
            <v>0.02</v>
          </cell>
          <cell r="X11">
            <v>61000</v>
          </cell>
          <cell r="Y11">
            <v>0.02</v>
          </cell>
          <cell r="AA11">
            <v>727415.91399999999</v>
          </cell>
          <cell r="AB11">
            <v>2.005718002108136E-2</v>
          </cell>
        </row>
        <row r="12">
          <cell r="C12">
            <v>10999.999999999998</v>
          </cell>
          <cell r="D12">
            <v>1.4848286953134215E-3</v>
          </cell>
          <cell r="F12">
            <v>8000.3333333333339</v>
          </cell>
          <cell r="G12">
            <v>1.5528597308488614E-3</v>
          </cell>
          <cell r="I12">
            <v>6458.3333333333339</v>
          </cell>
          <cell r="J12">
            <v>1.4351705145532589E-3</v>
          </cell>
          <cell r="L12">
            <v>8499.9999999999982</v>
          </cell>
          <cell r="M12">
            <v>1.5356820234869012E-3</v>
          </cell>
          <cell r="O12">
            <v>5069.7000000000007</v>
          </cell>
          <cell r="P12">
            <v>1.4104832651698526E-3</v>
          </cell>
          <cell r="R12">
            <v>5041.666666666667</v>
          </cell>
          <cell r="S12">
            <v>1.3868639910507158E-3</v>
          </cell>
          <cell r="U12">
            <v>4500</v>
          </cell>
          <cell r="V12">
            <v>1.3265727256647603E-3</v>
          </cell>
          <cell r="X12">
            <v>4000.0000000000005</v>
          </cell>
          <cell r="Y12">
            <v>1.3114754098360658E-3</v>
          </cell>
          <cell r="AA12">
            <v>52570.033333333333</v>
          </cell>
          <cell r="AB12">
            <v>1.4495237208694261E-3</v>
          </cell>
        </row>
        <row r="13">
          <cell r="C13">
            <v>5647430.5155999996</v>
          </cell>
          <cell r="D13">
            <v>0.76231517130468651</v>
          </cell>
          <cell r="F13">
            <v>3935971.166666667</v>
          </cell>
          <cell r="G13">
            <v>0.76396955874741201</v>
          </cell>
          <cell r="I13">
            <v>3440576.902666667</v>
          </cell>
          <cell r="J13">
            <v>0.7645648294854468</v>
          </cell>
          <cell r="L13">
            <v>4206402.5000000009</v>
          </cell>
          <cell r="M13">
            <v>0.75996431797651331</v>
          </cell>
          <cell r="O13">
            <v>2724801.15</v>
          </cell>
          <cell r="P13">
            <v>0.75808951673483016</v>
          </cell>
          <cell r="R13">
            <v>2766874.5833333335</v>
          </cell>
          <cell r="S13">
            <v>0.76111313600894936</v>
          </cell>
          <cell r="U13">
            <v>2573572</v>
          </cell>
          <cell r="V13">
            <v>0.75867342727433529</v>
          </cell>
          <cell r="X13">
            <v>2314000</v>
          </cell>
          <cell r="Y13">
            <v>0.75868852459016389</v>
          </cell>
          <cell r="AA13">
            <v>27609628.818266667</v>
          </cell>
          <cell r="AB13">
            <v>0.76128564809376775</v>
          </cell>
        </row>
        <row r="14">
          <cell r="C14">
            <v>1167416.7630927833</v>
          </cell>
          <cell r="D14">
            <v>0.15758308265727958</v>
          </cell>
          <cell r="F14">
            <v>813194.51804123691</v>
          </cell>
          <cell r="G14">
            <v>0.15784055086204132</v>
          </cell>
          <cell r="I14">
            <v>714720.42680851067</v>
          </cell>
          <cell r="J14">
            <v>0.15882513796714759</v>
          </cell>
          <cell r="L14">
            <v>876051.75257731951</v>
          </cell>
          <cell r="M14">
            <v>0.15827493271496287</v>
          </cell>
          <cell r="O14">
            <v>573150.45744680846</v>
          </cell>
          <cell r="P14">
            <v>0.15946094022391244</v>
          </cell>
          <cell r="R14">
            <v>575998.31578947371</v>
          </cell>
          <cell r="S14">
            <v>0.15844588226266709</v>
          </cell>
          <cell r="U14">
            <v>532892.14893617027</v>
          </cell>
          <cell r="V14">
            <v>0.1570933756665793</v>
          </cell>
          <cell r="X14">
            <v>504467.41935483867</v>
          </cell>
          <cell r="Y14">
            <v>0.16539915388683235</v>
          </cell>
          <cell r="AA14">
            <v>5757891.8020471409</v>
          </cell>
          <cell r="AB14">
            <v>0.15876346694219845</v>
          </cell>
        </row>
        <row r="15">
          <cell r="C15">
            <v>231932.5295775687</v>
          </cell>
          <cell r="D15">
            <v>3.130727957212754E-2</v>
          </cell>
          <cell r="F15">
            <v>145147.89955412372</v>
          </cell>
          <cell r="G15">
            <v>2.8173117149480537E-2</v>
          </cell>
          <cell r="I15">
            <v>123000.78892395744</v>
          </cell>
          <cell r="J15">
            <v>2.7333229243424944E-2</v>
          </cell>
          <cell r="L15">
            <v>152035.92845360824</v>
          </cell>
          <cell r="M15">
            <v>2.7468099088276104E-2</v>
          </cell>
          <cell r="O15">
            <v>97790.130235638295</v>
          </cell>
          <cell r="P15">
            <v>2.7207002819919956E-2</v>
          </cell>
          <cell r="R15">
            <v>95030.719263157909</v>
          </cell>
          <cell r="S15">
            <v>2.6141094067383134E-2</v>
          </cell>
          <cell r="U15">
            <v>92106.71077712765</v>
          </cell>
          <cell r="V15">
            <v>2.7152500081695553E-2</v>
          </cell>
          <cell r="X15">
            <v>74951.827419354842</v>
          </cell>
          <cell r="Y15">
            <v>2.4574369645690111E-2</v>
          </cell>
          <cell r="AA15">
            <v>1011996.5342045367</v>
          </cell>
          <cell r="AB15">
            <v>2.7903976633718262E-2</v>
          </cell>
        </row>
        <row r="16">
          <cell r="C16">
            <v>249826.84333333327</v>
          </cell>
          <cell r="D16">
            <v>3.3722733258263984E-2</v>
          </cell>
          <cell r="F16">
            <v>214355.64000000004</v>
          </cell>
          <cell r="G16">
            <v>4.1606296583850941E-2</v>
          </cell>
          <cell r="I16">
            <v>218759.64000000004</v>
          </cell>
          <cell r="J16">
            <v>4.8612756402934561E-2</v>
          </cell>
          <cell r="L16">
            <v>214091.64000000004</v>
          </cell>
          <cell r="M16">
            <v>3.867960975609757E-2</v>
          </cell>
          <cell r="O16">
            <v>212135.34123143679</v>
          </cell>
          <cell r="P16">
            <v>5.901993190090888E-2</v>
          </cell>
          <cell r="R16">
            <v>178844.2</v>
          </cell>
          <cell r="S16">
            <v>4.9196544989409403E-2</v>
          </cell>
          <cell r="U16">
            <v>196267.7016</v>
          </cell>
          <cell r="V16">
            <v>5.7858528860326629E-2</v>
          </cell>
          <cell r="X16">
            <v>179268.65600000005</v>
          </cell>
          <cell r="Y16">
            <v>5.8776608524590178E-2</v>
          </cell>
          <cell r="AA16">
            <v>1663549.6621647701</v>
          </cell>
          <cell r="AB16">
            <v>4.5869377347782188E-2</v>
          </cell>
        </row>
        <row r="17">
          <cell r="C17">
            <v>94490.003496020538</v>
          </cell>
          <cell r="D17">
            <v>1.275467896465062E-2</v>
          </cell>
          <cell r="F17">
            <v>77755.517925000022</v>
          </cell>
          <cell r="G17">
            <v>1.5092297733889756E-2</v>
          </cell>
          <cell r="I17">
            <v>74533.232345000011</v>
          </cell>
          <cell r="J17">
            <v>1.656277121278316E-2</v>
          </cell>
          <cell r="L17">
            <v>72452.179170000032</v>
          </cell>
          <cell r="M17">
            <v>1.3089824601626021E-2</v>
          </cell>
          <cell r="O17">
            <v>67233.053968680717</v>
          </cell>
          <cell r="P17">
            <v>1.8705465311376547E-2</v>
          </cell>
          <cell r="R17">
            <v>64862.875299999992</v>
          </cell>
          <cell r="S17">
            <v>1.7842509641570158E-2</v>
          </cell>
          <cell r="U17">
            <v>62607.868913240003</v>
          </cell>
          <cell r="V17">
            <v>1.8456420291621957E-2</v>
          </cell>
          <cell r="X17">
            <v>56598.91801999999</v>
          </cell>
          <cell r="Y17">
            <v>1.8557022301639341E-2</v>
          </cell>
          <cell r="AA17">
            <v>570533.64913794131</v>
          </cell>
          <cell r="AB17">
            <v>1.5731434917224205E-2</v>
          </cell>
        </row>
        <row r="18">
          <cell r="C18">
            <v>-5004</v>
          </cell>
          <cell r="D18">
            <v>-6.7546207194076014E-4</v>
          </cell>
          <cell r="F18">
            <v>0</v>
          </cell>
          <cell r="G18">
            <v>0</v>
          </cell>
          <cell r="I18">
            <v>-2400</v>
          </cell>
          <cell r="J18">
            <v>-5.3332788153721096E-4</v>
          </cell>
          <cell r="L18">
            <v>0</v>
          </cell>
          <cell r="M18">
            <v>0</v>
          </cell>
          <cell r="O18">
            <v>-8000.0000000000009</v>
          </cell>
          <cell r="P18">
            <v>-2.225746320563114E-3</v>
          </cell>
          <cell r="R18">
            <v>0</v>
          </cell>
          <cell r="S18">
            <v>0</v>
          </cell>
          <cell r="U18">
            <v>-3499.9999999999995</v>
          </cell>
          <cell r="V18">
            <v>-1.0317787866281469E-3</v>
          </cell>
          <cell r="X18">
            <v>-8000.0000000000009</v>
          </cell>
          <cell r="Y18">
            <v>-2.6229508196721316E-3</v>
          </cell>
          <cell r="AA18">
            <v>-26904</v>
          </cell>
          <cell r="AB18">
            <v>-7.4182920788721282E-4</v>
          </cell>
        </row>
        <row r="19">
          <cell r="C19">
            <v>0</v>
          </cell>
          <cell r="D19">
            <v>0</v>
          </cell>
          <cell r="F19">
            <v>0</v>
          </cell>
          <cell r="G19">
            <v>0</v>
          </cell>
          <cell r="I19">
            <v>0</v>
          </cell>
          <cell r="J19">
            <v>0</v>
          </cell>
          <cell r="L19">
            <v>0</v>
          </cell>
          <cell r="M19">
            <v>0</v>
          </cell>
          <cell r="O19">
            <v>0</v>
          </cell>
          <cell r="P19">
            <v>0</v>
          </cell>
          <cell r="R19">
            <v>0</v>
          </cell>
          <cell r="S19">
            <v>0</v>
          </cell>
          <cell r="U19">
            <v>0</v>
          </cell>
          <cell r="V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</row>
        <row r="20">
          <cell r="C20">
            <v>1738662.139499706</v>
          </cell>
          <cell r="D20">
            <v>0.23469231238038099</v>
          </cell>
          <cell r="F20">
            <v>1250453.5755203608</v>
          </cell>
          <cell r="G20">
            <v>0.24271226232926257</v>
          </cell>
          <cell r="I20">
            <v>1128614.0880774681</v>
          </cell>
          <cell r="J20">
            <v>0.25080056694475306</v>
          </cell>
          <cell r="L20">
            <v>1314631.500200928</v>
          </cell>
          <cell r="M20">
            <v>0.23751246616096258</v>
          </cell>
          <cell r="O20">
            <v>942308.98288256442</v>
          </cell>
          <cell r="P20">
            <v>0.26216759393555472</v>
          </cell>
          <cell r="R20">
            <v>914736.11035263166</v>
          </cell>
          <cell r="S20">
            <v>0.25162603096102981</v>
          </cell>
          <cell r="U20">
            <v>880374.43022653775</v>
          </cell>
          <cell r="V20">
            <v>0.25952904611359523</v>
          </cell>
          <cell r="X20">
            <v>807286.82079419354</v>
          </cell>
          <cell r="Y20">
            <v>0.26468420353907984</v>
          </cell>
          <cell r="AA20">
            <v>8977067.6475543901</v>
          </cell>
          <cell r="AB20">
            <v>0.24752642663303592</v>
          </cell>
        </row>
        <row r="21">
          <cell r="C21">
            <v>141015.24000000002</v>
          </cell>
          <cell r="D21">
            <v>1.9034861348046279E-2</v>
          </cell>
          <cell r="F21">
            <v>104300.00000000001</v>
          </cell>
          <cell r="G21">
            <v>2.0244565217391309E-2</v>
          </cell>
          <cell r="I21">
            <v>55753.420000000006</v>
          </cell>
          <cell r="J21">
            <v>1.2389522240439321E-2</v>
          </cell>
          <cell r="L21">
            <v>106662.84000000004</v>
          </cell>
          <cell r="M21">
            <v>1.927061246612467E-2</v>
          </cell>
          <cell r="O21">
            <v>54521.4</v>
          </cell>
          <cell r="P21">
            <v>1.516885068024372E-2</v>
          </cell>
          <cell r="R21">
            <v>54521</v>
          </cell>
          <cell r="S21">
            <v>1.4997661816081203E-2</v>
          </cell>
          <cell r="U21">
            <v>59814.689999999995</v>
          </cell>
          <cell r="V21">
            <v>1.7633008077353927E-2</v>
          </cell>
          <cell r="X21">
            <v>57347.399999999987</v>
          </cell>
          <cell r="Y21">
            <v>1.8802426229508191E-2</v>
          </cell>
          <cell r="AA21">
            <v>633935.99000000011</v>
          </cell>
          <cell r="AB21">
            <v>1.7479639953646157E-2</v>
          </cell>
        </row>
        <row r="22">
          <cell r="C22">
            <v>0</v>
          </cell>
          <cell r="D22">
            <v>0</v>
          </cell>
          <cell r="F22">
            <v>27999.999999999996</v>
          </cell>
          <cell r="G22">
            <v>5.4347826086956512E-3</v>
          </cell>
          <cell r="I22">
            <v>0</v>
          </cell>
          <cell r="J22">
            <v>0</v>
          </cell>
          <cell r="L22">
            <v>0</v>
          </cell>
          <cell r="M22">
            <v>0</v>
          </cell>
          <cell r="O22">
            <v>0</v>
          </cell>
          <cell r="P22">
            <v>0</v>
          </cell>
          <cell r="R22">
            <v>0</v>
          </cell>
          <cell r="S22">
            <v>0</v>
          </cell>
          <cell r="U22">
            <v>0</v>
          </cell>
          <cell r="V22">
            <v>0</v>
          </cell>
          <cell r="X22">
            <v>0</v>
          </cell>
          <cell r="Y22">
            <v>0</v>
          </cell>
          <cell r="AA22">
            <v>27999.999999999996</v>
          </cell>
          <cell r="AB22">
            <v>7.7204942836908849E-4</v>
          </cell>
        </row>
        <row r="23">
          <cell r="C23">
            <v>58999.999999999993</v>
          </cell>
          <cell r="D23">
            <v>7.9640811839538066E-3</v>
          </cell>
          <cell r="F23">
            <v>38800</v>
          </cell>
          <cell r="G23">
            <v>7.5310559006211177E-3</v>
          </cell>
          <cell r="I23">
            <v>31899.999999999996</v>
          </cell>
          <cell r="J23">
            <v>7.0888164254320945E-3</v>
          </cell>
          <cell r="L23">
            <v>40600</v>
          </cell>
          <cell r="M23">
            <v>7.335140018066847E-3</v>
          </cell>
          <cell r="O23">
            <v>24500.000000000004</v>
          </cell>
          <cell r="P23">
            <v>6.816348106724537E-3</v>
          </cell>
          <cell r="R23">
            <v>27500.000000000004</v>
          </cell>
          <cell r="S23">
            <v>7.5647126784584504E-3</v>
          </cell>
          <cell r="U23">
            <v>26600.000000000004</v>
          </cell>
          <cell r="V23">
            <v>7.8415187783739179E-3</v>
          </cell>
          <cell r="X23">
            <v>24999.999999999996</v>
          </cell>
          <cell r="Y23">
            <v>8.1967213114754085E-3</v>
          </cell>
          <cell r="AA23">
            <v>273900</v>
          </cell>
          <cell r="AB23">
            <v>7.552297801081906E-3</v>
          </cell>
        </row>
        <row r="24">
          <cell r="C24">
            <v>26707.411999999993</v>
          </cell>
          <cell r="D24">
            <v>3.605084701378001E-3</v>
          </cell>
          <cell r="F24">
            <v>24999.999999999996</v>
          </cell>
          <cell r="G24">
            <v>4.8524844720496891E-3</v>
          </cell>
          <cell r="I24">
            <v>16416.276666666668</v>
          </cell>
          <cell r="J24">
            <v>3.6480241905675337E-3</v>
          </cell>
          <cell r="L24">
            <v>20613</v>
          </cell>
          <cell r="M24">
            <v>3.7241192411924121E-3</v>
          </cell>
          <cell r="O24">
            <v>17845.253333333338</v>
          </cell>
          <cell r="P24">
            <v>4.964875868272915E-3</v>
          </cell>
          <cell r="R24">
            <v>17118</v>
          </cell>
          <cell r="S24">
            <v>4.7088273319946085E-3</v>
          </cell>
          <cell r="U24">
            <v>8751.0266666666666</v>
          </cell>
          <cell r="V24">
            <v>2.5797496216811116E-3</v>
          </cell>
          <cell r="X24">
            <v>13999.999999999998</v>
          </cell>
          <cell r="Y24">
            <v>4.5901639344262286E-3</v>
          </cell>
          <cell r="AA24">
            <v>146450.96866666665</v>
          </cell>
          <cell r="AB24">
            <v>4.0381209515428316E-3</v>
          </cell>
        </row>
        <row r="25">
          <cell r="C25">
            <v>109319.48199999997</v>
          </cell>
          <cell r="D25">
            <v>1.4756427620945369E-2</v>
          </cell>
          <cell r="F25">
            <v>81628.736000000004</v>
          </cell>
          <cell r="G25">
            <v>1.5844086956521741E-2</v>
          </cell>
          <cell r="I25">
            <v>71002.043333333349</v>
          </cell>
          <cell r="J25">
            <v>1.5778070564908302E-2</v>
          </cell>
          <cell r="L25">
            <v>93091.519999999975</v>
          </cell>
          <cell r="M25">
            <v>1.6818702800361334E-2</v>
          </cell>
          <cell r="O25">
            <v>73088.100000000006</v>
          </cell>
          <cell r="P25">
            <v>2.0334446206493616E-2</v>
          </cell>
          <cell r="R25">
            <v>64603.628666666664</v>
          </cell>
          <cell r="S25">
            <v>1.7771195958151093E-2</v>
          </cell>
          <cell r="U25">
            <v>65486.373333333344</v>
          </cell>
          <cell r="V25">
            <v>1.9304985948155575E-2</v>
          </cell>
          <cell r="X25">
            <v>72177.8</v>
          </cell>
          <cell r="Y25">
            <v>2.3664852459016394E-2</v>
          </cell>
          <cell r="AA25">
            <v>630397.68333333335</v>
          </cell>
          <cell r="AB25">
            <v>1.738207753795349E-2</v>
          </cell>
        </row>
        <row r="26">
          <cell r="C26">
            <v>336042.13399999996</v>
          </cell>
          <cell r="D26">
            <v>4.5360454854323454E-2</v>
          </cell>
          <cell r="F26">
            <v>277728.73600000009</v>
          </cell>
          <cell r="G26">
            <v>5.3906975155279521E-2</v>
          </cell>
          <cell r="I26">
            <v>175071.74000000002</v>
          </cell>
          <cell r="J26">
            <v>3.8904433421347251E-2</v>
          </cell>
          <cell r="L26">
            <v>260967.36000000002</v>
          </cell>
          <cell r="M26">
            <v>4.7148574525745258E-2</v>
          </cell>
          <cell r="O26">
            <v>169954.75333333336</v>
          </cell>
          <cell r="P26">
            <v>4.7284520861734791E-2</v>
          </cell>
          <cell r="R26">
            <v>163742.62866666669</v>
          </cell>
          <cell r="S26">
            <v>4.5042397784685356E-2</v>
          </cell>
          <cell r="U26">
            <v>160652.09</v>
          </cell>
          <cell r="V26">
            <v>4.7359262425564527E-2</v>
          </cell>
          <cell r="X26">
            <v>168525.19999999998</v>
          </cell>
          <cell r="Y26">
            <v>5.5254163934426226E-2</v>
          </cell>
          <cell r="AA26">
            <v>1712684.6420000005</v>
          </cell>
          <cell r="AB26">
            <v>4.7224185672593483E-2</v>
          </cell>
        </row>
        <row r="27">
          <cell r="C27">
            <v>104299.00181372851</v>
          </cell>
          <cell r="D27">
            <v>1.4078740980506427E-2</v>
          </cell>
          <cell r="F27">
            <v>68849.782329651702</v>
          </cell>
          <cell r="G27">
            <v>1.3363699986345439E-2</v>
          </cell>
          <cell r="I27">
            <v>1644</v>
          </cell>
          <cell r="J27">
            <v>3.6532959885298951E-4</v>
          </cell>
          <cell r="L27">
            <v>120077.69047420843</v>
          </cell>
          <cell r="M27">
            <v>2.1694253021537206E-2</v>
          </cell>
          <cell r="O27">
            <v>0</v>
          </cell>
          <cell r="P27">
            <v>0</v>
          </cell>
          <cell r="R27">
            <v>0</v>
          </cell>
          <cell r="S27">
            <v>0</v>
          </cell>
          <cell r="U27">
            <v>0</v>
          </cell>
          <cell r="V27">
            <v>0</v>
          </cell>
          <cell r="X27">
            <v>35249.391374999999</v>
          </cell>
          <cell r="Y27">
            <v>1.15571775E-2</v>
          </cell>
          <cell r="AA27">
            <v>330119.86599258863</v>
          </cell>
          <cell r="AB27">
            <v>9.1024590654592216E-3</v>
          </cell>
        </row>
        <row r="28">
          <cell r="C28">
            <v>296330.48</v>
          </cell>
          <cell r="D28">
            <v>0.04</v>
          </cell>
          <cell r="F28">
            <v>206080</v>
          </cell>
          <cell r="G28">
            <v>0.04</v>
          </cell>
          <cell r="I28">
            <v>180001.84</v>
          </cell>
          <cell r="J28">
            <v>0.04</v>
          </cell>
          <cell r="L28">
            <v>221400</v>
          </cell>
          <cell r="M28">
            <v>0.04</v>
          </cell>
          <cell r="O28">
            <v>143772</v>
          </cell>
          <cell r="P28">
            <v>0.04</v>
          </cell>
          <cell r="R28">
            <v>145412</v>
          </cell>
          <cell r="S28">
            <v>0.04</v>
          </cell>
          <cell r="U28">
            <v>135688</v>
          </cell>
          <cell r="V28">
            <v>0.04</v>
          </cell>
          <cell r="X28">
            <v>122000</v>
          </cell>
          <cell r="Y28">
            <v>0.04</v>
          </cell>
          <cell r="AA28">
            <v>1450684.3199999998</v>
          </cell>
          <cell r="AB28">
            <v>3.9999999999999994E-2</v>
          </cell>
        </row>
        <row r="29">
          <cell r="C29">
            <v>66674.358000000007</v>
          </cell>
          <cell r="D29">
            <v>9.0000000000000011E-3</v>
          </cell>
          <cell r="F29">
            <v>51520</v>
          </cell>
          <cell r="G29">
            <v>0.01</v>
          </cell>
          <cell r="I29">
            <v>49500.506000000001</v>
          </cell>
          <cell r="J29">
            <v>1.1000000000000001E-2</v>
          </cell>
          <cell r="L29">
            <v>63652.500000000007</v>
          </cell>
          <cell r="M29">
            <v>1.1500000000000002E-2</v>
          </cell>
          <cell r="O29">
            <v>43131.599999999991</v>
          </cell>
          <cell r="P29">
            <v>1.1999999999999997E-2</v>
          </cell>
          <cell r="R29">
            <v>47258.9</v>
          </cell>
          <cell r="S29">
            <v>1.3000000000000001E-2</v>
          </cell>
          <cell r="U29">
            <v>33922</v>
          </cell>
          <cell r="V29">
            <v>0.01</v>
          </cell>
          <cell r="X29">
            <v>30500</v>
          </cell>
          <cell r="Y29">
            <v>0.01</v>
          </cell>
          <cell r="AA29">
            <v>386159.864</v>
          </cell>
          <cell r="AB29">
            <v>1.0647660795010179E-2</v>
          </cell>
        </row>
        <row r="30">
          <cell r="C30">
            <v>132758</v>
          </cell>
          <cell r="D30">
            <v>1.7920262539310838E-2</v>
          </cell>
          <cell r="F30">
            <v>100997</v>
          </cell>
          <cell r="G30">
            <v>1.9603454968944098E-2</v>
          </cell>
          <cell r="I30">
            <v>95169</v>
          </cell>
          <cell r="J30">
            <v>2.114845048250618E-2</v>
          </cell>
          <cell r="L30">
            <v>100532</v>
          </cell>
          <cell r="M30">
            <v>1.8162962962962964E-2</v>
          </cell>
          <cell r="O30">
            <v>87520.26999999999</v>
          </cell>
          <cell r="P30">
            <v>2.4349739865898782E-2</v>
          </cell>
          <cell r="R30">
            <v>87527</v>
          </cell>
          <cell r="S30">
            <v>2.4076967512997552E-2</v>
          </cell>
          <cell r="U30">
            <v>72966</v>
          </cell>
          <cell r="V30">
            <v>2.1509934555745534E-2</v>
          </cell>
          <cell r="X30">
            <v>68644</v>
          </cell>
          <cell r="Y30">
            <v>2.250622950819672E-2</v>
          </cell>
          <cell r="AA30">
            <v>746113.27</v>
          </cell>
          <cell r="AB30">
            <v>2.0572725842931839E-2</v>
          </cell>
        </row>
        <row r="31">
          <cell r="C31">
            <v>64000.000000000007</v>
          </cell>
          <cell r="D31">
            <v>8.6390033181871825E-3</v>
          </cell>
          <cell r="F31">
            <v>55800</v>
          </cell>
          <cell r="G31">
            <v>1.0830745341614907E-2</v>
          </cell>
          <cell r="I31">
            <v>45000</v>
          </cell>
          <cell r="J31">
            <v>9.9998977788227049E-3</v>
          </cell>
          <cell r="L31">
            <v>58000.000000000007</v>
          </cell>
          <cell r="M31">
            <v>1.0478771454381211E-2</v>
          </cell>
          <cell r="O31">
            <v>40000</v>
          </cell>
          <cell r="P31">
            <v>1.1128731602815569E-2</v>
          </cell>
          <cell r="R31">
            <v>35000.000000000007</v>
          </cell>
          <cell r="S31">
            <v>9.627816136219847E-3</v>
          </cell>
          <cell r="U31">
            <v>36000</v>
          </cell>
          <cell r="V31">
            <v>1.0612581805318082E-2</v>
          </cell>
          <cell r="X31">
            <v>32000.000000000004</v>
          </cell>
          <cell r="Y31">
            <v>1.0491803278688526E-2</v>
          </cell>
          <cell r="AA31">
            <v>365800</v>
          </cell>
          <cell r="AB31">
            <v>1.0086274317764736E-2</v>
          </cell>
        </row>
        <row r="32">
          <cell r="C32">
            <v>9840</v>
          </cell>
          <cell r="D32">
            <v>1.3282467601712789E-3</v>
          </cell>
          <cell r="F32">
            <v>10800</v>
          </cell>
          <cell r="G32">
            <v>2.0962732919254656E-3</v>
          </cell>
          <cell r="I32">
            <v>7317.6000000000013</v>
          </cell>
          <cell r="J32">
            <v>1.6261167108069564E-3</v>
          </cell>
          <cell r="L32">
            <v>7603.6800000000012</v>
          </cell>
          <cell r="M32">
            <v>1.3737452574525747E-3</v>
          </cell>
          <cell r="O32">
            <v>8120.8</v>
          </cell>
          <cell r="P32">
            <v>2.2593550900036168E-3</v>
          </cell>
          <cell r="R32">
            <v>6720</v>
          </cell>
          <cell r="S32">
            <v>1.8485406981542101E-3</v>
          </cell>
          <cell r="U32">
            <v>9980.8799999999992</v>
          </cell>
          <cell r="V32">
            <v>2.9423029302517536E-3</v>
          </cell>
          <cell r="X32">
            <v>12000</v>
          </cell>
          <cell r="Y32">
            <v>3.9344262295081967E-3</v>
          </cell>
          <cell r="AA32">
            <v>72382.960000000006</v>
          </cell>
          <cell r="AB32">
            <v>1.9958293889879505E-3</v>
          </cell>
        </row>
        <row r="33">
          <cell r="C33">
            <v>10000</v>
          </cell>
          <cell r="D33">
            <v>1.3498442684667471E-3</v>
          </cell>
          <cell r="F33">
            <v>9000</v>
          </cell>
          <cell r="G33">
            <v>1.7468944099378882E-3</v>
          </cell>
          <cell r="I33">
            <v>5000</v>
          </cell>
          <cell r="J33">
            <v>1.1110997532025229E-3</v>
          </cell>
          <cell r="L33">
            <v>6999.9999999999991</v>
          </cell>
          <cell r="M33">
            <v>1.2646793134598012E-3</v>
          </cell>
          <cell r="O33">
            <v>3000</v>
          </cell>
          <cell r="P33">
            <v>8.3465487021116766E-4</v>
          </cell>
          <cell r="R33">
            <v>6000</v>
          </cell>
          <cell r="S33">
            <v>1.6504827662091161E-3</v>
          </cell>
          <cell r="U33">
            <v>4000.0000000000005</v>
          </cell>
          <cell r="V33">
            <v>1.1791757561464538E-3</v>
          </cell>
          <cell r="X33">
            <v>4000.0000000000005</v>
          </cell>
          <cell r="Y33">
            <v>1.3114754098360658E-3</v>
          </cell>
          <cell r="AA33">
            <v>48000</v>
          </cell>
          <cell r="AB33">
            <v>1.3235133057755805E-3</v>
          </cell>
        </row>
        <row r="34">
          <cell r="C34">
            <v>2888824.4022865649</v>
          </cell>
          <cell r="D34">
            <v>0.38994630620333959</v>
          </cell>
          <cell r="F34">
            <v>1904742.0728166536</v>
          </cell>
          <cell r="G34">
            <v>0.36970925326410203</v>
          </cell>
          <cell r="I34">
            <v>1753258.1285891985</v>
          </cell>
          <cell r="J34">
            <v>0.38960893479515507</v>
          </cell>
          <cell r="L34">
            <v>2052537.7693248636</v>
          </cell>
          <cell r="M34">
            <v>0.37082886528001147</v>
          </cell>
          <cell r="O34">
            <v>1286992.7437841024</v>
          </cell>
          <cell r="P34">
            <v>0.3580649205086115</v>
          </cell>
          <cell r="R34">
            <v>1360477.9443140351</v>
          </cell>
          <cell r="S34">
            <v>0.37424090014965344</v>
          </cell>
          <cell r="U34">
            <v>1239988.5997734619</v>
          </cell>
          <cell r="V34">
            <v>0.36554112368771358</v>
          </cell>
          <cell r="X34">
            <v>1033794.5878308063</v>
          </cell>
          <cell r="Y34">
            <v>0.33894904519042829</v>
          </cell>
          <cell r="AA34">
            <v>13520616.248719683</v>
          </cell>
          <cell r="AB34">
            <v>0.37280657307220866</v>
          </cell>
        </row>
        <row r="35">
          <cell r="C35">
            <v>1185321.92</v>
          </cell>
          <cell r="D35">
            <v>0.16</v>
          </cell>
          <cell r="F35">
            <v>927360</v>
          </cell>
          <cell r="G35">
            <v>0.18</v>
          </cell>
          <cell r="I35">
            <v>675006.9</v>
          </cell>
          <cell r="J35">
            <v>0.15</v>
          </cell>
          <cell r="L35">
            <v>1079325</v>
          </cell>
          <cell r="M35">
            <v>0.19500000000000001</v>
          </cell>
          <cell r="O35">
            <v>593059.5</v>
          </cell>
          <cell r="P35">
            <v>0.16500000000000001</v>
          </cell>
          <cell r="R35">
            <v>545295</v>
          </cell>
          <cell r="S35">
            <v>0.15</v>
          </cell>
          <cell r="U35">
            <v>474908.00000000006</v>
          </cell>
          <cell r="V35">
            <v>0.14000000000000001</v>
          </cell>
          <cell r="X35">
            <v>472750</v>
          </cell>
          <cell r="Y35">
            <v>0.155</v>
          </cell>
          <cell r="AA35">
            <v>5953026.3200000003</v>
          </cell>
          <cell r="AB35">
            <v>0.16414394883650499</v>
          </cell>
        </row>
        <row r="36">
          <cell r="C36">
            <v>0</v>
          </cell>
          <cell r="D36">
            <v>0</v>
          </cell>
          <cell r="F36">
            <v>0</v>
          </cell>
          <cell r="G36">
            <v>0</v>
          </cell>
          <cell r="I36">
            <v>0</v>
          </cell>
          <cell r="J36">
            <v>0</v>
          </cell>
          <cell r="L36">
            <v>42552</v>
          </cell>
          <cell r="M36">
            <v>7.6878048780487807E-3</v>
          </cell>
          <cell r="O36">
            <v>17124</v>
          </cell>
          <cell r="P36">
            <v>4.7642099991653452E-3</v>
          </cell>
          <cell r="R36">
            <v>0</v>
          </cell>
          <cell r="S36">
            <v>0</v>
          </cell>
          <cell r="U36">
            <v>7308</v>
          </cell>
          <cell r="V36">
            <v>2.1543541064795706E-3</v>
          </cell>
          <cell r="X36">
            <v>0</v>
          </cell>
          <cell r="Y36">
            <v>0</v>
          </cell>
          <cell r="AA36">
            <v>66984</v>
          </cell>
          <cell r="AB36">
            <v>1.8469628182098225E-3</v>
          </cell>
        </row>
        <row r="37">
          <cell r="C37">
            <v>-58525.269800000002</v>
          </cell>
          <cell r="D37">
            <v>-7.9000000000000008E-3</v>
          </cell>
          <cell r="F37">
            <v>-18547.2</v>
          </cell>
          <cell r="G37">
            <v>-3.6000000000000003E-3</v>
          </cell>
          <cell r="I37">
            <v>-1800.0183999999999</v>
          </cell>
          <cell r="J37">
            <v>-3.9999999999999996E-4</v>
          </cell>
          <cell r="L37">
            <v>-59224.499999999993</v>
          </cell>
          <cell r="M37">
            <v>-1.0699999999999999E-2</v>
          </cell>
          <cell r="O37">
            <v>-1797.1499999999999</v>
          </cell>
          <cell r="P37">
            <v>-5.0000000000000001E-4</v>
          </cell>
          <cell r="R37">
            <v>-11269.43</v>
          </cell>
          <cell r="S37">
            <v>-3.0999999999999999E-3</v>
          </cell>
          <cell r="U37">
            <v>-1017.6599999999999</v>
          </cell>
          <cell r="V37">
            <v>-2.9999999999999997E-4</v>
          </cell>
          <cell r="X37">
            <v>-3367.46</v>
          </cell>
          <cell r="Y37">
            <v>-1.1040852459016394E-3</v>
          </cell>
          <cell r="AA37">
            <v>-155548.68819999998</v>
          </cell>
          <cell r="AB37">
            <v>-4.288974136013271E-3</v>
          </cell>
        </row>
        <row r="38">
          <cell r="C38">
            <v>1126796.6502</v>
          </cell>
          <cell r="D38">
            <v>0.15210000000000001</v>
          </cell>
          <cell r="F38">
            <v>908812.80000000005</v>
          </cell>
          <cell r="G38">
            <v>0.1764</v>
          </cell>
          <cell r="I38">
            <v>673206.88160000008</v>
          </cell>
          <cell r="J38">
            <v>0.14960000000000001</v>
          </cell>
          <cell r="L38">
            <v>1062652.5</v>
          </cell>
          <cell r="M38">
            <v>0.19198780487804878</v>
          </cell>
          <cell r="O38">
            <v>608386.35</v>
          </cell>
          <cell r="P38">
            <v>0.16926420999916533</v>
          </cell>
          <cell r="R38">
            <v>534025.57000000007</v>
          </cell>
          <cell r="S38">
            <v>0.14690000000000003</v>
          </cell>
          <cell r="U38">
            <v>481198.34000000008</v>
          </cell>
          <cell r="V38">
            <v>0.14185435410647959</v>
          </cell>
          <cell r="X38">
            <v>469382.54000000004</v>
          </cell>
          <cell r="Y38">
            <v>0.15389591475409836</v>
          </cell>
          <cell r="AA38">
            <v>5864461.6318000006</v>
          </cell>
          <cell r="AB38">
            <v>0.16170193751870154</v>
          </cell>
        </row>
        <row r="39">
          <cell r="C39">
            <v>0</v>
          </cell>
          <cell r="D39">
            <v>0</v>
          </cell>
          <cell r="F39">
            <v>0</v>
          </cell>
          <cell r="G39">
            <v>0</v>
          </cell>
          <cell r="I39">
            <v>0</v>
          </cell>
          <cell r="J39">
            <v>0</v>
          </cell>
          <cell r="L39">
            <v>612</v>
          </cell>
          <cell r="M39">
            <v>1.105691056910569E-4</v>
          </cell>
          <cell r="O39">
            <v>8160</v>
          </cell>
          <cell r="P39">
            <v>2.2702612469743763E-3</v>
          </cell>
          <cell r="R39">
            <v>0</v>
          </cell>
          <cell r="S39">
            <v>0</v>
          </cell>
          <cell r="U39">
            <v>0</v>
          </cell>
          <cell r="V39">
            <v>0</v>
          </cell>
          <cell r="X39">
            <v>0</v>
          </cell>
          <cell r="Y39">
            <v>0</v>
          </cell>
          <cell r="AA39">
            <v>8772</v>
          </cell>
          <cell r="AB39">
            <v>2.4187205663048732E-4</v>
          </cell>
        </row>
        <row r="40">
          <cell r="C40">
            <v>370413.1</v>
          </cell>
          <cell r="D40">
            <v>4.9999999999999996E-2</v>
          </cell>
          <cell r="F40">
            <v>257600</v>
          </cell>
          <cell r="G40">
            <v>0.05</v>
          </cell>
          <cell r="I40">
            <v>225002.3</v>
          </cell>
          <cell r="J40">
            <v>4.9999999999999996E-2</v>
          </cell>
          <cell r="L40">
            <v>276750</v>
          </cell>
          <cell r="M40">
            <v>0.05</v>
          </cell>
          <cell r="O40">
            <v>179715</v>
          </cell>
          <cell r="P40">
            <v>0.05</v>
          </cell>
          <cell r="R40">
            <v>181765</v>
          </cell>
          <cell r="S40">
            <v>0.05</v>
          </cell>
          <cell r="U40">
            <v>169610</v>
          </cell>
          <cell r="V40">
            <v>0.05</v>
          </cell>
          <cell r="X40">
            <v>152500</v>
          </cell>
          <cell r="Y40">
            <v>0.05</v>
          </cell>
          <cell r="AA40">
            <v>1813355.4</v>
          </cell>
          <cell r="AB40">
            <v>4.9999999999999996E-2</v>
          </cell>
        </row>
        <row r="41">
          <cell r="C41">
            <v>43200</v>
          </cell>
          <cell r="D41">
            <v>5.8313272397763471E-3</v>
          </cell>
          <cell r="F41">
            <v>33948</v>
          </cell>
          <cell r="G41">
            <v>6.5892857142857142E-3</v>
          </cell>
          <cell r="I41">
            <v>29148</v>
          </cell>
          <cell r="J41">
            <v>6.4772671212694269E-3</v>
          </cell>
          <cell r="L41">
            <v>34896</v>
          </cell>
          <cell r="M41">
            <v>6.3046070460704611E-3</v>
          </cell>
          <cell r="O41">
            <v>26952</v>
          </cell>
          <cell r="P41">
            <v>7.4985393539771308E-3</v>
          </cell>
          <cell r="R41">
            <v>27636</v>
          </cell>
          <cell r="S41">
            <v>7.6021236211591889E-3</v>
          </cell>
          <cell r="U41">
            <v>27660</v>
          </cell>
          <cell r="V41">
            <v>8.1540003537527266E-3</v>
          </cell>
          <cell r="X41">
            <v>26880</v>
          </cell>
          <cell r="Y41">
            <v>8.8131147540983605E-3</v>
          </cell>
          <cell r="AA41">
            <v>250320</v>
          </cell>
          <cell r="AB41">
            <v>6.902121889619652E-3</v>
          </cell>
        </row>
        <row r="42">
          <cell r="C42">
            <v>39480</v>
          </cell>
          <cell r="D42">
            <v>5.3291851719067173E-3</v>
          </cell>
          <cell r="F42">
            <v>30672</v>
          </cell>
          <cell r="G42">
            <v>5.9534161490683232E-3</v>
          </cell>
          <cell r="I42">
            <v>23040</v>
          </cell>
          <cell r="J42">
            <v>5.1199476627572255E-3</v>
          </cell>
          <cell r="L42">
            <v>26040</v>
          </cell>
          <cell r="M42">
            <v>4.7046070460704604E-3</v>
          </cell>
          <cell r="O42">
            <v>18564</v>
          </cell>
          <cell r="P42">
            <v>5.1648443368667056E-3</v>
          </cell>
          <cell r="R42">
            <v>17844</v>
          </cell>
          <cell r="S42">
            <v>4.9085357467059118E-3</v>
          </cell>
          <cell r="U42">
            <v>17988</v>
          </cell>
          <cell r="V42">
            <v>5.3027533753906017E-3</v>
          </cell>
          <cell r="X42">
            <v>16020</v>
          </cell>
          <cell r="Y42">
            <v>5.2524590163934423E-3</v>
          </cell>
          <cell r="AA42">
            <v>189648</v>
          </cell>
          <cell r="AB42">
            <v>5.2292010711193181E-3</v>
          </cell>
        </row>
        <row r="43">
          <cell r="C43">
            <v>61752</v>
          </cell>
          <cell r="D43">
            <v>8.3355583266358554E-3</v>
          </cell>
          <cell r="F43">
            <v>39132</v>
          </cell>
          <cell r="G43">
            <v>7.5954968944099378E-3</v>
          </cell>
          <cell r="I43">
            <v>35100</v>
          </cell>
          <cell r="J43">
            <v>7.7999202674817105E-3</v>
          </cell>
          <cell r="L43">
            <v>36600</v>
          </cell>
          <cell r="M43">
            <v>6.6124661246612466E-3</v>
          </cell>
          <cell r="O43">
            <v>24240</v>
          </cell>
          <cell r="P43">
            <v>6.7440113513062352E-3</v>
          </cell>
          <cell r="R43">
            <v>33240</v>
          </cell>
          <cell r="S43">
            <v>9.1436745247985042E-3</v>
          </cell>
          <cell r="U43">
            <v>20736</v>
          </cell>
          <cell r="V43">
            <v>6.112847119863216E-3</v>
          </cell>
          <cell r="X43">
            <v>31776</v>
          </cell>
          <cell r="Y43">
            <v>1.0418360655737705E-2</v>
          </cell>
          <cell r="AA43">
            <v>282576</v>
          </cell>
          <cell r="AB43">
            <v>7.7915228311008422E-3</v>
          </cell>
        </row>
        <row r="44">
          <cell r="C44">
            <v>313008</v>
          </cell>
          <cell r="D44">
            <v>4.2251205478423953E-2</v>
          </cell>
          <cell r="F44">
            <v>60228</v>
          </cell>
          <cell r="G44">
            <v>1.1690217391304348E-2</v>
          </cell>
          <cell r="I44">
            <v>168252</v>
          </cell>
          <cell r="J44">
            <v>3.7388951135166174E-2</v>
          </cell>
          <cell r="L44">
            <v>227712</v>
          </cell>
          <cell r="M44">
            <v>4.1140379403794038E-2</v>
          </cell>
          <cell r="O44">
            <v>42000</v>
          </cell>
          <cell r="P44">
            <v>1.1685168182956347E-2</v>
          </cell>
          <cell r="R44">
            <v>58872</v>
          </cell>
          <cell r="S44">
            <v>1.6194536902043848E-2</v>
          </cell>
          <cell r="U44">
            <v>32340</v>
          </cell>
          <cell r="V44">
            <v>9.533635988444077E-3</v>
          </cell>
          <cell r="X44">
            <v>174000</v>
          </cell>
          <cell r="Y44">
            <v>5.7049180327868855E-2</v>
          </cell>
          <cell r="AA44">
            <v>1076412</v>
          </cell>
          <cell r="AB44">
            <v>2.9680116760343836E-2</v>
          </cell>
        </row>
        <row r="45">
          <cell r="C45">
            <v>11256</v>
          </cell>
          <cell r="D45">
            <v>1.5193847085861704E-3</v>
          </cell>
          <cell r="F45">
            <v>9072</v>
          </cell>
          <cell r="G45">
            <v>1.7608695652173913E-3</v>
          </cell>
          <cell r="I45">
            <v>7980</v>
          </cell>
          <cell r="J45">
            <v>1.7733152061112263E-3</v>
          </cell>
          <cell r="L45">
            <v>6372</v>
          </cell>
          <cell r="M45">
            <v>1.151219512195122E-3</v>
          </cell>
          <cell r="O45">
            <v>9264.48</v>
          </cell>
          <cell r="P45">
            <v>2.5775477839913193E-3</v>
          </cell>
          <cell r="R45">
            <v>6624</v>
          </cell>
          <cell r="S45">
            <v>1.8221329738948642E-3</v>
          </cell>
          <cell r="U45">
            <v>8376</v>
          </cell>
          <cell r="V45">
            <v>2.4691940333706739E-3</v>
          </cell>
          <cell r="X45">
            <v>0</v>
          </cell>
          <cell r="Y45">
            <v>0</v>
          </cell>
          <cell r="AA45">
            <v>58944.479999999996</v>
          </cell>
          <cell r="AB45">
            <v>1.6252875746254705E-3</v>
          </cell>
        </row>
        <row r="46">
          <cell r="C46">
            <v>0</v>
          </cell>
          <cell r="D46">
            <v>0</v>
          </cell>
          <cell r="F46">
            <v>0</v>
          </cell>
          <cell r="G46">
            <v>0</v>
          </cell>
          <cell r="I46">
            <v>0</v>
          </cell>
          <cell r="J46">
            <v>0</v>
          </cell>
          <cell r="L46">
            <v>0</v>
          </cell>
          <cell r="M46">
            <v>0</v>
          </cell>
          <cell r="O46">
            <v>0</v>
          </cell>
          <cell r="P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X46">
            <v>0</v>
          </cell>
          <cell r="Y46">
            <v>0</v>
          </cell>
          <cell r="AA46">
            <v>0</v>
          </cell>
          <cell r="AB46">
            <v>0</v>
          </cell>
        </row>
        <row r="47">
          <cell r="C47">
            <v>100530.26894609595</v>
          </cell>
          <cell r="D47">
            <v>1.3570020734430822E-2</v>
          </cell>
          <cell r="F47">
            <v>90221.868656478124</v>
          </cell>
          <cell r="G47">
            <v>1.7512008667794666E-2</v>
          </cell>
          <cell r="I47">
            <v>45000.460000000021</v>
          </cell>
          <cell r="J47">
            <v>1.0000000000000005E-2</v>
          </cell>
          <cell r="L47">
            <v>86943.722090871597</v>
          </cell>
          <cell r="M47">
            <v>1.570798953764618E-2</v>
          </cell>
          <cell r="O47">
            <v>35943</v>
          </cell>
          <cell r="P47">
            <v>0.01</v>
          </cell>
          <cell r="R47">
            <v>37353</v>
          </cell>
          <cell r="S47">
            <v>1.0275080461034853E-2</v>
          </cell>
          <cell r="U47">
            <v>33922</v>
          </cell>
          <cell r="V47">
            <v>0.01</v>
          </cell>
          <cell r="X47">
            <v>30500</v>
          </cell>
          <cell r="Y47">
            <v>0.01</v>
          </cell>
          <cell r="AA47">
            <v>460414.31969344569</v>
          </cell>
          <cell r="AB47">
            <v>1.2695093297580983E-2</v>
          </cell>
        </row>
        <row r="48">
          <cell r="C48">
            <v>100530.26894609595</v>
          </cell>
          <cell r="D48">
            <v>1.3570020734430822E-2</v>
          </cell>
          <cell r="F48">
            <v>90221.868656478124</v>
          </cell>
          <cell r="G48">
            <v>1.7512008667794666E-2</v>
          </cell>
          <cell r="I48">
            <v>45000.460000000021</v>
          </cell>
          <cell r="J48">
            <v>1.0000000000000005E-2</v>
          </cell>
          <cell r="L48">
            <v>86943.722090871597</v>
          </cell>
          <cell r="M48">
            <v>1.570798953764618E-2</v>
          </cell>
          <cell r="O48">
            <v>35943</v>
          </cell>
          <cell r="P48">
            <v>0.01</v>
          </cell>
          <cell r="R48">
            <v>37353</v>
          </cell>
          <cell r="S48">
            <v>1.0275080461034853E-2</v>
          </cell>
          <cell r="U48">
            <v>33922</v>
          </cell>
          <cell r="V48">
            <v>0.01</v>
          </cell>
          <cell r="X48">
            <v>30500</v>
          </cell>
          <cell r="Y48">
            <v>0.01</v>
          </cell>
          <cell r="AA48">
            <v>460414.31969344569</v>
          </cell>
          <cell r="AB48">
            <v>1.2695093297580983E-2</v>
          </cell>
        </row>
        <row r="49">
          <cell r="C49">
            <v>0</v>
          </cell>
          <cell r="D49">
            <v>0</v>
          </cell>
          <cell r="F49">
            <v>0</v>
          </cell>
          <cell r="G49">
            <v>0</v>
          </cell>
          <cell r="I49">
            <v>0</v>
          </cell>
          <cell r="J49">
            <v>0</v>
          </cell>
          <cell r="L49">
            <v>0</v>
          </cell>
          <cell r="M49">
            <v>0</v>
          </cell>
          <cell r="O49">
            <v>0</v>
          </cell>
          <cell r="P49">
            <v>0</v>
          </cell>
          <cell r="R49">
            <v>0</v>
          </cell>
          <cell r="S49">
            <v>0</v>
          </cell>
          <cell r="U49">
            <v>0</v>
          </cell>
          <cell r="V49">
            <v>0</v>
          </cell>
          <cell r="X49">
            <v>0</v>
          </cell>
          <cell r="Y49">
            <v>0</v>
          </cell>
          <cell r="AA49">
            <v>0</v>
          </cell>
          <cell r="AB49">
            <v>0</v>
          </cell>
        </row>
        <row r="50">
          <cell r="C50">
            <v>27000</v>
          </cell>
          <cell r="D50">
            <v>3.6445795248602167E-3</v>
          </cell>
          <cell r="F50">
            <v>600</v>
          </cell>
          <cell r="G50">
            <v>1.1645962732919254E-4</v>
          </cell>
          <cell r="I50">
            <v>5640</v>
          </cell>
          <cell r="J50">
            <v>1.2533205216124458E-3</v>
          </cell>
          <cell r="L50">
            <v>1440</v>
          </cell>
          <cell r="M50">
            <v>2.6016260162601624E-4</v>
          </cell>
          <cell r="O50">
            <v>1320</v>
          </cell>
          <cell r="P50">
            <v>3.6724814289291379E-4</v>
          </cell>
          <cell r="R50">
            <v>1320</v>
          </cell>
          <cell r="S50">
            <v>3.6310620856600553E-4</v>
          </cell>
          <cell r="U50">
            <v>0</v>
          </cell>
          <cell r="V50">
            <v>0</v>
          </cell>
          <cell r="X50">
            <v>32760</v>
          </cell>
          <cell r="Y50">
            <v>1.0740983606557376E-2</v>
          </cell>
          <cell r="AA50">
            <v>70080</v>
          </cell>
          <cell r="AB50">
            <v>1.9323294264323475E-3</v>
          </cell>
        </row>
        <row r="51">
          <cell r="C51">
            <v>895918.65208656515</v>
          </cell>
          <cell r="D51">
            <v>0.12093506575315036</v>
          </cell>
          <cell r="F51">
            <v>564677.27281665371</v>
          </cell>
          <cell r="G51">
            <v>0.10960350792248713</v>
          </cell>
          <cell r="I51">
            <v>585888.94698919856</v>
          </cell>
          <cell r="J51">
            <v>0.13019621288075689</v>
          </cell>
          <cell r="L51">
            <v>379463.26932486368</v>
          </cell>
          <cell r="M51">
            <v>6.8557049561854322E-2</v>
          </cell>
          <cell r="O51">
            <v>368390.91378410236</v>
          </cell>
          <cell r="P51">
            <v>0.10249309011048115</v>
          </cell>
          <cell r="R51">
            <v>499151.374314035</v>
          </cell>
          <cell r="S51">
            <v>0.13730679017248507</v>
          </cell>
          <cell r="U51">
            <v>482080.25977346208</v>
          </cell>
          <cell r="V51">
            <v>0.14211433871041274</v>
          </cell>
          <cell r="X51">
            <v>130476.04783080635</v>
          </cell>
          <cell r="Y51">
            <v>4.2779032075674212E-2</v>
          </cell>
          <cell r="AA51">
            <v>3906046.7369196871</v>
          </cell>
          <cell r="AB51">
            <v>0.10770218394363529</v>
          </cell>
        </row>
        <row r="52">
          <cell r="C52">
            <v>1320712.9210326611</v>
          </cell>
          <cell r="D52">
            <v>0.17827567667459129</v>
          </cell>
          <cell r="F52">
            <v>724199.14147313195</v>
          </cell>
          <cell r="G52">
            <v>0.14056660354680356</v>
          </cell>
          <cell r="I52">
            <v>807121.40698919853</v>
          </cell>
          <cell r="J52">
            <v>0.17935847922203429</v>
          </cell>
          <cell r="L52">
            <v>700490.99141573522</v>
          </cell>
          <cell r="M52">
            <v>0.12655663801548966</v>
          </cell>
          <cell r="O52">
            <v>455598.39378410234</v>
          </cell>
          <cell r="P52">
            <v>0.12675580607742881</v>
          </cell>
          <cell r="R52">
            <v>602000.37431403506</v>
          </cell>
          <cell r="S52">
            <v>0.16559854050945866</v>
          </cell>
          <cell r="U52">
            <v>556718.25977346208</v>
          </cell>
          <cell r="V52">
            <v>0.16411716873222748</v>
          </cell>
          <cell r="X52">
            <v>334976.04783080635</v>
          </cell>
          <cell r="Y52">
            <v>0.10982821240354307</v>
          </cell>
          <cell r="AA52">
            <v>5501817.5366131328</v>
          </cell>
          <cell r="AB52">
            <v>0.15170268157618558</v>
          </cell>
        </row>
        <row r="53">
          <cell r="C53">
            <v>0</v>
          </cell>
          <cell r="D53">
            <v>0</v>
          </cell>
          <cell r="F53">
            <v>0</v>
          </cell>
          <cell r="G53">
            <v>0</v>
          </cell>
          <cell r="I53">
            <v>0</v>
          </cell>
          <cell r="J53">
            <v>0</v>
          </cell>
          <cell r="L53">
            <v>0</v>
          </cell>
          <cell r="M53">
            <v>0</v>
          </cell>
          <cell r="O53">
            <v>0</v>
          </cell>
          <cell r="P53">
            <v>0</v>
          </cell>
          <cell r="R53">
            <v>0</v>
          </cell>
          <cell r="S53">
            <v>0</v>
          </cell>
          <cell r="U53">
            <v>0</v>
          </cell>
          <cell r="V53">
            <v>0</v>
          </cell>
          <cell r="X53">
            <v>0</v>
          </cell>
          <cell r="Y53">
            <v>0</v>
          </cell>
          <cell r="AA53">
            <v>0</v>
          </cell>
          <cell r="AB53">
            <v>0</v>
          </cell>
        </row>
        <row r="54">
          <cell r="C54">
            <v>296330.48</v>
          </cell>
          <cell r="D54">
            <v>0.04</v>
          </cell>
          <cell r="F54">
            <v>206080</v>
          </cell>
          <cell r="G54">
            <v>0.04</v>
          </cell>
          <cell r="I54">
            <v>180001.84</v>
          </cell>
          <cell r="J54">
            <v>0.04</v>
          </cell>
          <cell r="L54">
            <v>221400</v>
          </cell>
          <cell r="M54">
            <v>0.04</v>
          </cell>
          <cell r="O54">
            <v>143772</v>
          </cell>
          <cell r="P54">
            <v>0.04</v>
          </cell>
          <cell r="R54">
            <v>145412</v>
          </cell>
          <cell r="S54">
            <v>0.04</v>
          </cell>
          <cell r="U54">
            <v>135688</v>
          </cell>
          <cell r="V54">
            <v>0.04</v>
          </cell>
          <cell r="X54">
            <v>119560</v>
          </cell>
          <cell r="Y54">
            <v>3.9199999999999999E-2</v>
          </cell>
          <cell r="AA54">
            <v>1448244.3199999998</v>
          </cell>
          <cell r="AB54">
            <v>3.9932721406956403E-2</v>
          </cell>
        </row>
        <row r="55">
          <cell r="C55">
            <v>599588.17208656506</v>
          </cell>
          <cell r="D55">
            <v>8.0935065753150348E-2</v>
          </cell>
          <cell r="F55">
            <v>358597.27281665377</v>
          </cell>
          <cell r="G55">
            <v>6.9603507922487151E-2</v>
          </cell>
          <cell r="I55">
            <v>405887.10698919848</v>
          </cell>
          <cell r="J55">
            <v>9.0196212880756882E-2</v>
          </cell>
          <cell r="L55">
            <v>158063.26932486362</v>
          </cell>
          <cell r="M55">
            <v>2.8557049561854314E-2</v>
          </cell>
          <cell r="O55">
            <v>224618.91378410236</v>
          </cell>
          <cell r="P55">
            <v>6.2493090110481139E-2</v>
          </cell>
          <cell r="R55">
            <v>353739.374314035</v>
          </cell>
          <cell r="S55">
            <v>9.7306790172485072E-2</v>
          </cell>
          <cell r="U55">
            <v>346392.25977346214</v>
          </cell>
          <cell r="V55">
            <v>0.10211433871041276</v>
          </cell>
          <cell r="X55">
            <v>10916.04783080635</v>
          </cell>
          <cell r="Y55">
            <v>3.5790320756742132E-3</v>
          </cell>
          <cell r="AA55">
            <v>2457802.4169196868</v>
          </cell>
          <cell r="AB55">
            <v>6.7769462536678884E-2</v>
          </cell>
        </row>
        <row r="56">
          <cell r="C56">
            <v>120000</v>
          </cell>
          <cell r="D56">
            <v>1.6198131221600964E-2</v>
          </cell>
          <cell r="F56">
            <v>0</v>
          </cell>
          <cell r="G56">
            <v>0</v>
          </cell>
          <cell r="I56">
            <v>0</v>
          </cell>
          <cell r="J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R56">
            <v>0</v>
          </cell>
          <cell r="S56">
            <v>0</v>
          </cell>
          <cell r="U56">
            <v>0</v>
          </cell>
          <cell r="V56">
            <v>0</v>
          </cell>
          <cell r="X56">
            <v>0</v>
          </cell>
          <cell r="Y56">
            <v>0</v>
          </cell>
          <cell r="AA56">
            <v>120000</v>
          </cell>
          <cell r="AB56">
            <v>3.3087832644389512E-3</v>
          </cell>
        </row>
        <row r="57">
          <cell r="C57">
            <v>119897.04302164126</v>
          </cell>
          <cell r="D57">
            <v>1.6184233632887346E-2</v>
          </cell>
          <cell r="F57">
            <v>89649.318204163443</v>
          </cell>
          <cell r="G57">
            <v>1.7400876980621788E-2</v>
          </cell>
          <cell r="I57">
            <v>101471.77674729962</v>
          </cell>
          <cell r="J57">
            <v>2.254905322018922E-2</v>
          </cell>
          <cell r="L57">
            <v>39515.817331215905</v>
          </cell>
          <cell r="M57">
            <v>7.1392623904635785E-3</v>
          </cell>
          <cell r="O57">
            <v>56154.728446025591</v>
          </cell>
          <cell r="P57">
            <v>1.5623272527620285E-2</v>
          </cell>
          <cell r="R57">
            <v>88434.843578508749</v>
          </cell>
          <cell r="S57">
            <v>2.4326697543121268E-2</v>
          </cell>
          <cell r="U57">
            <v>86598.064943365534</v>
          </cell>
          <cell r="V57">
            <v>2.5528584677603189E-2</v>
          </cell>
          <cell r="X57">
            <v>7074.6880359482484</v>
          </cell>
          <cell r="Y57">
            <v>2.3195698478518847E-3</v>
          </cell>
          <cell r="AA57">
            <v>588796.28030816838</v>
          </cell>
          <cell r="AB57">
            <v>1.6234993987063108E-2</v>
          </cell>
        </row>
        <row r="58">
          <cell r="C58">
            <v>359691.12906492379</v>
          </cell>
          <cell r="D58">
            <v>4.8552700898662031E-2</v>
          </cell>
          <cell r="F58">
            <v>268947.95461249037</v>
          </cell>
          <cell r="G58">
            <v>5.220263094186537E-2</v>
          </cell>
          <cell r="I58">
            <v>304415.33024189889</v>
          </cell>
          <cell r="J58">
            <v>6.7647159660567668E-2</v>
          </cell>
          <cell r="L58">
            <v>118547.45199364774</v>
          </cell>
          <cell r="M58">
            <v>2.1417787171390739E-2</v>
          </cell>
          <cell r="O58">
            <v>168464.18533807676</v>
          </cell>
          <cell r="P58">
            <v>4.6869817582860851E-2</v>
          </cell>
          <cell r="R58">
            <v>265304.53073552618</v>
          </cell>
          <cell r="S58">
            <v>7.2980092629363794E-2</v>
          </cell>
          <cell r="U58">
            <v>259794.19483009662</v>
          </cell>
          <cell r="V58">
            <v>7.6585754032809567E-2</v>
          </cell>
          <cell r="X58">
            <v>3841.3597948581009</v>
          </cell>
          <cell r="Y58">
            <v>1.2594622278223281E-3</v>
          </cell>
          <cell r="AA58">
            <v>1749006.1366115185</v>
          </cell>
          <cell r="AB58">
            <v>4.8225685285176817E-2</v>
          </cell>
        </row>
        <row r="60">
          <cell r="C60">
            <v>76373.835051546397</v>
          </cell>
          <cell r="D60">
            <v>97</v>
          </cell>
          <cell r="F60">
            <v>53113.402061855675</v>
          </cell>
          <cell r="G60">
            <v>96.999999999999986</v>
          </cell>
          <cell r="I60">
            <v>47872.829787234041</v>
          </cell>
          <cell r="J60">
            <v>94</v>
          </cell>
          <cell r="L60">
            <v>57061.855670103098</v>
          </cell>
          <cell r="M60">
            <v>96.999999999999986</v>
          </cell>
          <cell r="O60">
            <v>38237.234042553195</v>
          </cell>
          <cell r="P60">
            <v>93.999999999999986</v>
          </cell>
          <cell r="R60">
            <v>38266.315789473687</v>
          </cell>
          <cell r="S60">
            <v>95</v>
          </cell>
          <cell r="U60">
            <v>36087.234042553187</v>
          </cell>
          <cell r="V60">
            <v>94.000000000000014</v>
          </cell>
          <cell r="X60">
            <v>32795.698924731187</v>
          </cell>
          <cell r="Y60">
            <v>92.999999999999986</v>
          </cell>
          <cell r="AA60">
            <v>379808.40537005046</v>
          </cell>
          <cell r="AB60">
            <v>95.487902550931324</v>
          </cell>
        </row>
        <row r="61">
          <cell r="C61">
            <v>15.285559017756118</v>
          </cell>
          <cell r="F61">
            <v>15.310533433618007</v>
          </cell>
          <cell r="I61">
            <v>14.929562968911874</v>
          </cell>
          <cell r="L61">
            <v>15.352668473351397</v>
          </cell>
          <cell r="O61">
            <v>14.989328381047768</v>
          </cell>
          <cell r="R61">
            <v>15.052358814953374</v>
          </cell>
          <cell r="U61">
            <v>14.766777312658455</v>
          </cell>
          <cell r="X61">
            <v>15.382121311475407</v>
          </cell>
          <cell r="AA61">
            <v>15.159990460024652</v>
          </cell>
        </row>
        <row r="62">
          <cell r="C62">
            <v>0.1983083527705215</v>
          </cell>
          <cell r="F62">
            <v>0.17916666666666667</v>
          </cell>
          <cell r="I62">
            <v>0.171875</v>
          </cell>
          <cell r="L62">
            <v>0.17341666666666666</v>
          </cell>
          <cell r="O62">
            <v>0.16837500000000002</v>
          </cell>
          <cell r="R62">
            <v>0.16399999999999998</v>
          </cell>
          <cell r="U62">
            <v>0.17216666666666669</v>
          </cell>
          <cell r="X62">
            <v>0.14833333333333334</v>
          </cell>
          <cell r="AA62">
            <v>0.17195521076298187</v>
          </cell>
        </row>
        <row r="63">
          <cell r="C63">
            <v>0.37803461340862943</v>
          </cell>
          <cell r="F63">
            <v>0.36270833333333335</v>
          </cell>
          <cell r="I63">
            <v>0.34070833333333334</v>
          </cell>
          <cell r="L63">
            <v>0.33841666666666664</v>
          </cell>
          <cell r="O63">
            <v>0.31685000000000002</v>
          </cell>
          <cell r="R63">
            <v>0.36266666666666669</v>
          </cell>
          <cell r="U63">
            <v>0.31765000000000004</v>
          </cell>
          <cell r="X63">
            <v>0.31583333333333335</v>
          </cell>
          <cell r="AA63">
            <v>0.34160849334274535</v>
          </cell>
        </row>
      </sheetData>
      <sheetData sheetId="3">
        <row r="6">
          <cell r="C6">
            <v>3025037.1500000004</v>
          </cell>
          <cell r="D6">
            <v>1.0155114532087528</v>
          </cell>
          <cell r="F6">
            <v>2094841.22</v>
          </cell>
          <cell r="G6">
            <v>1.0216394814943193</v>
          </cell>
          <cell r="I6">
            <v>1778545.37</v>
          </cell>
          <cell r="J6">
            <v>1.0103917317490143</v>
          </cell>
          <cell r="L6">
            <v>2304174.87</v>
          </cell>
          <cell r="M6">
            <v>1.0185378293703673</v>
          </cell>
          <cell r="O6">
            <v>1384093.7999999998</v>
          </cell>
          <cell r="P6">
            <v>1.0106175040801828</v>
          </cell>
          <cell r="R6">
            <v>1427550.57</v>
          </cell>
          <cell r="S6">
            <v>1.0100558375172279</v>
          </cell>
          <cell r="U6">
            <v>1375684.3</v>
          </cell>
          <cell r="V6">
            <v>1.0096128466668417</v>
          </cell>
          <cell r="X6">
            <v>1200193.3999999999</v>
          </cell>
          <cell r="Y6">
            <v>1.0144039475592028</v>
          </cell>
          <cell r="AA6">
            <v>14590120.680000002</v>
          </cell>
          <cell r="AB6">
            <v>1.0145823328700136</v>
          </cell>
        </row>
        <row r="7">
          <cell r="C7">
            <v>2978831.15</v>
          </cell>
          <cell r="D7">
            <v>1</v>
          </cell>
          <cell r="F7">
            <v>2050470.11</v>
          </cell>
          <cell r="G7">
            <v>1</v>
          </cell>
          <cell r="I7">
            <v>1760253.29</v>
          </cell>
          <cell r="J7">
            <v>1</v>
          </cell>
          <cell r="L7">
            <v>2262237.89</v>
          </cell>
          <cell r="M7">
            <v>1</v>
          </cell>
          <cell r="O7">
            <v>1369552.57</v>
          </cell>
          <cell r="P7">
            <v>1</v>
          </cell>
          <cell r="R7">
            <v>1413338.27</v>
          </cell>
          <cell r="S7">
            <v>1</v>
          </cell>
          <cell r="U7">
            <v>1362585.9700000002</v>
          </cell>
          <cell r="V7">
            <v>1</v>
          </cell>
          <cell r="X7">
            <v>1183151.3499999999</v>
          </cell>
          <cell r="Y7">
            <v>1</v>
          </cell>
          <cell r="AA7">
            <v>14380420.6</v>
          </cell>
          <cell r="AB7">
            <v>1</v>
          </cell>
        </row>
        <row r="8">
          <cell r="C8">
            <v>610678.82000000007</v>
          </cell>
          <cell r="D8">
            <v>0.20500618841722534</v>
          </cell>
          <cell r="F8">
            <v>419252.35</v>
          </cell>
          <cell r="G8">
            <v>0.20446645281749556</v>
          </cell>
          <cell r="I8">
            <v>356866.78</v>
          </cell>
          <cell r="J8">
            <v>0.20273603919808611</v>
          </cell>
          <cell r="L8">
            <v>454369.02</v>
          </cell>
          <cell r="M8">
            <v>0.20084935453008437</v>
          </cell>
          <cell r="O8">
            <v>286004.18000000005</v>
          </cell>
          <cell r="P8">
            <v>0.20883037735455459</v>
          </cell>
          <cell r="R8">
            <v>292799.82</v>
          </cell>
          <cell r="S8">
            <v>0.20716896033672108</v>
          </cell>
          <cell r="U8">
            <v>286023.05</v>
          </cell>
          <cell r="V8">
            <v>0.20991192944691772</v>
          </cell>
          <cell r="X8">
            <v>245676.22000000003</v>
          </cell>
          <cell r="Y8">
            <v>0.20764564060210899</v>
          </cell>
          <cell r="AA8">
            <v>2951670.24</v>
          </cell>
          <cell r="AB8">
            <v>0.20525618284071609</v>
          </cell>
        </row>
        <row r="9">
          <cell r="C9">
            <v>13055.94</v>
          </cell>
          <cell r="D9">
            <v>4.3829070338545374E-3</v>
          </cell>
          <cell r="F9">
            <v>8046.3499999999995</v>
          </cell>
          <cell r="G9">
            <v>3.9241488870081602E-3</v>
          </cell>
          <cell r="I9">
            <v>7921.4100000000008</v>
          </cell>
          <cell r="J9">
            <v>4.5001534977957636E-3</v>
          </cell>
          <cell r="L9">
            <v>11285.25</v>
          </cell>
          <cell r="M9">
            <v>4.9885337213585431E-3</v>
          </cell>
          <cell r="O9">
            <v>6112.92</v>
          </cell>
          <cell r="P9">
            <v>4.4634431228879369E-3</v>
          </cell>
          <cell r="R9">
            <v>5533.76</v>
          </cell>
          <cell r="S9">
            <v>3.9153825502793466E-3</v>
          </cell>
          <cell r="U9">
            <v>7161.87</v>
          </cell>
          <cell r="V9">
            <v>5.2560867040191226E-3</v>
          </cell>
          <cell r="X9">
            <v>7250.33</v>
          </cell>
          <cell r="Y9">
            <v>6.1279818511807476E-3</v>
          </cell>
          <cell r="AA9">
            <v>66367.83</v>
          </cell>
          <cell r="AB9">
            <v>4.6151522160624431E-3</v>
          </cell>
        </row>
        <row r="10">
          <cell r="C10">
            <v>17292.349999999999</v>
          </cell>
          <cell r="D10">
            <v>5.8050789484996486E-3</v>
          </cell>
          <cell r="F10">
            <v>10167.01</v>
          </cell>
          <cell r="G10">
            <v>4.9583800077924569E-3</v>
          </cell>
          <cell r="I10">
            <v>5331.0300000000007</v>
          </cell>
          <cell r="J10">
            <v>3.028558463878798E-3</v>
          </cell>
          <cell r="L10">
            <v>14750.97</v>
          </cell>
          <cell r="M10">
            <v>6.5205211464299181E-3</v>
          </cell>
          <cell r="O10">
            <v>6455.9299999999994</v>
          </cell>
          <cell r="P10">
            <v>4.7138971817635295E-3</v>
          </cell>
          <cell r="R10">
            <v>6620.13</v>
          </cell>
          <cell r="S10">
            <v>4.6840378842922014E-3</v>
          </cell>
          <cell r="U10">
            <v>5260.43</v>
          </cell>
          <cell r="V10">
            <v>3.8606224603941869E-3</v>
          </cell>
          <cell r="X10">
            <v>6501.6600000000008</v>
          </cell>
          <cell r="Y10">
            <v>5.4952056640936104E-3</v>
          </cell>
          <cell r="AA10">
            <v>72379.510000000009</v>
          </cell>
          <cell r="AB10">
            <v>5.0331984031120767E-3</v>
          </cell>
        </row>
        <row r="11">
          <cell r="C11">
            <v>62193.47</v>
          </cell>
          <cell r="D11">
            <v>2.0878481145196835E-2</v>
          </cell>
          <cell r="F11">
            <v>38573.58</v>
          </cell>
          <cell r="G11">
            <v>1.8812066468015962E-2</v>
          </cell>
          <cell r="I11">
            <v>31620</v>
          </cell>
          <cell r="J11">
            <v>1.7963323903232131E-2</v>
          </cell>
          <cell r="L11">
            <v>44827.13</v>
          </cell>
          <cell r="M11">
            <v>1.9815391740255928E-2</v>
          </cell>
          <cell r="O11">
            <v>27114.550000000003</v>
          </cell>
          <cell r="P11">
            <v>1.979810822449846E-2</v>
          </cell>
          <cell r="R11">
            <v>28815.829999999998</v>
          </cell>
          <cell r="S11">
            <v>2.0388487746815204E-2</v>
          </cell>
          <cell r="U11">
            <v>25202.300000000003</v>
          </cell>
          <cell r="V11">
            <v>1.8495933874909925E-2</v>
          </cell>
          <cell r="X11">
            <v>22006.620000000003</v>
          </cell>
          <cell r="Y11">
            <v>1.8600004133029983E-2</v>
          </cell>
          <cell r="AA11">
            <v>280353.48</v>
          </cell>
          <cell r="AB11">
            <v>1.9495499318010211E-2</v>
          </cell>
        </row>
        <row r="12">
          <cell r="C12">
            <v>2449.9299999999998</v>
          </cell>
          <cell r="D12">
            <v>8.2244675063237473E-4</v>
          </cell>
          <cell r="F12">
            <v>2468.6400000000003</v>
          </cell>
          <cell r="G12">
            <v>1.2039385446101431E-3</v>
          </cell>
          <cell r="I12">
            <v>1396.37</v>
          </cell>
          <cell r="J12">
            <v>7.9327788104858468E-4</v>
          </cell>
          <cell r="L12">
            <v>3015.66</v>
          </cell>
          <cell r="M12">
            <v>1.333042830433717E-3</v>
          </cell>
          <cell r="O12">
            <v>833.68999999999994</v>
          </cell>
          <cell r="P12">
            <v>6.0873165314128828E-4</v>
          </cell>
          <cell r="R12">
            <v>1261.47</v>
          </cell>
          <cell r="S12">
            <v>8.9254641070463624E-4</v>
          </cell>
          <cell r="U12">
            <v>1386.9499999999998</v>
          </cell>
          <cell r="V12">
            <v>1.0178807286559685E-3</v>
          </cell>
          <cell r="X12">
            <v>1235.71</v>
          </cell>
          <cell r="Y12">
            <v>1.0444225922575333E-3</v>
          </cell>
          <cell r="AA12">
            <v>14048.419999999998</v>
          </cell>
          <cell r="AB12">
            <v>9.7691301184890233E-4</v>
          </cell>
        </row>
        <row r="13">
          <cell r="C13">
            <v>2273160.6399999997</v>
          </cell>
          <cell r="D13">
            <v>0.76310489770459122</v>
          </cell>
          <cell r="F13">
            <v>1571962.1799999997</v>
          </cell>
          <cell r="G13">
            <v>0.76663501327507755</v>
          </cell>
          <cell r="I13">
            <v>1357117.7</v>
          </cell>
          <cell r="J13">
            <v>0.77097864705595864</v>
          </cell>
          <cell r="L13">
            <v>1733989.86</v>
          </cell>
          <cell r="M13">
            <v>0.76649315603143753</v>
          </cell>
          <cell r="O13">
            <v>1043031.3</v>
          </cell>
          <cell r="P13">
            <v>0.76158544246315418</v>
          </cell>
          <cell r="R13">
            <v>1078307.26</v>
          </cell>
          <cell r="S13">
            <v>0.76295058507118751</v>
          </cell>
          <cell r="U13">
            <v>1037551.3700000001</v>
          </cell>
          <cell r="V13">
            <v>0.76145754678510302</v>
          </cell>
          <cell r="X13">
            <v>900480.81</v>
          </cell>
          <cell r="Y13">
            <v>0.76108674515732933</v>
          </cell>
          <cell r="AA13">
            <v>10995601.119999999</v>
          </cell>
          <cell r="AB13">
            <v>0.76462305421025023</v>
          </cell>
        </row>
        <row r="14">
          <cell r="C14">
            <v>467477.36</v>
          </cell>
          <cell r="D14">
            <v>0.15693315144767436</v>
          </cell>
          <cell r="F14">
            <v>331715.12</v>
          </cell>
          <cell r="G14">
            <v>0.16177515506431839</v>
          </cell>
          <cell r="I14">
            <v>285784.44999999995</v>
          </cell>
          <cell r="J14">
            <v>0.16235416324658591</v>
          </cell>
          <cell r="L14">
            <v>366507.03</v>
          </cell>
          <cell r="M14">
            <v>0.1620108263680439</v>
          </cell>
          <cell r="O14">
            <v>208868.27999999997</v>
          </cell>
          <cell r="P14">
            <v>0.15250840644985242</v>
          </cell>
          <cell r="R14">
            <v>219656.51</v>
          </cell>
          <cell r="S14">
            <v>0.15541679912198231</v>
          </cell>
          <cell r="U14">
            <v>226412.43</v>
          </cell>
          <cell r="V14">
            <v>0.16616377607351995</v>
          </cell>
          <cell r="X14">
            <v>193266.59999999998</v>
          </cell>
          <cell r="Y14">
            <v>0.16334900856090812</v>
          </cell>
          <cell r="AA14">
            <v>2299687.7800000003</v>
          </cell>
          <cell r="AB14">
            <v>0.15991797764246202</v>
          </cell>
        </row>
        <row r="15">
          <cell r="C15">
            <v>99024.91</v>
          </cell>
          <cell r="D15">
            <v>3.3242874474439417E-2</v>
          </cell>
          <cell r="F15">
            <v>59625.39</v>
          </cell>
          <cell r="G15">
            <v>2.9078887670301128E-2</v>
          </cell>
          <cell r="I15">
            <v>48571.170000000006</v>
          </cell>
          <cell r="J15">
            <v>2.7593284600536099E-2</v>
          </cell>
          <cell r="L15">
            <v>63895.469999999994</v>
          </cell>
          <cell r="M15">
            <v>2.8244363814452771E-2</v>
          </cell>
          <cell r="O15">
            <v>35936.86</v>
          </cell>
          <cell r="P15">
            <v>2.6239854378134603E-2</v>
          </cell>
          <cell r="R15">
            <v>39455.68</v>
          </cell>
          <cell r="S15">
            <v>2.791665720620443E-2</v>
          </cell>
          <cell r="U15">
            <v>39261.14</v>
          </cell>
          <cell r="V15">
            <v>2.88136975313198E-2</v>
          </cell>
          <cell r="X15">
            <v>32142.79</v>
          </cell>
          <cell r="Y15">
            <v>2.716709912049714E-2</v>
          </cell>
          <cell r="AA15">
            <v>417913.41</v>
          </cell>
          <cell r="AB15">
            <v>2.9061278638818116E-2</v>
          </cell>
        </row>
        <row r="16">
          <cell r="C16">
            <v>117793.98</v>
          </cell>
          <cell r="D16">
            <v>3.9543691491207886E-2</v>
          </cell>
          <cell r="F16">
            <v>68809.960000000006</v>
          </cell>
          <cell r="G16">
            <v>3.3558138528534807E-2</v>
          </cell>
          <cell r="I16">
            <v>83295.770000000019</v>
          </cell>
          <cell r="J16">
            <v>4.73203319506365E-2</v>
          </cell>
          <cell r="L16">
            <v>81114.63</v>
          </cell>
          <cell r="M16">
            <v>3.5855924064643795E-2</v>
          </cell>
          <cell r="O16">
            <v>82108.45</v>
          </cell>
          <cell r="P16">
            <v>5.9952755227205327E-2</v>
          </cell>
          <cell r="R16">
            <v>67808.61</v>
          </cell>
          <cell r="S16">
            <v>4.7977622512125138E-2</v>
          </cell>
          <cell r="U16">
            <v>68131.429999999993</v>
          </cell>
          <cell r="V16">
            <v>5.0001564304966377E-2</v>
          </cell>
          <cell r="X16">
            <v>67066.16</v>
          </cell>
          <cell r="Y16">
            <v>5.6684345582667856E-2</v>
          </cell>
          <cell r="AA16">
            <v>636128.99000000011</v>
          </cell>
          <cell r="AB16">
            <v>4.4235770823003617E-2</v>
          </cell>
        </row>
        <row r="17">
          <cell r="C17">
            <v>45573.49</v>
          </cell>
          <cell r="D17">
            <v>1.5299118246430316E-2</v>
          </cell>
          <cell r="F17">
            <v>24714.720000000001</v>
          </cell>
          <cell r="G17">
            <v>1.2053196912975239E-2</v>
          </cell>
          <cell r="I17">
            <v>29006.420000000002</v>
          </cell>
          <cell r="J17">
            <v>1.6478548947918739E-2</v>
          </cell>
          <cell r="L17">
            <v>30682.450000000004</v>
          </cell>
          <cell r="M17">
            <v>1.3562875122739635E-2</v>
          </cell>
          <cell r="O17">
            <v>27503.06</v>
          </cell>
          <cell r="P17">
            <v>2.0081784812393144E-2</v>
          </cell>
          <cell r="R17">
            <v>23661.31</v>
          </cell>
          <cell r="S17">
            <v>1.6741434447961279E-2</v>
          </cell>
          <cell r="U17">
            <v>26431.52</v>
          </cell>
          <cell r="V17">
            <v>1.9398056769951915E-2</v>
          </cell>
          <cell r="X17">
            <v>23197.359999999997</v>
          </cell>
          <cell r="Y17">
            <v>1.9606418063082123E-2</v>
          </cell>
          <cell r="AA17">
            <v>230770.32999999996</v>
          </cell>
          <cell r="AB17">
            <v>1.6047536884978175E-2</v>
          </cell>
        </row>
        <row r="18">
          <cell r="C18">
            <v>-2763.84</v>
          </cell>
          <cell r="D18">
            <v>-9.2782701026877616E-4</v>
          </cell>
          <cell r="F18">
            <v>0</v>
          </cell>
          <cell r="G18">
            <v>0</v>
          </cell>
          <cell r="I18">
            <v>-833.32</v>
          </cell>
          <cell r="J18">
            <v>-4.7340914215817205E-4</v>
          </cell>
          <cell r="L18">
            <v>-597.21</v>
          </cell>
          <cell r="M18">
            <v>-2.6399080425622257E-4</v>
          </cell>
          <cell r="O18">
            <v>0</v>
          </cell>
          <cell r="P18">
            <v>0</v>
          </cell>
          <cell r="R18">
            <v>0</v>
          </cell>
          <cell r="S18">
            <v>0</v>
          </cell>
          <cell r="U18">
            <v>0</v>
          </cell>
          <cell r="V18">
            <v>0</v>
          </cell>
          <cell r="X18">
            <v>-3333.28</v>
          </cell>
          <cell r="Y18">
            <v>-2.8172896054253758E-3</v>
          </cell>
          <cell r="AA18">
            <v>-7527.6500000000015</v>
          </cell>
          <cell r="AB18">
            <v>-5.23465217700239E-4</v>
          </cell>
        </row>
        <row r="19">
          <cell r="C19">
            <v>0</v>
          </cell>
          <cell r="D19">
            <v>0</v>
          </cell>
          <cell r="F19">
            <v>0</v>
          </cell>
          <cell r="G19">
            <v>0</v>
          </cell>
          <cell r="I19">
            <v>0</v>
          </cell>
          <cell r="J19">
            <v>0</v>
          </cell>
          <cell r="L19">
            <v>0</v>
          </cell>
          <cell r="M19">
            <v>0</v>
          </cell>
          <cell r="O19">
            <v>0</v>
          </cell>
          <cell r="P19">
            <v>0</v>
          </cell>
          <cell r="R19">
            <v>0</v>
          </cell>
          <cell r="S19">
            <v>0</v>
          </cell>
          <cell r="U19">
            <v>0</v>
          </cell>
          <cell r="V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</row>
        <row r="20">
          <cell r="C20">
            <v>727105.9</v>
          </cell>
          <cell r="D20">
            <v>0.24409100864948322</v>
          </cell>
          <cell r="F20">
            <v>484865.18999999994</v>
          </cell>
          <cell r="G20">
            <v>0.23646537817612953</v>
          </cell>
          <cell r="I20">
            <v>445824.48999999993</v>
          </cell>
          <cell r="J20">
            <v>0.25327291960351905</v>
          </cell>
          <cell r="L20">
            <v>541602.37</v>
          </cell>
          <cell r="M20">
            <v>0.23940999856562387</v>
          </cell>
          <cell r="O20">
            <v>354416.65</v>
          </cell>
          <cell r="P20">
            <v>0.25878280086758554</v>
          </cell>
          <cell r="R20">
            <v>350582.11</v>
          </cell>
          <cell r="S20">
            <v>0.24805251328827316</v>
          </cell>
          <cell r="U20">
            <v>360236.52</v>
          </cell>
          <cell r="V20">
            <v>0.26437709467975806</v>
          </cell>
          <cell r="X20">
            <v>312339.63</v>
          </cell>
          <cell r="Y20">
            <v>0.26398958172172987</v>
          </cell>
          <cell r="AA20">
            <v>3576972.8599999994</v>
          </cell>
          <cell r="AB20">
            <v>0.24873909877156161</v>
          </cell>
        </row>
        <row r="21">
          <cell r="C21">
            <v>59237.030000000006</v>
          </cell>
          <cell r="D21">
            <v>1.9885997902230883E-2</v>
          </cell>
          <cell r="F21">
            <v>41397.630000000005</v>
          </cell>
          <cell r="G21">
            <v>2.0189335995734171E-2</v>
          </cell>
          <cell r="I21">
            <v>20939</v>
          </cell>
          <cell r="J21">
            <v>1.1895447160334522E-2</v>
          </cell>
          <cell r="L21">
            <v>44442.85</v>
          </cell>
          <cell r="M21">
            <v>1.9645524547376402E-2</v>
          </cell>
          <cell r="O21">
            <v>20889</v>
          </cell>
          <cell r="P21">
            <v>1.5252426564392485E-2</v>
          </cell>
          <cell r="R21">
            <v>20889</v>
          </cell>
          <cell r="S21">
            <v>1.4779901205109233E-2</v>
          </cell>
          <cell r="U21">
            <v>23942.199999999997</v>
          </cell>
          <cell r="V21">
            <v>1.7571148189644132E-2</v>
          </cell>
          <cell r="X21">
            <v>22832.95</v>
          </cell>
          <cell r="Y21">
            <v>1.9298418583556538E-2</v>
          </cell>
          <cell r="AA21">
            <v>254569.66000000003</v>
          </cell>
          <cell r="AB21">
            <v>1.7702518381138312E-2</v>
          </cell>
        </row>
        <row r="22">
          <cell r="C22">
            <v>0</v>
          </cell>
          <cell r="D22">
            <v>0</v>
          </cell>
          <cell r="F22">
            <v>10693.41</v>
          </cell>
          <cell r="G22">
            <v>5.2151016236954553E-3</v>
          </cell>
          <cell r="I22">
            <v>0</v>
          </cell>
          <cell r="J22">
            <v>0</v>
          </cell>
          <cell r="L22">
            <v>0</v>
          </cell>
          <cell r="M22">
            <v>0</v>
          </cell>
          <cell r="O22">
            <v>0</v>
          </cell>
          <cell r="P22">
            <v>0</v>
          </cell>
          <cell r="R22">
            <v>0</v>
          </cell>
          <cell r="S22">
            <v>0</v>
          </cell>
          <cell r="U22">
            <v>0</v>
          </cell>
          <cell r="V22">
            <v>0</v>
          </cell>
          <cell r="X22">
            <v>0</v>
          </cell>
          <cell r="Y22">
            <v>0</v>
          </cell>
          <cell r="AA22">
            <v>10693.41</v>
          </cell>
          <cell r="AB22">
            <v>7.4360898734769968E-4</v>
          </cell>
        </row>
        <row r="23">
          <cell r="C23">
            <v>21729.05</v>
          </cell>
          <cell r="D23">
            <v>7.2944886453198262E-3</v>
          </cell>
          <cell r="F23">
            <v>15928.840000000002</v>
          </cell>
          <cell r="G23">
            <v>7.7683843925918051E-3</v>
          </cell>
          <cell r="I23">
            <v>12006.440000000002</v>
          </cell>
          <cell r="J23">
            <v>6.8208592866768631E-3</v>
          </cell>
          <cell r="L23">
            <v>16212.289999999999</v>
          </cell>
          <cell r="M23">
            <v>7.166483273781608E-3</v>
          </cell>
          <cell r="O23">
            <v>9814.48</v>
          </cell>
          <cell r="P23">
            <v>7.1661944309300953E-3</v>
          </cell>
          <cell r="R23">
            <v>9903.4599999999991</v>
          </cell>
          <cell r="S23">
            <v>7.0071406189262811E-3</v>
          </cell>
          <cell r="U23">
            <v>10618.480000000001</v>
          </cell>
          <cell r="V23">
            <v>7.7928881067225427E-3</v>
          </cell>
          <cell r="X23">
            <v>9798.32</v>
          </cell>
          <cell r="Y23">
            <v>8.2815440306939613E-3</v>
          </cell>
          <cell r="AA23">
            <v>106011.35999999999</v>
          </cell>
          <cell r="AB23">
            <v>7.3719234609869472E-3</v>
          </cell>
        </row>
        <row r="24">
          <cell r="C24">
            <v>9738.86</v>
          </cell>
          <cell r="D24">
            <v>3.2693561701206196E-3</v>
          </cell>
          <cell r="F24">
            <v>4425.25</v>
          </cell>
          <cell r="G24">
            <v>2.1581636222924505E-3</v>
          </cell>
          <cell r="I24">
            <v>6934.7999999999993</v>
          </cell>
          <cell r="J24">
            <v>3.9396602974109476E-3</v>
          </cell>
          <cell r="L24">
            <v>8522.01</v>
          </cell>
          <cell r="M24">
            <v>3.7670706682399347E-3</v>
          </cell>
          <cell r="O24">
            <v>7895.31</v>
          </cell>
          <cell r="P24">
            <v>5.7648827602141623E-3</v>
          </cell>
          <cell r="R24">
            <v>6028.6</v>
          </cell>
          <cell r="S24">
            <v>4.2655039688410902E-3</v>
          </cell>
          <cell r="U24">
            <v>2166</v>
          </cell>
          <cell r="V24">
            <v>1.5896244697132759E-3</v>
          </cell>
          <cell r="X24">
            <v>3624.1299999999997</v>
          </cell>
          <cell r="Y24">
            <v>3.0631161431713704E-3</v>
          </cell>
          <cell r="AA24">
            <v>49334.959999999992</v>
          </cell>
          <cell r="AB24">
            <v>3.4307035497974235E-3</v>
          </cell>
        </row>
        <row r="25">
          <cell r="C25">
            <v>49392.14</v>
          </cell>
          <cell r="D25">
            <v>1.6581047233912537E-2</v>
          </cell>
          <cell r="F25">
            <v>35625.53</v>
          </cell>
          <cell r="G25">
            <v>1.7374323003420906E-2</v>
          </cell>
          <cell r="I25">
            <v>29420.100000000002</v>
          </cell>
          <cell r="J25">
            <v>1.6713560580818458E-2</v>
          </cell>
          <cell r="L25">
            <v>38934.720000000001</v>
          </cell>
          <cell r="M25">
            <v>1.7210709878084485E-2</v>
          </cell>
          <cell r="O25">
            <v>30803.61</v>
          </cell>
          <cell r="P25">
            <v>2.2491732464128777E-2</v>
          </cell>
          <cell r="R25">
            <v>25552.05</v>
          </cell>
          <cell r="S25">
            <v>1.807921751103506E-2</v>
          </cell>
          <cell r="U25">
            <v>28059.16</v>
          </cell>
          <cell r="V25">
            <v>2.0592579563988904E-2</v>
          </cell>
          <cell r="X25">
            <v>33319.760000000002</v>
          </cell>
          <cell r="Y25">
            <v>2.8161874640974721E-2</v>
          </cell>
          <cell r="AA25">
            <v>271107.06999999995</v>
          </cell>
          <cell r="AB25">
            <v>1.8852513256809745E-2</v>
          </cell>
        </row>
        <row r="26">
          <cell r="C26">
            <v>140097.08000000002</v>
          </cell>
          <cell r="D26">
            <v>4.7030889951583867E-2</v>
          </cell>
          <cell r="F26">
            <v>108070.66</v>
          </cell>
          <cell r="G26">
            <v>5.2705308637734788E-2</v>
          </cell>
          <cell r="I26">
            <v>69300.34</v>
          </cell>
          <cell r="J26">
            <v>3.9369527325240787E-2</v>
          </cell>
          <cell r="L26">
            <v>108111.87000000001</v>
          </cell>
          <cell r="M26">
            <v>4.7789788367482433E-2</v>
          </cell>
          <cell r="O26">
            <v>69402.399999999994</v>
          </cell>
          <cell r="P26">
            <v>5.0675236219665513E-2</v>
          </cell>
          <cell r="R26">
            <v>62373.11</v>
          </cell>
          <cell r="S26">
            <v>4.4131763303911664E-2</v>
          </cell>
          <cell r="U26">
            <v>64785.84</v>
          </cell>
          <cell r="V26">
            <v>4.7546240330068851E-2</v>
          </cell>
          <cell r="X26">
            <v>69575.16</v>
          </cell>
          <cell r="Y26">
            <v>5.8804953398396587E-2</v>
          </cell>
          <cell r="AA26">
            <v>691716.46</v>
          </cell>
          <cell r="AB26">
            <v>4.8101267636080129E-2</v>
          </cell>
        </row>
        <row r="27">
          <cell r="C27">
            <v>40149.339999999997</v>
          </cell>
          <cell r="D27">
            <v>1.3478219468733565E-2</v>
          </cell>
          <cell r="F27">
            <v>27905.5</v>
          </cell>
          <cell r="G27">
            <v>1.3609318109006719E-2</v>
          </cell>
          <cell r="I27">
            <v>3092.76</v>
          </cell>
          <cell r="J27">
            <v>1.7569971421556043E-3</v>
          </cell>
          <cell r="L27">
            <v>49316.430000000008</v>
          </cell>
          <cell r="M27">
            <v>2.179984263281878E-2</v>
          </cell>
          <cell r="O27">
            <v>97.62</v>
          </cell>
          <cell r="P27">
            <v>7.1278753469098302E-5</v>
          </cell>
          <cell r="R27">
            <v>0</v>
          </cell>
          <cell r="S27">
            <v>0</v>
          </cell>
          <cell r="U27">
            <v>0</v>
          </cell>
          <cell r="V27">
            <v>0</v>
          </cell>
          <cell r="X27">
            <v>13063.779999999999</v>
          </cell>
          <cell r="Y27">
            <v>1.1041512144663488E-2</v>
          </cell>
          <cell r="AA27">
            <v>133625.43</v>
          </cell>
          <cell r="AB27">
            <v>9.2921781439410742E-3</v>
          </cell>
        </row>
        <row r="28">
          <cell r="C28">
            <v>116986.64000000001</v>
          </cell>
          <cell r="D28">
            <v>3.9272665723265321E-2</v>
          </cell>
          <cell r="F28">
            <v>80327.8</v>
          </cell>
          <cell r="G28">
            <v>3.9175308924644603E-2</v>
          </cell>
          <cell r="I28">
            <v>70425.399999999994</v>
          </cell>
          <cell r="J28">
            <v>4.0008673978959013E-2</v>
          </cell>
          <cell r="L28">
            <v>88015.260000000009</v>
          </cell>
          <cell r="M28">
            <v>3.8906279657441332E-2</v>
          </cell>
          <cell r="O28">
            <v>54760.570000000007</v>
          </cell>
          <cell r="P28">
            <v>3.9984277492904126E-2</v>
          </cell>
          <cell r="R28">
            <v>56501.289999999994</v>
          </cell>
          <cell r="S28">
            <v>3.997718819288746E-2</v>
          </cell>
          <cell r="U28">
            <v>54455.64</v>
          </cell>
          <cell r="V28">
            <v>3.9964920525344901E-2</v>
          </cell>
          <cell r="X28">
            <v>46774.85</v>
          </cell>
          <cell r="Y28">
            <v>3.9534122156053834E-2</v>
          </cell>
          <cell r="AA28">
            <v>568247.44999999995</v>
          </cell>
          <cell r="AB28">
            <v>3.9515356734419853E-2</v>
          </cell>
        </row>
        <row r="29">
          <cell r="C29">
            <v>23820.03</v>
          </cell>
          <cell r="D29">
            <v>7.9964351118055142E-3</v>
          </cell>
          <cell r="F29">
            <v>19227.43</v>
          </cell>
          <cell r="G29">
            <v>9.3770837751933865E-3</v>
          </cell>
          <cell r="I29">
            <v>17278.919999999998</v>
          </cell>
          <cell r="J29">
            <v>9.8161554920314885E-3</v>
          </cell>
          <cell r="L29">
            <v>23649.57</v>
          </cell>
          <cell r="M29">
            <v>1.045405971871508E-2</v>
          </cell>
          <cell r="O29">
            <v>15524.75</v>
          </cell>
          <cell r="P29">
            <v>1.1335636426135873E-2</v>
          </cell>
          <cell r="R29">
            <v>14128.81</v>
          </cell>
          <cell r="S29">
            <v>9.9967646103575752E-3</v>
          </cell>
          <cell r="U29">
            <v>11890.259999999998</v>
          </cell>
          <cell r="V29">
            <v>8.7262457281869679E-3</v>
          </cell>
          <cell r="X29">
            <v>11128.32</v>
          </cell>
          <cell r="Y29">
            <v>9.4056605691233003E-3</v>
          </cell>
          <cell r="AA29">
            <v>136648.09</v>
          </cell>
          <cell r="AB29">
            <v>9.5023708833662356E-3</v>
          </cell>
        </row>
        <row r="30">
          <cell r="C30">
            <v>61780.779999999992</v>
          </cell>
          <cell r="D30">
            <v>2.0739940227897775E-2</v>
          </cell>
          <cell r="F30">
            <v>46945.740000000005</v>
          </cell>
          <cell r="G30">
            <v>2.2895110624168036E-2</v>
          </cell>
          <cell r="I30">
            <v>46518.9</v>
          </cell>
          <cell r="J30">
            <v>2.6427389890008385E-2</v>
          </cell>
          <cell r="L30">
            <v>51069.33</v>
          </cell>
          <cell r="M30">
            <v>2.2574694830171022E-2</v>
          </cell>
          <cell r="O30">
            <v>44468.75</v>
          </cell>
          <cell r="P30">
            <v>3.2469545875117446E-2</v>
          </cell>
          <cell r="R30">
            <v>39920.32</v>
          </cell>
          <cell r="S30">
            <v>2.8245410774874156E-2</v>
          </cell>
          <cell r="U30">
            <v>34090.22</v>
          </cell>
          <cell r="V30">
            <v>2.5018766338831447E-2</v>
          </cell>
          <cell r="X30">
            <v>36156.93</v>
          </cell>
          <cell r="Y30">
            <v>3.0559851873557854E-2</v>
          </cell>
          <cell r="AA30">
            <v>360950.97000000003</v>
          </cell>
          <cell r="AB30">
            <v>2.5100167793423236E-2</v>
          </cell>
        </row>
        <row r="31">
          <cell r="C31">
            <v>28172.46</v>
          </cell>
          <cell r="D31">
            <v>9.4575551890546065E-3</v>
          </cell>
          <cell r="F31">
            <v>18949.3</v>
          </cell>
          <cell r="G31">
            <v>9.2414417101646992E-3</v>
          </cell>
          <cell r="I31">
            <v>16251.8</v>
          </cell>
          <cell r="J31">
            <v>9.2326485582083472E-3</v>
          </cell>
          <cell r="L31">
            <v>23303.59</v>
          </cell>
          <cell r="M31">
            <v>1.0301122663982963E-2</v>
          </cell>
          <cell r="O31">
            <v>13563.36</v>
          </cell>
          <cell r="P31">
            <v>9.9034971691521114E-3</v>
          </cell>
          <cell r="R31">
            <v>11834.74</v>
          </cell>
          <cell r="S31">
            <v>8.3736075440736489E-3</v>
          </cell>
          <cell r="U31">
            <v>14963.289999999999</v>
          </cell>
          <cell r="V31">
            <v>1.0981538287819004E-2</v>
          </cell>
          <cell r="X31">
            <v>10000.19</v>
          </cell>
          <cell r="Y31">
            <v>8.4521646364178193E-3</v>
          </cell>
          <cell r="AA31">
            <v>137038.72999999998</v>
          </cell>
          <cell r="AB31">
            <v>9.5295355964762248E-3</v>
          </cell>
        </row>
        <row r="32">
          <cell r="C32">
            <v>4506.09</v>
          </cell>
          <cell r="D32">
            <v>1.5127040685068707E-3</v>
          </cell>
          <cell r="F32">
            <v>5964.65</v>
          </cell>
          <cell r="G32">
            <v>2.908918287036137E-3</v>
          </cell>
          <cell r="I32">
            <v>3521.25</v>
          </cell>
          <cell r="J32">
            <v>2.0004223369467469E-3</v>
          </cell>
          <cell r="L32">
            <v>1007.55</v>
          </cell>
          <cell r="M32">
            <v>4.4537756371855301E-4</v>
          </cell>
          <cell r="O32">
            <v>3790.09</v>
          </cell>
          <cell r="P32">
            <v>2.7673928573621674E-3</v>
          </cell>
          <cell r="R32">
            <v>3792.3200000000006</v>
          </cell>
          <cell r="S32">
            <v>2.6832359106783409E-3</v>
          </cell>
          <cell r="U32">
            <v>4167.17</v>
          </cell>
          <cell r="V32">
            <v>3.0582804254178542E-3</v>
          </cell>
          <cell r="X32">
            <v>4967.7299999999996</v>
          </cell>
          <cell r="Y32">
            <v>4.1987274071064538E-3</v>
          </cell>
          <cell r="AA32">
            <v>31716.849999999995</v>
          </cell>
          <cell r="AB32">
            <v>2.2055578819440091E-3</v>
          </cell>
        </row>
        <row r="33">
          <cell r="C33">
            <v>2767.54</v>
          </cell>
          <cell r="D33">
            <v>9.2906910819701887E-4</v>
          </cell>
          <cell r="F33">
            <v>935.8499999999998</v>
          </cell>
          <cell r="G33">
            <v>4.564075308564238E-4</v>
          </cell>
          <cell r="I33">
            <v>1140.28</v>
          </cell>
          <cell r="J33">
            <v>6.4779313663433061E-4</v>
          </cell>
          <cell r="L33">
            <v>2279.44</v>
          </cell>
          <cell r="M33">
            <v>1.0076040234654542E-3</v>
          </cell>
          <cell r="O33">
            <v>994.69</v>
          </cell>
          <cell r="P33">
            <v>7.2628829428577539E-4</v>
          </cell>
          <cell r="R33">
            <v>1136.1099999999999</v>
          </cell>
          <cell r="S33">
            <v>8.0384860731182205E-4</v>
          </cell>
          <cell r="U33">
            <v>1255.58</v>
          </cell>
          <cell r="V33">
            <v>9.2146846338069942E-4</v>
          </cell>
          <cell r="X33">
            <v>1158.5</v>
          </cell>
          <cell r="Y33">
            <v>9.7916466900029335E-4</v>
          </cell>
          <cell r="AA33">
            <v>11667.990000000002</v>
          </cell>
          <cell r="AB33">
            <v>8.1138030135224296E-4</v>
          </cell>
        </row>
        <row r="34">
          <cell r="C34">
            <v>1127774.7799999998</v>
          </cell>
          <cell r="D34">
            <v>0.37859641020606349</v>
          </cell>
          <cell r="F34">
            <v>778770.06</v>
          </cell>
          <cell r="G34">
            <v>0.37980073750014332</v>
          </cell>
          <cell r="I34">
            <v>683763.56</v>
          </cell>
          <cell r="J34">
            <v>0.38844611959225483</v>
          </cell>
          <cell r="L34">
            <v>845634.45</v>
          </cell>
          <cell r="M34">
            <v>0.37380438800801796</v>
          </cell>
          <cell r="O34">
            <v>486012.42000000004</v>
          </cell>
          <cell r="P34">
            <v>0.35486948850747657</v>
          </cell>
          <cell r="R34">
            <v>538038.44999999995</v>
          </cell>
          <cell r="S34">
            <v>0.38068625283881963</v>
          </cell>
          <cell r="U34">
            <v>491706.85</v>
          </cell>
          <cell r="V34">
            <v>0.36086299200629512</v>
          </cell>
          <cell r="X34">
            <v>395315.71999999991</v>
          </cell>
          <cell r="Y34">
            <v>0.33412100658127969</v>
          </cell>
          <cell r="AA34">
            <v>5347016.2899999991</v>
          </cell>
          <cell r="AB34">
            <v>0.37182614046768558</v>
          </cell>
        </row>
        <row r="35">
          <cell r="C35">
            <v>476757.88</v>
          </cell>
          <cell r="D35">
            <v>0.16004864189767856</v>
          </cell>
          <cell r="F35">
            <v>369900.69999999995</v>
          </cell>
          <cell r="G35">
            <v>0.18039799663307451</v>
          </cell>
          <cell r="I35">
            <v>264273.68999999994</v>
          </cell>
          <cell r="J35">
            <v>0.15013389919583672</v>
          </cell>
          <cell r="L35">
            <v>441393.78000000009</v>
          </cell>
          <cell r="M35">
            <v>0.19511377735787108</v>
          </cell>
          <cell r="O35">
            <v>226199.74</v>
          </cell>
          <cell r="P35">
            <v>0.1651632401376166</v>
          </cell>
          <cell r="R35">
            <v>212151.65000000002</v>
          </cell>
          <cell r="S35">
            <v>0.15010677521666488</v>
          </cell>
          <cell r="U35">
            <v>190875.25</v>
          </cell>
          <cell r="V35">
            <v>0.14008308774821743</v>
          </cell>
          <cell r="X35">
            <v>183542.58000000002</v>
          </cell>
          <cell r="Y35">
            <v>0.15513026292029336</v>
          </cell>
          <cell r="AA35">
            <v>2365095.27</v>
          </cell>
          <cell r="AB35">
            <v>0.16446634877981248</v>
          </cell>
        </row>
        <row r="36">
          <cell r="C36">
            <v>0</v>
          </cell>
          <cell r="D36">
            <v>0</v>
          </cell>
          <cell r="F36">
            <v>0</v>
          </cell>
          <cell r="G36">
            <v>0</v>
          </cell>
          <cell r="I36">
            <v>0</v>
          </cell>
          <cell r="J36">
            <v>0</v>
          </cell>
          <cell r="L36">
            <v>16025.86</v>
          </cell>
          <cell r="M36">
            <v>7.08407372665834E-3</v>
          </cell>
          <cell r="O36">
            <v>5904.3200000000006</v>
          </cell>
          <cell r="P36">
            <v>4.3111306052311671E-3</v>
          </cell>
          <cell r="R36">
            <v>0</v>
          </cell>
          <cell r="S36">
            <v>0</v>
          </cell>
          <cell r="U36">
            <v>3046.6000000000004</v>
          </cell>
          <cell r="V36">
            <v>2.2358956183880273E-3</v>
          </cell>
          <cell r="X36">
            <v>0</v>
          </cell>
          <cell r="Y36">
            <v>0</v>
          </cell>
          <cell r="AA36">
            <v>24976.78</v>
          </cell>
          <cell r="AB36">
            <v>1.736860186133916E-3</v>
          </cell>
        </row>
        <row r="37">
          <cell r="C37">
            <v>-25642.750000000004</v>
          </cell>
          <cell r="D37">
            <v>-8.6083261214721773E-3</v>
          </cell>
          <cell r="F37">
            <v>-7363.7599999999993</v>
          </cell>
          <cell r="G37">
            <v>-3.591254495292301E-3</v>
          </cell>
          <cell r="I37">
            <v>-1891.52</v>
          </cell>
          <cell r="J37">
            <v>-1.0745726258520442E-3</v>
          </cell>
          <cell r="L37">
            <v>-14301.460000000001</v>
          </cell>
          <cell r="M37">
            <v>-6.3218196738805393E-3</v>
          </cell>
          <cell r="O37">
            <v>-1844.33</v>
          </cell>
          <cell r="P37">
            <v>-1.3466660867205702E-3</v>
          </cell>
          <cell r="R37">
            <v>-5881.5300000000007</v>
          </cell>
          <cell r="S37">
            <v>-4.1614453700457715E-3</v>
          </cell>
          <cell r="U37">
            <v>-1172.25</v>
          </cell>
          <cell r="V37">
            <v>-8.6031268911421406E-4</v>
          </cell>
          <cell r="X37">
            <v>-1929.22</v>
          </cell>
          <cell r="Y37">
            <v>-1.6305775250140232E-3</v>
          </cell>
          <cell r="AA37">
            <v>-60026.82</v>
          </cell>
          <cell r="AB37">
            <v>-4.1742047517024641E-3</v>
          </cell>
        </row>
        <row r="38">
          <cell r="C38">
            <v>451115.13000000006</v>
          </cell>
          <cell r="D38">
            <v>0.1514403157762064</v>
          </cell>
          <cell r="F38">
            <v>362536.94</v>
          </cell>
          <cell r="G38">
            <v>0.17680674213778225</v>
          </cell>
          <cell r="I38">
            <v>262382.17</v>
          </cell>
          <cell r="J38">
            <v>0.14905932656998469</v>
          </cell>
          <cell r="L38">
            <v>443118.17999999993</v>
          </cell>
          <cell r="M38">
            <v>0.19587603141064883</v>
          </cell>
          <cell r="O38">
            <v>230259.72999999998</v>
          </cell>
          <cell r="P38">
            <v>0.1681277046561272</v>
          </cell>
          <cell r="R38">
            <v>206270.12000000002</v>
          </cell>
          <cell r="S38">
            <v>0.14594532984661912</v>
          </cell>
          <cell r="U38">
            <v>192749.6</v>
          </cell>
          <cell r="V38">
            <v>0.14145867067749127</v>
          </cell>
          <cell r="X38">
            <v>181613.36000000002</v>
          </cell>
          <cell r="Y38">
            <v>0.15349968539527933</v>
          </cell>
          <cell r="AA38">
            <v>2330045.23</v>
          </cell>
          <cell r="AB38">
            <v>0.1620290042142439</v>
          </cell>
        </row>
        <row r="39">
          <cell r="C39">
            <v>0</v>
          </cell>
          <cell r="D39">
            <v>0</v>
          </cell>
          <cell r="F39">
            <v>0</v>
          </cell>
          <cell r="G39">
            <v>0</v>
          </cell>
          <cell r="I39">
            <v>0</v>
          </cell>
          <cell r="J39">
            <v>0</v>
          </cell>
          <cell r="L39">
            <v>501.22</v>
          </cell>
          <cell r="M39">
            <v>2.2155936924918185E-4</v>
          </cell>
          <cell r="O39">
            <v>3400</v>
          </cell>
          <cell r="P39">
            <v>2.4825626080202238E-3</v>
          </cell>
          <cell r="R39">
            <v>0</v>
          </cell>
          <cell r="S39">
            <v>0</v>
          </cell>
          <cell r="U39">
            <v>0</v>
          </cell>
          <cell r="V39">
            <v>0</v>
          </cell>
          <cell r="X39">
            <v>0</v>
          </cell>
          <cell r="Y39">
            <v>0</v>
          </cell>
          <cell r="AA39">
            <v>3901.2200000000003</v>
          </cell>
          <cell r="AB39">
            <v>2.7128691910443848E-4</v>
          </cell>
        </row>
        <row r="40">
          <cell r="C40">
            <v>148986.82</v>
          </cell>
          <cell r="D40">
            <v>5.0015194718237052E-2</v>
          </cell>
          <cell r="F40">
            <v>102750.19</v>
          </cell>
          <cell r="G40">
            <v>5.0110552452773863E-2</v>
          </cell>
          <cell r="I40">
            <v>88091.21</v>
          </cell>
          <cell r="J40">
            <v>5.0044621703277718E-2</v>
          </cell>
          <cell r="L40">
            <v>113177.89</v>
          </cell>
          <cell r="M40">
            <v>5.002917266141272E-2</v>
          </cell>
          <cell r="O40">
            <v>68545.38</v>
          </cell>
          <cell r="P40">
            <v>5.0049469806040379E-2</v>
          </cell>
          <cell r="R40">
            <v>70717.210000000006</v>
          </cell>
          <cell r="S40">
            <v>5.0035587021923636E-2</v>
          </cell>
          <cell r="U40">
            <v>68169.73</v>
          </cell>
          <cell r="V40">
            <v>5.0029672623151979E-2</v>
          </cell>
          <cell r="X40">
            <v>59207.26</v>
          </cell>
          <cell r="Y40">
            <v>5.0042000121117224E-2</v>
          </cell>
          <cell r="AA40">
            <v>719645.69000000006</v>
          </cell>
          <cell r="AB40">
            <v>5.0043438228781711E-2</v>
          </cell>
        </row>
        <row r="41">
          <cell r="C41">
            <v>17590.5</v>
          </cell>
          <cell r="D41">
            <v>5.9051685423660216E-3</v>
          </cell>
          <cell r="F41">
            <v>13870.5</v>
          </cell>
          <cell r="G41">
            <v>6.7645463020185159E-3</v>
          </cell>
          <cell r="I41">
            <v>12463.96</v>
          </cell>
          <cell r="J41">
            <v>7.0807764262153421E-3</v>
          </cell>
          <cell r="L41">
            <v>15188</v>
          </cell>
          <cell r="M41">
            <v>6.713705957776173E-3</v>
          </cell>
          <cell r="O41">
            <v>11057.5</v>
          </cell>
          <cell r="P41">
            <v>8.0738047171128296E-3</v>
          </cell>
          <cell r="R41">
            <v>11367.5</v>
          </cell>
          <cell r="S41">
            <v>8.0430143591880519E-3</v>
          </cell>
          <cell r="U41">
            <v>11755</v>
          </cell>
          <cell r="V41">
            <v>8.6269785971743122E-3</v>
          </cell>
          <cell r="X41">
            <v>10685.5</v>
          </cell>
          <cell r="Y41">
            <v>9.0313889258546685E-3</v>
          </cell>
          <cell r="AA41">
            <v>103978.45999999999</v>
          </cell>
          <cell r="AB41">
            <v>7.2305576375144408E-3</v>
          </cell>
        </row>
        <row r="42">
          <cell r="C42">
            <v>16467.09</v>
          </cell>
          <cell r="D42">
            <v>5.5280373981586705E-3</v>
          </cell>
          <cell r="F42">
            <v>12783.220000000001</v>
          </cell>
          <cell r="G42">
            <v>6.2342874142164405E-3</v>
          </cell>
          <cell r="I42">
            <v>9585.83</v>
          </cell>
          <cell r="J42">
            <v>5.4457105999784839E-3</v>
          </cell>
          <cell r="L42">
            <v>10970.29</v>
          </cell>
          <cell r="M42">
            <v>4.8493087524053447E-3</v>
          </cell>
          <cell r="O42">
            <v>7799.7</v>
          </cell>
          <cell r="P42">
            <v>5.6950716393456878E-3</v>
          </cell>
          <cell r="R42">
            <v>7755.63</v>
          </cell>
          <cell r="S42">
            <v>5.4874548893379923E-3</v>
          </cell>
          <cell r="U42">
            <v>7957.67</v>
          </cell>
          <cell r="V42">
            <v>5.8401232474160868E-3</v>
          </cell>
          <cell r="X42">
            <v>7005.9599999999991</v>
          </cell>
          <cell r="Y42">
            <v>5.9214402282514404E-3</v>
          </cell>
          <cell r="AA42">
            <v>80325.389999999985</v>
          </cell>
          <cell r="AB42">
            <v>5.5857469148016424E-3</v>
          </cell>
        </row>
        <row r="43">
          <cell r="C43">
            <v>27151.489999999998</v>
          </cell>
          <cell r="D43">
            <v>9.1148133723524399E-3</v>
          </cell>
          <cell r="F43">
            <v>16951.099999999999</v>
          </cell>
          <cell r="G43">
            <v>8.2669334789766801E-3</v>
          </cell>
          <cell r="I43">
            <v>15191.220000000001</v>
          </cell>
          <cell r="J43">
            <v>8.6301329963712221E-3</v>
          </cell>
          <cell r="L43">
            <v>16724.75</v>
          </cell>
          <cell r="M43">
            <v>7.3930111744348864E-3</v>
          </cell>
          <cell r="O43">
            <v>11170.789999999999</v>
          </cell>
          <cell r="P43">
            <v>8.1565251635430085E-3</v>
          </cell>
          <cell r="R43">
            <v>12470.439999999999</v>
          </cell>
          <cell r="S43">
            <v>8.8233937088535771E-3</v>
          </cell>
          <cell r="U43">
            <v>10047.849999999999</v>
          </cell>
          <cell r="V43">
            <v>7.3741035217029256E-3</v>
          </cell>
          <cell r="X43">
            <v>9260.2899999999991</v>
          </cell>
          <cell r="Y43">
            <v>7.8268008568810749E-3</v>
          </cell>
          <cell r="AA43">
            <v>118967.92999999998</v>
          </cell>
          <cell r="AB43">
            <v>8.2729103208566777E-3</v>
          </cell>
        </row>
        <row r="44">
          <cell r="C44">
            <v>130880.47</v>
          </cell>
          <cell r="D44">
            <v>4.3936854225524E-2</v>
          </cell>
          <cell r="F44">
            <v>26527.72</v>
          </cell>
          <cell r="G44">
            <v>1.2937384393279452E-2</v>
          </cell>
          <cell r="I44">
            <v>77230.25</v>
          </cell>
          <cell r="J44">
            <v>4.3874509673548175E-2</v>
          </cell>
          <cell r="L44">
            <v>94449.279999999999</v>
          </cell>
          <cell r="M44">
            <v>4.1750374890944825E-2</v>
          </cell>
          <cell r="O44">
            <v>20564.270000000004</v>
          </cell>
          <cell r="P44">
            <v>1.5015319930362368E-2</v>
          </cell>
          <cell r="R44">
            <v>24088.260000000002</v>
          </cell>
          <cell r="S44">
            <v>1.7043520656947895E-2</v>
          </cell>
          <cell r="U44">
            <v>13875.130000000001</v>
          </cell>
          <cell r="V44">
            <v>1.0182939135943106E-2</v>
          </cell>
          <cell r="X44">
            <v>85605.94</v>
          </cell>
          <cell r="Y44">
            <v>7.2354175144202823E-2</v>
          </cell>
          <cell r="AA44">
            <v>473221.32</v>
          </cell>
          <cell r="AB44">
            <v>3.2907335130378593E-2</v>
          </cell>
        </row>
        <row r="45">
          <cell r="C45">
            <v>4286.72</v>
          </cell>
          <cell r="D45">
            <v>1.4390610894477857E-3</v>
          </cell>
          <cell r="F45">
            <v>3857.37</v>
          </cell>
          <cell r="G45">
            <v>1.881212499118068E-3</v>
          </cell>
          <cell r="I45">
            <v>3116.7200000000003</v>
          </cell>
          <cell r="J45">
            <v>1.7706088195977752E-3</v>
          </cell>
          <cell r="L45">
            <v>3510.85</v>
          </cell>
          <cell r="M45">
            <v>1.5519366975150432E-3</v>
          </cell>
          <cell r="O45">
            <v>3504.66</v>
          </cell>
          <cell r="P45">
            <v>2.5589817264188696E-3</v>
          </cell>
          <cell r="R45">
            <v>4203.43</v>
          </cell>
          <cell r="S45">
            <v>2.9741146116421232E-3</v>
          </cell>
          <cell r="U45">
            <v>3234.8</v>
          </cell>
          <cell r="V45">
            <v>2.3740153437804734E-3</v>
          </cell>
          <cell r="X45">
            <v>515</v>
          </cell>
          <cell r="Y45">
            <v>4.3527820848955634E-4</v>
          </cell>
          <cell r="AA45">
            <v>26229.55</v>
          </cell>
          <cell r="AB45">
            <v>1.8239765532309952E-3</v>
          </cell>
        </row>
        <row r="46">
          <cell r="C46">
            <v>-126.71</v>
          </cell>
          <cell r="D46">
            <v>-4.2536818510173025E-5</v>
          </cell>
          <cell r="F46">
            <v>7885.380000000001</v>
          </cell>
          <cell r="G46">
            <v>3.8456449384673061E-3</v>
          </cell>
          <cell r="I46">
            <v>-68.289999999999992</v>
          </cell>
          <cell r="J46">
            <v>-3.8795553110427641E-5</v>
          </cell>
          <cell r="L46">
            <v>859.3</v>
          </cell>
          <cell r="M46">
            <v>3.7984510992343068E-4</v>
          </cell>
          <cell r="O46">
            <v>-48.38</v>
          </cell>
          <cell r="P46">
            <v>-3.5325405581181891E-5</v>
          </cell>
          <cell r="R46">
            <v>-56.210000000000008</v>
          </cell>
          <cell r="S46">
            <v>-3.9771087497687307E-5</v>
          </cell>
          <cell r="U46">
            <v>-53.71</v>
          </cell>
          <cell r="V46">
            <v>-3.9417696338088664E-5</v>
          </cell>
          <cell r="X46">
            <v>-44.98</v>
          </cell>
          <cell r="Y46">
            <v>-3.8017114209437364E-5</v>
          </cell>
          <cell r="AA46">
            <v>8346.4000000000033</v>
          </cell>
          <cell r="AB46">
            <v>5.8040027007276852E-4</v>
          </cell>
        </row>
        <row r="47">
          <cell r="C47">
            <v>46206.000000000015</v>
          </cell>
          <cell r="D47">
            <v>1.5511453208752708E-2</v>
          </cell>
          <cell r="F47">
            <v>44371.11</v>
          </cell>
          <cell r="G47">
            <v>2.1639481494319369E-2</v>
          </cell>
          <cell r="I47">
            <v>19638.75</v>
          </cell>
          <cell r="J47">
            <v>1.1156775057071473E-2</v>
          </cell>
          <cell r="L47">
            <v>41936.979999999996</v>
          </cell>
          <cell r="M47">
            <v>1.8537829370367409E-2</v>
          </cell>
          <cell r="O47">
            <v>14541.23</v>
          </cell>
          <cell r="P47">
            <v>1.0617504080182916E-2</v>
          </cell>
          <cell r="R47">
            <v>14212.3</v>
          </cell>
          <cell r="S47">
            <v>1.0055837517227917E-2</v>
          </cell>
          <cell r="U47">
            <v>13098.329999999998</v>
          </cell>
          <cell r="V47">
            <v>9.6128466668418695E-3</v>
          </cell>
          <cell r="X47">
            <v>17042.05</v>
          </cell>
          <cell r="Y47">
            <v>1.4403947559202802E-2</v>
          </cell>
          <cell r="AA47">
            <v>211046.75</v>
          </cell>
          <cell r="AB47">
            <v>1.4675978948765935E-2</v>
          </cell>
        </row>
        <row r="48">
          <cell r="C48">
            <v>50412.259999999995</v>
          </cell>
          <cell r="D48">
            <v>1.6923503703793346E-2</v>
          </cell>
          <cell r="F48">
            <v>43813.950000000004</v>
          </cell>
          <cell r="G48">
            <v>2.1367758440526598E-2</v>
          </cell>
          <cell r="I48">
            <v>20473.489999999998</v>
          </cell>
          <cell r="J48">
            <v>1.1630990901315115E-2</v>
          </cell>
          <cell r="L48">
            <v>42938.880000000005</v>
          </cell>
          <cell r="M48">
            <v>1.8980709407179101E-2</v>
          </cell>
          <cell r="O48">
            <v>16443.53</v>
          </cell>
          <cell r="P48">
            <v>1.2006497859370231E-2</v>
          </cell>
          <cell r="R48">
            <v>14312.22</v>
          </cell>
          <cell r="S48">
            <v>1.0126535383493153E-2</v>
          </cell>
          <cell r="U48">
            <v>14154.509999999998</v>
          </cell>
          <cell r="V48">
            <v>1.0387975739982114E-2</v>
          </cell>
          <cell r="X48">
            <v>20435.53</v>
          </cell>
          <cell r="Y48">
            <v>1.7272118228999191E-2</v>
          </cell>
          <cell r="AA48">
            <v>222984.37</v>
          </cell>
          <cell r="AB48">
            <v>1.5506109049411253E-2</v>
          </cell>
        </row>
        <row r="49">
          <cell r="C49">
            <v>-4206.2599999999866</v>
          </cell>
          <cell r="D49">
            <v>-1.4120504950406426E-3</v>
          </cell>
          <cell r="F49">
            <v>557.16000000000076</v>
          </cell>
          <cell r="G49">
            <v>2.7172305379277181E-4</v>
          </cell>
          <cell r="I49">
            <v>-834.74000000000024</v>
          </cell>
          <cell r="J49">
            <v>-4.7421584424364304E-4</v>
          </cell>
          <cell r="L49">
            <v>-1001.9000000000033</v>
          </cell>
          <cell r="M49">
            <v>-4.4288003681169149E-4</v>
          </cell>
          <cell r="O49">
            <v>-1902.2999999999988</v>
          </cell>
          <cell r="P49">
            <v>-1.3889937791873143E-3</v>
          </cell>
          <cell r="R49">
            <v>-99.919999999999845</v>
          </cell>
          <cell r="S49">
            <v>-7.0697866265235885E-5</v>
          </cell>
          <cell r="U49">
            <v>-1056.1799999999996</v>
          </cell>
          <cell r="V49">
            <v>-7.7512907314024337E-4</v>
          </cell>
          <cell r="X49">
            <v>-3393.4800000000005</v>
          </cell>
          <cell r="Y49">
            <v>-2.8681706697963882E-3</v>
          </cell>
          <cell r="AA49">
            <v>-11937.619999999988</v>
          </cell>
          <cell r="AB49">
            <v>-8.3013010064531695E-4</v>
          </cell>
        </row>
        <row r="50">
          <cell r="C50">
            <v>8709.9</v>
          </cell>
          <cell r="D50">
            <v>2.9239320932977352E-3</v>
          </cell>
          <cell r="F50">
            <v>62.629999999999995</v>
          </cell>
          <cell r="G50">
            <v>3.0544215053200648E-5</v>
          </cell>
          <cell r="I50">
            <v>4567.49</v>
          </cell>
          <cell r="J50">
            <v>2.5947913439207373E-3</v>
          </cell>
          <cell r="L50">
            <v>495.41999999999996</v>
          </cell>
          <cell r="M50">
            <v>2.1899553631824279E-4</v>
          </cell>
          <cell r="O50">
            <v>184.10000000000002</v>
          </cell>
          <cell r="P50">
            <v>1.3442346356956565E-4</v>
          </cell>
          <cell r="R50">
            <v>184.10000000000002</v>
          </cell>
          <cell r="S50">
            <v>1.3025897897748148E-4</v>
          </cell>
          <cell r="U50">
            <v>0</v>
          </cell>
          <cell r="V50">
            <v>0</v>
          </cell>
          <cell r="X50">
            <v>13088.769999999999</v>
          </cell>
          <cell r="Y50">
            <v>1.1062633702780291E-2</v>
          </cell>
          <cell r="AA50">
            <v>27292.409999999996</v>
          </cell>
          <cell r="AB50">
            <v>1.8978867697374579E-3</v>
          </cell>
        </row>
        <row r="51">
          <cell r="C51">
            <v>318507.10999999987</v>
          </cell>
          <cell r="D51">
            <v>0.10692351931394295</v>
          </cell>
          <cell r="F51">
            <v>232102.17</v>
          </cell>
          <cell r="G51">
            <v>0.11319461272225032</v>
          </cell>
          <cell r="I51">
            <v>210368.26000000004</v>
          </cell>
          <cell r="J51">
            <v>0.11951022116822746</v>
          </cell>
          <cell r="L51">
            <v>145637.36999999997</v>
          </cell>
          <cell r="M51">
            <v>6.4377566410577611E-2</v>
          </cell>
          <cell r="O51">
            <v>127672.37000000004</v>
          </cell>
          <cell r="P51">
            <v>9.322195642333031E-2</v>
          </cell>
          <cell r="R51">
            <v>200938.05</v>
          </cell>
          <cell r="S51">
            <v>0.14217265198656226</v>
          </cell>
          <cell r="U51">
            <v>182914.6</v>
          </cell>
          <cell r="V51">
            <v>0.13424077748283286</v>
          </cell>
          <cell r="X51">
            <v>24985.139999999948</v>
          </cell>
          <cell r="Y51">
            <v>2.1117450442836371E-2</v>
          </cell>
          <cell r="AA51">
            <v>1443125.0699999998</v>
          </cell>
          <cell r="AB51">
            <v>0.10035346740831766</v>
          </cell>
        </row>
        <row r="52">
          <cell r="C52">
            <v>462384.19999999984</v>
          </cell>
          <cell r="D52">
            <v>0.15522336672221246</v>
          </cell>
          <cell r="F52">
            <v>262549.89</v>
          </cell>
          <cell r="G52">
            <v>0.12804375382970104</v>
          </cell>
          <cell r="I52">
            <v>295282.72000000003</v>
          </cell>
          <cell r="J52">
            <v>0.16775013100529415</v>
          </cell>
          <cell r="L52">
            <v>244092.91999999998</v>
          </cell>
          <cell r="M52">
            <v>0.10789887353535572</v>
          </cell>
          <cell r="O52">
            <v>151925.40000000002</v>
          </cell>
          <cell r="P52">
            <v>0.1109306815436811</v>
          </cell>
          <cell r="R52">
            <v>229413.84</v>
          </cell>
          <cell r="S52">
            <v>0.16232054623412978</v>
          </cell>
          <cell r="U52">
            <v>200024.52999999997</v>
          </cell>
          <cell r="V52">
            <v>0.14679773196255641</v>
          </cell>
          <cell r="X52">
            <v>124194.84999999995</v>
          </cell>
          <cell r="Y52">
            <v>0.10496953749830903</v>
          </cell>
          <cell r="AA52">
            <v>1969868.3499999999</v>
          </cell>
          <cell r="AB52">
            <v>0.13698266586166472</v>
          </cell>
        </row>
        <row r="53">
          <cell r="C53">
            <v>0</v>
          </cell>
          <cell r="D53">
            <v>0</v>
          </cell>
          <cell r="F53">
            <v>0</v>
          </cell>
          <cell r="G53">
            <v>0</v>
          </cell>
          <cell r="I53">
            <v>0</v>
          </cell>
          <cell r="J53">
            <v>0</v>
          </cell>
          <cell r="L53">
            <v>0</v>
          </cell>
          <cell r="M53">
            <v>0</v>
          </cell>
          <cell r="O53">
            <v>0</v>
          </cell>
          <cell r="P53">
            <v>0</v>
          </cell>
          <cell r="R53">
            <v>0</v>
          </cell>
          <cell r="S53">
            <v>0</v>
          </cell>
          <cell r="U53">
            <v>0</v>
          </cell>
          <cell r="V53">
            <v>0</v>
          </cell>
          <cell r="X53">
            <v>0</v>
          </cell>
          <cell r="Y53">
            <v>0</v>
          </cell>
          <cell r="AA53">
            <v>0</v>
          </cell>
          <cell r="AB53">
            <v>0</v>
          </cell>
        </row>
        <row r="54">
          <cell r="C54">
            <v>119153.23000000001</v>
          </cell>
          <cell r="D54">
            <v>3.9999994628765717E-2</v>
          </cell>
          <cell r="F54">
            <v>82018.820000000007</v>
          </cell>
          <cell r="G54">
            <v>4.0000007608011416E-2</v>
          </cell>
          <cell r="I54">
            <v>70410.16</v>
          </cell>
          <cell r="J54">
            <v>4.0000016134041708E-2</v>
          </cell>
          <cell r="L54">
            <v>90489.51</v>
          </cell>
          <cell r="M54">
            <v>3.9999997524575094E-2</v>
          </cell>
          <cell r="O54">
            <v>54782.100000000006</v>
          </cell>
          <cell r="P54">
            <v>3.999999795553668E-2</v>
          </cell>
          <cell r="R54">
            <v>56533.65</v>
          </cell>
          <cell r="S54">
            <v>4.000008433932805E-2</v>
          </cell>
          <cell r="U54">
            <v>54503.45</v>
          </cell>
          <cell r="V54">
            <v>4.0000008219664838E-2</v>
          </cell>
          <cell r="X54">
            <v>47326.06</v>
          </cell>
          <cell r="Y54">
            <v>4.0000005071202431E-2</v>
          </cell>
          <cell r="AA54">
            <v>575216.98</v>
          </cell>
          <cell r="AB54">
            <v>4.0000010848083259E-2</v>
          </cell>
        </row>
        <row r="55">
          <cell r="C55">
            <v>199353.87999999989</v>
          </cell>
          <cell r="D55">
            <v>6.6923524685177233E-2</v>
          </cell>
          <cell r="F55">
            <v>150083.35</v>
          </cell>
          <cell r="G55">
            <v>7.3194605114238906E-2</v>
          </cell>
          <cell r="I55">
            <v>139958.10000000003</v>
          </cell>
          <cell r="J55">
            <v>7.9510205034185752E-2</v>
          </cell>
          <cell r="L55">
            <v>55147.859999999986</v>
          </cell>
          <cell r="M55">
            <v>2.4377568886002517E-2</v>
          </cell>
          <cell r="O55">
            <v>72890.270000000033</v>
          </cell>
          <cell r="P55">
            <v>5.322195846779363E-2</v>
          </cell>
          <cell r="R55">
            <v>144404.39999999997</v>
          </cell>
          <cell r="S55">
            <v>0.1021725676472342</v>
          </cell>
          <cell r="U55">
            <v>128411.15</v>
          </cell>
          <cell r="V55">
            <v>9.4240769263168017E-2</v>
          </cell>
          <cell r="X55">
            <v>-22340.920000000056</v>
          </cell>
          <cell r="Y55">
            <v>-1.8882554628366067E-2</v>
          </cell>
          <cell r="AA55">
            <v>867908.08999999985</v>
          </cell>
          <cell r="AB55">
            <v>6.03534565602344E-2</v>
          </cell>
        </row>
        <row r="56">
          <cell r="C56">
            <v>50000</v>
          </cell>
          <cell r="D56">
            <v>1.6785107138415686E-2</v>
          </cell>
          <cell r="F56">
            <v>0</v>
          </cell>
          <cell r="G56">
            <v>0</v>
          </cell>
          <cell r="I56">
            <v>0</v>
          </cell>
          <cell r="J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R56">
            <v>0</v>
          </cell>
          <cell r="S56">
            <v>0</v>
          </cell>
          <cell r="U56">
            <v>0</v>
          </cell>
          <cell r="V56">
            <v>0</v>
          </cell>
          <cell r="X56">
            <v>0</v>
          </cell>
          <cell r="Y56">
            <v>0</v>
          </cell>
          <cell r="AA56">
            <v>50000</v>
          </cell>
          <cell r="AB56">
            <v>3.4769497632078997E-3</v>
          </cell>
        </row>
        <row r="57">
          <cell r="C57">
            <v>49838</v>
          </cell>
          <cell r="D57">
            <v>1.6730723391287217E-2</v>
          </cell>
          <cell r="F57">
            <v>37521</v>
          </cell>
          <cell r="G57">
            <v>1.8298730528678614E-2</v>
          </cell>
          <cell r="I57">
            <v>34990</v>
          </cell>
          <cell r="J57">
            <v>1.9877821106075024E-2</v>
          </cell>
          <cell r="L57">
            <v>13787</v>
          </cell>
          <cell r="M57">
            <v>6.0944076929062485E-3</v>
          </cell>
          <cell r="O57">
            <v>18223</v>
          </cell>
          <cell r="P57">
            <v>1.3305805413515451E-2</v>
          </cell>
          <cell r="R57">
            <v>36101</v>
          </cell>
          <cell r="S57">
            <v>2.5543071157338715E-2</v>
          </cell>
          <cell r="U57">
            <v>32103</v>
          </cell>
          <cell r="V57">
            <v>2.3560348269254523E-2</v>
          </cell>
          <cell r="X57">
            <v>0</v>
          </cell>
          <cell r="Y57">
            <v>0</v>
          </cell>
          <cell r="AA57">
            <v>222563</v>
          </cell>
          <cell r="AB57">
            <v>1.5476807402976795E-2</v>
          </cell>
        </row>
        <row r="58">
          <cell r="C58">
            <v>99515.879999999888</v>
          </cell>
          <cell r="D58">
            <v>3.3407694155474336E-2</v>
          </cell>
          <cell r="F58">
            <v>112562.35</v>
          </cell>
          <cell r="G58">
            <v>5.4895874585560285E-2</v>
          </cell>
          <cell r="I58">
            <v>104968.10000000005</v>
          </cell>
          <cell r="J58">
            <v>5.9632383928110738E-2</v>
          </cell>
          <cell r="L58">
            <v>41360.859999999986</v>
          </cell>
          <cell r="M58">
            <v>1.8283161193096267E-2</v>
          </cell>
          <cell r="O58">
            <v>54667.270000000033</v>
          </cell>
          <cell r="P58">
            <v>3.9916153054278182E-2</v>
          </cell>
          <cell r="R58">
            <v>108303.39999999997</v>
          </cell>
          <cell r="S58">
            <v>7.6629496489895491E-2</v>
          </cell>
          <cell r="U58">
            <v>96308.15</v>
          </cell>
          <cell r="V58">
            <v>7.0680420993913487E-2</v>
          </cell>
          <cell r="X58">
            <v>-22340.920000000056</v>
          </cell>
          <cell r="Y58">
            <v>-1.8882554628366067E-2</v>
          </cell>
          <cell r="AA58">
            <v>595345.08999999985</v>
          </cell>
          <cell r="AB58">
            <v>4.1399699394049701E-2</v>
          </cell>
        </row>
      </sheetData>
      <sheetData sheetId="4">
        <row r="6">
          <cell r="C6">
            <v>3178057.9917321205</v>
          </cell>
          <cell r="D6">
            <v>1.0155114532087528</v>
          </cell>
          <cell r="F6">
            <v>2165514.844887191</v>
          </cell>
          <cell r="G6">
            <v>1.0216394814943193</v>
          </cell>
          <cell r="I6">
            <v>1861531</v>
          </cell>
          <cell r="J6">
            <v>1.0103917317490143</v>
          </cell>
          <cell r="L6">
            <v>2370662.447580866</v>
          </cell>
          <cell r="M6">
            <v>1.0185378293703673</v>
          </cell>
          <cell r="O6">
            <v>1457379.5</v>
          </cell>
          <cell r="P6">
            <v>1.0106175040801828</v>
          </cell>
          <cell r="R6">
            <v>1496719</v>
          </cell>
          <cell r="S6">
            <v>1.0100558375172279</v>
          </cell>
          <cell r="U6">
            <v>1447178.5</v>
          </cell>
          <cell r="V6">
            <v>1.0096128466668417</v>
          </cell>
          <cell r="X6">
            <v>1268560</v>
          </cell>
          <cell r="Y6">
            <v>1.0144039475592028</v>
          </cell>
          <cell r="AA6">
            <v>15245603.284200178</v>
          </cell>
          <cell r="AB6">
            <v>1.0126398142661706</v>
          </cell>
        </row>
        <row r="7">
          <cell r="C7">
            <v>3136262</v>
          </cell>
          <cell r="D7">
            <v>1</v>
          </cell>
          <cell r="F7">
            <v>2128245</v>
          </cell>
          <cell r="G7">
            <v>1</v>
          </cell>
          <cell r="I7">
            <v>1843100</v>
          </cell>
          <cell r="J7">
            <v>1</v>
          </cell>
          <cell r="L7">
            <v>2334000</v>
          </cell>
          <cell r="M7">
            <v>1</v>
          </cell>
          <cell r="O7">
            <v>1442950</v>
          </cell>
          <cell r="P7">
            <v>1</v>
          </cell>
          <cell r="R7">
            <v>1481900</v>
          </cell>
          <cell r="S7">
            <v>1</v>
          </cell>
          <cell r="U7">
            <v>1432850</v>
          </cell>
          <cell r="V7">
            <v>1</v>
          </cell>
          <cell r="X7">
            <v>1256000</v>
          </cell>
          <cell r="Y7">
            <v>1</v>
          </cell>
          <cell r="AA7">
            <v>15055307</v>
          </cell>
          <cell r="AB7">
            <v>1</v>
          </cell>
        </row>
        <row r="8">
          <cell r="C8">
            <v>647638.103</v>
          </cell>
          <cell r="D8">
            <v>0.20500618841722534</v>
          </cell>
          <cell r="F8">
            <v>437354.34749999992</v>
          </cell>
          <cell r="G8">
            <v>0.20446645281749556</v>
          </cell>
          <cell r="I8">
            <v>377835.5</v>
          </cell>
          <cell r="J8">
            <v>0.20273603919808611</v>
          </cell>
          <cell r="L8">
            <v>481971</v>
          </cell>
          <cell r="M8">
            <v>0.20084935453008437</v>
          </cell>
          <cell r="O8">
            <v>303019.5</v>
          </cell>
          <cell r="P8">
            <v>0.20883037735455459</v>
          </cell>
          <cell r="R8">
            <v>306753.3</v>
          </cell>
          <cell r="S8">
            <v>0.20716896033672108</v>
          </cell>
          <cell r="U8">
            <v>300898.5</v>
          </cell>
          <cell r="V8">
            <v>0.20991192944691772</v>
          </cell>
          <cell r="X8">
            <v>259991.99999999997</v>
          </cell>
          <cell r="Y8">
            <v>0.20764564060210899</v>
          </cell>
          <cell r="AA8">
            <v>3115462.2504999996</v>
          </cell>
          <cell r="AB8">
            <v>0.20693448831697683</v>
          </cell>
        </row>
        <row r="9">
          <cell r="C9">
            <v>14740.431399999999</v>
          </cell>
          <cell r="D9">
            <v>4.3829070338545374E-3</v>
          </cell>
          <cell r="F9">
            <v>9577.1024999999991</v>
          </cell>
          <cell r="G9">
            <v>3.9241488870081602E-3</v>
          </cell>
          <cell r="I9">
            <v>9215.5</v>
          </cell>
          <cell r="J9">
            <v>4.5001534977957636E-3</v>
          </cell>
          <cell r="L9">
            <v>11670</v>
          </cell>
          <cell r="M9">
            <v>4.9885337213585431E-3</v>
          </cell>
          <cell r="O9">
            <v>7214.75</v>
          </cell>
          <cell r="P9">
            <v>4.4634431228879369E-3</v>
          </cell>
          <cell r="R9">
            <v>6668.55</v>
          </cell>
          <cell r="S9">
            <v>3.9153825502793466E-3</v>
          </cell>
          <cell r="U9">
            <v>7164.25</v>
          </cell>
          <cell r="V9">
            <v>5.2560867040191226E-3</v>
          </cell>
          <cell r="X9">
            <v>7536</v>
          </cell>
          <cell r="Y9">
            <v>6.1279818511807476E-3</v>
          </cell>
          <cell r="AA9">
            <v>73786.583899999998</v>
          </cell>
          <cell r="AB9">
            <v>4.9010348244642237E-3</v>
          </cell>
        </row>
        <row r="10">
          <cell r="C10">
            <v>15681.31</v>
          </cell>
          <cell r="D10">
            <v>5.8050789484996486E-3</v>
          </cell>
          <cell r="F10">
            <v>11705.3475</v>
          </cell>
          <cell r="G10">
            <v>4.9583800077924569E-3</v>
          </cell>
          <cell r="I10">
            <v>9215.5</v>
          </cell>
          <cell r="J10">
            <v>3.028558463878798E-3</v>
          </cell>
          <cell r="L10">
            <v>14004</v>
          </cell>
          <cell r="M10">
            <v>6.5205211464299181E-3</v>
          </cell>
          <cell r="O10">
            <v>7214.75</v>
          </cell>
          <cell r="P10">
            <v>4.7138971817635295E-3</v>
          </cell>
          <cell r="R10">
            <v>8150.4499999999989</v>
          </cell>
          <cell r="S10">
            <v>4.6840378842922014E-3</v>
          </cell>
          <cell r="U10">
            <v>7164.25</v>
          </cell>
          <cell r="V10">
            <v>3.8606224603941869E-3</v>
          </cell>
          <cell r="X10">
            <v>8792</v>
          </cell>
          <cell r="Y10">
            <v>5.4952056640936104E-3</v>
          </cell>
          <cell r="AA10">
            <v>81927.607499999998</v>
          </cell>
          <cell r="AB10">
            <v>5.4417759465150723E-3</v>
          </cell>
        </row>
        <row r="11">
          <cell r="C11">
            <v>62725.24</v>
          </cell>
          <cell r="D11">
            <v>2.0878481145196835E-2</v>
          </cell>
          <cell r="F11">
            <v>41500.777500000004</v>
          </cell>
          <cell r="G11">
            <v>1.8812066468015962E-2</v>
          </cell>
          <cell r="I11">
            <v>35018.899999999994</v>
          </cell>
          <cell r="J11">
            <v>1.7963323903232131E-2</v>
          </cell>
          <cell r="L11">
            <v>49014</v>
          </cell>
          <cell r="M11">
            <v>1.9815391740255928E-2</v>
          </cell>
          <cell r="O11">
            <v>29580.474999999999</v>
          </cell>
          <cell r="P11">
            <v>1.979810822449846E-2</v>
          </cell>
          <cell r="R11">
            <v>30378.950000000004</v>
          </cell>
          <cell r="S11">
            <v>2.0388487746815204E-2</v>
          </cell>
          <cell r="U11">
            <v>28657</v>
          </cell>
          <cell r="V11">
            <v>1.8495933874909925E-2</v>
          </cell>
          <cell r="X11">
            <v>25120</v>
          </cell>
          <cell r="Y11">
            <v>1.8600004133029983E-2</v>
          </cell>
          <cell r="AA11">
            <v>301995.34250000003</v>
          </cell>
          <cell r="AB11">
            <v>2.0059062395738594E-2</v>
          </cell>
        </row>
        <row r="12">
          <cell r="C12">
            <v>4583.333333333333</v>
          </cell>
          <cell r="D12">
            <v>8.2244675063237473E-4</v>
          </cell>
          <cell r="F12">
            <v>3333.333333333333</v>
          </cell>
          <cell r="G12">
            <v>1.2039385446101431E-3</v>
          </cell>
          <cell r="I12">
            <v>2708.333333333333</v>
          </cell>
          <cell r="J12">
            <v>7.9327788104858468E-4</v>
          </cell>
          <cell r="L12">
            <v>3541.666666666667</v>
          </cell>
          <cell r="M12">
            <v>1.333042830433717E-3</v>
          </cell>
          <cell r="O12">
            <v>1689.9</v>
          </cell>
          <cell r="P12">
            <v>6.0873165314128828E-4</v>
          </cell>
          <cell r="R12">
            <v>2125</v>
          </cell>
          <cell r="S12">
            <v>8.9254641070463624E-4</v>
          </cell>
          <cell r="U12">
            <v>1875</v>
          </cell>
          <cell r="V12">
            <v>1.0178807286559685E-3</v>
          </cell>
          <cell r="X12">
            <v>1666.6666666666665</v>
          </cell>
          <cell r="Y12">
            <v>1.0444225922575333E-3</v>
          </cell>
          <cell r="AA12">
            <v>21523.233333333334</v>
          </cell>
          <cell r="AB12">
            <v>1.4296110556452507E-3</v>
          </cell>
        </row>
        <row r="13">
          <cell r="C13">
            <v>2390893.5822666665</v>
          </cell>
          <cell r="D13">
            <v>0.76310489770459122</v>
          </cell>
          <cell r="F13">
            <v>1624774.0916666666</v>
          </cell>
          <cell r="G13">
            <v>0.76663501327507755</v>
          </cell>
          <cell r="I13">
            <v>1409106.2666666666</v>
          </cell>
          <cell r="J13">
            <v>0.77097864705595864</v>
          </cell>
          <cell r="L13">
            <v>1773799.3333333335</v>
          </cell>
          <cell r="M13">
            <v>0.76649315603143753</v>
          </cell>
          <cell r="O13">
            <v>1093808.1499999999</v>
          </cell>
          <cell r="P13">
            <v>0.76158544246315418</v>
          </cell>
          <cell r="R13">
            <v>1127823.75</v>
          </cell>
          <cell r="S13">
            <v>0.76295058507118751</v>
          </cell>
          <cell r="U13">
            <v>1087091</v>
          </cell>
          <cell r="V13">
            <v>0.76145754678510302</v>
          </cell>
          <cell r="X13">
            <v>952893.33333333326</v>
          </cell>
          <cell r="Y13">
            <v>0.76108674515732933</v>
          </cell>
          <cell r="AA13">
            <v>11460189.507266667</v>
          </cell>
          <cell r="AB13">
            <v>0.76120596592727507</v>
          </cell>
        </row>
        <row r="14">
          <cell r="C14">
            <v>488303.0517525773</v>
          </cell>
          <cell r="D14">
            <v>0.15693315144767436</v>
          </cell>
          <cell r="F14">
            <v>343127.79639175255</v>
          </cell>
          <cell r="G14">
            <v>0.16177515506431839</v>
          </cell>
          <cell r="I14">
            <v>291648.78723404254</v>
          </cell>
          <cell r="J14">
            <v>0.16235416324658591</v>
          </cell>
          <cell r="L14">
            <v>373568.04123711342</v>
          </cell>
          <cell r="M14">
            <v>0.1620108263680439</v>
          </cell>
          <cell r="O14">
            <v>227450.86702127659</v>
          </cell>
          <cell r="P14">
            <v>0.15250840644985242</v>
          </cell>
          <cell r="R14">
            <v>234199.47368421053</v>
          </cell>
          <cell r="S14">
            <v>0.15541679912198231</v>
          </cell>
          <cell r="U14">
            <v>223124.23404255317</v>
          </cell>
          <cell r="V14">
            <v>0.16616377607351995</v>
          </cell>
          <cell r="X14">
            <v>210263.97849462368</v>
          </cell>
          <cell r="Y14">
            <v>0.16334900856090812</v>
          </cell>
          <cell r="AA14">
            <v>2391686.2298581498</v>
          </cell>
          <cell r="AB14">
            <v>0.15886001061673136</v>
          </cell>
        </row>
        <row r="15">
          <cell r="C15">
            <v>85435.328270522863</v>
          </cell>
          <cell r="D15">
            <v>3.3242874474439417E-2</v>
          </cell>
          <cell r="F15">
            <v>56683.744420103096</v>
          </cell>
          <cell r="G15">
            <v>2.9078887670301128E-2</v>
          </cell>
          <cell r="I15">
            <v>46858.605738297876</v>
          </cell>
          <cell r="J15">
            <v>2.7593284600536099E-2</v>
          </cell>
          <cell r="L15">
            <v>61969.810412371131</v>
          </cell>
          <cell r="M15">
            <v>2.8244363814452771E-2</v>
          </cell>
          <cell r="O15">
            <v>35037.355212765957</v>
          </cell>
          <cell r="P15">
            <v>2.6239854378134603E-2</v>
          </cell>
          <cell r="R15">
            <v>37131.497684210532</v>
          </cell>
          <cell r="S15">
            <v>2.791665720620443E-2</v>
          </cell>
          <cell r="U15">
            <v>39160.1407893617</v>
          </cell>
          <cell r="V15">
            <v>2.88136975313198E-2</v>
          </cell>
          <cell r="X15">
            <v>30862.631720430109</v>
          </cell>
          <cell r="Y15">
            <v>2.716709912049714E-2</v>
          </cell>
          <cell r="AA15">
            <v>393139.1142480633</v>
          </cell>
          <cell r="AB15">
            <v>2.6112992199233354E-2</v>
          </cell>
        </row>
        <row r="16">
          <cell r="C16">
            <v>114018.44916666666</v>
          </cell>
          <cell r="D16">
            <v>3.9543691491207886E-2</v>
          </cell>
          <cell r="F16">
            <v>89204.85000000002</v>
          </cell>
          <cell r="G16">
            <v>3.3558138528534807E-2</v>
          </cell>
          <cell r="I16">
            <v>91149.85000000002</v>
          </cell>
          <cell r="J16">
            <v>4.73203319506365E-2</v>
          </cell>
          <cell r="L16">
            <v>89204.85000000002</v>
          </cell>
          <cell r="M16">
            <v>3.5855924064643795E-2</v>
          </cell>
          <cell r="O16">
            <v>86685.149679765309</v>
          </cell>
          <cell r="P16">
            <v>5.9952755227205327E-2</v>
          </cell>
          <cell r="R16">
            <v>74400.600000000006</v>
          </cell>
          <cell r="S16">
            <v>4.7977622512125138E-2</v>
          </cell>
          <cell r="U16">
            <v>75975.708999999973</v>
          </cell>
          <cell r="V16">
            <v>5.0001564304966377E-2</v>
          </cell>
          <cell r="X16">
            <v>77110.69</v>
          </cell>
          <cell r="Y16">
            <v>5.6684345582667856E-2</v>
          </cell>
          <cell r="AA16">
            <v>697750.14784643194</v>
          </cell>
          <cell r="AB16">
            <v>4.6345793403378084E-2</v>
          </cell>
        </row>
        <row r="17">
          <cell r="C17">
            <v>43416.639381009976</v>
          </cell>
          <cell r="D17">
            <v>1.5299118246430316E-2</v>
          </cell>
          <cell r="F17">
            <v>30124.477845000009</v>
          </cell>
          <cell r="G17">
            <v>1.2053196912975239E-2</v>
          </cell>
          <cell r="I17">
            <v>31324.557451000008</v>
          </cell>
          <cell r="J17">
            <v>1.6478548947918739E-2</v>
          </cell>
          <cell r="L17">
            <v>30097.716390000009</v>
          </cell>
          <cell r="M17">
            <v>1.3562875122739635E-2</v>
          </cell>
          <cell r="O17">
            <v>24330.880603602691</v>
          </cell>
          <cell r="P17">
            <v>2.0081784812393144E-2</v>
          </cell>
          <cell r="R17">
            <v>26665.004800000002</v>
          </cell>
          <cell r="S17">
            <v>1.6741434447961279E-2</v>
          </cell>
          <cell r="U17">
            <v>22851.973753019996</v>
          </cell>
          <cell r="V17">
            <v>1.9398056769951915E-2</v>
          </cell>
          <cell r="X17">
            <v>24135.135969999996</v>
          </cell>
          <cell r="Y17">
            <v>1.9606418063082123E-2</v>
          </cell>
          <cell r="AA17">
            <v>232946.38619363267</v>
          </cell>
          <cell r="AB17">
            <v>1.5472709137955983E-2</v>
          </cell>
        </row>
        <row r="18">
          <cell r="C18">
            <v>-834</v>
          </cell>
          <cell r="D18">
            <v>-9.2782701026877616E-4</v>
          </cell>
          <cell r="F18">
            <v>0</v>
          </cell>
          <cell r="G18">
            <v>0</v>
          </cell>
          <cell r="I18">
            <v>-200</v>
          </cell>
          <cell r="J18">
            <v>-4.7340914215817205E-4</v>
          </cell>
          <cell r="L18">
            <v>0</v>
          </cell>
          <cell r="M18">
            <v>-2.6399080425622257E-4</v>
          </cell>
          <cell r="O18">
            <v>0</v>
          </cell>
          <cell r="P18">
            <v>0</v>
          </cell>
          <cell r="R18">
            <v>0</v>
          </cell>
          <cell r="S18">
            <v>0</v>
          </cell>
          <cell r="U18">
            <v>0</v>
          </cell>
          <cell r="V18">
            <v>0</v>
          </cell>
          <cell r="X18">
            <v>-2000</v>
          </cell>
          <cell r="Y18">
            <v>-2.8172896054253758E-3</v>
          </cell>
          <cell r="AA18">
            <v>-3034</v>
          </cell>
          <cell r="AB18">
            <v>-2.0152362220179237E-4</v>
          </cell>
        </row>
        <row r="19">
          <cell r="C19">
            <v>0</v>
          </cell>
          <cell r="D19">
            <v>0</v>
          </cell>
          <cell r="F19">
            <v>0</v>
          </cell>
          <cell r="G19">
            <v>0</v>
          </cell>
          <cell r="I19">
            <v>0</v>
          </cell>
          <cell r="J19">
            <v>0</v>
          </cell>
          <cell r="L19">
            <v>0</v>
          </cell>
          <cell r="M19">
            <v>0</v>
          </cell>
          <cell r="O19">
            <v>0</v>
          </cell>
          <cell r="P19">
            <v>0</v>
          </cell>
          <cell r="R19">
            <v>0</v>
          </cell>
          <cell r="S19">
            <v>0</v>
          </cell>
          <cell r="U19">
            <v>0</v>
          </cell>
          <cell r="V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</row>
        <row r="20">
          <cell r="C20">
            <v>729088.46857077675</v>
          </cell>
          <cell r="D20">
            <v>0.24409100864948322</v>
          </cell>
          <cell r="F20">
            <v>519140.86865685572</v>
          </cell>
          <cell r="G20">
            <v>0.23646537817612953</v>
          </cell>
          <cell r="I20">
            <v>459981.80042334041</v>
          </cell>
          <cell r="J20">
            <v>0.25327291960351905</v>
          </cell>
          <cell r="L20">
            <v>554840.41803948453</v>
          </cell>
          <cell r="M20">
            <v>0.23940999856562387</v>
          </cell>
          <cell r="O20">
            <v>370170.91918407718</v>
          </cell>
          <cell r="P20">
            <v>0.25878280086758554</v>
          </cell>
          <cell r="R20">
            <v>372396.57616842107</v>
          </cell>
          <cell r="S20">
            <v>0.24805251328827316</v>
          </cell>
          <cell r="U20">
            <v>359653.7242516015</v>
          </cell>
          <cell r="V20">
            <v>0.26437709467975806</v>
          </cell>
          <cell r="X20">
            <v>339039.10285172041</v>
          </cell>
          <cell r="Y20">
            <v>0.26398958172172987</v>
          </cell>
          <cell r="AA20">
            <v>3704311.8781462777</v>
          </cell>
          <cell r="AB20">
            <v>0.24604691741897244</v>
          </cell>
        </row>
        <row r="21">
          <cell r="C21">
            <v>58756.349999999991</v>
          </cell>
          <cell r="D21">
            <v>1.9885997902230883E-2</v>
          </cell>
          <cell r="F21">
            <v>43458.333333333328</v>
          </cell>
          <cell r="G21">
            <v>2.0189335995734171E-2</v>
          </cell>
          <cell r="I21">
            <v>22922.7</v>
          </cell>
          <cell r="J21">
            <v>1.1895447160334522E-2</v>
          </cell>
          <cell r="L21">
            <v>44442.850000000006</v>
          </cell>
          <cell r="M21">
            <v>1.9645524547376402E-2</v>
          </cell>
          <cell r="O21">
            <v>22122.7</v>
          </cell>
          <cell r="P21">
            <v>1.5252426564392485E-2</v>
          </cell>
          <cell r="R21">
            <v>22122.5</v>
          </cell>
          <cell r="S21">
            <v>1.4779901205109233E-2</v>
          </cell>
          <cell r="U21">
            <v>25223.349999999995</v>
          </cell>
          <cell r="V21">
            <v>1.7571148189644132E-2</v>
          </cell>
          <cell r="X21">
            <v>23894.75</v>
          </cell>
          <cell r="Y21">
            <v>1.9298418583556538E-2</v>
          </cell>
          <cell r="AA21">
            <v>262943.53333333333</v>
          </cell>
          <cell r="AB21">
            <v>1.7465172469304898E-2</v>
          </cell>
        </row>
        <row r="22">
          <cell r="C22">
            <v>0</v>
          </cell>
          <cell r="D22">
            <v>0</v>
          </cell>
          <cell r="F22">
            <v>11666.666666666668</v>
          </cell>
          <cell r="G22">
            <v>5.2151016236954553E-3</v>
          </cell>
          <cell r="I22">
            <v>0</v>
          </cell>
          <cell r="J22">
            <v>0</v>
          </cell>
          <cell r="L22">
            <v>0</v>
          </cell>
          <cell r="M22">
            <v>0</v>
          </cell>
          <cell r="O22">
            <v>0</v>
          </cell>
          <cell r="P22">
            <v>0</v>
          </cell>
          <cell r="R22">
            <v>0</v>
          </cell>
          <cell r="S22">
            <v>0</v>
          </cell>
          <cell r="U22">
            <v>0</v>
          </cell>
          <cell r="V22">
            <v>0</v>
          </cell>
          <cell r="X22">
            <v>0</v>
          </cell>
          <cell r="Y22">
            <v>0</v>
          </cell>
          <cell r="AA22">
            <v>11666.666666666668</v>
          </cell>
          <cell r="AB22">
            <v>7.7492054241515415E-4</v>
          </cell>
        </row>
        <row r="23">
          <cell r="C23">
            <v>24583.333333333336</v>
          </cell>
          <cell r="D23">
            <v>7.2944886453198262E-3</v>
          </cell>
          <cell r="F23">
            <v>16166.666666666668</v>
          </cell>
          <cell r="G23">
            <v>7.7683843925918051E-3</v>
          </cell>
          <cell r="I23">
            <v>13291.666666666668</v>
          </cell>
          <cell r="J23">
            <v>6.8208592866768631E-3</v>
          </cell>
          <cell r="L23">
            <v>16916.666666666668</v>
          </cell>
          <cell r="M23">
            <v>7.166483273781608E-3</v>
          </cell>
          <cell r="O23">
            <v>10208.333333333334</v>
          </cell>
          <cell r="P23">
            <v>7.1661944309300953E-3</v>
          </cell>
          <cell r="R23">
            <v>11458.333333333332</v>
          </cell>
          <cell r="S23">
            <v>7.0071406189262811E-3</v>
          </cell>
          <cell r="U23">
            <v>11083.333333333332</v>
          </cell>
          <cell r="V23">
            <v>7.7928881067225427E-3</v>
          </cell>
          <cell r="X23">
            <v>10416.666666666668</v>
          </cell>
          <cell r="Y23">
            <v>8.2815440306939613E-3</v>
          </cell>
          <cell r="AA23">
            <v>114125</v>
          </cell>
          <cell r="AB23">
            <v>7.5803834488396681E-3</v>
          </cell>
        </row>
        <row r="24">
          <cell r="C24">
            <v>11128.088333333333</v>
          </cell>
          <cell r="D24">
            <v>3.2693561701206196E-3</v>
          </cell>
          <cell r="F24">
            <v>10416.666666666668</v>
          </cell>
          <cell r="G24">
            <v>2.1581636222924505E-3</v>
          </cell>
          <cell r="I24">
            <v>6840.1152777777779</v>
          </cell>
          <cell r="J24">
            <v>3.9396602974109476E-3</v>
          </cell>
          <cell r="L24">
            <v>8588.75</v>
          </cell>
          <cell r="M24">
            <v>3.7670706682399347E-3</v>
          </cell>
          <cell r="O24">
            <v>7435.5222222222219</v>
          </cell>
          <cell r="P24">
            <v>5.7648827602141623E-3</v>
          </cell>
          <cell r="R24">
            <v>7132.5</v>
          </cell>
          <cell r="S24">
            <v>4.2655039688410902E-3</v>
          </cell>
          <cell r="U24">
            <v>3646.2611111111114</v>
          </cell>
          <cell r="V24">
            <v>1.5896244697132759E-3</v>
          </cell>
          <cell r="X24">
            <v>5833.3333333333339</v>
          </cell>
          <cell r="Y24">
            <v>3.0631161431713704E-3</v>
          </cell>
          <cell r="AA24">
            <v>61021.236944444448</v>
          </cell>
          <cell r="AB24">
            <v>4.0531380027285027E-3</v>
          </cell>
        </row>
        <row r="25">
          <cell r="C25">
            <v>45549.784166666657</v>
          </cell>
          <cell r="D25">
            <v>1.6581047233912537E-2</v>
          </cell>
          <cell r="F25">
            <v>34011.973333333335</v>
          </cell>
          <cell r="G25">
            <v>1.7374323003420906E-2</v>
          </cell>
          <cell r="I25">
            <v>29584.18472222222</v>
          </cell>
          <cell r="J25">
            <v>1.6713560580818458E-2</v>
          </cell>
          <cell r="L25">
            <v>38788.133333333331</v>
          </cell>
          <cell r="M25">
            <v>1.7210709878084485E-2</v>
          </cell>
          <cell r="O25">
            <v>30453.374999999996</v>
          </cell>
          <cell r="P25">
            <v>2.2491732464128777E-2</v>
          </cell>
          <cell r="R25">
            <v>26918.178611111111</v>
          </cell>
          <cell r="S25">
            <v>1.807921751103506E-2</v>
          </cell>
          <cell r="U25">
            <v>27285.988888888893</v>
          </cell>
          <cell r="V25">
            <v>2.0592579563988904E-2</v>
          </cell>
          <cell r="X25">
            <v>30074.083333333332</v>
          </cell>
          <cell r="Y25">
            <v>2.8161874640974721E-2</v>
          </cell>
          <cell r="AA25">
            <v>262665.70138888888</v>
          </cell>
          <cell r="AB25">
            <v>1.7446718382354402E-2</v>
          </cell>
        </row>
        <row r="26">
          <cell r="C26">
            <v>140017.55583333332</v>
          </cell>
          <cell r="D26">
            <v>4.7030889951583867E-2</v>
          </cell>
          <cell r="F26">
            <v>115720.30666666667</v>
          </cell>
          <cell r="G26">
            <v>5.2705308637734788E-2</v>
          </cell>
          <cell r="I26">
            <v>72638.666666666672</v>
          </cell>
          <cell r="J26">
            <v>3.9369527325240787E-2</v>
          </cell>
          <cell r="L26">
            <v>108736.40000000001</v>
          </cell>
          <cell r="M26">
            <v>4.7789788367482433E-2</v>
          </cell>
          <cell r="O26">
            <v>70219.930555555547</v>
          </cell>
          <cell r="P26">
            <v>5.0675236219665513E-2</v>
          </cell>
          <cell r="R26">
            <v>67631.511944444443</v>
          </cell>
          <cell r="S26">
            <v>4.4131763303911664E-2</v>
          </cell>
          <cell r="U26">
            <v>67238.933333333334</v>
          </cell>
          <cell r="V26">
            <v>4.7546240330068851E-2</v>
          </cell>
          <cell r="X26">
            <v>70218.833333333328</v>
          </cell>
          <cell r="Y26">
            <v>5.8804953398396587E-2</v>
          </cell>
          <cell r="AA26">
            <v>712422.13833333342</v>
          </cell>
          <cell r="AB26">
            <v>4.7320332845642632E-2</v>
          </cell>
        </row>
        <row r="27">
          <cell r="C27">
            <v>44144.020019657088</v>
          </cell>
          <cell r="D27">
            <v>1.3478219468733565E-2</v>
          </cell>
          <cell r="F27">
            <v>28257.261832221735</v>
          </cell>
          <cell r="G27">
            <v>1.3609318109006719E-2</v>
          </cell>
          <cell r="I27">
            <v>1644</v>
          </cell>
          <cell r="J27">
            <v>1.7569971421556043E-3</v>
          </cell>
          <cell r="L27">
            <v>50634.386552267832</v>
          </cell>
          <cell r="M27">
            <v>2.179984263281878E-2</v>
          </cell>
          <cell r="O27">
            <v>0</v>
          </cell>
          <cell r="P27">
            <v>7.1278753469098302E-5</v>
          </cell>
          <cell r="R27">
            <v>0</v>
          </cell>
          <cell r="S27">
            <v>0</v>
          </cell>
          <cell r="U27">
            <v>0</v>
          </cell>
          <cell r="V27">
            <v>0</v>
          </cell>
          <cell r="X27">
            <v>14515.81494</v>
          </cell>
          <cell r="Y27">
            <v>1.1041512144663488E-2</v>
          </cell>
          <cell r="AA27">
            <v>139195.48334414666</v>
          </cell>
          <cell r="AB27">
            <v>9.245609096124487E-3</v>
          </cell>
        </row>
        <row r="28">
          <cell r="C28">
            <v>125450.48</v>
          </cell>
          <cell r="D28">
            <v>3.9272665723265321E-2</v>
          </cell>
          <cell r="F28">
            <v>85129.8</v>
          </cell>
          <cell r="G28">
            <v>3.9175308924644603E-2</v>
          </cell>
          <cell r="I28">
            <v>73724</v>
          </cell>
          <cell r="J28">
            <v>4.0008673978959013E-2</v>
          </cell>
          <cell r="L28">
            <v>93360</v>
          </cell>
          <cell r="M28">
            <v>3.8906279657441332E-2</v>
          </cell>
          <cell r="O28">
            <v>57718</v>
          </cell>
          <cell r="P28">
            <v>3.9984277492904126E-2</v>
          </cell>
          <cell r="R28">
            <v>59276</v>
          </cell>
          <cell r="S28">
            <v>3.997718819288746E-2</v>
          </cell>
          <cell r="U28">
            <v>57314</v>
          </cell>
          <cell r="V28">
            <v>3.9964920525344901E-2</v>
          </cell>
          <cell r="X28">
            <v>50240</v>
          </cell>
          <cell r="Y28">
            <v>3.9534122156053834E-2</v>
          </cell>
          <cell r="AA28">
            <v>602212.28</v>
          </cell>
          <cell r="AB28">
            <v>0.04</v>
          </cell>
        </row>
        <row r="29">
          <cell r="C29">
            <v>28226.358</v>
          </cell>
          <cell r="D29">
            <v>7.9964351118055142E-3</v>
          </cell>
          <cell r="F29">
            <v>21282.45</v>
          </cell>
          <cell r="G29">
            <v>9.3770837751933865E-3</v>
          </cell>
          <cell r="I29">
            <v>20274.099999999999</v>
          </cell>
          <cell r="J29">
            <v>9.8161554920314885E-3</v>
          </cell>
          <cell r="L29">
            <v>26841</v>
          </cell>
          <cell r="M29">
            <v>1.045405971871508E-2</v>
          </cell>
          <cell r="O29">
            <v>17315.400000000001</v>
          </cell>
          <cell r="P29">
            <v>1.1335636426135873E-2</v>
          </cell>
          <cell r="R29">
            <v>19264.7</v>
          </cell>
          <cell r="S29">
            <v>9.9967646103575752E-3</v>
          </cell>
          <cell r="U29">
            <v>14328.5</v>
          </cell>
          <cell r="V29">
            <v>8.7262457281869679E-3</v>
          </cell>
          <cell r="X29">
            <v>12560</v>
          </cell>
          <cell r="Y29">
            <v>9.4056605691233003E-3</v>
          </cell>
          <cell r="AA29">
            <v>160092.508</v>
          </cell>
          <cell r="AB29">
            <v>1.0633626268796777E-2</v>
          </cell>
        </row>
        <row r="30">
          <cell r="C30">
            <v>64400</v>
          </cell>
          <cell r="D30">
            <v>2.0739940227897775E-2</v>
          </cell>
          <cell r="F30">
            <v>50175</v>
          </cell>
          <cell r="G30">
            <v>2.2895110624168036E-2</v>
          </cell>
          <cell r="I30">
            <v>52296</v>
          </cell>
          <cell r="J30">
            <v>2.6427389890008385E-2</v>
          </cell>
          <cell r="L30">
            <v>47714</v>
          </cell>
          <cell r="M30">
            <v>2.2574694830171022E-2</v>
          </cell>
          <cell r="O30">
            <v>43249.2</v>
          </cell>
          <cell r="P30">
            <v>3.2469545875117446E-2</v>
          </cell>
          <cell r="R30">
            <v>41474</v>
          </cell>
          <cell r="S30">
            <v>2.8245410774874156E-2</v>
          </cell>
          <cell r="U30">
            <v>34237</v>
          </cell>
          <cell r="V30">
            <v>2.5018766338831447E-2</v>
          </cell>
          <cell r="X30">
            <v>31081</v>
          </cell>
          <cell r="Y30">
            <v>3.0559851873557854E-2</v>
          </cell>
          <cell r="AA30">
            <v>364626.2</v>
          </cell>
          <cell r="AB30">
            <v>2.4219114229952269E-2</v>
          </cell>
        </row>
        <row r="31">
          <cell r="C31">
            <v>26666.666666666664</v>
          </cell>
          <cell r="D31">
            <v>9.4575551890546065E-3</v>
          </cell>
          <cell r="F31">
            <v>23250</v>
          </cell>
          <cell r="G31">
            <v>9.2414417101646992E-3</v>
          </cell>
          <cell r="I31">
            <v>18750</v>
          </cell>
          <cell r="J31">
            <v>9.2326485582083472E-3</v>
          </cell>
          <cell r="L31">
            <v>24166.666666666664</v>
          </cell>
          <cell r="M31">
            <v>1.0301122663982963E-2</v>
          </cell>
          <cell r="O31">
            <v>16666.666666666668</v>
          </cell>
          <cell r="P31">
            <v>9.9034971691521114E-3</v>
          </cell>
          <cell r="R31">
            <v>14583.333333333332</v>
          </cell>
          <cell r="S31">
            <v>8.3736075440736489E-3</v>
          </cell>
          <cell r="U31">
            <v>15000</v>
          </cell>
          <cell r="V31">
            <v>1.0981538287819004E-2</v>
          </cell>
          <cell r="X31">
            <v>13333.333333333332</v>
          </cell>
          <cell r="Y31">
            <v>8.4521646364178193E-3</v>
          </cell>
          <cell r="AA31">
            <v>152416.66666666666</v>
          </cell>
          <cell r="AB31">
            <v>1.0123783371980834E-2</v>
          </cell>
        </row>
        <row r="32">
          <cell r="C32">
            <v>4100</v>
          </cell>
          <cell r="D32">
            <v>1.5127040685068707E-3</v>
          </cell>
          <cell r="F32">
            <v>4500</v>
          </cell>
          <cell r="G32">
            <v>2.908918287036137E-3</v>
          </cell>
          <cell r="I32">
            <v>3049.0000000000005</v>
          </cell>
          <cell r="J32">
            <v>2.0004223369467469E-3</v>
          </cell>
          <cell r="L32">
            <v>3168.2</v>
          </cell>
          <cell r="M32">
            <v>4.4537756371855301E-4</v>
          </cell>
          <cell r="O32">
            <v>3383.6666666666661</v>
          </cell>
          <cell r="P32">
            <v>2.7673928573621674E-3</v>
          </cell>
          <cell r="R32">
            <v>2800</v>
          </cell>
          <cell r="S32">
            <v>2.6832359106783409E-3</v>
          </cell>
          <cell r="U32">
            <v>4158.7000000000007</v>
          </cell>
          <cell r="V32">
            <v>3.0582804254178542E-3</v>
          </cell>
          <cell r="X32">
            <v>5000</v>
          </cell>
          <cell r="Y32">
            <v>4.1987274071064538E-3</v>
          </cell>
          <cell r="AA32">
            <v>30159.566666666669</v>
          </cell>
          <cell r="AB32">
            <v>2.0032515223148005E-3</v>
          </cell>
        </row>
        <row r="33">
          <cell r="C33">
            <v>4166.666666666667</v>
          </cell>
          <cell r="D33">
            <v>9.2906910819701887E-4</v>
          </cell>
          <cell r="F33">
            <v>3750</v>
          </cell>
          <cell r="G33">
            <v>4.564075308564238E-4</v>
          </cell>
          <cell r="I33">
            <v>2083.3333333333335</v>
          </cell>
          <cell r="J33">
            <v>6.4779313663433061E-4</v>
          </cell>
          <cell r="L33">
            <v>2916.666666666667</v>
          </cell>
          <cell r="M33">
            <v>1.0076040234654542E-3</v>
          </cell>
          <cell r="O33">
            <v>1250</v>
          </cell>
          <cell r="P33">
            <v>7.2628829428577539E-4</v>
          </cell>
          <cell r="R33">
            <v>2500</v>
          </cell>
          <cell r="S33">
            <v>8.0384860731182205E-4</v>
          </cell>
          <cell r="U33">
            <v>1666.6666666666665</v>
          </cell>
          <cell r="V33">
            <v>9.2146846338069942E-4</v>
          </cell>
          <cell r="X33">
            <v>1666.6666666666665</v>
          </cell>
          <cell r="Y33">
            <v>9.7916466900029335E-4</v>
          </cell>
          <cell r="AA33">
            <v>20000.000000000004</v>
          </cell>
          <cell r="AB33">
            <v>1.3284352155688358E-3</v>
          </cell>
        </row>
        <row r="34">
          <cell r="C34">
            <v>1224633.3665095659</v>
          </cell>
          <cell r="D34">
            <v>0.37859641020606349</v>
          </cell>
          <cell r="F34">
            <v>773568.40451092238</v>
          </cell>
          <cell r="G34">
            <v>0.37980073750014332</v>
          </cell>
          <cell r="I34">
            <v>704665.36624332611</v>
          </cell>
          <cell r="J34">
            <v>0.38844611959225483</v>
          </cell>
          <cell r="L34">
            <v>861421.59540824778</v>
          </cell>
          <cell r="M34">
            <v>0.37380438800801796</v>
          </cell>
          <cell r="O34">
            <v>513834.36692703387</v>
          </cell>
          <cell r="P34">
            <v>0.35486948850747657</v>
          </cell>
          <cell r="R34">
            <v>547897.6285538011</v>
          </cell>
          <cell r="S34">
            <v>0.38068625283881963</v>
          </cell>
          <cell r="U34">
            <v>533493.47574839846</v>
          </cell>
          <cell r="V34">
            <v>0.36086299200629512</v>
          </cell>
          <cell r="X34">
            <v>415238.58220827952</v>
          </cell>
          <cell r="Y34">
            <v>0.33412100658127969</v>
          </cell>
          <cell r="AA34">
            <v>5574752.7861095751</v>
          </cell>
          <cell r="AB34">
            <v>0.37028489595792202</v>
          </cell>
        </row>
        <row r="35">
          <cell r="C35">
            <v>501801.92</v>
          </cell>
          <cell r="D35">
            <v>0.16004864189767856</v>
          </cell>
          <cell r="F35">
            <v>383084.1</v>
          </cell>
          <cell r="G35">
            <v>0.18039799663307451</v>
          </cell>
          <cell r="I35">
            <v>276465</v>
          </cell>
          <cell r="J35">
            <v>0.15013389919583672</v>
          </cell>
          <cell r="L35">
            <v>455130</v>
          </cell>
          <cell r="M35">
            <v>0.19511377735787108</v>
          </cell>
          <cell r="O35">
            <v>238086.75</v>
          </cell>
          <cell r="P35">
            <v>0.1651632401376166</v>
          </cell>
          <cell r="R35">
            <v>222285</v>
          </cell>
          <cell r="S35">
            <v>0.15010677521666488</v>
          </cell>
          <cell r="U35">
            <v>200599.00000000003</v>
          </cell>
          <cell r="V35">
            <v>0.14008308774821743</v>
          </cell>
          <cell r="X35">
            <v>194680</v>
          </cell>
          <cell r="Y35">
            <v>0.15513026292029336</v>
          </cell>
          <cell r="AA35">
            <v>2472131.77</v>
          </cell>
          <cell r="AB35">
            <v>0.16420334503972586</v>
          </cell>
        </row>
        <row r="36">
          <cell r="C36">
            <v>0</v>
          </cell>
          <cell r="D36">
            <v>0</v>
          </cell>
          <cell r="F36">
            <v>0</v>
          </cell>
          <cell r="G36">
            <v>0</v>
          </cell>
          <cell r="I36">
            <v>0</v>
          </cell>
          <cell r="J36">
            <v>0</v>
          </cell>
          <cell r="L36">
            <v>14184</v>
          </cell>
          <cell r="M36">
            <v>7.08407372665834E-3</v>
          </cell>
          <cell r="O36">
            <v>7135</v>
          </cell>
          <cell r="P36">
            <v>4.3111306052311671E-3</v>
          </cell>
          <cell r="R36">
            <v>0</v>
          </cell>
          <cell r="S36">
            <v>0</v>
          </cell>
          <cell r="U36">
            <v>3045</v>
          </cell>
          <cell r="V36">
            <v>2.2358956183880273E-3</v>
          </cell>
          <cell r="X36">
            <v>0</v>
          </cell>
          <cell r="Y36">
            <v>0</v>
          </cell>
          <cell r="AA36">
            <v>24364</v>
          </cell>
          <cell r="AB36">
            <v>1.6182997796059557E-3</v>
          </cell>
        </row>
        <row r="37">
          <cell r="C37">
            <v>-24776.469799999999</v>
          </cell>
          <cell r="D37">
            <v>-8.6083261214721773E-3</v>
          </cell>
          <cell r="F37">
            <v>-4913.442</v>
          </cell>
          <cell r="G37">
            <v>-3.591254495292301E-3</v>
          </cell>
          <cell r="I37">
            <v>-446.72</v>
          </cell>
          <cell r="J37">
            <v>-1.0745726258520442E-3</v>
          </cell>
          <cell r="L37">
            <v>-10031.25</v>
          </cell>
          <cell r="M37">
            <v>-6.3218196738805393E-3</v>
          </cell>
          <cell r="O37">
            <v>-441.27499999999998</v>
          </cell>
          <cell r="P37">
            <v>-1.3466660867205702E-3</v>
          </cell>
          <cell r="R37">
            <v>-4593.8900000000003</v>
          </cell>
          <cell r="S37">
            <v>-4.1614453700457715E-3</v>
          </cell>
          <cell r="U37">
            <v>-172.5</v>
          </cell>
          <cell r="V37">
            <v>-8.6031268911421406E-4</v>
          </cell>
          <cell r="X37">
            <v>-827.08</v>
          </cell>
          <cell r="Y37">
            <v>-1.6305775250140232E-3</v>
          </cell>
          <cell r="AA37">
            <v>-46202.626800000005</v>
          </cell>
          <cell r="AB37">
            <v>-3.0688598246452234E-3</v>
          </cell>
        </row>
        <row r="38">
          <cell r="C38">
            <v>477025.45020000008</v>
          </cell>
          <cell r="D38">
            <v>0.1514403157762064</v>
          </cell>
          <cell r="F38">
            <v>375422.41800000001</v>
          </cell>
          <cell r="G38">
            <v>0.17680674213778225</v>
          </cell>
          <cell r="I38">
            <v>275727.76</v>
          </cell>
          <cell r="J38">
            <v>0.14905932656998469</v>
          </cell>
          <cell r="L38">
            <v>447886.19999999995</v>
          </cell>
          <cell r="M38">
            <v>0.19587603141064883</v>
          </cell>
          <cell r="O38">
            <v>244500.27499999999</v>
          </cell>
          <cell r="P38">
            <v>0.1681277046561272</v>
          </cell>
          <cell r="R38">
            <v>217691.11000000002</v>
          </cell>
          <cell r="S38">
            <v>0.14594532984661912</v>
          </cell>
          <cell r="U38">
            <v>203214.14500000002</v>
          </cell>
          <cell r="V38">
            <v>0.14145867067749127</v>
          </cell>
          <cell r="X38">
            <v>193307.54</v>
          </cell>
          <cell r="Y38">
            <v>0.15349968539527933</v>
          </cell>
          <cell r="AA38">
            <v>2434774.8982000002</v>
          </cell>
          <cell r="AB38">
            <v>0.16172203583759534</v>
          </cell>
        </row>
        <row r="39">
          <cell r="C39">
            <v>0</v>
          </cell>
          <cell r="D39">
            <v>0</v>
          </cell>
          <cell r="F39">
            <v>0</v>
          </cell>
          <cell r="G39">
            <v>0</v>
          </cell>
          <cell r="I39">
            <v>0</v>
          </cell>
          <cell r="J39">
            <v>0</v>
          </cell>
          <cell r="L39">
            <v>204</v>
          </cell>
          <cell r="M39">
            <v>2.2155936924918185E-4</v>
          </cell>
          <cell r="O39">
            <v>3400</v>
          </cell>
          <cell r="P39">
            <v>2.4825626080202238E-3</v>
          </cell>
          <cell r="R39">
            <v>0</v>
          </cell>
          <cell r="S39">
            <v>0</v>
          </cell>
          <cell r="U39">
            <v>0</v>
          </cell>
          <cell r="V39">
            <v>0</v>
          </cell>
          <cell r="X39">
            <v>0</v>
          </cell>
          <cell r="Y39">
            <v>0</v>
          </cell>
          <cell r="AA39">
            <v>3604</v>
          </cell>
          <cell r="AB39">
            <v>2.3938402584550419E-4</v>
          </cell>
        </row>
        <row r="40">
          <cell r="C40">
            <v>156813.1</v>
          </cell>
          <cell r="D40">
            <v>5.0015194718237052E-2</v>
          </cell>
          <cell r="F40">
            <v>106412.25</v>
          </cell>
          <cell r="G40">
            <v>5.0110552452773863E-2</v>
          </cell>
          <cell r="I40">
            <v>92155</v>
          </cell>
          <cell r="J40">
            <v>5.0044621703277718E-2</v>
          </cell>
          <cell r="L40">
            <v>116700</v>
          </cell>
          <cell r="M40">
            <v>5.002917266141272E-2</v>
          </cell>
          <cell r="O40">
            <v>72147.5</v>
          </cell>
          <cell r="P40">
            <v>5.0049469806040379E-2</v>
          </cell>
          <cell r="R40">
            <v>74095</v>
          </cell>
          <cell r="S40">
            <v>5.0035587021923636E-2</v>
          </cell>
          <cell r="U40">
            <v>71642.5</v>
          </cell>
          <cell r="V40">
            <v>5.0029672623151979E-2</v>
          </cell>
          <cell r="X40">
            <v>62800</v>
          </cell>
          <cell r="Y40">
            <v>5.0042000121117224E-2</v>
          </cell>
          <cell r="AA40">
            <v>752765.35</v>
          </cell>
          <cell r="AB40">
            <v>4.9999999999999996E-2</v>
          </cell>
        </row>
        <row r="41">
          <cell r="C41">
            <v>18000</v>
          </cell>
          <cell r="D41">
            <v>5.9051685423660216E-3</v>
          </cell>
          <cell r="F41">
            <v>14145</v>
          </cell>
          <cell r="G41">
            <v>6.7645463020185159E-3</v>
          </cell>
          <cell r="I41">
            <v>12145</v>
          </cell>
          <cell r="J41">
            <v>7.0807764262153421E-3</v>
          </cell>
          <cell r="L41">
            <v>14540</v>
          </cell>
          <cell r="M41">
            <v>6.713705957776173E-3</v>
          </cell>
          <cell r="O41">
            <v>11230</v>
          </cell>
          <cell r="P41">
            <v>8.0738047171128296E-3</v>
          </cell>
          <cell r="R41">
            <v>11515</v>
          </cell>
          <cell r="S41">
            <v>8.0430143591880519E-3</v>
          </cell>
          <cell r="U41">
            <v>11525</v>
          </cell>
          <cell r="V41">
            <v>8.6269785971743122E-3</v>
          </cell>
          <cell r="X41">
            <v>11200</v>
          </cell>
          <cell r="Y41">
            <v>9.0313889258546685E-3</v>
          </cell>
          <cell r="AA41">
            <v>104300</v>
          </cell>
          <cell r="AB41">
            <v>6.9277896491914777E-3</v>
          </cell>
        </row>
        <row r="42">
          <cell r="C42">
            <v>16450</v>
          </cell>
          <cell r="D42">
            <v>5.5280373981586705E-3</v>
          </cell>
          <cell r="F42">
            <v>12780</v>
          </cell>
          <cell r="G42">
            <v>6.2342874142164405E-3</v>
          </cell>
          <cell r="I42">
            <v>9600</v>
          </cell>
          <cell r="J42">
            <v>5.4457105999784839E-3</v>
          </cell>
          <cell r="L42">
            <v>10850</v>
          </cell>
          <cell r="M42">
            <v>4.8493087524053447E-3</v>
          </cell>
          <cell r="O42">
            <v>7735</v>
          </cell>
          <cell r="P42">
            <v>5.6950716393456878E-3</v>
          </cell>
          <cell r="R42">
            <v>7435</v>
          </cell>
          <cell r="S42">
            <v>5.4874548893379923E-3</v>
          </cell>
          <cell r="U42">
            <v>7495</v>
          </cell>
          <cell r="V42">
            <v>5.8401232474160868E-3</v>
          </cell>
          <cell r="X42">
            <v>6675</v>
          </cell>
          <cell r="Y42">
            <v>5.9214402282514404E-3</v>
          </cell>
          <cell r="AA42">
            <v>79020</v>
          </cell>
          <cell r="AB42">
            <v>5.24864753671247E-3</v>
          </cell>
        </row>
        <row r="43">
          <cell r="C43">
            <v>25730</v>
          </cell>
          <cell r="D43">
            <v>9.1148133723524399E-3</v>
          </cell>
          <cell r="F43">
            <v>16305</v>
          </cell>
          <cell r="G43">
            <v>8.2669334789766801E-3</v>
          </cell>
          <cell r="I43">
            <v>14625</v>
          </cell>
          <cell r="J43">
            <v>8.6301329963712221E-3</v>
          </cell>
          <cell r="L43">
            <v>15250</v>
          </cell>
          <cell r="M43">
            <v>7.3930111744348864E-3</v>
          </cell>
          <cell r="O43">
            <v>10100</v>
          </cell>
          <cell r="P43">
            <v>8.1565251635430085E-3</v>
          </cell>
          <cell r="R43">
            <v>13850</v>
          </cell>
          <cell r="S43">
            <v>8.8233937088535771E-3</v>
          </cell>
          <cell r="U43">
            <v>8640</v>
          </cell>
          <cell r="V43">
            <v>7.3741035217029256E-3</v>
          </cell>
          <cell r="X43">
            <v>13240</v>
          </cell>
          <cell r="Y43">
            <v>7.8268008568810749E-3</v>
          </cell>
          <cell r="AA43">
            <v>117740</v>
          </cell>
          <cell r="AB43">
            <v>7.8204981140537356E-3</v>
          </cell>
        </row>
        <row r="44">
          <cell r="C44">
            <v>130420</v>
          </cell>
          <cell r="D44">
            <v>4.3936854225524E-2</v>
          </cell>
          <cell r="F44">
            <v>25095</v>
          </cell>
          <cell r="G44">
            <v>1.2937384393279452E-2</v>
          </cell>
          <cell r="I44">
            <v>70105</v>
          </cell>
          <cell r="J44">
            <v>4.3874509673548175E-2</v>
          </cell>
          <cell r="L44">
            <v>94880</v>
          </cell>
          <cell r="M44">
            <v>4.1750374890944825E-2</v>
          </cell>
          <cell r="O44">
            <v>17500</v>
          </cell>
          <cell r="P44">
            <v>1.5015319930362368E-2</v>
          </cell>
          <cell r="R44">
            <v>24530</v>
          </cell>
          <cell r="S44">
            <v>1.7043520656947895E-2</v>
          </cell>
          <cell r="U44">
            <v>13475</v>
          </cell>
          <cell r="V44">
            <v>1.0182939135943106E-2</v>
          </cell>
          <cell r="X44">
            <v>72500</v>
          </cell>
          <cell r="Y44">
            <v>7.2354175144202823E-2</v>
          </cell>
          <cell r="AA44">
            <v>448505</v>
          </cell>
          <cell r="AB44">
            <v>2.9790491817935031E-2</v>
          </cell>
        </row>
        <row r="45">
          <cell r="C45">
            <v>4690</v>
          </cell>
          <cell r="D45">
            <v>1.4390610894477857E-3</v>
          </cell>
          <cell r="F45">
            <v>3780</v>
          </cell>
          <cell r="G45">
            <v>1.881212499118068E-3</v>
          </cell>
          <cell r="I45">
            <v>3325</v>
          </cell>
          <cell r="J45">
            <v>1.7706088195977752E-3</v>
          </cell>
          <cell r="L45">
            <v>2655</v>
          </cell>
          <cell r="M45">
            <v>1.5519366975150432E-3</v>
          </cell>
          <cell r="O45">
            <v>3860.2</v>
          </cell>
          <cell r="P45">
            <v>2.5589817264188696E-3</v>
          </cell>
          <cell r="R45">
            <v>2760</v>
          </cell>
          <cell r="S45">
            <v>2.9741146116421232E-3</v>
          </cell>
          <cell r="U45">
            <v>3490</v>
          </cell>
          <cell r="V45">
            <v>2.3740153437804734E-3</v>
          </cell>
          <cell r="X45">
            <v>0</v>
          </cell>
          <cell r="Y45">
            <v>4.3527820848955634E-4</v>
          </cell>
          <cell r="AA45">
            <v>24560.2</v>
          </cell>
          <cell r="AB45">
            <v>1.631331729070686E-3</v>
          </cell>
        </row>
        <row r="46">
          <cell r="C46">
            <v>0</v>
          </cell>
          <cell r="D46">
            <v>-4.2536818510173025E-5</v>
          </cell>
          <cell r="F46">
            <v>0</v>
          </cell>
          <cell r="G46">
            <v>3.8456449384673061E-3</v>
          </cell>
          <cell r="I46">
            <v>0</v>
          </cell>
          <cell r="J46">
            <v>-3.8795553110427641E-5</v>
          </cell>
          <cell r="L46">
            <v>0</v>
          </cell>
          <cell r="M46">
            <v>3.7984510992343068E-4</v>
          </cell>
          <cell r="O46">
            <v>0</v>
          </cell>
          <cell r="P46">
            <v>-3.5325405581181891E-5</v>
          </cell>
          <cell r="R46">
            <v>0</v>
          </cell>
          <cell r="S46">
            <v>-3.9771087497687307E-5</v>
          </cell>
          <cell r="U46">
            <v>0</v>
          </cell>
          <cell r="V46">
            <v>-3.9417696338088664E-5</v>
          </cell>
          <cell r="X46">
            <v>0</v>
          </cell>
          <cell r="Y46">
            <v>-3.8017114209437364E-5</v>
          </cell>
          <cell r="AA46">
            <v>0</v>
          </cell>
          <cell r="AB46">
            <v>0</v>
          </cell>
        </row>
        <row r="47">
          <cell r="C47">
            <v>41795.99173212063</v>
          </cell>
          <cell r="D47">
            <v>1.5511453208752708E-2</v>
          </cell>
          <cell r="F47">
            <v>37269.844887190673</v>
          </cell>
          <cell r="G47">
            <v>2.1639481494319369E-2</v>
          </cell>
          <cell r="I47">
            <v>18431</v>
          </cell>
          <cell r="J47">
            <v>1.1156775057071473E-2</v>
          </cell>
          <cell r="L47">
            <v>36662.447580866166</v>
          </cell>
          <cell r="M47">
            <v>1.8537829370367409E-2</v>
          </cell>
          <cell r="O47">
            <v>14429.5</v>
          </cell>
          <cell r="P47">
            <v>1.0617504080182916E-2</v>
          </cell>
          <cell r="R47">
            <v>14819</v>
          </cell>
          <cell r="S47">
            <v>1.0055837517227917E-2</v>
          </cell>
          <cell r="U47">
            <v>14328.5</v>
          </cell>
          <cell r="V47">
            <v>9.6128466668418695E-3</v>
          </cell>
          <cell r="X47">
            <v>12560</v>
          </cell>
          <cell r="Y47">
            <v>1.4403947559202802E-2</v>
          </cell>
          <cell r="AA47">
            <v>190296.28420017747</v>
          </cell>
          <cell r="AB47">
            <v>1.2639814266170559E-2</v>
          </cell>
        </row>
        <row r="48">
          <cell r="C48">
            <v>41795.99173212063</v>
          </cell>
          <cell r="D48">
            <v>1.6923503703793346E-2</v>
          </cell>
          <cell r="F48">
            <v>37269.844887190673</v>
          </cell>
          <cell r="G48">
            <v>2.1367758440526598E-2</v>
          </cell>
          <cell r="I48">
            <v>18431</v>
          </cell>
          <cell r="J48">
            <v>1.1630990901315115E-2</v>
          </cell>
          <cell r="L48">
            <v>36662.447580866166</v>
          </cell>
          <cell r="M48">
            <v>1.8980709407179101E-2</v>
          </cell>
          <cell r="O48">
            <v>14429.5</v>
          </cell>
          <cell r="P48">
            <v>1.2006497859370231E-2</v>
          </cell>
          <cell r="R48">
            <v>14819</v>
          </cell>
          <cell r="S48">
            <v>1.0126535383493153E-2</v>
          </cell>
          <cell r="U48">
            <v>14328.5</v>
          </cell>
          <cell r="V48">
            <v>1.0387975739982114E-2</v>
          </cell>
          <cell r="X48">
            <v>12560</v>
          </cell>
          <cell r="Y48">
            <v>1.7272118228999191E-2</v>
          </cell>
          <cell r="AA48">
            <v>190296.28420017747</v>
          </cell>
          <cell r="AB48">
            <v>1.2639814266170559E-2</v>
          </cell>
        </row>
        <row r="49">
          <cell r="C49">
            <v>0</v>
          </cell>
          <cell r="D49">
            <v>-1.4120504950406426E-3</v>
          </cell>
          <cell r="F49">
            <v>0</v>
          </cell>
          <cell r="G49">
            <v>2.7172305379277181E-4</v>
          </cell>
          <cell r="I49">
            <v>0</v>
          </cell>
          <cell r="J49">
            <v>-4.7421584424364304E-4</v>
          </cell>
          <cell r="L49">
            <v>0</v>
          </cell>
          <cell r="M49">
            <v>-4.4288003681169149E-4</v>
          </cell>
          <cell r="O49">
            <v>0</v>
          </cell>
          <cell r="P49">
            <v>-1.3889937791873143E-3</v>
          </cell>
          <cell r="R49">
            <v>0</v>
          </cell>
          <cell r="S49">
            <v>-7.0697866265235885E-5</v>
          </cell>
          <cell r="U49">
            <v>0</v>
          </cell>
          <cell r="V49">
            <v>-7.7512907314024337E-4</v>
          </cell>
          <cell r="X49">
            <v>0</v>
          </cell>
          <cell r="Y49">
            <v>-2.8681706697963882E-3</v>
          </cell>
          <cell r="AA49">
            <v>0</v>
          </cell>
          <cell r="AB49">
            <v>0</v>
          </cell>
        </row>
        <row r="50">
          <cell r="C50">
            <v>11250</v>
          </cell>
          <cell r="D50">
            <v>2.9239320932977352E-3</v>
          </cell>
          <cell r="F50">
            <v>250</v>
          </cell>
          <cell r="G50">
            <v>3.0544215053200648E-5</v>
          </cell>
          <cell r="I50">
            <v>2350</v>
          </cell>
          <cell r="J50">
            <v>2.5947913439207373E-3</v>
          </cell>
          <cell r="L50">
            <v>600</v>
          </cell>
          <cell r="M50">
            <v>2.1899553631824279E-4</v>
          </cell>
          <cell r="O50">
            <v>550</v>
          </cell>
          <cell r="P50">
            <v>1.3442346356956565E-4</v>
          </cell>
          <cell r="R50">
            <v>550</v>
          </cell>
          <cell r="S50">
            <v>1.3025897897748148E-4</v>
          </cell>
          <cell r="U50">
            <v>0</v>
          </cell>
          <cell r="V50">
            <v>0</v>
          </cell>
          <cell r="X50">
            <v>13650</v>
          </cell>
          <cell r="Y50">
            <v>1.1062633702780291E-2</v>
          </cell>
          <cell r="AA50">
            <v>29200</v>
          </cell>
          <cell r="AB50">
            <v>1.9395154147305001E-3</v>
          </cell>
        </row>
        <row r="51">
          <cell r="C51">
            <v>384254.81630956591</v>
          </cell>
          <cell r="D51">
            <v>0.10692351931394295</v>
          </cell>
          <cell r="F51">
            <v>219378.73651092238</v>
          </cell>
          <cell r="G51">
            <v>0.11319461272225032</v>
          </cell>
          <cell r="I51">
            <v>224632.60624332615</v>
          </cell>
          <cell r="J51">
            <v>0.11951022116822746</v>
          </cell>
          <cell r="L51">
            <v>157805.39540824766</v>
          </cell>
          <cell r="M51">
            <v>6.4377566410577611E-2</v>
          </cell>
          <cell r="O51">
            <v>142811.3919270339</v>
          </cell>
          <cell r="P51">
            <v>9.322195642333031E-2</v>
          </cell>
          <cell r="R51">
            <v>195471.51855380111</v>
          </cell>
          <cell r="S51">
            <v>0.14217265198656226</v>
          </cell>
          <cell r="U51">
            <v>214011.83074839841</v>
          </cell>
          <cell r="V51">
            <v>0.13424077748283286</v>
          </cell>
          <cell r="X51">
            <v>41866.042208279556</v>
          </cell>
          <cell r="Y51">
            <v>2.1117450442836371E-2</v>
          </cell>
          <cell r="AA51">
            <v>1580232.3379095749</v>
          </cell>
          <cell r="AB51">
            <v>0.10496181432298755</v>
          </cell>
        </row>
        <row r="52">
          <cell r="C52">
            <v>561160.80804168654</v>
          </cell>
          <cell r="D52">
            <v>0.15522336672221246</v>
          </cell>
          <cell r="F52">
            <v>285523.58139811305</v>
          </cell>
          <cell r="G52">
            <v>0.12804375382970104</v>
          </cell>
          <cell r="I52">
            <v>316493.6062433261</v>
          </cell>
          <cell r="J52">
            <v>0.16775013100529415</v>
          </cell>
          <cell r="L52">
            <v>292002.84298911382</v>
          </cell>
          <cell r="M52">
            <v>0.10789887353535572</v>
          </cell>
          <cell r="O52">
            <v>178601.09192703391</v>
          </cell>
          <cell r="P52">
            <v>0.1109306815436811</v>
          </cell>
          <cell r="R52">
            <v>237580.51855380111</v>
          </cell>
          <cell r="S52">
            <v>0.16232054623412978</v>
          </cell>
          <cell r="U52">
            <v>245305.33074839841</v>
          </cell>
          <cell r="V52">
            <v>0.14679773196255641</v>
          </cell>
          <cell r="X52">
            <v>126926.04220827957</v>
          </cell>
          <cell r="Y52">
            <v>0.10496953749830903</v>
          </cell>
          <cell r="AA52">
            <v>2243593.8221097523</v>
          </cell>
          <cell r="AB52">
            <v>0.14902345213616383</v>
          </cell>
        </row>
        <row r="53">
          <cell r="C53">
            <v>0</v>
          </cell>
          <cell r="D53">
            <v>0</v>
          </cell>
          <cell r="F53">
            <v>0</v>
          </cell>
          <cell r="G53">
            <v>0</v>
          </cell>
          <cell r="I53">
            <v>0</v>
          </cell>
          <cell r="J53">
            <v>0</v>
          </cell>
          <cell r="L53">
            <v>0</v>
          </cell>
          <cell r="M53">
            <v>0</v>
          </cell>
          <cell r="O53">
            <v>0</v>
          </cell>
          <cell r="P53">
            <v>0</v>
          </cell>
          <cell r="R53">
            <v>0</v>
          </cell>
          <cell r="S53">
            <v>0</v>
          </cell>
          <cell r="U53">
            <v>0</v>
          </cell>
          <cell r="V53">
            <v>0</v>
          </cell>
          <cell r="X53">
            <v>0</v>
          </cell>
          <cell r="Y53">
            <v>0</v>
          </cell>
          <cell r="AA53">
            <v>0</v>
          </cell>
          <cell r="AB53">
            <v>0</v>
          </cell>
        </row>
        <row r="54">
          <cell r="C54">
            <v>125450.48</v>
          </cell>
          <cell r="D54">
            <v>3.9999994628765717E-2</v>
          </cell>
          <cell r="F54">
            <v>85129.8</v>
          </cell>
          <cell r="G54">
            <v>4.0000007608011416E-2</v>
          </cell>
          <cell r="I54">
            <v>73724</v>
          </cell>
          <cell r="J54">
            <v>4.0000016134041708E-2</v>
          </cell>
          <cell r="L54">
            <v>93360</v>
          </cell>
          <cell r="M54">
            <v>3.9999997524575094E-2</v>
          </cell>
          <cell r="O54">
            <v>57718</v>
          </cell>
          <cell r="P54">
            <v>3.999999795553668E-2</v>
          </cell>
          <cell r="R54">
            <v>59276</v>
          </cell>
          <cell r="S54">
            <v>4.000008433932805E-2</v>
          </cell>
          <cell r="U54">
            <v>57314</v>
          </cell>
          <cell r="V54">
            <v>4.0000008219664838E-2</v>
          </cell>
          <cell r="X54">
            <v>49235.200000000004</v>
          </cell>
          <cell r="Y54">
            <v>4.0000005071202431E-2</v>
          </cell>
          <cell r="AA54">
            <v>601207.48</v>
          </cell>
          <cell r="AB54">
            <v>3.9933259414769821E-2</v>
          </cell>
        </row>
        <row r="55">
          <cell r="C55">
            <v>258804.33630956587</v>
          </cell>
          <cell r="D55">
            <v>6.6923524685177233E-2</v>
          </cell>
          <cell r="F55">
            <v>134248.93651092239</v>
          </cell>
          <cell r="G55">
            <v>7.3194605114238906E-2</v>
          </cell>
          <cell r="I55">
            <v>150908.60624332612</v>
          </cell>
          <cell r="J55">
            <v>7.9510205034185752E-2</v>
          </cell>
          <cell r="L55">
            <v>64445.395408247641</v>
          </cell>
          <cell r="M55">
            <v>2.4377568886002517E-2</v>
          </cell>
          <cell r="O55">
            <v>85093.391927033896</v>
          </cell>
          <cell r="P55">
            <v>5.322195846779363E-2</v>
          </cell>
          <cell r="R55">
            <v>136195.51855380111</v>
          </cell>
          <cell r="S55">
            <v>0.1021725676472342</v>
          </cell>
          <cell r="U55">
            <v>156697.83074839841</v>
          </cell>
          <cell r="V55">
            <v>9.4240769263168017E-2</v>
          </cell>
          <cell r="X55">
            <v>-7369.1577917204449</v>
          </cell>
          <cell r="Y55">
            <v>-1.8882554628366067E-2</v>
          </cell>
          <cell r="AA55">
            <v>979024.85790957499</v>
          </cell>
          <cell r="AB55">
            <v>6.5028554908217739E-2</v>
          </cell>
        </row>
        <row r="56">
          <cell r="C56">
            <v>50000</v>
          </cell>
          <cell r="D56">
            <v>1.6785107138415686E-2</v>
          </cell>
          <cell r="F56">
            <v>0</v>
          </cell>
          <cell r="G56">
            <v>0</v>
          </cell>
          <cell r="I56">
            <v>0</v>
          </cell>
          <cell r="J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R56">
            <v>0</v>
          </cell>
          <cell r="S56">
            <v>0</v>
          </cell>
          <cell r="U56">
            <v>0</v>
          </cell>
          <cell r="V56">
            <v>0</v>
          </cell>
          <cell r="X56">
            <v>0</v>
          </cell>
          <cell r="Y56">
            <v>0</v>
          </cell>
          <cell r="AA56">
            <v>50000</v>
          </cell>
          <cell r="AB56">
            <v>3.3210880389220889E-3</v>
          </cell>
        </row>
        <row r="57">
          <cell r="C57">
            <v>52201.084077391468</v>
          </cell>
          <cell r="D57">
            <v>1.6730723391287217E-2</v>
          </cell>
          <cell r="F57">
            <v>33562.234127730597</v>
          </cell>
          <cell r="G57">
            <v>1.8298730528678614E-2</v>
          </cell>
          <cell r="I57">
            <v>37727.151560831531</v>
          </cell>
          <cell r="J57">
            <v>1.9877821106075024E-2</v>
          </cell>
          <cell r="L57">
            <v>16111.34885206191</v>
          </cell>
          <cell r="M57">
            <v>6.0944076929062485E-3</v>
          </cell>
          <cell r="O57">
            <v>21273.347981758474</v>
          </cell>
          <cell r="P57">
            <v>1.3305805413515451E-2</v>
          </cell>
          <cell r="R57">
            <v>34048.879638450278</v>
          </cell>
          <cell r="S57">
            <v>2.5543071157338715E-2</v>
          </cell>
          <cell r="U57">
            <v>39174.457687099602</v>
          </cell>
          <cell r="V57">
            <v>2.3560348269254523E-2</v>
          </cell>
          <cell r="X57">
            <v>0</v>
          </cell>
          <cell r="Y57">
            <v>0</v>
          </cell>
          <cell r="AA57">
            <v>234098.50392532386</v>
          </cell>
          <cell r="AB57">
            <v>1.5549234826318975E-2</v>
          </cell>
        </row>
        <row r="58">
          <cell r="C58">
            <v>156603.25223217439</v>
          </cell>
          <cell r="D58">
            <v>3.3407694155474336E-2</v>
          </cell>
          <cell r="F58">
            <v>100686.7023831918</v>
          </cell>
          <cell r="G58">
            <v>5.4895874585560285E-2</v>
          </cell>
          <cell r="I58">
            <v>113181.45468249459</v>
          </cell>
          <cell r="J58">
            <v>5.9632383928110738E-2</v>
          </cell>
          <cell r="L58">
            <v>48334.046556185735</v>
          </cell>
          <cell r="M58">
            <v>1.8283161193096267E-2</v>
          </cell>
          <cell r="O58">
            <v>63820.043945275422</v>
          </cell>
          <cell r="P58">
            <v>3.9916153054278182E-2</v>
          </cell>
          <cell r="R58">
            <v>102146.63891535084</v>
          </cell>
          <cell r="S58">
            <v>7.6629496489895491E-2</v>
          </cell>
          <cell r="U58">
            <v>117523.37306129881</v>
          </cell>
          <cell r="V58">
            <v>7.0680420993913487E-2</v>
          </cell>
          <cell r="X58">
            <v>-8029.9317593400774</v>
          </cell>
          <cell r="Y58">
            <v>-1.8882554628366067E-2</v>
          </cell>
          <cell r="AA58">
            <v>694265.58001663152</v>
          </cell>
          <cell r="AB58">
            <v>4.611434227257083E-2</v>
          </cell>
        </row>
      </sheetData>
      <sheetData sheetId="5"/>
      <sheetData sheetId="6"/>
      <sheetData sheetId="7">
        <row r="13">
          <cell r="C13">
            <v>0.76191117030422129</v>
          </cell>
          <cell r="F13">
            <v>0.7670341437788879</v>
          </cell>
          <cell r="I13">
            <v>0.76667406763830959</v>
          </cell>
          <cell r="L13">
            <v>0.76812624756452297</v>
          </cell>
          <cell r="O13">
            <v>0.75965814038621182</v>
          </cell>
          <cell r="AM13">
            <v>0.76462305421025023</v>
          </cell>
        </row>
      </sheetData>
      <sheetData sheetId="8"/>
      <sheetData sheetId="9"/>
      <sheetData sheetId="10"/>
      <sheetData sheetId="11"/>
      <sheetData sheetId="12">
        <row r="13">
          <cell r="C13">
            <v>0.76064957954347789</v>
          </cell>
          <cell r="F13">
            <v>0.76633657378250808</v>
          </cell>
          <cell r="I13">
            <v>0.76461719498969083</v>
          </cell>
          <cell r="L13">
            <v>0.76712762185051164</v>
          </cell>
          <cell r="O13">
            <v>0.75676422625011341</v>
          </cell>
          <cell r="AM13">
            <v>0.76310489770459122</v>
          </cell>
        </row>
      </sheetData>
      <sheetData sheetId="13"/>
      <sheetData sheetId="14"/>
      <sheetData sheetId="15"/>
      <sheetData sheetId="16"/>
      <sheetData sheetId="17">
        <row r="13">
          <cell r="C13">
            <v>0.76555956485733379</v>
          </cell>
          <cell r="F13">
            <v>0.77302160261900776</v>
          </cell>
          <cell r="I13">
            <v>0.76619103841711811</v>
          </cell>
          <cell r="L13">
            <v>0.76908033086698269</v>
          </cell>
          <cell r="O13">
            <v>0.76025736488670181</v>
          </cell>
          <cell r="AM13">
            <v>0.76663501327507755</v>
          </cell>
        </row>
      </sheetData>
      <sheetData sheetId="18"/>
      <sheetData sheetId="19"/>
      <sheetData sheetId="20"/>
      <sheetData sheetId="21"/>
      <sheetData sheetId="22">
        <row r="13">
          <cell r="C13">
            <v>0.76983649504735641</v>
          </cell>
          <cell r="F13">
            <v>0.77175715625523922</v>
          </cell>
          <cell r="I13">
            <v>0.77067378841608924</v>
          </cell>
          <cell r="L13">
            <v>0.77523130554025199</v>
          </cell>
          <cell r="O13">
            <v>0.76766211379277105</v>
          </cell>
          <cell r="AM13">
            <v>0.77097864705595864</v>
          </cell>
        </row>
      </sheetData>
      <sheetData sheetId="23"/>
      <sheetData sheetId="24"/>
      <sheetData sheetId="25"/>
      <sheetData sheetId="26"/>
      <sheetData sheetId="27">
        <row r="13">
          <cell r="C13">
            <v>0.7632566465363172</v>
          </cell>
          <cell r="F13">
            <v>0.76937238225204052</v>
          </cell>
          <cell r="I13">
            <v>0.7718486343659624</v>
          </cell>
          <cell r="L13">
            <v>0.77033133115776498</v>
          </cell>
          <cell r="O13">
            <v>0.75781474492457734</v>
          </cell>
          <cell r="AM13">
            <v>0.76649315603143753</v>
          </cell>
        </row>
      </sheetData>
      <sheetData sheetId="28"/>
      <sheetData sheetId="29"/>
      <sheetData sheetId="30"/>
      <sheetData sheetId="31"/>
      <sheetData sheetId="32">
        <row r="13">
          <cell r="C13">
            <v>0.75875109816702635</v>
          </cell>
          <cell r="F13">
            <v>0.76008127054655961</v>
          </cell>
          <cell r="I13">
            <v>0.76351471050279784</v>
          </cell>
          <cell r="L13">
            <v>0.76864396890545206</v>
          </cell>
          <cell r="O13">
            <v>0.75680706547120502</v>
          </cell>
          <cell r="AM13">
            <v>0.76158544246315418</v>
          </cell>
        </row>
      </sheetData>
      <sheetData sheetId="33"/>
      <sheetData sheetId="34"/>
      <sheetData sheetId="35"/>
      <sheetData sheetId="36"/>
      <sheetData sheetId="37">
        <row r="13">
          <cell r="C13">
            <v>0.75951612233661059</v>
          </cell>
          <cell r="F13">
            <v>0.76511408199804731</v>
          </cell>
          <cell r="I13">
            <v>0.76756282116246866</v>
          </cell>
          <cell r="L13">
            <v>0.76718827986832061</v>
          </cell>
          <cell r="O13">
            <v>0.75576877622597871</v>
          </cell>
          <cell r="AM13">
            <v>0.76295058507118751</v>
          </cell>
        </row>
      </sheetData>
      <sheetData sheetId="38"/>
      <sheetData sheetId="39"/>
      <sheetData sheetId="40"/>
      <sheetData sheetId="41"/>
      <sheetData sheetId="42">
        <row r="13">
          <cell r="C13">
            <v>0.75910505348415114</v>
          </cell>
          <cell r="F13">
            <v>0.76456058850750885</v>
          </cell>
          <cell r="I13">
            <v>0.76181151700443961</v>
          </cell>
          <cell r="L13">
            <v>0.75885936668808829</v>
          </cell>
          <cell r="O13">
            <v>0.7629545753473479</v>
          </cell>
          <cell r="AM13">
            <v>0.76145754678510302</v>
          </cell>
        </row>
      </sheetData>
      <sheetData sheetId="43"/>
      <sheetData sheetId="44"/>
      <sheetData sheetId="45"/>
      <sheetData sheetId="46"/>
      <sheetData sheetId="47">
        <row r="13">
          <cell r="C13">
            <v>0.75508034042014849</v>
          </cell>
          <cell r="F13">
            <v>0.76007866088202358</v>
          </cell>
          <cell r="I13">
            <v>0.76494504001665364</v>
          </cell>
          <cell r="L13">
            <v>0.76477962474972261</v>
          </cell>
          <cell r="O13">
            <v>0.76088935152421222</v>
          </cell>
          <cell r="AM13">
            <v>0.76108674515732933</v>
          </cell>
        </row>
      </sheetData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5"/>
    </sheetNames>
    <sheetDataSet>
      <sheetData sheetId="0">
        <row r="5">
          <cell r="C5">
            <v>38329.919999999998</v>
          </cell>
        </row>
        <row r="6">
          <cell r="C6">
            <v>24702.73</v>
          </cell>
        </row>
        <row r="7">
          <cell r="C7">
            <v>30225.89</v>
          </cell>
        </row>
        <row r="8">
          <cell r="C8">
            <v>30511.54</v>
          </cell>
        </row>
        <row r="9">
          <cell r="C9">
            <v>24222.240000000002</v>
          </cell>
        </row>
        <row r="10">
          <cell r="C10">
            <v>14236.3</v>
          </cell>
        </row>
        <row r="11">
          <cell r="C11">
            <v>17072.060000000001</v>
          </cell>
        </row>
        <row r="12">
          <cell r="C12">
            <v>19941.86</v>
          </cell>
        </row>
        <row r="13">
          <cell r="C13">
            <v>17264.669999999998</v>
          </cell>
        </row>
        <row r="14">
          <cell r="C14">
            <v>26948.38</v>
          </cell>
        </row>
        <row r="15">
          <cell r="C15">
            <v>30596.63</v>
          </cell>
        </row>
        <row r="16">
          <cell r="C16">
            <v>25911.47</v>
          </cell>
        </row>
        <row r="17">
          <cell r="C17">
            <v>13199.37</v>
          </cell>
        </row>
        <row r="18">
          <cell r="C18">
            <v>14707.89</v>
          </cell>
        </row>
        <row r="19">
          <cell r="C19">
            <v>19998.82</v>
          </cell>
        </row>
        <row r="20">
          <cell r="C20">
            <v>19661.060000000001</v>
          </cell>
        </row>
        <row r="21">
          <cell r="C21">
            <v>27384.2</v>
          </cell>
        </row>
        <row r="22">
          <cell r="C22">
            <v>31699.71</v>
          </cell>
        </row>
        <row r="23">
          <cell r="C23">
            <v>24524.720000000001</v>
          </cell>
        </row>
        <row r="24">
          <cell r="C24">
            <v>13091.36</v>
          </cell>
        </row>
        <row r="25">
          <cell r="C25">
            <v>14961.4</v>
          </cell>
        </row>
        <row r="26">
          <cell r="C26">
            <v>19588.03</v>
          </cell>
        </row>
        <row r="27">
          <cell r="C27">
            <v>17182.349999999999</v>
          </cell>
        </row>
        <row r="28">
          <cell r="C28">
            <v>28146.5</v>
          </cell>
        </row>
        <row r="29">
          <cell r="C29">
            <v>31098.39</v>
          </cell>
        </row>
        <row r="30">
          <cell r="C30">
            <v>25696.78</v>
          </cell>
        </row>
        <row r="31">
          <cell r="C31">
            <v>13862.2</v>
          </cell>
        </row>
        <row r="32">
          <cell r="C32">
            <v>14604.39</v>
          </cell>
        </row>
        <row r="33">
          <cell r="C33">
            <v>18462.43</v>
          </cell>
        </row>
        <row r="34">
          <cell r="C34">
            <v>18065</v>
          </cell>
        </row>
        <row r="35">
          <cell r="C35">
            <v>26085.4</v>
          </cell>
        </row>
        <row r="36">
          <cell r="C36">
            <v>31176.74</v>
          </cell>
        </row>
        <row r="37">
          <cell r="C37">
            <v>26252.720000000001</v>
          </cell>
        </row>
        <row r="38">
          <cell r="C38">
            <v>15051.93</v>
          </cell>
        </row>
        <row r="39">
          <cell r="C39">
            <v>15949.5</v>
          </cell>
        </row>
        <row r="40">
          <cell r="C40">
            <v>20514.25</v>
          </cell>
        </row>
        <row r="41">
          <cell r="C41">
            <v>18069.7</v>
          </cell>
        </row>
        <row r="42">
          <cell r="C42">
            <v>29398.54</v>
          </cell>
        </row>
        <row r="43">
          <cell r="C43">
            <v>32194.9</v>
          </cell>
        </row>
        <row r="44">
          <cell r="C44">
            <v>25075.46</v>
          </cell>
        </row>
        <row r="45">
          <cell r="C45">
            <v>14088.47</v>
          </cell>
        </row>
        <row r="46">
          <cell r="C46">
            <v>15600.78</v>
          </cell>
        </row>
        <row r="47">
          <cell r="C47">
            <v>17958.150000000001</v>
          </cell>
        </row>
        <row r="48">
          <cell r="C48">
            <v>18166.86</v>
          </cell>
        </row>
        <row r="49">
          <cell r="C49">
            <v>29091.91</v>
          </cell>
        </row>
        <row r="50">
          <cell r="C50">
            <v>31053.82</v>
          </cell>
        </row>
        <row r="51">
          <cell r="C51">
            <v>24632.98</v>
          </cell>
        </row>
        <row r="52">
          <cell r="C52">
            <v>15560.28</v>
          </cell>
        </row>
        <row r="53">
          <cell r="C53">
            <v>14981.95</v>
          </cell>
        </row>
        <row r="54">
          <cell r="C54">
            <v>18847.419999999998</v>
          </cell>
        </row>
        <row r="55">
          <cell r="C55">
            <v>18063.57</v>
          </cell>
        </row>
        <row r="56">
          <cell r="C56">
            <v>29929.4</v>
          </cell>
        </row>
        <row r="57">
          <cell r="C57">
            <v>30259.15</v>
          </cell>
        </row>
        <row r="58">
          <cell r="C58">
            <v>27627.84</v>
          </cell>
        </row>
        <row r="59">
          <cell r="C59">
            <v>17885.66</v>
          </cell>
        </row>
        <row r="60">
          <cell r="C60">
            <v>18377.310000000001</v>
          </cell>
        </row>
        <row r="61">
          <cell r="C61">
            <v>19792.63</v>
          </cell>
        </row>
        <row r="62">
          <cell r="C62">
            <v>21707.23</v>
          </cell>
        </row>
        <row r="63">
          <cell r="C63">
            <v>32322.05</v>
          </cell>
        </row>
        <row r="64">
          <cell r="C64">
            <v>29737.35</v>
          </cell>
        </row>
        <row r="65">
          <cell r="C65">
            <v>24753.599999999999</v>
          </cell>
        </row>
        <row r="66">
          <cell r="C66">
            <v>16608.54</v>
          </cell>
        </row>
        <row r="67">
          <cell r="C67">
            <v>16923.830000000002</v>
          </cell>
        </row>
        <row r="68">
          <cell r="C68">
            <v>19980.11</v>
          </cell>
        </row>
        <row r="69">
          <cell r="C69">
            <v>20351.78</v>
          </cell>
        </row>
        <row r="70">
          <cell r="C70">
            <v>30781.9</v>
          </cell>
        </row>
        <row r="71">
          <cell r="C71">
            <v>29831.01</v>
          </cell>
        </row>
        <row r="72">
          <cell r="C72">
            <v>26087.73</v>
          </cell>
        </row>
        <row r="73">
          <cell r="C73">
            <v>12768.74</v>
          </cell>
        </row>
        <row r="74">
          <cell r="C74">
            <v>14751.42</v>
          </cell>
        </row>
        <row r="75">
          <cell r="C75">
            <v>18117.849999999999</v>
          </cell>
        </row>
        <row r="76">
          <cell r="C76">
            <v>16059.74</v>
          </cell>
        </row>
        <row r="77">
          <cell r="C77">
            <v>25096.61</v>
          </cell>
        </row>
        <row r="78">
          <cell r="C78">
            <v>30719.759999999998</v>
          </cell>
        </row>
        <row r="79">
          <cell r="C79">
            <v>28371.4</v>
          </cell>
        </row>
        <row r="80">
          <cell r="C80">
            <v>14693.93</v>
          </cell>
        </row>
        <row r="81">
          <cell r="C81">
            <v>15166.88</v>
          </cell>
        </row>
        <row r="82">
          <cell r="C82">
            <v>18635.939999999999</v>
          </cell>
        </row>
        <row r="83">
          <cell r="C83">
            <v>17358.349999999999</v>
          </cell>
        </row>
        <row r="84">
          <cell r="C84">
            <v>23048.27</v>
          </cell>
        </row>
        <row r="85">
          <cell r="C85">
            <v>26840.33</v>
          </cell>
        </row>
        <row r="86">
          <cell r="C86">
            <v>23069.53</v>
          </cell>
        </row>
        <row r="87">
          <cell r="C87">
            <v>12694.96</v>
          </cell>
        </row>
        <row r="88">
          <cell r="C88">
            <v>15274.77</v>
          </cell>
        </row>
        <row r="89">
          <cell r="C89">
            <v>18604.5</v>
          </cell>
        </row>
        <row r="90">
          <cell r="C90">
            <v>18694.509999999998</v>
          </cell>
        </row>
        <row r="91">
          <cell r="C91">
            <v>25478.35</v>
          </cell>
        </row>
        <row r="92">
          <cell r="C92">
            <v>28406.63</v>
          </cell>
        </row>
        <row r="93">
          <cell r="C93">
            <v>26433.040000000001</v>
          </cell>
        </row>
        <row r="94">
          <cell r="C94">
            <v>15167.24</v>
          </cell>
        </row>
        <row r="95">
          <cell r="C95">
            <v>16842.900000000001</v>
          </cell>
        </row>
        <row r="96">
          <cell r="C96">
            <v>21888.11</v>
          </cell>
        </row>
        <row r="97">
          <cell r="C97">
            <v>19916.95</v>
          </cell>
        </row>
        <row r="98">
          <cell r="C98">
            <v>28655.01</v>
          </cell>
        </row>
        <row r="99">
          <cell r="C99">
            <v>26931.72</v>
          </cell>
        </row>
        <row r="100">
          <cell r="C100">
            <v>26490.45</v>
          </cell>
        </row>
        <row r="101">
          <cell r="C101">
            <v>16059.52</v>
          </cell>
        </row>
        <row r="102">
          <cell r="C102">
            <v>16553.8</v>
          </cell>
        </row>
        <row r="103">
          <cell r="C103">
            <v>20183.52</v>
          </cell>
        </row>
        <row r="104">
          <cell r="C104">
            <v>18134.02</v>
          </cell>
        </row>
        <row r="105">
          <cell r="C105">
            <v>23945.82</v>
          </cell>
        </row>
        <row r="106">
          <cell r="C106">
            <v>29264.959999999999</v>
          </cell>
        </row>
        <row r="107">
          <cell r="C107">
            <v>24923.81</v>
          </cell>
        </row>
        <row r="108">
          <cell r="C108">
            <v>14474.81</v>
          </cell>
        </row>
        <row r="109">
          <cell r="C109">
            <v>17349.009999999998</v>
          </cell>
        </row>
        <row r="110">
          <cell r="C110">
            <v>20167.61</v>
          </cell>
        </row>
        <row r="111">
          <cell r="C111">
            <v>18852.03</v>
          </cell>
        </row>
        <row r="112">
          <cell r="C112">
            <v>27172.48</v>
          </cell>
        </row>
        <row r="113">
          <cell r="C113">
            <v>24507</v>
          </cell>
        </row>
        <row r="114">
          <cell r="C114">
            <v>19195.28</v>
          </cell>
        </row>
        <row r="115">
          <cell r="C115">
            <v>21602.41</v>
          </cell>
        </row>
        <row r="116">
          <cell r="C116">
            <v>17749.330000000002</v>
          </cell>
        </row>
        <row r="117">
          <cell r="C117">
            <v>16945.45</v>
          </cell>
        </row>
        <row r="118">
          <cell r="C118">
            <v>17721.98</v>
          </cell>
        </row>
        <row r="119">
          <cell r="C119">
            <v>24596.880000000001</v>
          </cell>
        </row>
        <row r="120">
          <cell r="C120">
            <v>21589.919999999998</v>
          </cell>
        </row>
        <row r="121">
          <cell r="C121">
            <v>23633.25</v>
          </cell>
        </row>
        <row r="122">
          <cell r="C122">
            <v>17124.05</v>
          </cell>
        </row>
        <row r="123">
          <cell r="C123">
            <v>17399.11</v>
          </cell>
        </row>
        <row r="124">
          <cell r="C124">
            <v>21232.18</v>
          </cell>
        </row>
        <row r="125">
          <cell r="C125">
            <v>21902.38</v>
          </cell>
        </row>
        <row r="126">
          <cell r="C126">
            <v>22796.59</v>
          </cell>
        </row>
        <row r="127">
          <cell r="C127">
            <v>23287.69</v>
          </cell>
        </row>
        <row r="128">
          <cell r="C128">
            <v>27217.77</v>
          </cell>
        </row>
        <row r="129">
          <cell r="C129">
            <v>15182.14</v>
          </cell>
        </row>
        <row r="130">
          <cell r="C130">
            <v>15343.32</v>
          </cell>
        </row>
        <row r="131">
          <cell r="C131">
            <v>23276.07</v>
          </cell>
        </row>
        <row r="132">
          <cell r="C132">
            <v>20501.96</v>
          </cell>
        </row>
        <row r="133">
          <cell r="C133">
            <v>20003.400000000001</v>
          </cell>
        </row>
        <row r="134">
          <cell r="C134">
            <v>21955.23</v>
          </cell>
        </row>
        <row r="135">
          <cell r="C135">
            <v>22744.76</v>
          </cell>
        </row>
        <row r="136">
          <cell r="C136">
            <v>13481.76</v>
          </cell>
        </row>
        <row r="137">
          <cell r="C137">
            <v>15293.11</v>
          </cell>
        </row>
        <row r="138">
          <cell r="C138">
            <v>19198.93</v>
          </cell>
        </row>
        <row r="139">
          <cell r="C139">
            <v>18259.34</v>
          </cell>
        </row>
        <row r="140">
          <cell r="C140">
            <v>23509.33</v>
          </cell>
        </row>
        <row r="141">
          <cell r="C141">
            <v>22837.71</v>
          </cell>
        </row>
        <row r="142">
          <cell r="C142">
            <v>22949.03</v>
          </cell>
        </row>
        <row r="143">
          <cell r="C143">
            <v>15243.15</v>
          </cell>
        </row>
        <row r="144">
          <cell r="C144">
            <v>16588.849999999999</v>
          </cell>
        </row>
        <row r="145">
          <cell r="C145">
            <v>17590.32</v>
          </cell>
        </row>
        <row r="146">
          <cell r="C146">
            <v>18360.27</v>
          </cell>
        </row>
        <row r="147">
          <cell r="C147">
            <v>23043.63</v>
          </cell>
        </row>
        <row r="148">
          <cell r="C148">
            <v>23360.18</v>
          </cell>
        </row>
        <row r="149">
          <cell r="C149">
            <v>20998.45</v>
          </cell>
        </row>
        <row r="150">
          <cell r="C150">
            <v>14980.13</v>
          </cell>
        </row>
        <row r="151">
          <cell r="C151">
            <v>17639.95</v>
          </cell>
        </row>
        <row r="152">
          <cell r="C152">
            <v>24544.83</v>
          </cell>
        </row>
        <row r="153">
          <cell r="C153">
            <v>21617.61</v>
          </cell>
        </row>
        <row r="154">
          <cell r="C154">
            <v>20238.73</v>
          </cell>
        </row>
        <row r="155">
          <cell r="C155">
            <v>19240.16</v>
          </cell>
        </row>
        <row r="156">
          <cell r="C156">
            <v>29811.15</v>
          </cell>
        </row>
        <row r="157">
          <cell r="C157">
            <v>16102.36</v>
          </cell>
        </row>
        <row r="158">
          <cell r="C158">
            <v>16094.45</v>
          </cell>
        </row>
        <row r="159">
          <cell r="C159">
            <v>22416.89</v>
          </cell>
        </row>
        <row r="160">
          <cell r="C160">
            <v>16859.86</v>
          </cell>
        </row>
        <row r="161">
          <cell r="C161">
            <v>24153.7</v>
          </cell>
        </row>
        <row r="162">
          <cell r="C162">
            <v>23626.16</v>
          </cell>
        </row>
        <row r="163">
          <cell r="C163">
            <v>22865.58</v>
          </cell>
        </row>
        <row r="164">
          <cell r="C164">
            <v>23299.57</v>
          </cell>
        </row>
        <row r="165">
          <cell r="C165">
            <v>14624.5</v>
          </cell>
        </row>
        <row r="166">
          <cell r="C166">
            <v>20085.27</v>
          </cell>
        </row>
        <row r="167">
          <cell r="C167">
            <v>18022.88</v>
          </cell>
        </row>
        <row r="168">
          <cell r="C168">
            <v>21821.06</v>
          </cell>
        </row>
        <row r="169">
          <cell r="C169">
            <v>24056.48</v>
          </cell>
        </row>
        <row r="170">
          <cell r="C170">
            <v>24986.66</v>
          </cell>
        </row>
        <row r="171">
          <cell r="C171">
            <v>15021.47</v>
          </cell>
        </row>
        <row r="172">
          <cell r="C172">
            <v>15884.48</v>
          </cell>
        </row>
        <row r="173">
          <cell r="C173">
            <v>19255.45</v>
          </cell>
        </row>
        <row r="174">
          <cell r="C174">
            <v>16307</v>
          </cell>
        </row>
        <row r="175">
          <cell r="C175">
            <v>21333.96</v>
          </cell>
        </row>
        <row r="176">
          <cell r="C176">
            <v>21603.52</v>
          </cell>
        </row>
        <row r="177">
          <cell r="C177">
            <v>24412.26</v>
          </cell>
        </row>
        <row r="178">
          <cell r="C178">
            <v>14600</v>
          </cell>
        </row>
        <row r="179">
          <cell r="C179">
            <v>15508.87</v>
          </cell>
        </row>
        <row r="180">
          <cell r="C180">
            <v>19347.28</v>
          </cell>
        </row>
        <row r="181">
          <cell r="C181">
            <v>19185.169999999998</v>
          </cell>
        </row>
        <row r="182">
          <cell r="C182">
            <v>23166.33</v>
          </cell>
        </row>
        <row r="183">
          <cell r="C183">
            <v>23015.89</v>
          </cell>
        </row>
        <row r="184">
          <cell r="C184">
            <v>24159.84</v>
          </cell>
        </row>
        <row r="185">
          <cell r="C185">
            <v>15982.39</v>
          </cell>
        </row>
        <row r="186">
          <cell r="C186">
            <v>19551.189999999999</v>
          </cell>
        </row>
        <row r="187">
          <cell r="C187">
            <v>23093.99</v>
          </cell>
        </row>
        <row r="188">
          <cell r="C188">
            <v>23135.95</v>
          </cell>
        </row>
        <row r="189">
          <cell r="C189">
            <v>26421.7</v>
          </cell>
        </row>
        <row r="190">
          <cell r="C190">
            <v>25955.09</v>
          </cell>
        </row>
        <row r="191">
          <cell r="C191">
            <v>27973.77</v>
          </cell>
        </row>
        <row r="192">
          <cell r="C192">
            <v>20915.009999999998</v>
          </cell>
        </row>
        <row r="193">
          <cell r="C193">
            <v>19873.150000000001</v>
          </cell>
        </row>
        <row r="194">
          <cell r="C194">
            <v>22029.51</v>
          </cell>
        </row>
        <row r="195">
          <cell r="C195">
            <v>24342.42</v>
          </cell>
        </row>
        <row r="196">
          <cell r="C196">
            <v>27320.55</v>
          </cell>
        </row>
        <row r="197">
          <cell r="C197">
            <v>23814.28</v>
          </cell>
        </row>
        <row r="198">
          <cell r="C198">
            <v>24031.32</v>
          </cell>
        </row>
        <row r="199">
          <cell r="C199">
            <v>25157.46</v>
          </cell>
        </row>
        <row r="200">
          <cell r="C200">
            <v>17022.93</v>
          </cell>
        </row>
        <row r="201">
          <cell r="C201">
            <v>17981.23</v>
          </cell>
        </row>
        <row r="202">
          <cell r="C202">
            <v>19209.18</v>
          </cell>
        </row>
        <row r="203">
          <cell r="C203">
            <v>23540.16</v>
          </cell>
        </row>
        <row r="204">
          <cell r="C204">
            <v>24639.73</v>
          </cell>
        </row>
        <row r="205">
          <cell r="C205">
            <v>24760.84</v>
          </cell>
        </row>
        <row r="206">
          <cell r="C206">
            <v>17968.73</v>
          </cell>
        </row>
        <row r="207">
          <cell r="C207">
            <v>16391.439999999999</v>
          </cell>
        </row>
        <row r="208">
          <cell r="C208">
            <v>19187.830000000002</v>
          </cell>
        </row>
        <row r="209">
          <cell r="C209">
            <v>19200.939999999999</v>
          </cell>
        </row>
        <row r="210">
          <cell r="C210">
            <v>24930.560000000001</v>
          </cell>
        </row>
        <row r="211">
          <cell r="C211">
            <v>22846.94</v>
          </cell>
        </row>
        <row r="212">
          <cell r="C212">
            <v>22493.67</v>
          </cell>
        </row>
        <row r="213">
          <cell r="C213">
            <v>17780.060000000001</v>
          </cell>
        </row>
        <row r="214">
          <cell r="C214">
            <v>16325.23</v>
          </cell>
        </row>
        <row r="215">
          <cell r="C215">
            <v>18390.650000000001</v>
          </cell>
        </row>
        <row r="216">
          <cell r="C216">
            <v>20092.650000000001</v>
          </cell>
        </row>
        <row r="217">
          <cell r="C217">
            <v>22978.3</v>
          </cell>
        </row>
        <row r="218">
          <cell r="C218">
            <v>25903.25</v>
          </cell>
        </row>
        <row r="219">
          <cell r="C219">
            <v>23704.76</v>
          </cell>
        </row>
        <row r="220">
          <cell r="C220">
            <v>18155.63</v>
          </cell>
        </row>
        <row r="221">
          <cell r="C221">
            <v>17876.55</v>
          </cell>
        </row>
        <row r="222">
          <cell r="C222">
            <v>20169.82</v>
          </cell>
        </row>
        <row r="223">
          <cell r="C223">
            <v>19089.21</v>
          </cell>
        </row>
        <row r="224">
          <cell r="C224">
            <v>22151.7</v>
          </cell>
        </row>
        <row r="225">
          <cell r="C225">
            <v>21739.759999999998</v>
          </cell>
        </row>
        <row r="226">
          <cell r="C226">
            <v>23695.55</v>
          </cell>
        </row>
        <row r="227">
          <cell r="C227">
            <v>18361.39</v>
          </cell>
        </row>
        <row r="228">
          <cell r="C228">
            <v>16853.580000000002</v>
          </cell>
        </row>
        <row r="229">
          <cell r="C229">
            <v>19255.66</v>
          </cell>
        </row>
        <row r="230">
          <cell r="C230">
            <v>22346.91</v>
          </cell>
        </row>
        <row r="231">
          <cell r="C231">
            <v>23856.29</v>
          </cell>
        </row>
        <row r="232">
          <cell r="C232">
            <v>23859.47</v>
          </cell>
        </row>
        <row r="233">
          <cell r="C233">
            <v>23442.76</v>
          </cell>
        </row>
        <row r="234">
          <cell r="C234">
            <v>18937.330000000002</v>
          </cell>
        </row>
        <row r="235">
          <cell r="C235">
            <v>17734.599999999999</v>
          </cell>
        </row>
        <row r="236">
          <cell r="C236">
            <v>21251.5</v>
          </cell>
        </row>
        <row r="237">
          <cell r="C237">
            <v>21441.67</v>
          </cell>
        </row>
        <row r="238">
          <cell r="C238">
            <v>23052.25</v>
          </cell>
        </row>
        <row r="239">
          <cell r="C239">
            <v>22738.84</v>
          </cell>
        </row>
        <row r="240">
          <cell r="C240">
            <v>22559.99</v>
          </cell>
        </row>
        <row r="241">
          <cell r="C241">
            <v>17734.77</v>
          </cell>
        </row>
        <row r="242">
          <cell r="C242">
            <v>18006.98</v>
          </cell>
        </row>
        <row r="243">
          <cell r="C243">
            <v>21359.23</v>
          </cell>
        </row>
        <row r="244">
          <cell r="C244">
            <v>21443.87</v>
          </cell>
        </row>
        <row r="245">
          <cell r="C245">
            <v>25173.94</v>
          </cell>
        </row>
        <row r="246">
          <cell r="C246">
            <v>24469.64</v>
          </cell>
        </row>
        <row r="247">
          <cell r="C247">
            <v>25760.19</v>
          </cell>
        </row>
        <row r="248">
          <cell r="C248">
            <v>16766.48</v>
          </cell>
        </row>
        <row r="249">
          <cell r="C249">
            <v>16342.49</v>
          </cell>
        </row>
        <row r="250">
          <cell r="C250">
            <v>19514.61</v>
          </cell>
        </row>
        <row r="251">
          <cell r="C251">
            <v>18031.759999999998</v>
          </cell>
        </row>
        <row r="252">
          <cell r="C252">
            <v>26002</v>
          </cell>
        </row>
        <row r="253">
          <cell r="C253">
            <v>25376.18</v>
          </cell>
        </row>
        <row r="254">
          <cell r="C254">
            <v>24267.47</v>
          </cell>
        </row>
        <row r="255">
          <cell r="C255">
            <v>14370.31</v>
          </cell>
        </row>
        <row r="256">
          <cell r="C256">
            <v>16328.24</v>
          </cell>
        </row>
        <row r="257">
          <cell r="C257">
            <v>10193.15</v>
          </cell>
        </row>
        <row r="258">
          <cell r="C258">
            <v>17993.71</v>
          </cell>
        </row>
        <row r="259">
          <cell r="C259">
            <v>23306.9</v>
          </cell>
        </row>
        <row r="260">
          <cell r="C260">
            <v>24440.66</v>
          </cell>
        </row>
        <row r="261">
          <cell r="C261">
            <v>21535.67</v>
          </cell>
        </row>
        <row r="262">
          <cell r="C262">
            <v>12385.64</v>
          </cell>
        </row>
        <row r="263">
          <cell r="C263">
            <v>14757.85</v>
          </cell>
        </row>
        <row r="264">
          <cell r="C264">
            <v>17816.919999999998</v>
          </cell>
        </row>
        <row r="265">
          <cell r="C265">
            <v>15965.95</v>
          </cell>
        </row>
        <row r="266">
          <cell r="C266">
            <v>21284.79</v>
          </cell>
        </row>
        <row r="267">
          <cell r="C267">
            <v>21492.95</v>
          </cell>
        </row>
        <row r="268">
          <cell r="C268">
            <v>21958.560000000001</v>
          </cell>
        </row>
        <row r="269">
          <cell r="C269">
            <v>12522.22</v>
          </cell>
        </row>
        <row r="270">
          <cell r="C270">
            <v>13268.33</v>
          </cell>
        </row>
        <row r="271">
          <cell r="C271">
            <v>18314.98</v>
          </cell>
        </row>
        <row r="272">
          <cell r="C272">
            <v>15263.76</v>
          </cell>
        </row>
        <row r="273">
          <cell r="C273">
            <v>22727.49</v>
          </cell>
        </row>
        <row r="274">
          <cell r="C274">
            <v>23463.49</v>
          </cell>
        </row>
        <row r="275">
          <cell r="C275">
            <v>23519.18</v>
          </cell>
        </row>
        <row r="276">
          <cell r="C276">
            <v>13497.17</v>
          </cell>
        </row>
        <row r="277">
          <cell r="C277">
            <v>13503.54</v>
          </cell>
        </row>
        <row r="278">
          <cell r="C278">
            <v>17507.490000000002</v>
          </cell>
        </row>
        <row r="279">
          <cell r="C279">
            <v>16756.04</v>
          </cell>
        </row>
        <row r="280">
          <cell r="C280">
            <v>22638.65</v>
          </cell>
        </row>
        <row r="281">
          <cell r="C281">
            <v>22008.04</v>
          </cell>
        </row>
        <row r="282">
          <cell r="C282">
            <v>22514.94</v>
          </cell>
        </row>
        <row r="283">
          <cell r="C283">
            <v>16551.46</v>
          </cell>
        </row>
        <row r="284">
          <cell r="C284">
            <v>15566.07</v>
          </cell>
        </row>
        <row r="285">
          <cell r="C285">
            <v>17862.330000000002</v>
          </cell>
        </row>
        <row r="286">
          <cell r="C286">
            <v>17245.61</v>
          </cell>
        </row>
        <row r="287">
          <cell r="C287">
            <v>26243.81</v>
          </cell>
        </row>
        <row r="288">
          <cell r="C288">
            <v>26391.62</v>
          </cell>
        </row>
        <row r="289">
          <cell r="C289">
            <v>25158.52</v>
          </cell>
        </row>
        <row r="290">
          <cell r="C290">
            <v>14180.68</v>
          </cell>
        </row>
        <row r="291">
          <cell r="C291">
            <v>15640.97</v>
          </cell>
        </row>
        <row r="292">
          <cell r="C292">
            <v>17662.5</v>
          </cell>
        </row>
        <row r="293">
          <cell r="C293">
            <v>16380.43</v>
          </cell>
        </row>
        <row r="294">
          <cell r="C294">
            <v>23345.08</v>
          </cell>
        </row>
        <row r="295">
          <cell r="C295">
            <v>25187.96</v>
          </cell>
        </row>
        <row r="296">
          <cell r="C296">
            <v>22699.82</v>
          </cell>
        </row>
        <row r="297">
          <cell r="C297">
            <v>16067.63</v>
          </cell>
        </row>
        <row r="298">
          <cell r="C298">
            <v>17637.77</v>
          </cell>
        </row>
        <row r="299">
          <cell r="C299">
            <v>18347.259999999998</v>
          </cell>
        </row>
        <row r="300">
          <cell r="C300">
            <v>20298.18</v>
          </cell>
        </row>
        <row r="301">
          <cell r="C301">
            <v>24264.6</v>
          </cell>
        </row>
        <row r="302">
          <cell r="C302">
            <v>23581.85</v>
          </cell>
        </row>
        <row r="303">
          <cell r="C303">
            <v>21191.65</v>
          </cell>
        </row>
        <row r="304">
          <cell r="C304">
            <v>15298.9</v>
          </cell>
        </row>
        <row r="305">
          <cell r="C305">
            <v>18482.22</v>
          </cell>
        </row>
        <row r="306">
          <cell r="C306">
            <v>20437.47</v>
          </cell>
        </row>
        <row r="307">
          <cell r="C307">
            <v>20819.61</v>
          </cell>
        </row>
        <row r="308">
          <cell r="C308">
            <v>25169.71</v>
          </cell>
        </row>
        <row r="309">
          <cell r="C309">
            <v>25476.55</v>
          </cell>
        </row>
        <row r="310">
          <cell r="C310">
            <v>22615.33</v>
          </cell>
        </row>
        <row r="311">
          <cell r="C311">
            <v>13769.22</v>
          </cell>
        </row>
        <row r="312">
          <cell r="C312">
            <v>15413.98</v>
          </cell>
        </row>
        <row r="313">
          <cell r="C313">
            <v>18614.7</v>
          </cell>
        </row>
        <row r="314">
          <cell r="C314">
            <v>16398.75</v>
          </cell>
        </row>
        <row r="315">
          <cell r="C315">
            <v>23544.400000000001</v>
          </cell>
        </row>
        <row r="316">
          <cell r="C316">
            <v>25291.99</v>
          </cell>
        </row>
        <row r="317">
          <cell r="C317">
            <v>23213.99</v>
          </cell>
        </row>
        <row r="318">
          <cell r="C318">
            <v>16075.38</v>
          </cell>
        </row>
        <row r="319">
          <cell r="C319">
            <v>20282.27</v>
          </cell>
        </row>
        <row r="320">
          <cell r="C320">
            <v>15986.92</v>
          </cell>
        </row>
        <row r="321">
          <cell r="C321">
            <v>15255.34</v>
          </cell>
        </row>
        <row r="322">
          <cell r="C322">
            <v>22780.240000000002</v>
          </cell>
        </row>
        <row r="323">
          <cell r="C323">
            <v>23769.31</v>
          </cell>
        </row>
        <row r="324">
          <cell r="C324">
            <v>22896.720000000001</v>
          </cell>
        </row>
        <row r="325">
          <cell r="C325">
            <v>12187</v>
          </cell>
        </row>
        <row r="326">
          <cell r="C326">
            <v>13562.57</v>
          </cell>
        </row>
        <row r="327">
          <cell r="C327">
            <v>16942.27</v>
          </cell>
        </row>
        <row r="328">
          <cell r="C328">
            <v>14995.5</v>
          </cell>
        </row>
        <row r="329">
          <cell r="C329">
            <v>23858.240000000002</v>
          </cell>
        </row>
        <row r="330">
          <cell r="C330">
            <v>22890.25</v>
          </cell>
        </row>
        <row r="331">
          <cell r="C331">
            <v>22259.72</v>
          </cell>
        </row>
        <row r="332">
          <cell r="C332">
            <v>12894.36</v>
          </cell>
        </row>
        <row r="333">
          <cell r="C333">
            <v>13561.87</v>
          </cell>
        </row>
        <row r="334">
          <cell r="C334">
            <v>17264.2</v>
          </cell>
        </row>
        <row r="335">
          <cell r="C335">
            <v>17801.07</v>
          </cell>
        </row>
        <row r="336">
          <cell r="C336">
            <v>25046.26</v>
          </cell>
        </row>
        <row r="337">
          <cell r="C337">
            <v>26475.360000000001</v>
          </cell>
        </row>
        <row r="338">
          <cell r="C338">
            <v>24030.02</v>
          </cell>
        </row>
        <row r="339">
          <cell r="C339">
            <v>13279.16</v>
          </cell>
        </row>
        <row r="340">
          <cell r="C340">
            <v>15138.45</v>
          </cell>
        </row>
        <row r="341">
          <cell r="C341">
            <v>18612.77</v>
          </cell>
        </row>
        <row r="342">
          <cell r="C342">
            <v>16325.24</v>
          </cell>
        </row>
        <row r="343">
          <cell r="C343">
            <v>26008.09</v>
          </cell>
        </row>
        <row r="344">
          <cell r="C344">
            <v>25100.14</v>
          </cell>
        </row>
        <row r="345">
          <cell r="C345">
            <v>23398.81</v>
          </cell>
        </row>
        <row r="346">
          <cell r="C346">
            <v>14028.33</v>
          </cell>
        </row>
        <row r="347">
          <cell r="C347">
            <v>16722.580000000002</v>
          </cell>
        </row>
        <row r="348">
          <cell r="C348">
            <v>19662.07</v>
          </cell>
        </row>
        <row r="349">
          <cell r="C349">
            <v>17960.060000000001</v>
          </cell>
        </row>
        <row r="350">
          <cell r="C350">
            <v>26346.42</v>
          </cell>
        </row>
        <row r="351">
          <cell r="C351">
            <v>24048.36</v>
          </cell>
        </row>
        <row r="352">
          <cell r="C352">
            <v>27006.55</v>
          </cell>
        </row>
        <row r="353">
          <cell r="C353">
            <v>15376.02</v>
          </cell>
        </row>
        <row r="354">
          <cell r="C354">
            <v>16487.07</v>
          </cell>
        </row>
        <row r="355">
          <cell r="C355">
            <v>19268.439999999999</v>
          </cell>
        </row>
        <row r="356">
          <cell r="C356">
            <v>18134.61</v>
          </cell>
        </row>
        <row r="357">
          <cell r="C357">
            <v>27773.63</v>
          </cell>
        </row>
        <row r="358">
          <cell r="C358">
            <v>26877.79</v>
          </cell>
        </row>
        <row r="359">
          <cell r="C359">
            <v>22353.31</v>
          </cell>
        </row>
        <row r="360">
          <cell r="C360">
            <v>20949.68</v>
          </cell>
        </row>
        <row r="361">
          <cell r="C361">
            <v>21503.119999999999</v>
          </cell>
        </row>
        <row r="362">
          <cell r="C362">
            <v>9706.5499999999993</v>
          </cell>
        </row>
        <row r="363">
          <cell r="C363">
            <v>0</v>
          </cell>
        </row>
        <row r="364">
          <cell r="C364">
            <v>28837.69</v>
          </cell>
        </row>
        <row r="365">
          <cell r="C365">
            <v>30746.42</v>
          </cell>
        </row>
        <row r="366">
          <cell r="C366">
            <v>25905.62</v>
          </cell>
        </row>
        <row r="367">
          <cell r="C367">
            <v>21301.040000000001</v>
          </cell>
        </row>
        <row r="368">
          <cell r="C368">
            <v>22874.9</v>
          </cell>
        </row>
        <row r="369">
          <cell r="C369">
            <v>0</v>
          </cell>
        </row>
        <row r="370">
          <cell r="C370">
            <v>0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C6">
            <v>24702.73</v>
          </cell>
          <cell r="D6">
            <v>24194.26</v>
          </cell>
          <cell r="E6">
            <v>1229</v>
          </cell>
          <cell r="F6">
            <v>41900</v>
          </cell>
          <cell r="G6">
            <v>35452.730000000003</v>
          </cell>
          <cell r="H6">
            <v>34755.879999999997</v>
          </cell>
          <cell r="I6">
            <v>1539</v>
          </cell>
          <cell r="J6">
            <v>235.22</v>
          </cell>
          <cell r="K6">
            <v>262.77</v>
          </cell>
          <cell r="L6">
            <v>56.6</v>
          </cell>
        </row>
        <row r="7">
          <cell r="C7">
            <v>30225.89</v>
          </cell>
          <cell r="D7">
            <v>29639.62</v>
          </cell>
          <cell r="E7">
            <v>1377</v>
          </cell>
          <cell r="F7">
            <v>29900</v>
          </cell>
          <cell r="G7">
            <v>29777.37</v>
          </cell>
          <cell r="H7">
            <v>29326.59</v>
          </cell>
          <cell r="I7">
            <v>1321</v>
          </cell>
          <cell r="J7">
            <v>189.73</v>
          </cell>
          <cell r="K7">
            <v>219.84</v>
          </cell>
          <cell r="L7">
            <v>149.01</v>
          </cell>
        </row>
        <row r="8">
          <cell r="C8">
            <v>30511.54</v>
          </cell>
          <cell r="D8">
            <v>29987.99</v>
          </cell>
          <cell r="E8">
            <v>1483</v>
          </cell>
          <cell r="F8">
            <v>30300</v>
          </cell>
          <cell r="G8">
            <v>30478.2</v>
          </cell>
          <cell r="H8">
            <v>30086.43</v>
          </cell>
          <cell r="I8">
            <v>1444</v>
          </cell>
          <cell r="J8">
            <v>302.88000000000005</v>
          </cell>
          <cell r="K8">
            <v>322.16000000000003</v>
          </cell>
          <cell r="L8">
            <v>59.97</v>
          </cell>
        </row>
        <row r="9">
          <cell r="C9">
            <v>24222.240000000002</v>
          </cell>
          <cell r="D9">
            <v>23833.4</v>
          </cell>
          <cell r="E9">
            <v>1173</v>
          </cell>
          <cell r="F9">
            <v>24000</v>
          </cell>
          <cell r="G9">
            <v>23658.400000000001</v>
          </cell>
          <cell r="H9">
            <v>23316.49</v>
          </cell>
          <cell r="I9">
            <v>1080</v>
          </cell>
          <cell r="J9">
            <v>205.41</v>
          </cell>
          <cell r="K9">
            <v>223.95</v>
          </cell>
          <cell r="L9">
            <v>100.81</v>
          </cell>
        </row>
        <row r="10">
          <cell r="C10">
            <v>14236.3</v>
          </cell>
          <cell r="D10">
            <v>13994.55</v>
          </cell>
          <cell r="E10">
            <v>892</v>
          </cell>
          <cell r="F10">
            <v>14100</v>
          </cell>
          <cell r="G10">
            <v>14020.33</v>
          </cell>
          <cell r="H10">
            <v>13851.73</v>
          </cell>
          <cell r="I10">
            <v>812</v>
          </cell>
          <cell r="J10">
            <v>117.92</v>
          </cell>
          <cell r="K10">
            <v>137.12</v>
          </cell>
          <cell r="L10">
            <v>94.76</v>
          </cell>
        </row>
        <row r="11">
          <cell r="C11">
            <v>17072.060000000001</v>
          </cell>
          <cell r="D11">
            <v>16861.669999999998</v>
          </cell>
          <cell r="E11">
            <v>1001</v>
          </cell>
          <cell r="F11">
            <v>17000</v>
          </cell>
          <cell r="G11">
            <v>13690.19</v>
          </cell>
          <cell r="H11">
            <v>13497.18</v>
          </cell>
          <cell r="I11">
            <v>831</v>
          </cell>
          <cell r="J11">
            <v>129.71</v>
          </cell>
          <cell r="K11">
            <v>144.55000000000001</v>
          </cell>
          <cell r="L11">
            <v>114.64</v>
          </cell>
        </row>
        <row r="12">
          <cell r="C12">
            <v>19941.86</v>
          </cell>
          <cell r="D12">
            <v>19588.849999999999</v>
          </cell>
          <cell r="E12">
            <v>1186</v>
          </cell>
          <cell r="F12">
            <v>19800</v>
          </cell>
          <cell r="G12">
            <v>17500.080000000002</v>
          </cell>
          <cell r="H12">
            <v>17150.57</v>
          </cell>
          <cell r="I12">
            <v>1023</v>
          </cell>
          <cell r="J12">
            <v>149.43</v>
          </cell>
          <cell r="K12">
            <v>167.94</v>
          </cell>
          <cell r="L12">
            <v>166.18</v>
          </cell>
        </row>
        <row r="13">
          <cell r="C13">
            <v>17264.669999999998</v>
          </cell>
          <cell r="D13">
            <v>17054.98</v>
          </cell>
          <cell r="E13">
            <v>1037</v>
          </cell>
          <cell r="F13">
            <v>17200</v>
          </cell>
          <cell r="G13">
            <v>14561.78</v>
          </cell>
          <cell r="H13">
            <v>14401.18</v>
          </cell>
          <cell r="I13">
            <v>788</v>
          </cell>
          <cell r="J13">
            <v>150.65</v>
          </cell>
          <cell r="K13">
            <v>160.30000000000001</v>
          </cell>
          <cell r="L13">
            <v>97.87</v>
          </cell>
        </row>
        <row r="14">
          <cell r="C14">
            <v>26948.38</v>
          </cell>
          <cell r="D14">
            <v>26581.4</v>
          </cell>
          <cell r="E14">
            <v>1462</v>
          </cell>
          <cell r="F14">
            <v>26800</v>
          </cell>
          <cell r="G14">
            <v>25183.73</v>
          </cell>
          <cell r="H14">
            <v>24922.66</v>
          </cell>
          <cell r="I14">
            <v>1317</v>
          </cell>
          <cell r="J14">
            <v>248.91</v>
          </cell>
          <cell r="K14">
            <v>258.24</v>
          </cell>
          <cell r="L14">
            <v>146.66</v>
          </cell>
        </row>
        <row r="15">
          <cell r="C15">
            <v>30596.63</v>
          </cell>
          <cell r="D15">
            <v>30123.19</v>
          </cell>
          <cell r="E15">
            <v>1609</v>
          </cell>
          <cell r="F15">
            <v>30400</v>
          </cell>
          <cell r="G15">
            <v>28987.31</v>
          </cell>
          <cell r="H15">
            <v>28589.06</v>
          </cell>
          <cell r="I15">
            <v>1405</v>
          </cell>
          <cell r="J15">
            <v>265.02999999999997</v>
          </cell>
          <cell r="K15">
            <v>274.77999999999997</v>
          </cell>
          <cell r="L15">
            <v>53.59</v>
          </cell>
        </row>
        <row r="16">
          <cell r="C16">
            <v>25911.47</v>
          </cell>
          <cell r="D16">
            <v>25505.73</v>
          </cell>
          <cell r="E16">
            <v>1251</v>
          </cell>
          <cell r="F16">
            <v>25700</v>
          </cell>
          <cell r="G16">
            <v>24295.42</v>
          </cell>
          <cell r="H16">
            <v>23890.28</v>
          </cell>
          <cell r="I16">
            <v>1159</v>
          </cell>
          <cell r="J16">
            <v>201.81</v>
          </cell>
          <cell r="K16">
            <v>220.37</v>
          </cell>
          <cell r="L16">
            <v>110.52</v>
          </cell>
        </row>
        <row r="17">
          <cell r="C17">
            <v>13199.37</v>
          </cell>
          <cell r="D17">
            <v>13060.23</v>
          </cell>
          <cell r="E17">
            <v>846</v>
          </cell>
          <cell r="F17">
            <v>13200</v>
          </cell>
          <cell r="G17">
            <v>12459.53</v>
          </cell>
          <cell r="H17">
            <v>12302.34</v>
          </cell>
          <cell r="I17">
            <v>747</v>
          </cell>
          <cell r="J17">
            <v>118.96</v>
          </cell>
          <cell r="K17">
            <v>127.33</v>
          </cell>
          <cell r="L17">
            <v>124.84</v>
          </cell>
        </row>
        <row r="18">
          <cell r="C18">
            <v>14707.89</v>
          </cell>
          <cell r="D18">
            <v>14519.11</v>
          </cell>
          <cell r="E18">
            <v>903</v>
          </cell>
          <cell r="F18">
            <v>14600</v>
          </cell>
          <cell r="G18">
            <v>16074.3</v>
          </cell>
          <cell r="H18">
            <v>15884.71</v>
          </cell>
          <cell r="I18">
            <v>908</v>
          </cell>
          <cell r="J18">
            <v>132.16999999999999</v>
          </cell>
          <cell r="K18">
            <v>142.38999999999999</v>
          </cell>
          <cell r="L18">
            <v>86.34</v>
          </cell>
        </row>
        <row r="19">
          <cell r="C19">
            <v>19998.82</v>
          </cell>
          <cell r="D19">
            <v>19759.669999999998</v>
          </cell>
          <cell r="E19">
            <v>1187</v>
          </cell>
          <cell r="F19">
            <v>19900</v>
          </cell>
          <cell r="G19">
            <v>18153.47</v>
          </cell>
          <cell r="H19">
            <v>17905.810000000001</v>
          </cell>
          <cell r="I19">
            <v>1028</v>
          </cell>
          <cell r="J19">
            <v>231.03000000000003</v>
          </cell>
          <cell r="K19">
            <v>249.77</v>
          </cell>
          <cell r="L19">
            <v>173.31</v>
          </cell>
        </row>
        <row r="20">
          <cell r="C20">
            <v>19661.060000000001</v>
          </cell>
          <cell r="D20">
            <v>19498.04</v>
          </cell>
          <cell r="E20">
            <v>1163</v>
          </cell>
          <cell r="F20">
            <v>19700</v>
          </cell>
          <cell r="G20">
            <v>17835.849999999999</v>
          </cell>
          <cell r="H20">
            <v>17654.27</v>
          </cell>
          <cell r="I20">
            <v>1017</v>
          </cell>
          <cell r="J20">
            <v>175.26</v>
          </cell>
          <cell r="K20">
            <v>195.04</v>
          </cell>
          <cell r="L20">
            <v>73.27</v>
          </cell>
        </row>
        <row r="21">
          <cell r="C21">
            <v>27384.2</v>
          </cell>
          <cell r="D21">
            <v>27181.22</v>
          </cell>
          <cell r="E21">
            <v>1496</v>
          </cell>
          <cell r="F21">
            <v>27400</v>
          </cell>
          <cell r="G21">
            <v>26687.200000000001</v>
          </cell>
          <cell r="H21">
            <v>26320.01</v>
          </cell>
          <cell r="I21">
            <v>1391</v>
          </cell>
          <cell r="J21">
            <v>245.34</v>
          </cell>
          <cell r="K21">
            <v>263.89</v>
          </cell>
          <cell r="L21">
            <v>115.78</v>
          </cell>
        </row>
        <row r="22">
          <cell r="C22">
            <v>31699.71</v>
          </cell>
          <cell r="D22">
            <v>31403.78</v>
          </cell>
          <cell r="E22">
            <v>1712</v>
          </cell>
          <cell r="F22">
            <v>31700</v>
          </cell>
          <cell r="G22">
            <v>30558.35</v>
          </cell>
          <cell r="H22">
            <v>30120.91</v>
          </cell>
          <cell r="I22">
            <v>1514</v>
          </cell>
          <cell r="J22">
            <v>272.54000000000002</v>
          </cell>
          <cell r="K22">
            <v>291.01</v>
          </cell>
          <cell r="L22">
            <v>105.24</v>
          </cell>
        </row>
        <row r="23">
          <cell r="C23">
            <v>24524.720000000001</v>
          </cell>
          <cell r="D23">
            <v>24203.18</v>
          </cell>
          <cell r="E23">
            <v>1241</v>
          </cell>
          <cell r="F23">
            <v>24400</v>
          </cell>
          <cell r="G23">
            <v>22921.01</v>
          </cell>
          <cell r="H23">
            <v>22517.91</v>
          </cell>
          <cell r="I23">
            <v>1087</v>
          </cell>
          <cell r="J23">
            <v>202.71</v>
          </cell>
          <cell r="K23">
            <v>212.24</v>
          </cell>
          <cell r="L23">
            <v>170.58</v>
          </cell>
        </row>
        <row r="24">
          <cell r="C24">
            <v>13091.36</v>
          </cell>
          <cell r="D24">
            <v>12935.95</v>
          </cell>
          <cell r="E24">
            <v>845</v>
          </cell>
          <cell r="F24">
            <v>13100</v>
          </cell>
          <cell r="G24">
            <v>13024.01</v>
          </cell>
          <cell r="H24">
            <v>12877.08</v>
          </cell>
          <cell r="I24">
            <v>792</v>
          </cell>
          <cell r="J24">
            <v>185.18</v>
          </cell>
          <cell r="K24">
            <v>194.46</v>
          </cell>
          <cell r="L24">
            <v>74.95</v>
          </cell>
        </row>
        <row r="25">
          <cell r="C25">
            <v>14961.4</v>
          </cell>
          <cell r="D25">
            <v>14776.38</v>
          </cell>
          <cell r="E25">
            <v>918</v>
          </cell>
          <cell r="F25">
            <v>14900</v>
          </cell>
          <cell r="G25">
            <v>13633.75</v>
          </cell>
          <cell r="H25">
            <v>13461.86</v>
          </cell>
          <cell r="I25">
            <v>823</v>
          </cell>
          <cell r="J25">
            <v>135.53</v>
          </cell>
          <cell r="K25">
            <v>153.6</v>
          </cell>
          <cell r="L25">
            <v>106.62</v>
          </cell>
        </row>
        <row r="26">
          <cell r="C26">
            <v>19588.03</v>
          </cell>
          <cell r="D26">
            <v>19340.41</v>
          </cell>
          <cell r="E26">
            <v>1198</v>
          </cell>
          <cell r="F26">
            <v>19500</v>
          </cell>
          <cell r="G26">
            <v>17361.53</v>
          </cell>
          <cell r="H26">
            <v>17117.91</v>
          </cell>
          <cell r="I26">
            <v>989</v>
          </cell>
          <cell r="J26">
            <v>220.22</v>
          </cell>
          <cell r="K26">
            <v>237.5</v>
          </cell>
          <cell r="L26">
            <v>176.8</v>
          </cell>
        </row>
        <row r="27">
          <cell r="C27">
            <v>17182.349999999999</v>
          </cell>
          <cell r="D27">
            <v>17045.580000000002</v>
          </cell>
          <cell r="E27">
            <v>1034</v>
          </cell>
          <cell r="F27">
            <v>17200</v>
          </cell>
          <cell r="G27">
            <v>15922.56</v>
          </cell>
          <cell r="H27">
            <v>15763.96</v>
          </cell>
          <cell r="I27">
            <v>892</v>
          </cell>
          <cell r="J27">
            <v>175.96</v>
          </cell>
          <cell r="K27">
            <v>194.41</v>
          </cell>
          <cell r="L27">
            <v>77.510000000000005</v>
          </cell>
        </row>
        <row r="28">
          <cell r="C28">
            <v>28146.5</v>
          </cell>
          <cell r="D28">
            <v>27860.85</v>
          </cell>
          <cell r="E28">
            <v>1550</v>
          </cell>
          <cell r="F28">
            <v>28100</v>
          </cell>
          <cell r="G28">
            <v>24513.599999999999</v>
          </cell>
          <cell r="H28">
            <v>24256.03</v>
          </cell>
          <cell r="I28">
            <v>1246</v>
          </cell>
          <cell r="J28">
            <v>205.69</v>
          </cell>
          <cell r="K28">
            <v>231.59</v>
          </cell>
          <cell r="L28">
            <v>117.32</v>
          </cell>
        </row>
        <row r="29">
          <cell r="C29">
            <v>31098.39</v>
          </cell>
          <cell r="D29">
            <v>30792.81</v>
          </cell>
          <cell r="E29">
            <v>1650</v>
          </cell>
          <cell r="F29">
            <v>31100</v>
          </cell>
          <cell r="G29">
            <v>28946.23</v>
          </cell>
          <cell r="H29">
            <v>28615.5</v>
          </cell>
          <cell r="I29">
            <v>1410</v>
          </cell>
          <cell r="J29">
            <v>268.33000000000004</v>
          </cell>
          <cell r="K29">
            <v>287.36</v>
          </cell>
          <cell r="L29">
            <v>115.58</v>
          </cell>
        </row>
        <row r="30">
          <cell r="C30">
            <v>25696.78</v>
          </cell>
          <cell r="D30">
            <v>25397.279999999999</v>
          </cell>
          <cell r="E30">
            <v>1320</v>
          </cell>
          <cell r="F30">
            <v>25600</v>
          </cell>
          <cell r="G30">
            <v>23326.28</v>
          </cell>
          <cell r="H30">
            <v>23049.98</v>
          </cell>
          <cell r="I30">
            <v>1134</v>
          </cell>
          <cell r="J30">
            <v>236.92</v>
          </cell>
          <cell r="K30">
            <v>245.97</v>
          </cell>
          <cell r="L30">
            <v>130.72999999999999</v>
          </cell>
        </row>
        <row r="31">
          <cell r="C31">
            <v>13862.2</v>
          </cell>
          <cell r="D31">
            <v>13736.89</v>
          </cell>
          <cell r="E31">
            <v>877</v>
          </cell>
          <cell r="F31">
            <v>13900</v>
          </cell>
          <cell r="G31">
            <v>13199.75</v>
          </cell>
          <cell r="H31">
            <v>13060.9</v>
          </cell>
          <cell r="I31">
            <v>815</v>
          </cell>
          <cell r="J31">
            <v>171.92999999999998</v>
          </cell>
          <cell r="K31">
            <v>189.63</v>
          </cell>
          <cell r="L31">
            <v>182.88</v>
          </cell>
        </row>
        <row r="32">
          <cell r="C32">
            <v>14604.39</v>
          </cell>
          <cell r="D32">
            <v>14477.2</v>
          </cell>
          <cell r="E32">
            <v>949</v>
          </cell>
          <cell r="F32">
            <v>14600</v>
          </cell>
          <cell r="G32">
            <v>14185.83</v>
          </cell>
          <cell r="H32">
            <v>14008.87</v>
          </cell>
          <cell r="I32">
            <v>819</v>
          </cell>
          <cell r="J32">
            <v>165.57</v>
          </cell>
          <cell r="K32">
            <v>175.4</v>
          </cell>
          <cell r="L32">
            <v>130.91999999999999</v>
          </cell>
        </row>
        <row r="33">
          <cell r="C33">
            <v>18462.43</v>
          </cell>
          <cell r="D33">
            <v>18237.16</v>
          </cell>
          <cell r="E33">
            <v>1120</v>
          </cell>
          <cell r="F33">
            <v>18400</v>
          </cell>
          <cell r="G33">
            <v>17025.93</v>
          </cell>
          <cell r="H33">
            <v>16747.71</v>
          </cell>
          <cell r="I33">
            <v>949</v>
          </cell>
          <cell r="J33">
            <v>210.32999999999998</v>
          </cell>
          <cell r="K33">
            <v>216.23</v>
          </cell>
          <cell r="L33">
            <v>97.07</v>
          </cell>
        </row>
        <row r="34">
          <cell r="C34">
            <v>18065</v>
          </cell>
          <cell r="D34">
            <v>17910.47</v>
          </cell>
          <cell r="E34">
            <v>1063</v>
          </cell>
          <cell r="F34">
            <v>18100</v>
          </cell>
          <cell r="G34">
            <v>17482.07</v>
          </cell>
          <cell r="H34">
            <v>17273.060000000001</v>
          </cell>
          <cell r="I34">
            <v>983</v>
          </cell>
          <cell r="J34">
            <v>183.4</v>
          </cell>
          <cell r="K34">
            <v>201.38</v>
          </cell>
          <cell r="L34">
            <v>143.69</v>
          </cell>
        </row>
        <row r="35">
          <cell r="C35">
            <v>26085.4</v>
          </cell>
          <cell r="D35">
            <v>25823.05</v>
          </cell>
          <cell r="E35">
            <v>1498</v>
          </cell>
          <cell r="F35">
            <v>26000</v>
          </cell>
          <cell r="G35">
            <v>25158.45</v>
          </cell>
          <cell r="H35">
            <v>24877.91</v>
          </cell>
          <cell r="I35">
            <v>1295</v>
          </cell>
          <cell r="J35">
            <v>219.35000000000002</v>
          </cell>
          <cell r="K35">
            <v>228.55</v>
          </cell>
          <cell r="L35">
            <v>83.27</v>
          </cell>
        </row>
        <row r="36">
          <cell r="C36">
            <v>31176.74</v>
          </cell>
          <cell r="D36">
            <v>30828.43</v>
          </cell>
          <cell r="E36">
            <v>1551</v>
          </cell>
          <cell r="F36">
            <v>31100</v>
          </cell>
          <cell r="G36">
            <v>32604.25</v>
          </cell>
          <cell r="H36">
            <v>32046.22</v>
          </cell>
          <cell r="I36">
            <v>1517</v>
          </cell>
          <cell r="J36">
            <v>281.47999999999996</v>
          </cell>
          <cell r="K36">
            <v>290.95999999999998</v>
          </cell>
          <cell r="L36">
            <v>356.02</v>
          </cell>
        </row>
        <row r="37">
          <cell r="C37">
            <v>26252.720000000001</v>
          </cell>
          <cell r="D37">
            <v>25916.91</v>
          </cell>
          <cell r="E37">
            <v>1370</v>
          </cell>
          <cell r="F37">
            <v>26100</v>
          </cell>
          <cell r="G37">
            <v>24679.64</v>
          </cell>
          <cell r="H37">
            <v>24352.799999999999</v>
          </cell>
          <cell r="I37">
            <v>1147</v>
          </cell>
          <cell r="J37">
            <v>233.93</v>
          </cell>
          <cell r="K37">
            <v>242.81</v>
          </cell>
          <cell r="L37">
            <v>81.31</v>
          </cell>
        </row>
        <row r="38">
          <cell r="C38">
            <v>15051.93</v>
          </cell>
          <cell r="D38">
            <v>14866.75</v>
          </cell>
          <cell r="E38">
            <v>946</v>
          </cell>
          <cell r="F38">
            <v>15000</v>
          </cell>
          <cell r="G38">
            <v>13315.67</v>
          </cell>
          <cell r="H38">
            <v>13214.7</v>
          </cell>
          <cell r="I38">
            <v>808</v>
          </cell>
          <cell r="J38">
            <v>155.70000000000002</v>
          </cell>
          <cell r="K38">
            <v>174.02</v>
          </cell>
          <cell r="L38">
            <v>137.76</v>
          </cell>
        </row>
        <row r="39">
          <cell r="C39">
            <v>15949.5</v>
          </cell>
          <cell r="D39">
            <v>15778.46</v>
          </cell>
          <cell r="E39">
            <v>980</v>
          </cell>
          <cell r="F39">
            <v>15900</v>
          </cell>
          <cell r="G39">
            <v>15351.35</v>
          </cell>
          <cell r="H39">
            <v>15171.34</v>
          </cell>
          <cell r="I39">
            <v>899</v>
          </cell>
          <cell r="J39">
            <v>125.7</v>
          </cell>
          <cell r="K39">
            <v>144.13999999999999</v>
          </cell>
          <cell r="L39">
            <v>105.11</v>
          </cell>
        </row>
        <row r="40">
          <cell r="C40">
            <v>20514.25</v>
          </cell>
          <cell r="D40">
            <v>20274.650000000001</v>
          </cell>
          <cell r="E40">
            <v>1212</v>
          </cell>
          <cell r="F40">
            <v>20500</v>
          </cell>
          <cell r="G40">
            <v>18464.27</v>
          </cell>
          <cell r="H40">
            <v>18194.3</v>
          </cell>
          <cell r="I40">
            <v>1071</v>
          </cell>
          <cell r="J40">
            <v>204.06</v>
          </cell>
          <cell r="K40">
            <v>221.98</v>
          </cell>
          <cell r="L40">
            <v>154.41999999999999</v>
          </cell>
        </row>
        <row r="41">
          <cell r="C41">
            <v>18069.7</v>
          </cell>
          <cell r="D41">
            <v>17880.03</v>
          </cell>
          <cell r="E41">
            <v>1103</v>
          </cell>
          <cell r="F41">
            <v>18000</v>
          </cell>
          <cell r="G41">
            <v>18598.78</v>
          </cell>
          <cell r="H41">
            <v>18450.86</v>
          </cell>
          <cell r="I41">
            <v>1044</v>
          </cell>
          <cell r="J41">
            <v>164.33</v>
          </cell>
          <cell r="K41">
            <v>182.83</v>
          </cell>
          <cell r="L41">
            <v>78.22</v>
          </cell>
        </row>
        <row r="42">
          <cell r="C42">
            <v>29398.54</v>
          </cell>
          <cell r="D42">
            <v>29109.53</v>
          </cell>
          <cell r="E42">
            <v>1577</v>
          </cell>
          <cell r="F42">
            <v>29400</v>
          </cell>
          <cell r="G42">
            <v>28945.05</v>
          </cell>
          <cell r="H42">
            <v>28568.49</v>
          </cell>
          <cell r="I42">
            <v>1478</v>
          </cell>
          <cell r="J42">
            <v>281.44</v>
          </cell>
          <cell r="K42">
            <v>298.11</v>
          </cell>
          <cell r="L42">
            <v>106.93</v>
          </cell>
        </row>
        <row r="43">
          <cell r="C43">
            <v>32194.9</v>
          </cell>
          <cell r="D43">
            <v>31853.18</v>
          </cell>
          <cell r="E43">
            <v>1647</v>
          </cell>
          <cell r="F43">
            <v>32100</v>
          </cell>
          <cell r="G43">
            <v>30509.83</v>
          </cell>
          <cell r="H43">
            <v>30154.18</v>
          </cell>
          <cell r="I43">
            <v>1508</v>
          </cell>
          <cell r="J43">
            <v>273.02</v>
          </cell>
          <cell r="K43">
            <v>291.75</v>
          </cell>
          <cell r="L43">
            <v>95.41</v>
          </cell>
        </row>
        <row r="44">
          <cell r="C44">
            <v>25075.46</v>
          </cell>
          <cell r="D44">
            <v>24779.71</v>
          </cell>
          <cell r="E44">
            <v>1269</v>
          </cell>
          <cell r="F44">
            <v>25000</v>
          </cell>
          <cell r="G44">
            <v>26941.47</v>
          </cell>
          <cell r="H44">
            <v>26492.6</v>
          </cell>
          <cell r="I44">
            <v>1315</v>
          </cell>
          <cell r="J44">
            <v>200.9</v>
          </cell>
          <cell r="K44">
            <v>219.81</v>
          </cell>
          <cell r="L44">
            <v>243.93</v>
          </cell>
        </row>
        <row r="45">
          <cell r="C45">
            <v>14088.47</v>
          </cell>
          <cell r="D45">
            <v>13945.49</v>
          </cell>
          <cell r="E45">
            <v>877</v>
          </cell>
          <cell r="F45">
            <v>14100</v>
          </cell>
          <cell r="G45">
            <v>15462.78</v>
          </cell>
          <cell r="H45">
            <v>15218.89</v>
          </cell>
          <cell r="I45">
            <v>874</v>
          </cell>
          <cell r="J45">
            <v>166.57</v>
          </cell>
          <cell r="K45">
            <v>184.09</v>
          </cell>
          <cell r="L45">
            <v>90.1</v>
          </cell>
        </row>
        <row r="46">
          <cell r="C46">
            <v>15600.78</v>
          </cell>
          <cell r="D46">
            <v>15414.87</v>
          </cell>
          <cell r="E46">
            <v>958</v>
          </cell>
          <cell r="F46">
            <v>15500</v>
          </cell>
          <cell r="G46">
            <v>18006.599999999999</v>
          </cell>
          <cell r="H46">
            <v>17680.490000000002</v>
          </cell>
          <cell r="I46">
            <v>1027</v>
          </cell>
          <cell r="J46">
            <v>134.66</v>
          </cell>
          <cell r="K46">
            <v>152.16</v>
          </cell>
          <cell r="L46">
            <v>108.01</v>
          </cell>
        </row>
        <row r="47">
          <cell r="C47">
            <v>17958.150000000001</v>
          </cell>
          <cell r="D47">
            <v>17720.39</v>
          </cell>
          <cell r="E47">
            <v>1068</v>
          </cell>
          <cell r="F47">
            <v>17900</v>
          </cell>
          <cell r="G47">
            <v>18736.27</v>
          </cell>
          <cell r="H47">
            <v>18527.5</v>
          </cell>
          <cell r="I47">
            <v>1048</v>
          </cell>
          <cell r="J47">
            <v>173.26</v>
          </cell>
          <cell r="K47">
            <v>191.76</v>
          </cell>
          <cell r="L47">
            <v>126.39</v>
          </cell>
        </row>
        <row r="48">
          <cell r="C48">
            <v>18166.86</v>
          </cell>
          <cell r="D48">
            <v>18000.23</v>
          </cell>
          <cell r="E48">
            <v>1093</v>
          </cell>
          <cell r="F48">
            <v>18200</v>
          </cell>
          <cell r="G48">
            <v>20924.38</v>
          </cell>
          <cell r="H48">
            <v>20632.86</v>
          </cell>
          <cell r="I48">
            <v>1153</v>
          </cell>
          <cell r="J48">
            <v>190.58999999999997</v>
          </cell>
          <cell r="K48">
            <v>207.89</v>
          </cell>
          <cell r="L48">
            <v>107.32</v>
          </cell>
        </row>
        <row r="49">
          <cell r="C49">
            <v>29091.91</v>
          </cell>
          <cell r="D49">
            <v>28760.240000000002</v>
          </cell>
          <cell r="E49">
            <v>1482</v>
          </cell>
          <cell r="F49">
            <v>29000</v>
          </cell>
          <cell r="G49">
            <v>32569.99</v>
          </cell>
          <cell r="H49">
            <v>32176.98</v>
          </cell>
          <cell r="I49">
            <v>1527</v>
          </cell>
          <cell r="J49">
            <v>238.74</v>
          </cell>
          <cell r="K49">
            <v>257.42</v>
          </cell>
          <cell r="L49">
            <v>123.34</v>
          </cell>
        </row>
        <row r="50">
          <cell r="C50">
            <v>31053.82</v>
          </cell>
          <cell r="D50">
            <v>30616.22</v>
          </cell>
          <cell r="E50">
            <v>1540</v>
          </cell>
          <cell r="F50">
            <v>30900</v>
          </cell>
          <cell r="G50">
            <v>32818.730000000003</v>
          </cell>
          <cell r="H50">
            <v>32291.200000000001</v>
          </cell>
          <cell r="I50">
            <v>1529</v>
          </cell>
          <cell r="J50">
            <v>272.88</v>
          </cell>
          <cell r="K50">
            <v>298.02999999999997</v>
          </cell>
          <cell r="L50">
            <v>62.58</v>
          </cell>
        </row>
        <row r="51">
          <cell r="C51">
            <v>24632.98</v>
          </cell>
          <cell r="D51">
            <v>24243.58</v>
          </cell>
          <cell r="E51">
            <v>1249</v>
          </cell>
          <cell r="F51">
            <v>24500</v>
          </cell>
          <cell r="G51">
            <v>24987.56</v>
          </cell>
          <cell r="H51">
            <v>24558.95</v>
          </cell>
          <cell r="I51">
            <v>1131</v>
          </cell>
          <cell r="J51">
            <v>218.64000000000001</v>
          </cell>
          <cell r="K51">
            <v>226.74</v>
          </cell>
          <cell r="L51">
            <v>126.89</v>
          </cell>
        </row>
        <row r="52">
          <cell r="C52">
            <v>15560.28</v>
          </cell>
          <cell r="D52">
            <v>15435.85</v>
          </cell>
          <cell r="E52">
            <v>938</v>
          </cell>
          <cell r="F52">
            <v>15600</v>
          </cell>
          <cell r="G52">
            <v>15906.59</v>
          </cell>
          <cell r="H52">
            <v>15695.02</v>
          </cell>
          <cell r="I52">
            <v>911</v>
          </cell>
          <cell r="J52">
            <v>115.13999999999999</v>
          </cell>
          <cell r="K52">
            <v>132.26</v>
          </cell>
          <cell r="L52">
            <v>85.35</v>
          </cell>
        </row>
        <row r="53">
          <cell r="C53">
            <v>14981.95</v>
          </cell>
          <cell r="D53">
            <v>14874.01</v>
          </cell>
          <cell r="E53">
            <v>950</v>
          </cell>
          <cell r="F53">
            <v>15000</v>
          </cell>
          <cell r="G53">
            <v>16666.45</v>
          </cell>
          <cell r="H53">
            <v>16403.740000000002</v>
          </cell>
          <cell r="I53">
            <v>952</v>
          </cell>
          <cell r="J53">
            <v>133.72</v>
          </cell>
          <cell r="K53">
            <v>152.63999999999999</v>
          </cell>
          <cell r="L53">
            <v>40.369999999999997</v>
          </cell>
        </row>
        <row r="54">
          <cell r="C54">
            <v>18847.419999999998</v>
          </cell>
          <cell r="D54">
            <v>18645</v>
          </cell>
          <cell r="E54">
            <v>1148</v>
          </cell>
          <cell r="F54">
            <v>18800</v>
          </cell>
          <cell r="G54">
            <v>16500.63</v>
          </cell>
          <cell r="H54">
            <v>16243.76</v>
          </cell>
          <cell r="I54">
            <v>936</v>
          </cell>
          <cell r="J54">
            <v>205.25</v>
          </cell>
          <cell r="K54">
            <v>220.25</v>
          </cell>
          <cell r="L54">
            <v>90.82</v>
          </cell>
        </row>
        <row r="55">
          <cell r="C55">
            <v>18063.57</v>
          </cell>
          <cell r="D55">
            <v>17917.66</v>
          </cell>
          <cell r="E55">
            <v>1138</v>
          </cell>
          <cell r="F55">
            <v>18100</v>
          </cell>
          <cell r="G55">
            <v>17647.8</v>
          </cell>
          <cell r="H55">
            <v>17383.37</v>
          </cell>
          <cell r="I55">
            <v>928</v>
          </cell>
          <cell r="J55">
            <v>194.52</v>
          </cell>
          <cell r="K55">
            <v>212.44</v>
          </cell>
          <cell r="L55">
            <v>94.97</v>
          </cell>
        </row>
        <row r="56">
          <cell r="C56">
            <v>29929.4</v>
          </cell>
          <cell r="D56">
            <v>29623.34</v>
          </cell>
          <cell r="E56">
            <v>1489</v>
          </cell>
          <cell r="F56">
            <v>29900</v>
          </cell>
          <cell r="G56">
            <v>30197.57</v>
          </cell>
          <cell r="H56">
            <v>29791.78</v>
          </cell>
          <cell r="I56">
            <v>1343</v>
          </cell>
          <cell r="J56">
            <v>256.08999999999997</v>
          </cell>
          <cell r="K56">
            <v>280.94</v>
          </cell>
          <cell r="L56">
            <v>155.72999999999999</v>
          </cell>
        </row>
        <row r="57">
          <cell r="C57">
            <v>30259.15</v>
          </cell>
          <cell r="D57">
            <v>29889.87</v>
          </cell>
          <cell r="E57">
            <v>1513</v>
          </cell>
          <cell r="F57">
            <v>30200</v>
          </cell>
          <cell r="G57">
            <v>31756.84</v>
          </cell>
          <cell r="H57">
            <v>31330.87</v>
          </cell>
          <cell r="I57">
            <v>1413</v>
          </cell>
          <cell r="J57">
            <v>279.45999999999998</v>
          </cell>
          <cell r="K57">
            <v>297.33</v>
          </cell>
          <cell r="L57">
            <v>87.74</v>
          </cell>
        </row>
        <row r="58">
          <cell r="C58">
            <v>27627.84</v>
          </cell>
          <cell r="D58">
            <v>27341.040000000001</v>
          </cell>
          <cell r="E58">
            <v>1389</v>
          </cell>
          <cell r="F58">
            <v>27600</v>
          </cell>
          <cell r="G58">
            <v>23932.58</v>
          </cell>
          <cell r="H58">
            <v>23559.37</v>
          </cell>
          <cell r="I58">
            <v>1075</v>
          </cell>
          <cell r="J58">
            <v>254.73000000000002</v>
          </cell>
          <cell r="K58">
            <v>269.61</v>
          </cell>
          <cell r="L58">
            <v>85.11</v>
          </cell>
        </row>
        <row r="59">
          <cell r="C59">
            <v>17885.66</v>
          </cell>
          <cell r="D59">
            <v>17635.669999999998</v>
          </cell>
          <cell r="E59">
            <v>1025</v>
          </cell>
          <cell r="F59">
            <v>17800</v>
          </cell>
          <cell r="G59">
            <v>11966.29</v>
          </cell>
          <cell r="H59">
            <v>11816.36</v>
          </cell>
          <cell r="I59">
            <v>692</v>
          </cell>
          <cell r="J59">
            <v>152.79</v>
          </cell>
          <cell r="K59">
            <v>170.1</v>
          </cell>
          <cell r="L59">
            <v>138.47999999999999</v>
          </cell>
        </row>
        <row r="60">
          <cell r="C60">
            <v>18377.310000000001</v>
          </cell>
          <cell r="D60">
            <v>18150.349999999999</v>
          </cell>
          <cell r="E60">
            <v>1057</v>
          </cell>
          <cell r="F60">
            <v>18300</v>
          </cell>
          <cell r="G60">
            <v>13333.44</v>
          </cell>
          <cell r="H60">
            <v>13207.86</v>
          </cell>
          <cell r="I60">
            <v>777</v>
          </cell>
          <cell r="J60">
            <v>151.20999999999998</v>
          </cell>
          <cell r="K60">
            <v>170.13</v>
          </cell>
          <cell r="L60">
            <v>230</v>
          </cell>
        </row>
        <row r="61">
          <cell r="C61">
            <v>19792.63</v>
          </cell>
          <cell r="D61">
            <v>19584.509999999998</v>
          </cell>
          <cell r="E61">
            <v>1123</v>
          </cell>
          <cell r="F61">
            <v>19800</v>
          </cell>
          <cell r="G61">
            <v>17362.240000000002</v>
          </cell>
          <cell r="H61">
            <v>17157.48</v>
          </cell>
          <cell r="I61">
            <v>974</v>
          </cell>
          <cell r="J61">
            <v>201.10999999999999</v>
          </cell>
          <cell r="K61">
            <v>221.23</v>
          </cell>
          <cell r="L61">
            <v>126.03</v>
          </cell>
        </row>
        <row r="62">
          <cell r="C62">
            <v>21707.23</v>
          </cell>
          <cell r="D62">
            <v>21462.9</v>
          </cell>
          <cell r="E62">
            <v>1247</v>
          </cell>
          <cell r="F62">
            <v>21700</v>
          </cell>
          <cell r="G62">
            <v>16380.88</v>
          </cell>
          <cell r="H62">
            <v>16181.15</v>
          </cell>
          <cell r="I62">
            <v>943</v>
          </cell>
          <cell r="J62">
            <v>176.12</v>
          </cell>
          <cell r="K62">
            <v>203.62</v>
          </cell>
          <cell r="L62">
            <v>36.15</v>
          </cell>
        </row>
        <row r="63">
          <cell r="C63">
            <v>32322.05</v>
          </cell>
          <cell r="D63">
            <v>31938.16</v>
          </cell>
          <cell r="E63">
            <v>1558</v>
          </cell>
          <cell r="F63">
            <v>32200</v>
          </cell>
          <cell r="G63">
            <v>28595.15</v>
          </cell>
          <cell r="H63">
            <v>28292.26</v>
          </cell>
          <cell r="I63">
            <v>1347</v>
          </cell>
          <cell r="J63">
            <v>260.13000000000005</v>
          </cell>
          <cell r="K63">
            <v>275.86</v>
          </cell>
          <cell r="L63">
            <v>84.86</v>
          </cell>
        </row>
        <row r="64">
          <cell r="C64">
            <v>29737.35</v>
          </cell>
          <cell r="D64">
            <v>29380.3</v>
          </cell>
          <cell r="E64">
            <v>1425</v>
          </cell>
          <cell r="F64">
            <v>29600</v>
          </cell>
          <cell r="G64">
            <v>27144.06</v>
          </cell>
          <cell r="H64">
            <v>26791.18</v>
          </cell>
          <cell r="I64">
            <v>1273</v>
          </cell>
          <cell r="J64">
            <v>297.37</v>
          </cell>
          <cell r="K64">
            <v>306.04000000000002</v>
          </cell>
          <cell r="L64">
            <v>212.52</v>
          </cell>
        </row>
        <row r="65">
          <cell r="C65">
            <v>24753.599999999999</v>
          </cell>
          <cell r="D65">
            <v>24467.65</v>
          </cell>
          <cell r="E65">
            <v>1210</v>
          </cell>
          <cell r="F65">
            <v>24700</v>
          </cell>
          <cell r="G65">
            <v>24146.39</v>
          </cell>
          <cell r="H65">
            <v>23718.880000000001</v>
          </cell>
          <cell r="I65">
            <v>1106</v>
          </cell>
          <cell r="J65">
            <v>219.54</v>
          </cell>
          <cell r="K65">
            <v>237.12</v>
          </cell>
          <cell r="L65">
            <v>73.510000000000005</v>
          </cell>
        </row>
        <row r="66">
          <cell r="C66">
            <v>16608.54</v>
          </cell>
          <cell r="D66">
            <v>16447.43</v>
          </cell>
          <cell r="E66">
            <v>953</v>
          </cell>
          <cell r="F66">
            <v>16600</v>
          </cell>
          <cell r="G66">
            <v>12164.19</v>
          </cell>
          <cell r="H66">
            <v>11956.87</v>
          </cell>
          <cell r="I66">
            <v>737</v>
          </cell>
          <cell r="J66">
            <v>168.10999999999999</v>
          </cell>
          <cell r="K66">
            <v>185.31</v>
          </cell>
          <cell r="L66">
            <v>178.83</v>
          </cell>
        </row>
        <row r="67">
          <cell r="C67">
            <v>16923.830000000002</v>
          </cell>
          <cell r="D67">
            <v>16699.55</v>
          </cell>
          <cell r="E67">
            <v>992</v>
          </cell>
          <cell r="F67">
            <v>16800</v>
          </cell>
          <cell r="G67">
            <v>13752.64</v>
          </cell>
          <cell r="H67">
            <v>13620.41</v>
          </cell>
          <cell r="I67">
            <v>798</v>
          </cell>
          <cell r="J67">
            <v>125.69</v>
          </cell>
          <cell r="K67">
            <v>143.13999999999999</v>
          </cell>
          <cell r="L67">
            <v>182.35</v>
          </cell>
        </row>
        <row r="68">
          <cell r="C68">
            <v>19980.11</v>
          </cell>
          <cell r="D68">
            <v>19734.169999999998</v>
          </cell>
          <cell r="E68">
            <v>1122</v>
          </cell>
          <cell r="F68">
            <v>19900</v>
          </cell>
          <cell r="G68">
            <v>15238.98</v>
          </cell>
          <cell r="H68">
            <v>15004.75</v>
          </cell>
          <cell r="I68">
            <v>860</v>
          </cell>
          <cell r="J68">
            <v>197.67</v>
          </cell>
          <cell r="K68">
            <v>220.36</v>
          </cell>
          <cell r="L68">
            <v>180.01</v>
          </cell>
        </row>
        <row r="69">
          <cell r="C69">
            <v>20351.78</v>
          </cell>
          <cell r="D69">
            <v>20118.919999999998</v>
          </cell>
          <cell r="E69">
            <v>1159</v>
          </cell>
          <cell r="F69">
            <v>20300</v>
          </cell>
          <cell r="G69">
            <v>17359.47</v>
          </cell>
          <cell r="H69">
            <v>17126.91</v>
          </cell>
          <cell r="I69">
            <v>981</v>
          </cell>
          <cell r="J69">
            <v>178.93</v>
          </cell>
          <cell r="K69">
            <v>188.38</v>
          </cell>
          <cell r="L69">
            <v>94.32</v>
          </cell>
        </row>
        <row r="70">
          <cell r="C70">
            <v>30781.9</v>
          </cell>
          <cell r="D70">
            <v>30448.58</v>
          </cell>
          <cell r="E70">
            <v>1507</v>
          </cell>
          <cell r="F70">
            <v>30700</v>
          </cell>
          <cell r="G70">
            <v>25224.21</v>
          </cell>
          <cell r="H70">
            <v>24878.61</v>
          </cell>
          <cell r="I70">
            <v>1244</v>
          </cell>
          <cell r="J70">
            <v>243.03</v>
          </cell>
          <cell r="K70">
            <v>251.93</v>
          </cell>
          <cell r="L70">
            <v>71.819999999999993</v>
          </cell>
        </row>
        <row r="71">
          <cell r="C71">
            <v>29831.01</v>
          </cell>
          <cell r="D71">
            <v>29454.720000000001</v>
          </cell>
          <cell r="E71">
            <v>1541</v>
          </cell>
          <cell r="F71">
            <v>29700</v>
          </cell>
          <cell r="G71">
            <v>28926.400000000001</v>
          </cell>
          <cell r="H71">
            <v>28517.29</v>
          </cell>
          <cell r="I71">
            <v>1430</v>
          </cell>
          <cell r="J71">
            <v>212.19</v>
          </cell>
          <cell r="K71">
            <v>229.92</v>
          </cell>
          <cell r="L71">
            <v>101.87</v>
          </cell>
        </row>
        <row r="72">
          <cell r="C72">
            <v>26087.73</v>
          </cell>
          <cell r="D72">
            <v>25737.71</v>
          </cell>
          <cell r="E72">
            <v>1260</v>
          </cell>
          <cell r="F72">
            <v>26000</v>
          </cell>
          <cell r="G72">
            <v>24632.48</v>
          </cell>
          <cell r="H72">
            <v>24267.16</v>
          </cell>
          <cell r="I72">
            <v>1151</v>
          </cell>
          <cell r="J72">
            <v>251.98999999999998</v>
          </cell>
          <cell r="K72">
            <v>261.33999999999997</v>
          </cell>
          <cell r="L72">
            <v>100.72</v>
          </cell>
        </row>
        <row r="73">
          <cell r="C73">
            <v>12768.74</v>
          </cell>
          <cell r="D73">
            <v>12659.83</v>
          </cell>
          <cell r="E73">
            <v>801</v>
          </cell>
          <cell r="F73">
            <v>12800</v>
          </cell>
          <cell r="G73">
            <v>12137.68</v>
          </cell>
          <cell r="H73">
            <v>12006.64</v>
          </cell>
          <cell r="I73">
            <v>736</v>
          </cell>
          <cell r="J73">
            <v>149.79999999999998</v>
          </cell>
          <cell r="K73">
            <v>166.43</v>
          </cell>
          <cell r="L73">
            <v>88.71</v>
          </cell>
        </row>
        <row r="74">
          <cell r="C74">
            <v>14751.42</v>
          </cell>
          <cell r="D74">
            <v>14622.11</v>
          </cell>
          <cell r="E74">
            <v>923</v>
          </cell>
          <cell r="F74">
            <v>14700</v>
          </cell>
          <cell r="G74">
            <v>13518.26</v>
          </cell>
          <cell r="H74">
            <v>13368.3</v>
          </cell>
          <cell r="I74">
            <v>784</v>
          </cell>
          <cell r="J74">
            <v>175.73999999999998</v>
          </cell>
          <cell r="K74">
            <v>191.42</v>
          </cell>
          <cell r="L74">
            <v>91.84</v>
          </cell>
        </row>
        <row r="75">
          <cell r="C75">
            <v>18117.849999999999</v>
          </cell>
          <cell r="D75">
            <v>17895.099999999999</v>
          </cell>
          <cell r="E75">
            <v>1089</v>
          </cell>
          <cell r="F75">
            <v>18000</v>
          </cell>
          <cell r="G75">
            <v>17999.990000000002</v>
          </cell>
          <cell r="H75">
            <v>17717.78</v>
          </cell>
          <cell r="I75">
            <v>967</v>
          </cell>
          <cell r="J75">
            <v>205.76999999999998</v>
          </cell>
          <cell r="K75">
            <v>215.1</v>
          </cell>
          <cell r="L75">
            <v>82.87</v>
          </cell>
        </row>
        <row r="76">
          <cell r="C76">
            <v>16059.74</v>
          </cell>
          <cell r="D76">
            <v>15911.27</v>
          </cell>
          <cell r="E76">
            <v>993</v>
          </cell>
          <cell r="F76">
            <v>16000</v>
          </cell>
          <cell r="G76">
            <v>15393.46</v>
          </cell>
          <cell r="H76">
            <v>15246.78</v>
          </cell>
          <cell r="I76">
            <v>882</v>
          </cell>
          <cell r="J76">
            <v>169.09</v>
          </cell>
          <cell r="K76">
            <v>186.42</v>
          </cell>
          <cell r="L76">
            <v>93.47</v>
          </cell>
        </row>
        <row r="77">
          <cell r="C77">
            <v>25096.61</v>
          </cell>
          <cell r="D77">
            <v>24833.919999999998</v>
          </cell>
          <cell r="E77">
            <v>1389</v>
          </cell>
          <cell r="F77">
            <v>25000</v>
          </cell>
          <cell r="G77">
            <v>24630.03</v>
          </cell>
          <cell r="H77">
            <v>24303.03</v>
          </cell>
          <cell r="I77">
            <v>1315</v>
          </cell>
          <cell r="J77">
            <v>256.77999999999997</v>
          </cell>
          <cell r="K77">
            <v>265.52999999999997</v>
          </cell>
          <cell r="L77">
            <v>104.27</v>
          </cell>
        </row>
        <row r="78">
          <cell r="C78">
            <v>30719.759999999998</v>
          </cell>
          <cell r="D78">
            <v>30371.03</v>
          </cell>
          <cell r="E78">
            <v>1571</v>
          </cell>
          <cell r="F78">
            <v>30600</v>
          </cell>
          <cell r="G78">
            <v>28102.61</v>
          </cell>
          <cell r="H78">
            <v>27712</v>
          </cell>
          <cell r="I78">
            <v>1384</v>
          </cell>
          <cell r="J78">
            <v>294.73</v>
          </cell>
          <cell r="K78">
            <v>303.3</v>
          </cell>
          <cell r="L78">
            <v>136.6</v>
          </cell>
        </row>
        <row r="79">
          <cell r="C79">
            <v>28371.4</v>
          </cell>
          <cell r="D79">
            <v>27982.080000000002</v>
          </cell>
          <cell r="E79">
            <v>1407</v>
          </cell>
          <cell r="F79">
            <v>28200</v>
          </cell>
          <cell r="G79">
            <v>23324.83</v>
          </cell>
          <cell r="H79">
            <v>22992.95</v>
          </cell>
          <cell r="I79">
            <v>1148</v>
          </cell>
          <cell r="J79">
            <v>251.6</v>
          </cell>
          <cell r="K79">
            <v>251.6</v>
          </cell>
          <cell r="L79">
            <v>58.51</v>
          </cell>
        </row>
        <row r="80">
          <cell r="C80">
            <v>14693.93</v>
          </cell>
          <cell r="D80">
            <v>14514.13</v>
          </cell>
          <cell r="E80">
            <v>915</v>
          </cell>
          <cell r="F80">
            <v>14600</v>
          </cell>
          <cell r="G80">
            <v>13124.37</v>
          </cell>
          <cell r="H80">
            <v>12976.45</v>
          </cell>
          <cell r="I80">
            <v>781</v>
          </cell>
          <cell r="J80">
            <v>155.69999999999999</v>
          </cell>
          <cell r="K80">
            <v>173.33</v>
          </cell>
          <cell r="L80">
            <v>162.5</v>
          </cell>
        </row>
        <row r="81">
          <cell r="C81">
            <v>15166.88</v>
          </cell>
          <cell r="D81">
            <v>15001.03</v>
          </cell>
          <cell r="E81">
            <v>968</v>
          </cell>
          <cell r="F81">
            <v>15100</v>
          </cell>
          <cell r="G81">
            <v>14835.63</v>
          </cell>
          <cell r="H81">
            <v>14679.6</v>
          </cell>
          <cell r="I81">
            <v>829</v>
          </cell>
          <cell r="J81">
            <v>157.44</v>
          </cell>
          <cell r="K81">
            <v>174.97</v>
          </cell>
          <cell r="L81">
            <v>82.14</v>
          </cell>
        </row>
        <row r="82">
          <cell r="C82">
            <v>18635.939999999999</v>
          </cell>
          <cell r="D82">
            <v>18363.79</v>
          </cell>
          <cell r="E82">
            <v>1130</v>
          </cell>
          <cell r="F82">
            <v>18500</v>
          </cell>
          <cell r="G82">
            <v>15485.65</v>
          </cell>
          <cell r="H82">
            <v>15229.08</v>
          </cell>
          <cell r="I82">
            <v>884</v>
          </cell>
          <cell r="J82">
            <v>175.53</v>
          </cell>
          <cell r="K82">
            <v>190.78</v>
          </cell>
          <cell r="L82">
            <v>109.33</v>
          </cell>
        </row>
        <row r="83">
          <cell r="C83">
            <v>17358.349999999999</v>
          </cell>
          <cell r="D83">
            <v>17198.97</v>
          </cell>
          <cell r="E83">
            <v>1102</v>
          </cell>
          <cell r="F83">
            <v>17400</v>
          </cell>
          <cell r="G83">
            <v>17005.689999999999</v>
          </cell>
          <cell r="H83">
            <v>16860.79</v>
          </cell>
          <cell r="I83">
            <v>978</v>
          </cell>
          <cell r="J83">
            <v>201.25</v>
          </cell>
          <cell r="K83">
            <v>210.55</v>
          </cell>
          <cell r="L83">
            <v>112.26</v>
          </cell>
        </row>
        <row r="84">
          <cell r="C84">
            <v>23048.27</v>
          </cell>
          <cell r="D84">
            <v>22807.66</v>
          </cell>
          <cell r="E84">
            <v>1235</v>
          </cell>
          <cell r="F84">
            <v>23000</v>
          </cell>
          <cell r="G84">
            <v>25393.279999999999</v>
          </cell>
          <cell r="H84">
            <v>25039.69</v>
          </cell>
          <cell r="I84">
            <v>1356</v>
          </cell>
          <cell r="J84">
            <v>221.73000000000002</v>
          </cell>
          <cell r="K84">
            <v>230.4</v>
          </cell>
          <cell r="L84">
            <v>74.989999999999995</v>
          </cell>
        </row>
        <row r="85">
          <cell r="C85">
            <v>26840.33</v>
          </cell>
          <cell r="D85">
            <v>26533.439999999999</v>
          </cell>
          <cell r="E85">
            <v>1381</v>
          </cell>
          <cell r="F85">
            <v>26800</v>
          </cell>
          <cell r="G85">
            <v>25627.59</v>
          </cell>
          <cell r="H85">
            <v>25266.7</v>
          </cell>
          <cell r="I85">
            <v>1342</v>
          </cell>
          <cell r="J85">
            <v>254.30999999999997</v>
          </cell>
          <cell r="K85">
            <v>263.08999999999997</v>
          </cell>
          <cell r="L85">
            <v>104.24</v>
          </cell>
        </row>
        <row r="86">
          <cell r="C86">
            <v>23069.53</v>
          </cell>
          <cell r="D86">
            <v>22781.19</v>
          </cell>
          <cell r="E86">
            <v>1188</v>
          </cell>
          <cell r="F86">
            <v>23000</v>
          </cell>
          <cell r="G86">
            <v>24955.46</v>
          </cell>
          <cell r="H86">
            <v>24584.93</v>
          </cell>
          <cell r="I86">
            <v>1212</v>
          </cell>
          <cell r="J86">
            <v>232.8</v>
          </cell>
          <cell r="K86">
            <v>241.83</v>
          </cell>
          <cell r="L86">
            <v>75.17</v>
          </cell>
        </row>
        <row r="87">
          <cell r="C87">
            <v>12694.96</v>
          </cell>
          <cell r="D87">
            <v>12599.45</v>
          </cell>
          <cell r="E87">
            <v>799</v>
          </cell>
          <cell r="F87">
            <v>12700</v>
          </cell>
          <cell r="G87">
            <v>12883.05</v>
          </cell>
          <cell r="H87">
            <v>12734.56</v>
          </cell>
          <cell r="I87">
            <v>772</v>
          </cell>
          <cell r="J87">
            <v>148.39999999999998</v>
          </cell>
          <cell r="K87">
            <v>167.2</v>
          </cell>
          <cell r="L87">
            <v>85.53</v>
          </cell>
        </row>
        <row r="88">
          <cell r="C88">
            <v>15274.77</v>
          </cell>
          <cell r="D88">
            <v>14960.25</v>
          </cell>
          <cell r="E88">
            <v>921</v>
          </cell>
          <cell r="F88">
            <v>15100</v>
          </cell>
          <cell r="G88">
            <v>14182.45</v>
          </cell>
          <cell r="H88">
            <v>13973.91</v>
          </cell>
          <cell r="I88">
            <v>813</v>
          </cell>
          <cell r="J88">
            <v>148.41</v>
          </cell>
          <cell r="K88">
            <v>176.04</v>
          </cell>
          <cell r="L88">
            <v>89.14</v>
          </cell>
        </row>
        <row r="89">
          <cell r="C89">
            <v>18604.5</v>
          </cell>
          <cell r="D89">
            <v>18124.86</v>
          </cell>
          <cell r="E89">
            <v>1144</v>
          </cell>
          <cell r="F89">
            <v>18300</v>
          </cell>
          <cell r="G89">
            <v>18112.89</v>
          </cell>
          <cell r="H89">
            <v>17730.259999999998</v>
          </cell>
          <cell r="I89">
            <v>995</v>
          </cell>
          <cell r="J89">
            <v>183.7</v>
          </cell>
          <cell r="K89">
            <v>192.45</v>
          </cell>
          <cell r="L89">
            <v>84.66</v>
          </cell>
        </row>
        <row r="90">
          <cell r="C90">
            <v>18694.509999999998</v>
          </cell>
          <cell r="D90">
            <v>18315.78</v>
          </cell>
          <cell r="E90">
            <v>1136</v>
          </cell>
          <cell r="F90">
            <v>18500</v>
          </cell>
          <cell r="G90">
            <v>18279.939999999999</v>
          </cell>
          <cell r="H90">
            <v>17952.400000000001</v>
          </cell>
          <cell r="I90">
            <v>995</v>
          </cell>
          <cell r="J90">
            <v>169.48</v>
          </cell>
          <cell r="K90">
            <v>186.53</v>
          </cell>
          <cell r="L90">
            <v>86.23</v>
          </cell>
        </row>
        <row r="91">
          <cell r="C91">
            <v>25478.35</v>
          </cell>
          <cell r="D91">
            <v>24906.94</v>
          </cell>
          <cell r="E91">
            <v>1350</v>
          </cell>
          <cell r="F91">
            <v>25100</v>
          </cell>
          <cell r="G91">
            <v>27328.19</v>
          </cell>
          <cell r="H91">
            <v>26781.119999999999</v>
          </cell>
          <cell r="I91">
            <v>1383</v>
          </cell>
          <cell r="J91">
            <v>251.35000000000002</v>
          </cell>
          <cell r="K91">
            <v>269.95</v>
          </cell>
          <cell r="L91">
            <v>94.59</v>
          </cell>
        </row>
        <row r="92">
          <cell r="C92">
            <v>28406.63</v>
          </cell>
          <cell r="D92">
            <v>27744.639999999999</v>
          </cell>
          <cell r="E92">
            <v>1465</v>
          </cell>
          <cell r="F92">
            <v>28000</v>
          </cell>
          <cell r="G92">
            <v>28398.81</v>
          </cell>
          <cell r="H92">
            <v>27874.63</v>
          </cell>
          <cell r="I92">
            <v>1381</v>
          </cell>
          <cell r="J92">
            <v>269.87</v>
          </cell>
          <cell r="K92">
            <v>278.77</v>
          </cell>
          <cell r="L92">
            <v>95.52</v>
          </cell>
        </row>
        <row r="93">
          <cell r="C93">
            <v>26433.040000000001</v>
          </cell>
          <cell r="D93">
            <v>25949.43</v>
          </cell>
          <cell r="E93">
            <v>1370</v>
          </cell>
          <cell r="F93">
            <v>26200</v>
          </cell>
          <cell r="G93">
            <v>26679.67</v>
          </cell>
          <cell r="H93">
            <v>26164.51</v>
          </cell>
          <cell r="I93">
            <v>1248</v>
          </cell>
          <cell r="J93">
            <v>216.22</v>
          </cell>
          <cell r="K93">
            <v>225.47</v>
          </cell>
          <cell r="L93">
            <v>84.6</v>
          </cell>
        </row>
        <row r="94">
          <cell r="C94">
            <v>15167.24</v>
          </cell>
          <cell r="D94">
            <v>14941.22</v>
          </cell>
          <cell r="E94">
            <v>982</v>
          </cell>
          <cell r="F94">
            <v>15100</v>
          </cell>
          <cell r="G94">
            <v>14059.31</v>
          </cell>
          <cell r="H94">
            <v>13780.2</v>
          </cell>
          <cell r="I94">
            <v>789</v>
          </cell>
          <cell r="J94">
            <v>142.67999999999998</v>
          </cell>
          <cell r="K94">
            <v>170.48</v>
          </cell>
          <cell r="L94">
            <v>61.61</v>
          </cell>
        </row>
        <row r="95">
          <cell r="C95">
            <v>16842.900000000001</v>
          </cell>
          <cell r="D95">
            <v>16574.939999999999</v>
          </cell>
          <cell r="E95">
            <v>1029</v>
          </cell>
          <cell r="F95">
            <v>16700</v>
          </cell>
          <cell r="G95">
            <v>16610.93</v>
          </cell>
          <cell r="H95">
            <v>16309.26</v>
          </cell>
          <cell r="I95">
            <v>902</v>
          </cell>
          <cell r="J95">
            <v>147.33000000000001</v>
          </cell>
          <cell r="K95">
            <v>166.08</v>
          </cell>
          <cell r="L95">
            <v>73.83</v>
          </cell>
        </row>
        <row r="96">
          <cell r="C96">
            <v>21888.11</v>
          </cell>
          <cell r="D96">
            <v>21483.759999999998</v>
          </cell>
          <cell r="E96">
            <v>1260</v>
          </cell>
          <cell r="F96">
            <v>21700</v>
          </cell>
          <cell r="G96">
            <v>17941.349999999999</v>
          </cell>
          <cell r="H96">
            <v>17551.61</v>
          </cell>
          <cell r="I96">
            <v>999</v>
          </cell>
          <cell r="J96">
            <v>187.08</v>
          </cell>
          <cell r="K96">
            <v>204.3</v>
          </cell>
          <cell r="L96">
            <v>141.68</v>
          </cell>
        </row>
        <row r="97">
          <cell r="C97">
            <v>19916.95</v>
          </cell>
          <cell r="D97">
            <v>19590.13</v>
          </cell>
          <cell r="E97">
            <v>1200</v>
          </cell>
          <cell r="F97">
            <v>19800</v>
          </cell>
          <cell r="G97">
            <v>17295.75</v>
          </cell>
          <cell r="H97">
            <v>16990.04</v>
          </cell>
          <cell r="I97">
            <v>915</v>
          </cell>
          <cell r="J97">
            <v>165.54</v>
          </cell>
          <cell r="K97">
            <v>174.17</v>
          </cell>
          <cell r="L97">
            <v>107.72</v>
          </cell>
        </row>
        <row r="98">
          <cell r="C98">
            <v>28655.01</v>
          </cell>
          <cell r="D98">
            <v>28160.639999999999</v>
          </cell>
          <cell r="E98">
            <v>1537</v>
          </cell>
          <cell r="F98">
            <v>28400</v>
          </cell>
          <cell r="G98">
            <v>25980.15</v>
          </cell>
          <cell r="H98">
            <v>25475.34</v>
          </cell>
          <cell r="I98">
            <v>1284</v>
          </cell>
          <cell r="J98">
            <v>243.95</v>
          </cell>
          <cell r="K98">
            <v>259.82</v>
          </cell>
          <cell r="L98">
            <v>108.35</v>
          </cell>
        </row>
        <row r="99">
          <cell r="C99">
            <v>26931.72</v>
          </cell>
          <cell r="D99">
            <v>26319.18</v>
          </cell>
          <cell r="E99">
            <v>1357</v>
          </cell>
          <cell r="F99">
            <v>26500</v>
          </cell>
          <cell r="G99">
            <v>26042.42</v>
          </cell>
          <cell r="H99">
            <v>25532</v>
          </cell>
          <cell r="I99">
            <v>1275</v>
          </cell>
          <cell r="J99">
            <v>264.37</v>
          </cell>
          <cell r="K99">
            <v>273.05</v>
          </cell>
          <cell r="L99">
            <v>107.26</v>
          </cell>
        </row>
        <row r="100">
          <cell r="C100">
            <v>26490.45</v>
          </cell>
          <cell r="D100">
            <v>26029.94</v>
          </cell>
          <cell r="E100">
            <v>1304</v>
          </cell>
          <cell r="F100">
            <v>26300</v>
          </cell>
          <cell r="G100">
            <v>17848.05</v>
          </cell>
          <cell r="H100">
            <v>17408.310000000001</v>
          </cell>
          <cell r="I100">
            <v>909</v>
          </cell>
          <cell r="J100">
            <v>211.44</v>
          </cell>
          <cell r="K100">
            <v>229.74</v>
          </cell>
          <cell r="L100">
            <v>84.34</v>
          </cell>
        </row>
        <row r="101">
          <cell r="C101">
            <v>16059.52</v>
          </cell>
          <cell r="D101">
            <v>15912.83</v>
          </cell>
          <cell r="E101">
            <v>1009</v>
          </cell>
          <cell r="F101">
            <v>27300</v>
          </cell>
          <cell r="G101">
            <v>21202.78</v>
          </cell>
          <cell r="H101">
            <v>20832.490000000002</v>
          </cell>
          <cell r="I101">
            <v>1013</v>
          </cell>
          <cell r="J101">
            <v>219.9</v>
          </cell>
          <cell r="K101">
            <v>238.22</v>
          </cell>
          <cell r="L101">
            <v>0</v>
          </cell>
        </row>
        <row r="102">
          <cell r="C102">
            <v>16553.8</v>
          </cell>
          <cell r="D102">
            <v>16371.51</v>
          </cell>
          <cell r="E102">
            <v>1099</v>
          </cell>
          <cell r="F102">
            <v>16500</v>
          </cell>
          <cell r="G102">
            <v>16443.939999999999</v>
          </cell>
          <cell r="H102">
            <v>16088.8</v>
          </cell>
          <cell r="I102">
            <v>910</v>
          </cell>
          <cell r="J102">
            <v>154.54</v>
          </cell>
          <cell r="K102">
            <v>172.41</v>
          </cell>
          <cell r="L102">
            <v>114.76</v>
          </cell>
        </row>
        <row r="103">
          <cell r="C103">
            <v>20183.52</v>
          </cell>
          <cell r="D103">
            <v>19918.89</v>
          </cell>
          <cell r="E103">
            <v>1172</v>
          </cell>
          <cell r="F103">
            <v>20100</v>
          </cell>
          <cell r="G103">
            <v>17145.82</v>
          </cell>
          <cell r="H103">
            <v>16800.439999999999</v>
          </cell>
          <cell r="I103">
            <v>941</v>
          </cell>
          <cell r="J103">
            <v>143.57</v>
          </cell>
          <cell r="K103">
            <v>170.62</v>
          </cell>
          <cell r="L103">
            <v>187.8</v>
          </cell>
        </row>
        <row r="104">
          <cell r="C104">
            <v>18134.02</v>
          </cell>
          <cell r="D104">
            <v>17948.7</v>
          </cell>
          <cell r="E104">
            <v>1129</v>
          </cell>
          <cell r="F104">
            <v>18100</v>
          </cell>
          <cell r="G104">
            <v>16954.439999999999</v>
          </cell>
          <cell r="H104">
            <v>16616.54</v>
          </cell>
          <cell r="I104">
            <v>928</v>
          </cell>
          <cell r="J104">
            <v>225.5</v>
          </cell>
          <cell r="K104">
            <v>234.63</v>
          </cell>
          <cell r="L104">
            <v>100.69</v>
          </cell>
        </row>
        <row r="105">
          <cell r="C105">
            <v>23945.82</v>
          </cell>
          <cell r="D105">
            <v>23374.68</v>
          </cell>
          <cell r="E105">
            <v>1323</v>
          </cell>
          <cell r="F105">
            <v>23600</v>
          </cell>
          <cell r="G105">
            <v>24229.86</v>
          </cell>
          <cell r="H105">
            <v>23718.1</v>
          </cell>
          <cell r="I105">
            <v>1193</v>
          </cell>
          <cell r="J105">
            <v>238.6</v>
          </cell>
          <cell r="K105">
            <v>247.68</v>
          </cell>
          <cell r="L105">
            <v>106.43</v>
          </cell>
        </row>
        <row r="106">
          <cell r="C106">
            <v>29264.959999999999</v>
          </cell>
          <cell r="D106">
            <v>28898.17</v>
          </cell>
          <cell r="E106">
            <v>1464</v>
          </cell>
          <cell r="F106">
            <v>29200</v>
          </cell>
          <cell r="G106">
            <v>23958.57</v>
          </cell>
          <cell r="H106">
            <v>23473.47</v>
          </cell>
          <cell r="I106">
            <v>1169</v>
          </cell>
          <cell r="J106">
            <v>259.99</v>
          </cell>
          <cell r="K106">
            <v>268.52</v>
          </cell>
          <cell r="L106">
            <v>27.33</v>
          </cell>
        </row>
        <row r="107">
          <cell r="C107">
            <v>24923.81</v>
          </cell>
          <cell r="D107">
            <v>24589.5</v>
          </cell>
          <cell r="E107">
            <v>1251</v>
          </cell>
          <cell r="F107">
            <v>24800</v>
          </cell>
          <cell r="G107">
            <v>24242.959999999999</v>
          </cell>
          <cell r="H107">
            <v>23759.38</v>
          </cell>
          <cell r="I107">
            <v>1131</v>
          </cell>
          <cell r="J107">
            <v>208.83</v>
          </cell>
          <cell r="K107">
            <v>227.31</v>
          </cell>
          <cell r="L107">
            <v>73.569999999999993</v>
          </cell>
        </row>
        <row r="108">
          <cell r="C108">
            <v>14474.81</v>
          </cell>
          <cell r="D108">
            <v>14349.16</v>
          </cell>
          <cell r="E108">
            <v>969</v>
          </cell>
          <cell r="F108">
            <v>14500</v>
          </cell>
          <cell r="G108">
            <v>15895.22</v>
          </cell>
          <cell r="H108">
            <v>15559.22</v>
          </cell>
          <cell r="I108">
            <v>842</v>
          </cell>
          <cell r="J108">
            <v>141.35999999999999</v>
          </cell>
          <cell r="K108">
            <v>158.66</v>
          </cell>
          <cell r="L108">
            <v>133.19999999999999</v>
          </cell>
        </row>
        <row r="109">
          <cell r="C109">
            <v>17349.009999999998</v>
          </cell>
          <cell r="D109">
            <v>17176.189999999999</v>
          </cell>
          <cell r="E109">
            <v>1087</v>
          </cell>
          <cell r="F109">
            <v>17300</v>
          </cell>
          <cell r="G109">
            <v>17595.63</v>
          </cell>
          <cell r="H109">
            <v>17214.490000000002</v>
          </cell>
          <cell r="I109">
            <v>987</v>
          </cell>
          <cell r="J109">
            <v>145.97999999999999</v>
          </cell>
          <cell r="K109">
            <v>163.55000000000001</v>
          </cell>
          <cell r="L109">
            <v>56.27</v>
          </cell>
        </row>
        <row r="110">
          <cell r="C110">
            <v>20167.61</v>
          </cell>
          <cell r="D110">
            <v>19878.189999999999</v>
          </cell>
          <cell r="E110">
            <v>1170</v>
          </cell>
          <cell r="F110">
            <v>20100</v>
          </cell>
          <cell r="G110">
            <v>16930.09</v>
          </cell>
          <cell r="H110">
            <v>16516.32</v>
          </cell>
          <cell r="I110">
            <v>900</v>
          </cell>
          <cell r="J110">
            <v>173.97000000000003</v>
          </cell>
          <cell r="K110">
            <v>200.37</v>
          </cell>
          <cell r="L110">
            <v>187.05</v>
          </cell>
        </row>
        <row r="111">
          <cell r="C111">
            <v>18852.03</v>
          </cell>
          <cell r="D111">
            <v>18659.72</v>
          </cell>
          <cell r="E111">
            <v>1119</v>
          </cell>
          <cell r="F111">
            <v>18800</v>
          </cell>
          <cell r="G111">
            <v>17229.62</v>
          </cell>
          <cell r="H111">
            <v>16946.919999999998</v>
          </cell>
          <cell r="I111">
            <v>934</v>
          </cell>
          <cell r="J111">
            <v>190.37</v>
          </cell>
          <cell r="K111">
            <v>200.37</v>
          </cell>
          <cell r="L111">
            <v>158.1</v>
          </cell>
        </row>
        <row r="112">
          <cell r="C112">
            <v>27172.48</v>
          </cell>
          <cell r="D112">
            <v>26888.46</v>
          </cell>
          <cell r="E112">
            <v>1455</v>
          </cell>
          <cell r="F112">
            <v>27100</v>
          </cell>
          <cell r="G112">
            <v>23193.54</v>
          </cell>
          <cell r="H112">
            <v>22793.56</v>
          </cell>
          <cell r="I112">
            <v>1160</v>
          </cell>
          <cell r="J112">
            <v>229.77</v>
          </cell>
          <cell r="K112">
            <v>238.99</v>
          </cell>
          <cell r="L112">
            <v>80.239999999999995</v>
          </cell>
        </row>
        <row r="113">
          <cell r="C113">
            <v>24507</v>
          </cell>
          <cell r="D113">
            <v>24166.57</v>
          </cell>
          <cell r="E113">
            <v>1292</v>
          </cell>
          <cell r="F113">
            <v>24400</v>
          </cell>
          <cell r="G113">
            <v>22770.86</v>
          </cell>
          <cell r="H113">
            <v>22330.67</v>
          </cell>
          <cell r="I113">
            <v>1144</v>
          </cell>
          <cell r="J113">
            <v>217.01999999999998</v>
          </cell>
          <cell r="K113">
            <v>241.32</v>
          </cell>
          <cell r="L113">
            <v>88.24</v>
          </cell>
        </row>
        <row r="114">
          <cell r="C114">
            <v>19195.28</v>
          </cell>
          <cell r="D114">
            <v>18952.13</v>
          </cell>
          <cell r="E114">
            <v>952</v>
          </cell>
          <cell r="F114">
            <v>19100</v>
          </cell>
          <cell r="G114">
            <v>22127</v>
          </cell>
          <cell r="H114">
            <v>21673.96</v>
          </cell>
          <cell r="I114">
            <v>1032</v>
          </cell>
          <cell r="J114">
            <v>202.77</v>
          </cell>
          <cell r="K114">
            <v>211.52</v>
          </cell>
          <cell r="L114">
            <v>129.09</v>
          </cell>
        </row>
        <row r="115">
          <cell r="C115">
            <v>21602.41</v>
          </cell>
          <cell r="D115">
            <v>21330.15</v>
          </cell>
          <cell r="E115">
            <v>1111</v>
          </cell>
          <cell r="F115">
            <v>21500</v>
          </cell>
          <cell r="G115">
            <v>13467.91</v>
          </cell>
          <cell r="H115">
            <v>13253.47</v>
          </cell>
          <cell r="I115">
            <v>809</v>
          </cell>
          <cell r="J115">
            <v>141.53999999999996</v>
          </cell>
          <cell r="K115">
            <v>159.16999999999999</v>
          </cell>
          <cell r="L115">
            <v>216.36</v>
          </cell>
        </row>
        <row r="116">
          <cell r="C116">
            <v>17749.330000000002</v>
          </cell>
          <cell r="D116">
            <v>17556.63</v>
          </cell>
          <cell r="E116">
            <v>1052</v>
          </cell>
          <cell r="F116">
            <v>17700</v>
          </cell>
          <cell r="G116">
            <v>14194.36</v>
          </cell>
          <cell r="H116">
            <v>13975.44</v>
          </cell>
          <cell r="I116">
            <v>823</v>
          </cell>
          <cell r="J116">
            <v>136.63</v>
          </cell>
          <cell r="K116">
            <v>154.57</v>
          </cell>
          <cell r="L116">
            <v>335.53</v>
          </cell>
        </row>
        <row r="117">
          <cell r="C117">
            <v>16945.45</v>
          </cell>
          <cell r="D117">
            <v>16740.900000000001</v>
          </cell>
          <cell r="E117">
            <v>1028</v>
          </cell>
          <cell r="F117">
            <v>16900</v>
          </cell>
          <cell r="G117">
            <v>16727.27</v>
          </cell>
          <cell r="H117">
            <v>16445.59</v>
          </cell>
          <cell r="I117">
            <v>934</v>
          </cell>
          <cell r="J117">
            <v>150.47000000000003</v>
          </cell>
          <cell r="K117">
            <v>164.87</v>
          </cell>
          <cell r="L117">
            <v>123.88</v>
          </cell>
        </row>
        <row r="118">
          <cell r="C118">
            <v>17721.98</v>
          </cell>
          <cell r="D118">
            <v>17542.84</v>
          </cell>
          <cell r="E118">
            <v>1051</v>
          </cell>
          <cell r="F118">
            <v>17700</v>
          </cell>
          <cell r="G118">
            <v>17388.73</v>
          </cell>
          <cell r="H118">
            <v>17140.89</v>
          </cell>
          <cell r="I118">
            <v>996</v>
          </cell>
          <cell r="J118">
            <v>170.46999999999997</v>
          </cell>
          <cell r="K118">
            <v>194.42</v>
          </cell>
          <cell r="L118">
            <v>194.01</v>
          </cell>
        </row>
        <row r="119">
          <cell r="C119">
            <v>24596.880000000001</v>
          </cell>
          <cell r="D119">
            <v>24313.98</v>
          </cell>
          <cell r="E119">
            <v>1374</v>
          </cell>
          <cell r="F119">
            <v>24500</v>
          </cell>
          <cell r="G119">
            <v>19826.37</v>
          </cell>
          <cell r="H119">
            <v>19448.28</v>
          </cell>
          <cell r="I119">
            <v>1068</v>
          </cell>
          <cell r="J119">
            <v>233.04</v>
          </cell>
          <cell r="K119">
            <v>241.91</v>
          </cell>
          <cell r="L119">
            <v>79.989999999999995</v>
          </cell>
        </row>
        <row r="120">
          <cell r="C120">
            <v>21589.919999999998</v>
          </cell>
          <cell r="D120">
            <v>21301.17</v>
          </cell>
          <cell r="E120">
            <v>1214</v>
          </cell>
          <cell r="F120">
            <v>21500</v>
          </cell>
          <cell r="G120">
            <v>25233.07</v>
          </cell>
          <cell r="H120">
            <v>24826.46</v>
          </cell>
          <cell r="I120">
            <v>1288</v>
          </cell>
          <cell r="J120">
            <v>219.84</v>
          </cell>
          <cell r="K120">
            <v>228.91</v>
          </cell>
          <cell r="L120">
            <v>167.98</v>
          </cell>
        </row>
        <row r="121">
          <cell r="C121">
            <v>23633.25</v>
          </cell>
          <cell r="D121">
            <v>23261.279999999999</v>
          </cell>
          <cell r="E121">
            <v>1172</v>
          </cell>
          <cell r="F121">
            <v>23500</v>
          </cell>
          <cell r="G121">
            <v>23791.41</v>
          </cell>
          <cell r="H121">
            <v>23379.9</v>
          </cell>
          <cell r="I121">
            <v>1100</v>
          </cell>
          <cell r="J121">
            <v>179.91</v>
          </cell>
          <cell r="K121">
            <v>189.81</v>
          </cell>
          <cell r="L121">
            <v>51.81</v>
          </cell>
        </row>
        <row r="122">
          <cell r="C122">
            <v>17124.05</v>
          </cell>
          <cell r="D122">
            <v>16936.71</v>
          </cell>
          <cell r="E122">
            <v>1017</v>
          </cell>
          <cell r="F122">
            <v>17100</v>
          </cell>
          <cell r="G122">
            <v>12436.01</v>
          </cell>
          <cell r="H122">
            <v>12251.97</v>
          </cell>
          <cell r="I122">
            <v>742</v>
          </cell>
          <cell r="J122">
            <v>135.1</v>
          </cell>
          <cell r="K122">
            <v>152.99</v>
          </cell>
          <cell r="L122">
            <v>83.72</v>
          </cell>
        </row>
        <row r="123">
          <cell r="C123">
            <v>17399.11</v>
          </cell>
          <cell r="D123">
            <v>17217.54</v>
          </cell>
          <cell r="E123">
            <v>1039</v>
          </cell>
          <cell r="F123">
            <v>17400</v>
          </cell>
          <cell r="G123">
            <v>13805.13</v>
          </cell>
          <cell r="H123">
            <v>13606.23</v>
          </cell>
          <cell r="I123">
            <v>807</v>
          </cell>
          <cell r="J123">
            <v>120.16</v>
          </cell>
          <cell r="K123">
            <v>137.66</v>
          </cell>
          <cell r="L123">
            <v>173.12</v>
          </cell>
        </row>
        <row r="124">
          <cell r="C124">
            <v>21232.18</v>
          </cell>
          <cell r="D124">
            <v>20995.91</v>
          </cell>
          <cell r="E124">
            <v>1215</v>
          </cell>
          <cell r="F124">
            <v>21200</v>
          </cell>
          <cell r="G124">
            <v>18763.82</v>
          </cell>
          <cell r="H124">
            <v>18416.54</v>
          </cell>
          <cell r="I124">
            <v>1023</v>
          </cell>
          <cell r="J124">
            <v>166.54</v>
          </cell>
          <cell r="K124">
            <v>185.29</v>
          </cell>
          <cell r="L124">
            <v>78.31</v>
          </cell>
        </row>
        <row r="125">
          <cell r="C125">
            <v>21902.38</v>
          </cell>
          <cell r="D125">
            <v>21575.46</v>
          </cell>
          <cell r="E125">
            <v>1136</v>
          </cell>
          <cell r="F125">
            <v>21800</v>
          </cell>
          <cell r="G125">
            <v>20542.080000000002</v>
          </cell>
          <cell r="H125">
            <v>20241.59</v>
          </cell>
          <cell r="I125">
            <v>1053</v>
          </cell>
          <cell r="J125">
            <v>181.88000000000002</v>
          </cell>
          <cell r="K125">
            <v>199.3</v>
          </cell>
          <cell r="L125">
            <v>325.17</v>
          </cell>
        </row>
        <row r="126">
          <cell r="C126">
            <v>22796.59</v>
          </cell>
          <cell r="D126">
            <v>22517.72</v>
          </cell>
          <cell r="E126">
            <v>1283</v>
          </cell>
          <cell r="F126">
            <v>22700</v>
          </cell>
          <cell r="G126">
            <v>24400.13</v>
          </cell>
          <cell r="H126">
            <v>23918.880000000001</v>
          </cell>
          <cell r="I126">
            <v>1151</v>
          </cell>
          <cell r="J126">
            <v>243.31</v>
          </cell>
          <cell r="K126">
            <v>261.63</v>
          </cell>
          <cell r="L126">
            <v>84.9</v>
          </cell>
        </row>
        <row r="127">
          <cell r="C127">
            <v>23287.69</v>
          </cell>
          <cell r="D127">
            <v>23508.76</v>
          </cell>
          <cell r="E127">
            <v>1279</v>
          </cell>
          <cell r="F127">
            <v>23700</v>
          </cell>
          <cell r="G127">
            <v>20274.88</v>
          </cell>
          <cell r="H127">
            <v>19924.849999999999</v>
          </cell>
          <cell r="I127">
            <v>1044</v>
          </cell>
          <cell r="J127">
            <v>244</v>
          </cell>
          <cell r="K127">
            <v>262.02</v>
          </cell>
          <cell r="L127">
            <v>202.53</v>
          </cell>
        </row>
        <row r="128">
          <cell r="C128">
            <v>27217.77</v>
          </cell>
          <cell r="D128">
            <v>26866.080000000002</v>
          </cell>
          <cell r="E128">
            <v>1321</v>
          </cell>
          <cell r="F128">
            <v>27100</v>
          </cell>
          <cell r="G128">
            <v>23725.8</v>
          </cell>
          <cell r="H128">
            <v>23244.69</v>
          </cell>
          <cell r="I128">
            <v>1077</v>
          </cell>
          <cell r="J128">
            <v>173.09</v>
          </cell>
          <cell r="K128">
            <v>182.96</v>
          </cell>
          <cell r="L128">
            <v>75.959999999999994</v>
          </cell>
        </row>
        <row r="129">
          <cell r="C129">
            <v>15182.14</v>
          </cell>
          <cell r="D129">
            <v>15035.1</v>
          </cell>
          <cell r="E129">
            <v>923</v>
          </cell>
          <cell r="F129">
            <v>15200</v>
          </cell>
          <cell r="G129">
            <v>12843.11</v>
          </cell>
          <cell r="H129">
            <v>12683.32</v>
          </cell>
          <cell r="I129">
            <v>755</v>
          </cell>
          <cell r="J129">
            <v>136.79</v>
          </cell>
          <cell r="K129">
            <v>146.07</v>
          </cell>
          <cell r="L129">
            <v>120.65</v>
          </cell>
        </row>
        <row r="130">
          <cell r="C130">
            <v>15343.32</v>
          </cell>
          <cell r="D130">
            <v>15184.78</v>
          </cell>
          <cell r="E130">
            <v>925</v>
          </cell>
          <cell r="F130">
            <v>15300</v>
          </cell>
          <cell r="G130">
            <v>15630.01</v>
          </cell>
          <cell r="H130">
            <v>15345.55</v>
          </cell>
          <cell r="I130">
            <v>917</v>
          </cell>
          <cell r="J130">
            <v>125.67</v>
          </cell>
          <cell r="K130">
            <v>135.12</v>
          </cell>
          <cell r="L130">
            <v>65.930000000000007</v>
          </cell>
        </row>
        <row r="131">
          <cell r="C131">
            <v>23276.07</v>
          </cell>
          <cell r="D131">
            <v>22979.25</v>
          </cell>
          <cell r="E131">
            <v>1285</v>
          </cell>
          <cell r="F131">
            <v>23200</v>
          </cell>
          <cell r="G131">
            <v>18264.75</v>
          </cell>
          <cell r="H131">
            <v>17931.689999999999</v>
          </cell>
          <cell r="I131">
            <v>998</v>
          </cell>
          <cell r="J131">
            <v>146.72</v>
          </cell>
          <cell r="K131">
            <v>156.55000000000001</v>
          </cell>
          <cell r="L131">
            <v>103.29</v>
          </cell>
        </row>
        <row r="132">
          <cell r="C132">
            <v>20501.96</v>
          </cell>
          <cell r="D132">
            <v>20189.11</v>
          </cell>
          <cell r="E132">
            <v>1010</v>
          </cell>
          <cell r="F132">
            <v>20400</v>
          </cell>
          <cell r="G132">
            <v>20263.849999999999</v>
          </cell>
          <cell r="H132">
            <v>19921.11</v>
          </cell>
          <cell r="I132">
            <v>1135</v>
          </cell>
          <cell r="J132">
            <v>173.94</v>
          </cell>
          <cell r="K132">
            <v>191.97</v>
          </cell>
          <cell r="L132">
            <v>0</v>
          </cell>
        </row>
        <row r="133">
          <cell r="C133">
            <v>20003.400000000001</v>
          </cell>
          <cell r="D133">
            <v>19783.82</v>
          </cell>
          <cell r="E133">
            <v>1218</v>
          </cell>
          <cell r="F133">
            <v>34000</v>
          </cell>
          <cell r="G133">
            <v>19809.09</v>
          </cell>
          <cell r="H133">
            <v>19429.11</v>
          </cell>
          <cell r="I133">
            <v>1061</v>
          </cell>
          <cell r="J133">
            <v>206.32999999999998</v>
          </cell>
          <cell r="K133">
            <v>215.76</v>
          </cell>
          <cell r="L133">
            <v>91.54</v>
          </cell>
        </row>
        <row r="134">
          <cell r="C134">
            <v>21955.23</v>
          </cell>
          <cell r="D134">
            <v>21679.919999999998</v>
          </cell>
          <cell r="E134">
            <v>1235</v>
          </cell>
          <cell r="F134">
            <v>21900</v>
          </cell>
          <cell r="G134">
            <v>19197.63</v>
          </cell>
          <cell r="H134">
            <v>18812.68</v>
          </cell>
          <cell r="I134">
            <v>1065</v>
          </cell>
          <cell r="J134">
            <v>226.82</v>
          </cell>
          <cell r="K134">
            <v>244.85</v>
          </cell>
          <cell r="L134">
            <v>99.65</v>
          </cell>
        </row>
        <row r="135">
          <cell r="C135">
            <v>22744.76</v>
          </cell>
          <cell r="D135">
            <v>22482.55</v>
          </cell>
          <cell r="E135">
            <v>1128</v>
          </cell>
          <cell r="F135">
            <v>22700</v>
          </cell>
          <cell r="G135">
            <v>22662.71</v>
          </cell>
          <cell r="H135">
            <v>22283.200000000001</v>
          </cell>
          <cell r="I135">
            <v>1079</v>
          </cell>
          <cell r="J135">
            <v>172.29</v>
          </cell>
          <cell r="K135">
            <v>181.37</v>
          </cell>
          <cell r="L135">
            <v>85.46</v>
          </cell>
        </row>
        <row r="136">
          <cell r="C136">
            <v>13481.76</v>
          </cell>
          <cell r="D136">
            <v>13371.25</v>
          </cell>
          <cell r="E136">
            <v>880</v>
          </cell>
          <cell r="F136">
            <v>13500</v>
          </cell>
          <cell r="G136">
            <v>13390.03</v>
          </cell>
          <cell r="H136">
            <v>13164.09</v>
          </cell>
          <cell r="I136">
            <v>815</v>
          </cell>
          <cell r="J136">
            <v>144.28</v>
          </cell>
          <cell r="K136">
            <v>161.66</v>
          </cell>
          <cell r="L136">
            <v>263.58999999999997</v>
          </cell>
        </row>
        <row r="137">
          <cell r="C137">
            <v>15293.11</v>
          </cell>
          <cell r="D137">
            <v>15100.15</v>
          </cell>
          <cell r="E137">
            <v>992</v>
          </cell>
          <cell r="F137">
            <v>15200</v>
          </cell>
          <cell r="G137">
            <v>15352.88</v>
          </cell>
          <cell r="H137">
            <v>15105.04</v>
          </cell>
          <cell r="I137">
            <v>929</v>
          </cell>
          <cell r="J137">
            <v>144.03</v>
          </cell>
          <cell r="K137">
            <v>161.79</v>
          </cell>
          <cell r="L137">
            <v>61.27</v>
          </cell>
        </row>
        <row r="138">
          <cell r="C138">
            <v>19198.93</v>
          </cell>
          <cell r="D138">
            <v>18931.13</v>
          </cell>
          <cell r="E138">
            <v>1156</v>
          </cell>
          <cell r="F138">
            <v>19100</v>
          </cell>
          <cell r="G138">
            <v>21058.04</v>
          </cell>
          <cell r="H138">
            <v>20708.98</v>
          </cell>
          <cell r="I138">
            <v>1158</v>
          </cell>
          <cell r="J138">
            <v>175.54000000000002</v>
          </cell>
          <cell r="K138">
            <v>193.99</v>
          </cell>
          <cell r="L138">
            <v>143.94999999999999</v>
          </cell>
        </row>
        <row r="139">
          <cell r="C139">
            <v>18259.34</v>
          </cell>
          <cell r="D139">
            <v>18017.759999999998</v>
          </cell>
          <cell r="E139">
            <v>1088</v>
          </cell>
          <cell r="F139">
            <v>30900</v>
          </cell>
          <cell r="G139">
            <v>18681.62</v>
          </cell>
          <cell r="H139">
            <v>18273.25</v>
          </cell>
          <cell r="I139">
            <v>931</v>
          </cell>
          <cell r="J139">
            <v>171.24</v>
          </cell>
          <cell r="K139">
            <v>187.06</v>
          </cell>
          <cell r="L139">
            <v>75.52</v>
          </cell>
        </row>
        <row r="140">
          <cell r="C140">
            <v>23509.33</v>
          </cell>
          <cell r="D140">
            <v>23272.76</v>
          </cell>
          <cell r="E140">
            <v>1375</v>
          </cell>
          <cell r="F140">
            <v>23500</v>
          </cell>
          <cell r="G140">
            <v>20395.52</v>
          </cell>
          <cell r="H140">
            <v>19972.55</v>
          </cell>
          <cell r="I140">
            <v>1077</v>
          </cell>
          <cell r="J140">
            <v>225.34</v>
          </cell>
          <cell r="K140">
            <v>244.34</v>
          </cell>
          <cell r="L140">
            <v>116.5</v>
          </cell>
        </row>
        <row r="141">
          <cell r="C141">
            <v>22837.71</v>
          </cell>
          <cell r="D141">
            <v>22541</v>
          </cell>
          <cell r="E141">
            <v>1279</v>
          </cell>
          <cell r="F141">
            <v>22700</v>
          </cell>
          <cell r="G141">
            <v>17395.55</v>
          </cell>
          <cell r="H141">
            <v>17081.73</v>
          </cell>
          <cell r="I141">
            <v>979</v>
          </cell>
          <cell r="J141">
            <v>228.26999999999998</v>
          </cell>
          <cell r="K141">
            <v>246.14</v>
          </cell>
          <cell r="L141">
            <v>139.61000000000001</v>
          </cell>
        </row>
        <row r="142">
          <cell r="C142">
            <v>22949.03</v>
          </cell>
          <cell r="D142">
            <v>22618.98</v>
          </cell>
          <cell r="E142">
            <v>1125</v>
          </cell>
          <cell r="F142">
            <v>22800</v>
          </cell>
          <cell r="G142">
            <v>22522.5</v>
          </cell>
          <cell r="H142">
            <v>22147.59</v>
          </cell>
          <cell r="I142">
            <v>1039</v>
          </cell>
          <cell r="J142">
            <v>211.54</v>
          </cell>
          <cell r="K142">
            <v>220.87</v>
          </cell>
          <cell r="L142">
            <v>94.62</v>
          </cell>
        </row>
        <row r="143">
          <cell r="C143">
            <v>15243.15</v>
          </cell>
          <cell r="D143">
            <v>15088.5</v>
          </cell>
          <cell r="E143">
            <v>936</v>
          </cell>
          <cell r="F143">
            <v>15200</v>
          </cell>
          <cell r="G143">
            <v>11863.76</v>
          </cell>
          <cell r="H143">
            <v>11722.96</v>
          </cell>
          <cell r="I143">
            <v>727</v>
          </cell>
          <cell r="J143">
            <v>127.49999999999999</v>
          </cell>
          <cell r="K143">
            <v>135.94999999999999</v>
          </cell>
          <cell r="L143">
            <v>85.53</v>
          </cell>
        </row>
        <row r="144">
          <cell r="C144">
            <v>16588.849999999999</v>
          </cell>
          <cell r="D144">
            <v>16370.35</v>
          </cell>
          <cell r="E144">
            <v>990</v>
          </cell>
          <cell r="F144">
            <v>16500</v>
          </cell>
          <cell r="G144">
            <v>13648.69</v>
          </cell>
          <cell r="H144">
            <v>13516.25</v>
          </cell>
          <cell r="I144">
            <v>757</v>
          </cell>
          <cell r="J144">
            <v>158.46</v>
          </cell>
          <cell r="K144">
            <v>168.08</v>
          </cell>
          <cell r="L144">
            <v>74.489999999999995</v>
          </cell>
        </row>
        <row r="145">
          <cell r="C145">
            <v>17590.32</v>
          </cell>
          <cell r="D145">
            <v>17382.830000000002</v>
          </cell>
          <cell r="E145">
            <v>1052</v>
          </cell>
          <cell r="F145">
            <v>17500</v>
          </cell>
          <cell r="G145">
            <v>14907.18</v>
          </cell>
          <cell r="H145">
            <v>14701.44</v>
          </cell>
          <cell r="I145">
            <v>869</v>
          </cell>
          <cell r="J145">
            <v>215.08999999999997</v>
          </cell>
          <cell r="K145">
            <v>233.57</v>
          </cell>
          <cell r="L145">
            <v>170.3</v>
          </cell>
        </row>
        <row r="146">
          <cell r="C146">
            <v>18360.27</v>
          </cell>
          <cell r="D146">
            <v>18178</v>
          </cell>
          <cell r="E146">
            <v>1055</v>
          </cell>
          <cell r="F146">
            <v>18300</v>
          </cell>
          <cell r="G146">
            <v>14473.49</v>
          </cell>
          <cell r="H146">
            <v>14304.26</v>
          </cell>
          <cell r="I146">
            <v>904</v>
          </cell>
          <cell r="J146">
            <v>200.5</v>
          </cell>
          <cell r="K146">
            <v>216.15</v>
          </cell>
          <cell r="L146">
            <v>78.98</v>
          </cell>
        </row>
        <row r="147">
          <cell r="C147">
            <v>23043.63</v>
          </cell>
          <cell r="D147">
            <v>22856.38</v>
          </cell>
          <cell r="E147">
            <v>1292</v>
          </cell>
          <cell r="F147">
            <v>23100</v>
          </cell>
          <cell r="G147">
            <v>19000.43</v>
          </cell>
          <cell r="H147">
            <v>18798.189999999999</v>
          </cell>
          <cell r="I147">
            <v>1094</v>
          </cell>
          <cell r="J147">
            <v>252.02000000000004</v>
          </cell>
          <cell r="K147">
            <v>269.54000000000002</v>
          </cell>
          <cell r="L147">
            <v>170.37</v>
          </cell>
        </row>
        <row r="148">
          <cell r="C148">
            <v>23360.18</v>
          </cell>
          <cell r="D148">
            <v>23056.35</v>
          </cell>
          <cell r="E148">
            <v>1307</v>
          </cell>
          <cell r="F148">
            <v>23300</v>
          </cell>
          <cell r="G148">
            <v>17548.900000000001</v>
          </cell>
          <cell r="H148">
            <v>17297.21</v>
          </cell>
          <cell r="I148">
            <v>981</v>
          </cell>
          <cell r="J148">
            <v>218.87</v>
          </cell>
          <cell r="K148">
            <v>228.34</v>
          </cell>
          <cell r="L148">
            <v>1674.12</v>
          </cell>
        </row>
        <row r="149">
          <cell r="C149">
            <v>20998.45</v>
          </cell>
          <cell r="D149">
            <v>20712.98</v>
          </cell>
          <cell r="E149">
            <v>1065</v>
          </cell>
          <cell r="F149">
            <v>20900</v>
          </cell>
          <cell r="G149">
            <v>20492.97</v>
          </cell>
          <cell r="H149">
            <v>20239.689999999999</v>
          </cell>
          <cell r="I149">
            <v>1032</v>
          </cell>
          <cell r="J149">
            <v>191.29</v>
          </cell>
          <cell r="K149">
            <v>199.79</v>
          </cell>
          <cell r="L149">
            <v>54.49</v>
          </cell>
        </row>
        <row r="150">
          <cell r="C150">
            <v>14980.13</v>
          </cell>
          <cell r="D150">
            <v>14856.47</v>
          </cell>
          <cell r="E150">
            <v>982</v>
          </cell>
          <cell r="F150">
            <v>25500</v>
          </cell>
          <cell r="G150">
            <v>20205.060000000001</v>
          </cell>
          <cell r="H150">
            <v>19893.419999999998</v>
          </cell>
          <cell r="I150">
            <v>987</v>
          </cell>
          <cell r="J150">
            <v>138.80000000000001</v>
          </cell>
          <cell r="K150">
            <v>165.68</v>
          </cell>
          <cell r="L150">
            <v>80.77</v>
          </cell>
        </row>
        <row r="151">
          <cell r="C151">
            <v>17639.95</v>
          </cell>
          <cell r="D151">
            <v>17474.43</v>
          </cell>
          <cell r="E151">
            <v>1075</v>
          </cell>
          <cell r="F151">
            <v>17600</v>
          </cell>
          <cell r="G151">
            <v>12710.9</v>
          </cell>
          <cell r="H151">
            <v>12627.07</v>
          </cell>
          <cell r="I151">
            <v>774</v>
          </cell>
          <cell r="J151">
            <v>161.77000000000001</v>
          </cell>
          <cell r="K151">
            <v>179.19</v>
          </cell>
          <cell r="L151">
            <v>169.12</v>
          </cell>
        </row>
        <row r="152">
          <cell r="C152">
            <v>24544.83</v>
          </cell>
          <cell r="D152">
            <v>24296.73</v>
          </cell>
          <cell r="E152">
            <v>1364</v>
          </cell>
          <cell r="F152">
            <v>24500</v>
          </cell>
          <cell r="G152">
            <v>18460.61</v>
          </cell>
          <cell r="H152">
            <v>18195.3</v>
          </cell>
          <cell r="I152">
            <v>1030</v>
          </cell>
          <cell r="J152">
            <v>194.46</v>
          </cell>
          <cell r="K152">
            <v>204.46</v>
          </cell>
          <cell r="L152">
            <v>75.38</v>
          </cell>
        </row>
        <row r="153">
          <cell r="C153">
            <v>21617.61</v>
          </cell>
          <cell r="D153">
            <v>21360.639999999999</v>
          </cell>
          <cell r="E153">
            <v>1172</v>
          </cell>
          <cell r="F153">
            <v>8900</v>
          </cell>
          <cell r="G153">
            <v>15983.45</v>
          </cell>
          <cell r="H153">
            <v>15783.14</v>
          </cell>
          <cell r="I153">
            <v>953</v>
          </cell>
          <cell r="J153">
            <v>211.12</v>
          </cell>
          <cell r="K153">
            <v>211.12</v>
          </cell>
          <cell r="L153">
            <v>157.74</v>
          </cell>
        </row>
        <row r="154">
          <cell r="C154">
            <v>20238.73</v>
          </cell>
          <cell r="D154">
            <v>19964.32</v>
          </cell>
          <cell r="E154">
            <v>1145</v>
          </cell>
          <cell r="F154">
            <v>20100</v>
          </cell>
          <cell r="G154">
            <v>20109.63</v>
          </cell>
          <cell r="H154">
            <v>19875.669999999998</v>
          </cell>
          <cell r="I154">
            <v>1075</v>
          </cell>
          <cell r="J154">
            <v>206.36</v>
          </cell>
          <cell r="K154">
            <v>215.78</v>
          </cell>
          <cell r="L154">
            <v>98.64</v>
          </cell>
        </row>
        <row r="155">
          <cell r="C155">
            <v>19240.16</v>
          </cell>
          <cell r="D155">
            <v>19008.48</v>
          </cell>
          <cell r="E155">
            <v>1058</v>
          </cell>
          <cell r="F155">
            <v>19200</v>
          </cell>
          <cell r="G155">
            <v>21648.31</v>
          </cell>
          <cell r="H155">
            <v>21317.06</v>
          </cell>
          <cell r="I155">
            <v>1140</v>
          </cell>
          <cell r="J155">
            <v>176.53</v>
          </cell>
          <cell r="K155">
            <v>194.71</v>
          </cell>
          <cell r="L155">
            <v>106.55</v>
          </cell>
        </row>
        <row r="156">
          <cell r="C156">
            <v>29811.15</v>
          </cell>
          <cell r="D156">
            <v>29513.51</v>
          </cell>
          <cell r="E156">
            <v>1410</v>
          </cell>
          <cell r="F156">
            <v>29800</v>
          </cell>
          <cell r="G156">
            <v>21037.55</v>
          </cell>
          <cell r="H156">
            <v>20774.490000000002</v>
          </cell>
          <cell r="I156">
            <v>1010</v>
          </cell>
          <cell r="J156">
            <v>158.41</v>
          </cell>
          <cell r="K156">
            <v>167.41</v>
          </cell>
          <cell r="L156">
            <v>70.84</v>
          </cell>
        </row>
        <row r="157">
          <cell r="C157">
            <v>16102.36</v>
          </cell>
          <cell r="D157">
            <v>15964.21</v>
          </cell>
          <cell r="E157">
            <v>959</v>
          </cell>
          <cell r="F157">
            <v>16100</v>
          </cell>
          <cell r="G157">
            <v>13724.08</v>
          </cell>
          <cell r="H157">
            <v>13601.64</v>
          </cell>
          <cell r="I157">
            <v>804</v>
          </cell>
          <cell r="J157">
            <v>141.76</v>
          </cell>
          <cell r="K157">
            <v>159.13</v>
          </cell>
          <cell r="L157">
            <v>-1444.99</v>
          </cell>
        </row>
        <row r="158">
          <cell r="C158">
            <v>16094.45</v>
          </cell>
          <cell r="D158">
            <v>15914.02</v>
          </cell>
          <cell r="E158">
            <v>962</v>
          </cell>
          <cell r="F158">
            <v>16100</v>
          </cell>
          <cell r="G158">
            <v>16567.04</v>
          </cell>
          <cell r="H158">
            <v>16317.16</v>
          </cell>
          <cell r="I158">
            <v>959</v>
          </cell>
          <cell r="J158">
            <v>153.66</v>
          </cell>
          <cell r="K158">
            <v>176.28</v>
          </cell>
          <cell r="L158">
            <v>85.78</v>
          </cell>
        </row>
        <row r="159">
          <cell r="C159">
            <v>22416.89</v>
          </cell>
          <cell r="D159">
            <v>22142.44</v>
          </cell>
          <cell r="E159">
            <v>1264</v>
          </cell>
          <cell r="F159">
            <v>22300</v>
          </cell>
          <cell r="G159">
            <v>17358.55</v>
          </cell>
          <cell r="H159">
            <v>17098.89</v>
          </cell>
          <cell r="I159">
            <v>970</v>
          </cell>
          <cell r="J159">
            <v>184.19</v>
          </cell>
          <cell r="K159">
            <v>201.69</v>
          </cell>
          <cell r="L159">
            <v>176.76</v>
          </cell>
        </row>
        <row r="160">
          <cell r="C160">
            <v>16859.86</v>
          </cell>
          <cell r="D160">
            <v>16658.86</v>
          </cell>
          <cell r="E160">
            <v>1044</v>
          </cell>
          <cell r="F160">
            <v>16800</v>
          </cell>
          <cell r="G160">
            <v>16081.01</v>
          </cell>
          <cell r="H160">
            <v>15858.07</v>
          </cell>
          <cell r="I160">
            <v>866</v>
          </cell>
          <cell r="J160">
            <v>221.98</v>
          </cell>
          <cell r="K160">
            <v>239.23</v>
          </cell>
          <cell r="L160">
            <v>115.07</v>
          </cell>
        </row>
        <row r="161">
          <cell r="C161">
            <v>24153.7</v>
          </cell>
          <cell r="D161">
            <v>23888.13</v>
          </cell>
          <cell r="E161">
            <v>1336</v>
          </cell>
          <cell r="F161">
            <v>24100</v>
          </cell>
          <cell r="G161">
            <v>22919.3</v>
          </cell>
          <cell r="H161">
            <v>22499.49</v>
          </cell>
          <cell r="I161">
            <v>1252</v>
          </cell>
          <cell r="J161">
            <v>228.41</v>
          </cell>
          <cell r="K161">
            <v>246.46</v>
          </cell>
          <cell r="L161">
            <v>83.22</v>
          </cell>
        </row>
        <row r="162">
          <cell r="C162">
            <v>23626.16</v>
          </cell>
          <cell r="D162">
            <v>23292.73</v>
          </cell>
          <cell r="E162">
            <v>1234</v>
          </cell>
          <cell r="F162">
            <v>23500</v>
          </cell>
          <cell r="G162">
            <v>23615.78</v>
          </cell>
          <cell r="H162">
            <v>23296.959999999999</v>
          </cell>
          <cell r="I162">
            <v>1270</v>
          </cell>
          <cell r="J162">
            <v>202.34</v>
          </cell>
          <cell r="K162">
            <v>211.69</v>
          </cell>
          <cell r="L162">
            <v>72.599999999999994</v>
          </cell>
        </row>
        <row r="163">
          <cell r="C163">
            <v>22865.58</v>
          </cell>
          <cell r="D163">
            <v>22560.080000000002</v>
          </cell>
          <cell r="E163">
            <v>1146</v>
          </cell>
          <cell r="F163">
            <v>22800</v>
          </cell>
          <cell r="G163">
            <v>22432.16</v>
          </cell>
          <cell r="H163">
            <v>22013.439999999999</v>
          </cell>
          <cell r="I163">
            <v>1108</v>
          </cell>
          <cell r="J163">
            <v>192.06</v>
          </cell>
          <cell r="K163">
            <v>209.79</v>
          </cell>
          <cell r="L163">
            <v>362.09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D367"/>
          <cell r="E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D368"/>
          <cell r="E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C369" t="str">
            <v/>
          </cell>
          <cell r="D369"/>
          <cell r="E369"/>
          <cell r="F369"/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87">
          <cell r="G387">
            <v>1528.0800000000004</v>
          </cell>
          <cell r="H387">
            <v>1440.77</v>
          </cell>
          <cell r="I387">
            <v>1413.72</v>
          </cell>
          <cell r="J387">
            <v>1263.3200000000002</v>
          </cell>
          <cell r="K387">
            <v>1352.75</v>
          </cell>
          <cell r="L387">
            <v>181.44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-169.3</v>
          </cell>
          <cell r="H388">
            <v>-30168.03</v>
          </cell>
          <cell r="I388">
            <v>-18289.38</v>
          </cell>
          <cell r="J388">
            <v>-25775</v>
          </cell>
          <cell r="K388">
            <v>-995.72</v>
          </cell>
          <cell r="L388">
            <v>-46.52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192.51</v>
          </cell>
          <cell r="H389">
            <v>249.14999999999998</v>
          </cell>
          <cell r="I389">
            <v>249.28</v>
          </cell>
          <cell r="J389">
            <v>196.4</v>
          </cell>
          <cell r="K389">
            <v>377.19</v>
          </cell>
          <cell r="L389">
            <v>45.39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5"/>
    </sheetNames>
    <sheetDataSet>
      <sheetData sheetId="0">
        <row r="5">
          <cell r="C5">
            <v>36941.949999999997</v>
          </cell>
        </row>
        <row r="6">
          <cell r="C6">
            <v>17782.21</v>
          </cell>
        </row>
        <row r="7">
          <cell r="C7">
            <v>18199.61</v>
          </cell>
        </row>
        <row r="8">
          <cell r="C8">
            <v>15044.47</v>
          </cell>
        </row>
        <row r="9">
          <cell r="C9">
            <v>15676.81</v>
          </cell>
        </row>
        <row r="10">
          <cell r="C10">
            <v>8456.82</v>
          </cell>
        </row>
        <row r="11">
          <cell r="C11">
            <v>9497.94</v>
          </cell>
        </row>
        <row r="12">
          <cell r="C12">
            <v>10942.18</v>
          </cell>
        </row>
        <row r="13">
          <cell r="C13">
            <v>8865.89</v>
          </cell>
        </row>
        <row r="14">
          <cell r="C14">
            <v>13428.21</v>
          </cell>
        </row>
        <row r="15">
          <cell r="C15">
            <v>16348.51</v>
          </cell>
        </row>
        <row r="16">
          <cell r="C16">
            <v>14802.29</v>
          </cell>
        </row>
        <row r="17">
          <cell r="C17">
            <v>8932.0300000000007</v>
          </cell>
        </row>
        <row r="18">
          <cell r="C18">
            <v>9228.01</v>
          </cell>
        </row>
        <row r="19">
          <cell r="C19">
            <v>10737.5</v>
          </cell>
        </row>
        <row r="20">
          <cell r="C20">
            <v>9307.19</v>
          </cell>
        </row>
        <row r="21">
          <cell r="C21">
            <v>14777.96</v>
          </cell>
        </row>
        <row r="22">
          <cell r="C22">
            <v>14592.33</v>
          </cell>
        </row>
        <row r="23">
          <cell r="C23">
            <v>15755.11</v>
          </cell>
        </row>
        <row r="24">
          <cell r="C24">
            <v>9122.0300000000007</v>
          </cell>
        </row>
        <row r="25">
          <cell r="C25">
            <v>9560.85</v>
          </cell>
        </row>
        <row r="26">
          <cell r="C26">
            <v>10712.73</v>
          </cell>
        </row>
        <row r="27">
          <cell r="C27">
            <v>9177.68</v>
          </cell>
        </row>
        <row r="28">
          <cell r="C28">
            <v>13427.27</v>
          </cell>
        </row>
        <row r="29">
          <cell r="C29">
            <v>18168.75</v>
          </cell>
        </row>
        <row r="30">
          <cell r="C30">
            <v>14341.51</v>
          </cell>
        </row>
        <row r="31">
          <cell r="C31">
            <v>8039.43</v>
          </cell>
        </row>
        <row r="32">
          <cell r="C32">
            <v>9018.27</v>
          </cell>
        </row>
        <row r="33">
          <cell r="C33">
            <v>10749.71</v>
          </cell>
        </row>
        <row r="34">
          <cell r="C34">
            <v>8662.32</v>
          </cell>
        </row>
        <row r="35">
          <cell r="C35">
            <v>13806.57</v>
          </cell>
        </row>
        <row r="36">
          <cell r="C36">
            <v>16133.82</v>
          </cell>
        </row>
        <row r="37">
          <cell r="C37">
            <v>16417.830000000002</v>
          </cell>
        </row>
        <row r="38">
          <cell r="C38">
            <v>9243.6200000000008</v>
          </cell>
        </row>
        <row r="39">
          <cell r="C39">
            <v>9941.6299999999992</v>
          </cell>
        </row>
        <row r="40">
          <cell r="C40">
            <v>11959.23</v>
          </cell>
        </row>
        <row r="41">
          <cell r="C41">
            <v>10481.69</v>
          </cell>
        </row>
        <row r="42">
          <cell r="C42">
            <v>16195.72</v>
          </cell>
        </row>
        <row r="43">
          <cell r="C43">
            <v>18333.98</v>
          </cell>
        </row>
        <row r="44">
          <cell r="C44">
            <v>18530.490000000002</v>
          </cell>
        </row>
        <row r="45">
          <cell r="C45">
            <v>7787.28</v>
          </cell>
        </row>
        <row r="46">
          <cell r="C46">
            <v>9406.86</v>
          </cell>
        </row>
        <row r="47">
          <cell r="C47">
            <v>11530.54</v>
          </cell>
        </row>
        <row r="48">
          <cell r="C48">
            <v>9468.41</v>
          </cell>
        </row>
        <row r="49">
          <cell r="C49">
            <v>16631.78</v>
          </cell>
        </row>
        <row r="50">
          <cell r="C50">
            <v>21099.42</v>
          </cell>
        </row>
        <row r="51">
          <cell r="C51">
            <v>19802.86</v>
          </cell>
        </row>
        <row r="52">
          <cell r="C52">
            <v>8822.64</v>
          </cell>
        </row>
        <row r="53">
          <cell r="C53">
            <v>9891.23</v>
          </cell>
        </row>
        <row r="54">
          <cell r="C54">
            <v>11298.84</v>
          </cell>
        </row>
        <row r="55">
          <cell r="C55">
            <v>11023.34</v>
          </cell>
        </row>
        <row r="56">
          <cell r="C56">
            <v>16000.58</v>
          </cell>
        </row>
        <row r="57">
          <cell r="C57">
            <v>16065.94</v>
          </cell>
        </row>
        <row r="58">
          <cell r="C58">
            <v>17129.79</v>
          </cell>
        </row>
        <row r="59">
          <cell r="C59">
            <v>12414.56</v>
          </cell>
        </row>
        <row r="60">
          <cell r="C60">
            <v>11847.06</v>
          </cell>
        </row>
        <row r="61">
          <cell r="C61">
            <v>13080.33</v>
          </cell>
        </row>
        <row r="62">
          <cell r="C62">
            <v>14075.69</v>
          </cell>
        </row>
        <row r="63">
          <cell r="C63">
            <v>17439.650000000001</v>
          </cell>
        </row>
        <row r="64">
          <cell r="C64">
            <v>16725.3</v>
          </cell>
        </row>
        <row r="65">
          <cell r="C65">
            <v>18393.05</v>
          </cell>
        </row>
        <row r="66">
          <cell r="C66">
            <v>13688.45</v>
          </cell>
        </row>
        <row r="67">
          <cell r="C67">
            <v>13948.13</v>
          </cell>
        </row>
        <row r="68">
          <cell r="C68">
            <v>14142.55</v>
          </cell>
        </row>
        <row r="69">
          <cell r="C69">
            <v>12878.85</v>
          </cell>
        </row>
        <row r="70">
          <cell r="C70">
            <v>17568.759999999998</v>
          </cell>
        </row>
        <row r="71">
          <cell r="C71">
            <v>17182.939999999999</v>
          </cell>
        </row>
        <row r="72">
          <cell r="C72">
            <v>16521.240000000002</v>
          </cell>
        </row>
        <row r="73">
          <cell r="C73">
            <v>8426.42</v>
          </cell>
        </row>
        <row r="74">
          <cell r="C74">
            <v>9205.2800000000007</v>
          </cell>
        </row>
        <row r="75">
          <cell r="C75">
            <v>10806.52</v>
          </cell>
        </row>
        <row r="76">
          <cell r="C76">
            <v>9122.75</v>
          </cell>
        </row>
        <row r="77">
          <cell r="C77">
            <v>12726.24</v>
          </cell>
        </row>
        <row r="78">
          <cell r="C78">
            <v>13536.7</v>
          </cell>
        </row>
        <row r="79">
          <cell r="C79">
            <v>15953.81</v>
          </cell>
        </row>
        <row r="80">
          <cell r="C80">
            <v>8034.95</v>
          </cell>
        </row>
        <row r="81">
          <cell r="C81">
            <v>9934.65</v>
          </cell>
        </row>
        <row r="82">
          <cell r="C82">
            <v>11412.99</v>
          </cell>
        </row>
        <row r="83">
          <cell r="C83">
            <v>10331.48</v>
          </cell>
        </row>
        <row r="84">
          <cell r="C84">
            <v>12245.2</v>
          </cell>
        </row>
        <row r="85">
          <cell r="C85">
            <v>15180.45</v>
          </cell>
        </row>
        <row r="86">
          <cell r="C86">
            <v>19211.23</v>
          </cell>
        </row>
        <row r="87">
          <cell r="C87">
            <v>8226.93</v>
          </cell>
        </row>
        <row r="88">
          <cell r="C88">
            <v>10502.44</v>
          </cell>
        </row>
        <row r="89">
          <cell r="C89">
            <v>10802.8</v>
          </cell>
        </row>
        <row r="90">
          <cell r="C90">
            <v>11141.66</v>
          </cell>
        </row>
        <row r="91">
          <cell r="C91">
            <v>14977.07</v>
          </cell>
        </row>
        <row r="92">
          <cell r="C92">
            <v>17162.259999999998</v>
          </cell>
        </row>
        <row r="93">
          <cell r="C93">
            <v>22204.09</v>
          </cell>
        </row>
        <row r="94">
          <cell r="C94">
            <v>9617.51</v>
          </cell>
        </row>
        <row r="95">
          <cell r="C95">
            <v>11940.36</v>
          </cell>
        </row>
        <row r="96">
          <cell r="C96">
            <v>14296.72</v>
          </cell>
        </row>
        <row r="97">
          <cell r="C97">
            <v>12027.94</v>
          </cell>
        </row>
        <row r="98">
          <cell r="C98">
            <v>18350.939999999999</v>
          </cell>
        </row>
        <row r="99">
          <cell r="C99">
            <v>22260.04</v>
          </cell>
        </row>
        <row r="100">
          <cell r="C100">
            <v>26156.22</v>
          </cell>
        </row>
        <row r="101">
          <cell r="C101">
            <v>11480.71</v>
          </cell>
        </row>
        <row r="102">
          <cell r="C102">
            <v>12844.4</v>
          </cell>
        </row>
        <row r="103">
          <cell r="C103">
            <v>14695.2</v>
          </cell>
        </row>
        <row r="104">
          <cell r="C104">
            <v>12628.31</v>
          </cell>
        </row>
        <row r="105">
          <cell r="C105">
            <v>19952.169999999998</v>
          </cell>
        </row>
        <row r="106">
          <cell r="C106">
            <v>21338.05</v>
          </cell>
        </row>
        <row r="107">
          <cell r="C107">
            <v>19029.68</v>
          </cell>
        </row>
        <row r="108">
          <cell r="C108">
            <v>9385.0400000000009</v>
          </cell>
        </row>
        <row r="109">
          <cell r="C109">
            <v>10748.45</v>
          </cell>
        </row>
        <row r="110">
          <cell r="C110">
            <v>10996.26</v>
          </cell>
        </row>
        <row r="111">
          <cell r="C111">
            <v>11084.17</v>
          </cell>
        </row>
        <row r="112">
          <cell r="C112">
            <v>17947.39</v>
          </cell>
        </row>
        <row r="113">
          <cell r="C113">
            <v>19036.939999999999</v>
          </cell>
        </row>
        <row r="114">
          <cell r="C114">
            <v>19463.18</v>
          </cell>
        </row>
        <row r="115">
          <cell r="C115">
            <v>18782.310000000001</v>
          </cell>
        </row>
        <row r="116">
          <cell r="C116">
            <v>15781.68</v>
          </cell>
        </row>
        <row r="117">
          <cell r="C117">
            <v>12775.99</v>
          </cell>
        </row>
        <row r="118">
          <cell r="C118">
            <v>13473.77</v>
          </cell>
        </row>
        <row r="119">
          <cell r="C119">
            <v>18175.37</v>
          </cell>
        </row>
        <row r="120">
          <cell r="C120">
            <v>16753.740000000002</v>
          </cell>
        </row>
        <row r="121">
          <cell r="C121">
            <v>17510.48</v>
          </cell>
        </row>
        <row r="122">
          <cell r="C122">
            <v>13284.2</v>
          </cell>
        </row>
        <row r="123">
          <cell r="C123">
            <v>15479.39</v>
          </cell>
        </row>
        <row r="124">
          <cell r="C124">
            <v>19838.03</v>
          </cell>
        </row>
        <row r="125">
          <cell r="C125">
            <v>27956.720000000001</v>
          </cell>
        </row>
        <row r="126">
          <cell r="C126">
            <v>19894.259999999998</v>
          </cell>
        </row>
        <row r="127">
          <cell r="C127">
            <v>17664.95</v>
          </cell>
        </row>
        <row r="128">
          <cell r="C128">
            <v>16733.599999999999</v>
          </cell>
        </row>
        <row r="129">
          <cell r="C129">
            <v>9703.3700000000008</v>
          </cell>
        </row>
        <row r="130">
          <cell r="C130">
            <v>11340.16</v>
          </cell>
        </row>
        <row r="131">
          <cell r="C131">
            <v>12967.68</v>
          </cell>
        </row>
        <row r="132">
          <cell r="C132">
            <v>18130.82</v>
          </cell>
        </row>
        <row r="133">
          <cell r="C133">
            <v>15573.37</v>
          </cell>
        </row>
        <row r="134">
          <cell r="C134">
            <v>17502.84</v>
          </cell>
        </row>
        <row r="135">
          <cell r="C135">
            <v>18905.87</v>
          </cell>
        </row>
        <row r="136">
          <cell r="C136">
            <v>8854.85</v>
          </cell>
        </row>
        <row r="137">
          <cell r="C137">
            <v>10272.99</v>
          </cell>
        </row>
        <row r="138">
          <cell r="C138">
            <v>13847.05</v>
          </cell>
        </row>
        <row r="139">
          <cell r="C139">
            <v>12761.93</v>
          </cell>
        </row>
        <row r="140">
          <cell r="C140">
            <v>16698.919999999998</v>
          </cell>
        </row>
        <row r="141">
          <cell r="C141">
            <v>19551.21</v>
          </cell>
        </row>
        <row r="142">
          <cell r="C142">
            <v>21314.51</v>
          </cell>
        </row>
        <row r="143">
          <cell r="C143">
            <v>8445.49</v>
          </cell>
        </row>
        <row r="144">
          <cell r="C144">
            <v>10340.94</v>
          </cell>
        </row>
        <row r="145">
          <cell r="C145">
            <v>12196.15</v>
          </cell>
        </row>
        <row r="146">
          <cell r="C146">
            <v>10807.84</v>
          </cell>
        </row>
        <row r="147">
          <cell r="C147">
            <v>15345.21</v>
          </cell>
        </row>
        <row r="148">
          <cell r="C148">
            <v>18508.91</v>
          </cell>
        </row>
        <row r="149">
          <cell r="C149">
            <v>17232.82</v>
          </cell>
        </row>
        <row r="150">
          <cell r="C150">
            <v>10557.18</v>
          </cell>
        </row>
        <row r="151">
          <cell r="C151">
            <v>12196.52</v>
          </cell>
        </row>
        <row r="152">
          <cell r="C152">
            <v>17299.53</v>
          </cell>
        </row>
        <row r="153">
          <cell r="C153">
            <v>22591.75</v>
          </cell>
        </row>
        <row r="154">
          <cell r="C154">
            <v>23360.49</v>
          </cell>
        </row>
        <row r="155">
          <cell r="C155">
            <v>19086.82</v>
          </cell>
        </row>
        <row r="156">
          <cell r="C156">
            <v>23363.78</v>
          </cell>
        </row>
        <row r="157">
          <cell r="C157">
            <v>9887.8700000000008</v>
          </cell>
        </row>
        <row r="158">
          <cell r="C158">
            <v>11945.84</v>
          </cell>
        </row>
        <row r="159">
          <cell r="C159">
            <v>11783.31</v>
          </cell>
        </row>
        <row r="160">
          <cell r="C160">
            <v>12768.46</v>
          </cell>
        </row>
        <row r="161">
          <cell r="C161">
            <v>16005.91</v>
          </cell>
        </row>
        <row r="162">
          <cell r="C162">
            <v>17721.650000000001</v>
          </cell>
        </row>
        <row r="163">
          <cell r="C163">
            <v>23460.38</v>
          </cell>
        </row>
        <row r="164">
          <cell r="C164">
            <v>20654.16</v>
          </cell>
        </row>
        <row r="165">
          <cell r="C165">
            <v>12587.06</v>
          </cell>
        </row>
        <row r="166">
          <cell r="C166">
            <v>14145.6</v>
          </cell>
        </row>
        <row r="167">
          <cell r="C167">
            <v>15696.71</v>
          </cell>
        </row>
        <row r="168">
          <cell r="C168">
            <v>18593.28</v>
          </cell>
        </row>
        <row r="169">
          <cell r="C169">
            <v>21484.2</v>
          </cell>
        </row>
        <row r="170">
          <cell r="C170">
            <v>17433.330000000002</v>
          </cell>
        </row>
        <row r="171">
          <cell r="C171">
            <v>11506.69</v>
          </cell>
        </row>
        <row r="172">
          <cell r="C172">
            <v>13520.88</v>
          </cell>
        </row>
        <row r="173">
          <cell r="C173">
            <v>15311.1</v>
          </cell>
        </row>
        <row r="174">
          <cell r="C174">
            <v>15254.68</v>
          </cell>
        </row>
        <row r="175">
          <cell r="C175">
            <v>18777.599999999999</v>
          </cell>
        </row>
        <row r="176">
          <cell r="C176">
            <v>20647.87</v>
          </cell>
        </row>
        <row r="177">
          <cell r="C177">
            <v>24704.98</v>
          </cell>
        </row>
        <row r="178">
          <cell r="C178">
            <v>12536.16</v>
          </cell>
        </row>
        <row r="179">
          <cell r="C179">
            <v>14256.94</v>
          </cell>
        </row>
        <row r="180">
          <cell r="C180">
            <v>17572.59</v>
          </cell>
        </row>
        <row r="181">
          <cell r="C181">
            <v>16631.990000000002</v>
          </cell>
        </row>
        <row r="182">
          <cell r="C182">
            <v>19171.79</v>
          </cell>
        </row>
        <row r="183">
          <cell r="C183">
            <v>21120.35</v>
          </cell>
        </row>
        <row r="184">
          <cell r="C184">
            <v>25176.97</v>
          </cell>
        </row>
        <row r="185">
          <cell r="C185">
            <v>16807.080000000002</v>
          </cell>
        </row>
        <row r="186">
          <cell r="C186">
            <v>17314.669999999998</v>
          </cell>
        </row>
        <row r="187">
          <cell r="C187">
            <v>19611.169999999998</v>
          </cell>
        </row>
        <row r="188">
          <cell r="C188">
            <v>20253.310000000001</v>
          </cell>
        </row>
        <row r="189">
          <cell r="C189">
            <v>23723.25</v>
          </cell>
        </row>
        <row r="190">
          <cell r="C190">
            <v>22186.92</v>
          </cell>
        </row>
        <row r="191">
          <cell r="C191">
            <v>22166.65</v>
          </cell>
        </row>
        <row r="192">
          <cell r="C192">
            <v>15326.94</v>
          </cell>
        </row>
        <row r="193">
          <cell r="C193">
            <v>15489.25</v>
          </cell>
        </row>
        <row r="194">
          <cell r="C194">
            <v>13091.98</v>
          </cell>
        </row>
        <row r="195">
          <cell r="C195">
            <v>15021.42</v>
          </cell>
        </row>
        <row r="196">
          <cell r="C196">
            <v>17147.810000000001</v>
          </cell>
        </row>
        <row r="197">
          <cell r="C197">
            <v>16678.439999999999</v>
          </cell>
        </row>
        <row r="198">
          <cell r="C198">
            <v>24161.71</v>
          </cell>
        </row>
        <row r="199">
          <cell r="C199">
            <v>22575.62</v>
          </cell>
        </row>
        <row r="200">
          <cell r="C200">
            <v>15073.58</v>
          </cell>
        </row>
        <row r="201">
          <cell r="C201">
            <v>16756.509999999998</v>
          </cell>
        </row>
        <row r="202">
          <cell r="C202">
            <v>18111.95</v>
          </cell>
        </row>
        <row r="203">
          <cell r="C203">
            <v>19434.560000000001</v>
          </cell>
        </row>
        <row r="204">
          <cell r="C204">
            <v>16836.509999999998</v>
          </cell>
        </row>
        <row r="205">
          <cell r="C205">
            <v>19293.68</v>
          </cell>
        </row>
        <row r="206">
          <cell r="C206">
            <v>13373.84</v>
          </cell>
        </row>
        <row r="207">
          <cell r="C207">
            <v>13943.91</v>
          </cell>
        </row>
        <row r="208">
          <cell r="C208">
            <v>14442.71</v>
          </cell>
        </row>
        <row r="209">
          <cell r="C209">
            <v>16891.21</v>
          </cell>
        </row>
        <row r="210">
          <cell r="C210">
            <v>18031.5</v>
          </cell>
        </row>
        <row r="211">
          <cell r="C211">
            <v>15468.22</v>
          </cell>
        </row>
        <row r="212">
          <cell r="C212">
            <v>19594.3</v>
          </cell>
        </row>
        <row r="213">
          <cell r="C213">
            <v>13123.06</v>
          </cell>
        </row>
        <row r="214">
          <cell r="C214">
            <v>15898.81</v>
          </cell>
        </row>
        <row r="215">
          <cell r="C215">
            <v>14410.21</v>
          </cell>
        </row>
        <row r="216">
          <cell r="C216">
            <v>18153.72</v>
          </cell>
        </row>
        <row r="217">
          <cell r="C217">
            <v>17961.900000000001</v>
          </cell>
        </row>
        <row r="218">
          <cell r="C218">
            <v>19123.84</v>
          </cell>
        </row>
        <row r="219">
          <cell r="C219">
            <v>20753.43</v>
          </cell>
        </row>
        <row r="220">
          <cell r="C220">
            <v>15218.51</v>
          </cell>
        </row>
        <row r="221">
          <cell r="C221">
            <v>17243</v>
          </cell>
        </row>
        <row r="222">
          <cell r="C222">
            <v>16294.42</v>
          </cell>
        </row>
        <row r="223">
          <cell r="C223">
            <v>20290.400000000001</v>
          </cell>
        </row>
        <row r="224">
          <cell r="C224">
            <v>18485.97</v>
          </cell>
        </row>
        <row r="225">
          <cell r="C225">
            <v>19514.05</v>
          </cell>
        </row>
        <row r="226">
          <cell r="C226">
            <v>22382.18</v>
          </cell>
        </row>
        <row r="227">
          <cell r="C227">
            <v>17177.34</v>
          </cell>
        </row>
        <row r="228">
          <cell r="C228">
            <v>15922.77</v>
          </cell>
        </row>
        <row r="229">
          <cell r="C229">
            <v>15617.23</v>
          </cell>
        </row>
        <row r="230">
          <cell r="C230">
            <v>18713.95</v>
          </cell>
        </row>
        <row r="231">
          <cell r="C231">
            <v>30565.51</v>
          </cell>
        </row>
        <row r="232">
          <cell r="C232">
            <v>18802.689999999999</v>
          </cell>
        </row>
        <row r="233">
          <cell r="C233">
            <v>21410.39</v>
          </cell>
        </row>
        <row r="234">
          <cell r="C234">
            <v>16499</v>
          </cell>
        </row>
        <row r="235">
          <cell r="C235">
            <v>14582.14</v>
          </cell>
        </row>
        <row r="236">
          <cell r="C236">
            <v>14905</v>
          </cell>
        </row>
        <row r="237">
          <cell r="C237">
            <v>16627.939999999999</v>
          </cell>
        </row>
        <row r="238">
          <cell r="C238">
            <v>17125.77</v>
          </cell>
        </row>
        <row r="239">
          <cell r="C239">
            <v>18936.41</v>
          </cell>
        </row>
        <row r="240">
          <cell r="C240">
            <v>21493.55</v>
          </cell>
        </row>
        <row r="241">
          <cell r="C241">
            <v>14240.95</v>
          </cell>
        </row>
        <row r="242">
          <cell r="C242">
            <v>14440.61</v>
          </cell>
        </row>
        <row r="243">
          <cell r="C243">
            <v>12797.2</v>
          </cell>
        </row>
        <row r="244">
          <cell r="C244">
            <v>13877.46</v>
          </cell>
        </row>
        <row r="245">
          <cell r="C245">
            <v>16925.45</v>
          </cell>
        </row>
        <row r="246">
          <cell r="C246">
            <v>15878.94</v>
          </cell>
        </row>
        <row r="247">
          <cell r="C247">
            <v>19051.8</v>
          </cell>
        </row>
        <row r="248">
          <cell r="C248">
            <v>10939.31</v>
          </cell>
        </row>
        <row r="249">
          <cell r="C249">
            <v>10004.48</v>
          </cell>
        </row>
        <row r="250">
          <cell r="C250">
            <v>12769.55</v>
          </cell>
        </row>
        <row r="251">
          <cell r="C251">
            <v>10847.76</v>
          </cell>
        </row>
        <row r="252">
          <cell r="C252">
            <v>16293.91</v>
          </cell>
        </row>
        <row r="253">
          <cell r="C253">
            <v>17416.21</v>
          </cell>
        </row>
        <row r="254">
          <cell r="C254">
            <v>20013.68</v>
          </cell>
        </row>
        <row r="255">
          <cell r="C255">
            <v>9371.2999999999993</v>
          </cell>
        </row>
        <row r="256">
          <cell r="C256">
            <v>10689.14</v>
          </cell>
        </row>
        <row r="257">
          <cell r="C257">
            <v>12405.81</v>
          </cell>
        </row>
        <row r="258">
          <cell r="C258">
            <v>10274.219999999999</v>
          </cell>
        </row>
        <row r="259">
          <cell r="C259">
            <v>14496.8</v>
          </cell>
        </row>
        <row r="260">
          <cell r="C260">
            <v>15636.38</v>
          </cell>
        </row>
        <row r="261">
          <cell r="C261">
            <v>17604.849999999999</v>
          </cell>
        </row>
        <row r="262">
          <cell r="C262">
            <v>7918.14</v>
          </cell>
        </row>
        <row r="263">
          <cell r="C263">
            <v>9404.73</v>
          </cell>
        </row>
        <row r="264">
          <cell r="C264">
            <v>12226.09</v>
          </cell>
        </row>
        <row r="265">
          <cell r="C265">
            <v>11337.1</v>
          </cell>
        </row>
        <row r="266">
          <cell r="C266">
            <v>15004.18</v>
          </cell>
        </row>
        <row r="267">
          <cell r="C267">
            <v>17312.02</v>
          </cell>
        </row>
        <row r="268">
          <cell r="C268">
            <v>16339.7</v>
          </cell>
        </row>
        <row r="269">
          <cell r="C269">
            <v>8681.9599999999991</v>
          </cell>
        </row>
        <row r="270">
          <cell r="C270">
            <v>8430.61</v>
          </cell>
        </row>
        <row r="271">
          <cell r="C271">
            <v>9321.2000000000007</v>
          </cell>
        </row>
        <row r="272">
          <cell r="C272">
            <v>9870.24</v>
          </cell>
        </row>
        <row r="273">
          <cell r="C273">
            <v>13408.31</v>
          </cell>
        </row>
        <row r="274">
          <cell r="C274">
            <v>14619.63</v>
          </cell>
        </row>
        <row r="275">
          <cell r="C275">
            <v>16568.13</v>
          </cell>
        </row>
        <row r="276">
          <cell r="C276">
            <v>8896.44</v>
          </cell>
        </row>
        <row r="277">
          <cell r="C277">
            <v>9578.11</v>
          </cell>
        </row>
        <row r="278">
          <cell r="C278">
            <v>11321.38</v>
          </cell>
        </row>
        <row r="279">
          <cell r="C279">
            <v>10334.620000000001</v>
          </cell>
        </row>
        <row r="280">
          <cell r="C280">
            <v>14629.24</v>
          </cell>
        </row>
        <row r="281">
          <cell r="C281">
            <v>19434.18</v>
          </cell>
        </row>
        <row r="282">
          <cell r="C282">
            <v>18969.04</v>
          </cell>
        </row>
        <row r="283">
          <cell r="C283">
            <v>9903.06</v>
          </cell>
        </row>
        <row r="284">
          <cell r="C284">
            <v>10391.34</v>
          </cell>
        </row>
        <row r="285">
          <cell r="C285">
            <v>12249.4</v>
          </cell>
        </row>
        <row r="286">
          <cell r="C286">
            <v>10189.32</v>
          </cell>
        </row>
        <row r="287">
          <cell r="C287">
            <v>14424.17</v>
          </cell>
        </row>
        <row r="288">
          <cell r="C288">
            <v>16719.48</v>
          </cell>
        </row>
        <row r="289">
          <cell r="C289">
            <v>17704.82</v>
          </cell>
        </row>
        <row r="290">
          <cell r="C290">
            <v>8324.81</v>
          </cell>
        </row>
        <row r="291">
          <cell r="C291">
            <v>9124.92</v>
          </cell>
        </row>
        <row r="292">
          <cell r="C292">
            <v>12247.69</v>
          </cell>
        </row>
        <row r="293">
          <cell r="C293">
            <v>10983.81</v>
          </cell>
        </row>
        <row r="294">
          <cell r="C294">
            <v>15087.41</v>
          </cell>
        </row>
        <row r="295">
          <cell r="C295">
            <v>16275.09</v>
          </cell>
        </row>
        <row r="296">
          <cell r="C296">
            <v>16199.81</v>
          </cell>
        </row>
        <row r="297">
          <cell r="C297">
            <v>11440</v>
          </cell>
        </row>
        <row r="298">
          <cell r="C298">
            <v>12549</v>
          </cell>
        </row>
        <row r="299">
          <cell r="C299">
            <v>12054</v>
          </cell>
        </row>
        <row r="300">
          <cell r="C300">
            <v>12265</v>
          </cell>
        </row>
        <row r="301">
          <cell r="C301">
            <v>13355</v>
          </cell>
        </row>
        <row r="302">
          <cell r="C302">
            <v>14290</v>
          </cell>
        </row>
        <row r="303">
          <cell r="C303">
            <v>14715</v>
          </cell>
        </row>
        <row r="304">
          <cell r="C304">
            <v>10599</v>
          </cell>
        </row>
        <row r="305">
          <cell r="C305">
            <v>13357</v>
          </cell>
        </row>
        <row r="306">
          <cell r="C306">
            <v>14052</v>
          </cell>
        </row>
        <row r="307">
          <cell r="C307">
            <v>13376</v>
          </cell>
        </row>
        <row r="308">
          <cell r="C308">
            <v>14348</v>
          </cell>
        </row>
        <row r="309">
          <cell r="C309">
            <v>14880</v>
          </cell>
        </row>
        <row r="310">
          <cell r="C310">
            <v>14145</v>
          </cell>
        </row>
        <row r="311">
          <cell r="C311">
            <v>8605</v>
          </cell>
        </row>
        <row r="312">
          <cell r="C312">
            <v>8332</v>
          </cell>
        </row>
        <row r="313">
          <cell r="C313">
            <v>10435</v>
          </cell>
        </row>
        <row r="314">
          <cell r="C314">
            <v>10061</v>
          </cell>
        </row>
        <row r="315">
          <cell r="C315">
            <v>14191</v>
          </cell>
        </row>
        <row r="316">
          <cell r="C316">
            <v>16249</v>
          </cell>
        </row>
        <row r="317">
          <cell r="C317">
            <v>18169</v>
          </cell>
        </row>
        <row r="318">
          <cell r="C318">
            <v>13165</v>
          </cell>
        </row>
        <row r="319">
          <cell r="C319">
            <v>15668</v>
          </cell>
        </row>
        <row r="320">
          <cell r="C320">
            <v>9543</v>
          </cell>
        </row>
        <row r="321">
          <cell r="C321">
            <v>8333</v>
          </cell>
        </row>
        <row r="322">
          <cell r="C322">
            <v>13090</v>
          </cell>
        </row>
        <row r="323">
          <cell r="C323">
            <v>14509</v>
          </cell>
        </row>
        <row r="324">
          <cell r="C324">
            <v>14395</v>
          </cell>
        </row>
        <row r="325">
          <cell r="C325">
            <v>7677</v>
          </cell>
        </row>
        <row r="326">
          <cell r="C326">
            <v>8127</v>
          </cell>
        </row>
        <row r="327">
          <cell r="C327">
            <v>10501</v>
          </cell>
        </row>
        <row r="328">
          <cell r="C328">
            <v>7879</v>
          </cell>
        </row>
        <row r="329">
          <cell r="C329">
            <v>12300</v>
          </cell>
        </row>
        <row r="330">
          <cell r="C330">
            <v>12935</v>
          </cell>
        </row>
        <row r="331">
          <cell r="C331">
            <v>13253</v>
          </cell>
        </row>
        <row r="332">
          <cell r="C332">
            <v>8370</v>
          </cell>
        </row>
        <row r="333">
          <cell r="C333">
            <v>7148</v>
          </cell>
        </row>
        <row r="334">
          <cell r="C334">
            <v>10657</v>
          </cell>
        </row>
        <row r="335">
          <cell r="C335">
            <v>9328</v>
          </cell>
        </row>
        <row r="336">
          <cell r="C336">
            <v>12667</v>
          </cell>
        </row>
        <row r="337">
          <cell r="C337">
            <v>13771</v>
          </cell>
        </row>
        <row r="338">
          <cell r="C338">
            <v>14813</v>
          </cell>
        </row>
        <row r="339">
          <cell r="C339">
            <v>6976</v>
          </cell>
        </row>
        <row r="340">
          <cell r="C340">
            <v>8422</v>
          </cell>
        </row>
        <row r="341">
          <cell r="C341">
            <v>11535</v>
          </cell>
        </row>
        <row r="342">
          <cell r="C342">
            <v>8598</v>
          </cell>
        </row>
        <row r="343">
          <cell r="C343">
            <v>13124</v>
          </cell>
        </row>
        <row r="344">
          <cell r="C344">
            <v>14721</v>
          </cell>
        </row>
        <row r="345">
          <cell r="C345">
            <v>13022</v>
          </cell>
        </row>
        <row r="346">
          <cell r="C346">
            <v>7638</v>
          </cell>
        </row>
        <row r="347">
          <cell r="C347">
            <v>9744</v>
          </cell>
        </row>
        <row r="348">
          <cell r="C348">
            <v>12668</v>
          </cell>
        </row>
        <row r="349">
          <cell r="C349">
            <v>9325</v>
          </cell>
        </row>
        <row r="350">
          <cell r="C350">
            <v>13433</v>
          </cell>
        </row>
        <row r="351">
          <cell r="C351">
            <v>16288</v>
          </cell>
        </row>
        <row r="352">
          <cell r="C352">
            <v>15987</v>
          </cell>
        </row>
        <row r="353">
          <cell r="C353">
            <v>8335</v>
          </cell>
        </row>
        <row r="354">
          <cell r="C354">
            <v>8242</v>
          </cell>
        </row>
        <row r="355">
          <cell r="C355">
            <v>12203</v>
          </cell>
        </row>
        <row r="356">
          <cell r="C356">
            <v>10759</v>
          </cell>
        </row>
        <row r="357">
          <cell r="C357">
            <v>16112</v>
          </cell>
        </row>
        <row r="358">
          <cell r="C358">
            <v>15090</v>
          </cell>
        </row>
        <row r="359">
          <cell r="C359">
            <v>17415</v>
          </cell>
        </row>
        <row r="360">
          <cell r="C360">
            <v>13988</v>
          </cell>
        </row>
        <row r="361">
          <cell r="C361">
            <v>13567</v>
          </cell>
        </row>
        <row r="362">
          <cell r="C362">
            <v>5035</v>
          </cell>
        </row>
        <row r="363">
          <cell r="C363">
            <v>13753</v>
          </cell>
        </row>
        <row r="364">
          <cell r="C364">
            <v>16081</v>
          </cell>
        </row>
        <row r="365">
          <cell r="C365">
            <v>16909</v>
          </cell>
        </row>
        <row r="366">
          <cell r="C366">
            <v>19832</v>
          </cell>
        </row>
        <row r="367">
          <cell r="C367">
            <v>15952</v>
          </cell>
        </row>
        <row r="368">
          <cell r="C368">
            <v>15591</v>
          </cell>
        </row>
        <row r="369">
          <cell r="C369">
            <v>7044</v>
          </cell>
        </row>
        <row r="370">
          <cell r="C370">
            <v>32161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C6">
            <v>17782.21</v>
          </cell>
          <cell r="D6">
            <v>17326.93</v>
          </cell>
          <cell r="E6">
            <v>944</v>
          </cell>
          <cell r="F6">
            <v>27000</v>
          </cell>
          <cell r="G6">
            <v>32161</v>
          </cell>
          <cell r="H6">
            <v>31332.53</v>
          </cell>
          <cell r="I6">
            <v>1445</v>
          </cell>
          <cell r="J6">
            <v>194.72</v>
          </cell>
          <cell r="K6">
            <v>220.22</v>
          </cell>
          <cell r="L6">
            <v>113.71</v>
          </cell>
        </row>
        <row r="7">
          <cell r="C7">
            <v>18199.61</v>
          </cell>
          <cell r="D7">
            <v>17850.8</v>
          </cell>
          <cell r="E7">
            <v>996</v>
          </cell>
          <cell r="F7">
            <v>14000</v>
          </cell>
          <cell r="G7">
            <v>17063.2</v>
          </cell>
          <cell r="H7">
            <v>16719.599999999999</v>
          </cell>
          <cell r="I7">
            <v>930</v>
          </cell>
          <cell r="J7">
            <v>166.35</v>
          </cell>
          <cell r="K7">
            <v>175.35</v>
          </cell>
          <cell r="L7">
            <v>41.42</v>
          </cell>
        </row>
        <row r="8">
          <cell r="C8">
            <v>15044.47</v>
          </cell>
          <cell r="D8">
            <v>14652.28</v>
          </cell>
          <cell r="E8">
            <v>852</v>
          </cell>
          <cell r="F8">
            <v>14900</v>
          </cell>
          <cell r="G8">
            <v>16145.71</v>
          </cell>
          <cell r="H8">
            <v>15888.6</v>
          </cell>
          <cell r="I8">
            <v>819</v>
          </cell>
          <cell r="J8">
            <v>140.32</v>
          </cell>
          <cell r="K8">
            <v>158.07</v>
          </cell>
          <cell r="L8">
            <v>44.85</v>
          </cell>
        </row>
        <row r="9">
          <cell r="C9">
            <v>15676.81</v>
          </cell>
          <cell r="D9">
            <v>15263.38</v>
          </cell>
          <cell r="E9">
            <v>797</v>
          </cell>
          <cell r="F9">
            <v>15500</v>
          </cell>
          <cell r="G9">
            <v>15234.05</v>
          </cell>
          <cell r="H9">
            <v>14952.47</v>
          </cell>
          <cell r="I9">
            <v>758</v>
          </cell>
          <cell r="J9">
            <v>118.4</v>
          </cell>
          <cell r="K9">
            <v>135.47</v>
          </cell>
          <cell r="L9">
            <v>31.44</v>
          </cell>
        </row>
        <row r="10">
          <cell r="C10">
            <v>8456.82</v>
          </cell>
          <cell r="D10">
            <v>8278.52</v>
          </cell>
          <cell r="E10">
            <v>498</v>
          </cell>
          <cell r="F10">
            <v>8400</v>
          </cell>
          <cell r="G10">
            <v>8688.06</v>
          </cell>
          <cell r="H10">
            <v>8519.86</v>
          </cell>
          <cell r="I10">
            <v>486</v>
          </cell>
          <cell r="J10">
            <v>85.82</v>
          </cell>
          <cell r="K10">
            <v>101.28</v>
          </cell>
          <cell r="L10">
            <v>79.92</v>
          </cell>
        </row>
        <row r="11">
          <cell r="C11">
            <v>9497.94</v>
          </cell>
          <cell r="D11">
            <v>9297.5300000000007</v>
          </cell>
          <cell r="E11">
            <v>573</v>
          </cell>
          <cell r="F11">
            <v>9500</v>
          </cell>
          <cell r="G11">
            <v>8801.6299999999992</v>
          </cell>
          <cell r="H11">
            <v>8624.1</v>
          </cell>
          <cell r="I11">
            <v>487</v>
          </cell>
          <cell r="J11">
            <v>93.72999999999999</v>
          </cell>
          <cell r="K11">
            <v>101.6</v>
          </cell>
          <cell r="L11">
            <v>56.07</v>
          </cell>
        </row>
        <row r="12">
          <cell r="C12">
            <v>10942.18</v>
          </cell>
          <cell r="D12">
            <v>10650.72</v>
          </cell>
          <cell r="E12">
            <v>636</v>
          </cell>
          <cell r="F12">
            <v>10800</v>
          </cell>
          <cell r="G12">
            <v>9807.25</v>
          </cell>
          <cell r="H12">
            <v>9610.0499999999993</v>
          </cell>
          <cell r="I12">
            <v>561</v>
          </cell>
          <cell r="J12">
            <v>109.4</v>
          </cell>
          <cell r="K12">
            <v>126.15</v>
          </cell>
          <cell r="L12">
            <v>47.1</v>
          </cell>
        </row>
        <row r="13">
          <cell r="C13">
            <v>8865.89</v>
          </cell>
          <cell r="D13">
            <v>8708.57</v>
          </cell>
          <cell r="E13">
            <v>540</v>
          </cell>
          <cell r="F13">
            <v>8900</v>
          </cell>
          <cell r="G13">
            <v>7688.78</v>
          </cell>
          <cell r="H13">
            <v>7507.25</v>
          </cell>
          <cell r="I13">
            <v>433</v>
          </cell>
          <cell r="J13">
            <v>112.4</v>
          </cell>
          <cell r="K13">
            <v>120.22</v>
          </cell>
          <cell r="L13">
            <v>33.590000000000003</v>
          </cell>
        </row>
        <row r="14">
          <cell r="C14">
            <v>13428.21</v>
          </cell>
          <cell r="D14">
            <v>13201.23</v>
          </cell>
          <cell r="E14">
            <v>834</v>
          </cell>
          <cell r="F14">
            <v>13400</v>
          </cell>
          <cell r="G14">
            <v>12240.46</v>
          </cell>
          <cell r="H14">
            <v>11927.49</v>
          </cell>
          <cell r="I14">
            <v>680</v>
          </cell>
          <cell r="J14">
            <v>136.07000000000002</v>
          </cell>
          <cell r="K14">
            <v>162.59</v>
          </cell>
          <cell r="L14">
            <v>38.06</v>
          </cell>
        </row>
        <row r="15">
          <cell r="C15">
            <v>16348.51</v>
          </cell>
          <cell r="D15">
            <v>15997.91</v>
          </cell>
          <cell r="E15">
            <v>900</v>
          </cell>
          <cell r="F15">
            <v>16300</v>
          </cell>
          <cell r="G15">
            <v>14780.17</v>
          </cell>
          <cell r="H15">
            <v>14476.26</v>
          </cell>
          <cell r="I15">
            <v>785</v>
          </cell>
          <cell r="J15">
            <v>164.13</v>
          </cell>
          <cell r="K15">
            <v>172.38</v>
          </cell>
          <cell r="L15">
            <v>65.069999999999993</v>
          </cell>
        </row>
        <row r="16">
          <cell r="C16">
            <v>14802.29</v>
          </cell>
          <cell r="D16">
            <v>14465.61</v>
          </cell>
          <cell r="E16">
            <v>754</v>
          </cell>
          <cell r="F16">
            <v>14700</v>
          </cell>
          <cell r="G16">
            <v>14937.84</v>
          </cell>
          <cell r="H16">
            <v>14619.03</v>
          </cell>
          <cell r="I16">
            <v>749</v>
          </cell>
          <cell r="J16">
            <v>146.32</v>
          </cell>
          <cell r="K16">
            <v>162.91999999999999</v>
          </cell>
          <cell r="L16">
            <v>77.010000000000005</v>
          </cell>
        </row>
        <row r="17">
          <cell r="C17">
            <v>8932.0300000000007</v>
          </cell>
          <cell r="D17">
            <v>8727.31</v>
          </cell>
          <cell r="E17">
            <v>554</v>
          </cell>
          <cell r="F17">
            <v>8900</v>
          </cell>
          <cell r="G17">
            <v>7845.08</v>
          </cell>
          <cell r="H17">
            <v>7709.89</v>
          </cell>
          <cell r="I17">
            <v>453</v>
          </cell>
          <cell r="J17">
            <v>100.6</v>
          </cell>
          <cell r="K17">
            <v>108.1</v>
          </cell>
          <cell r="L17">
            <v>99.42</v>
          </cell>
        </row>
        <row r="18">
          <cell r="C18">
            <v>9228.01</v>
          </cell>
          <cell r="D18">
            <v>9059.8799999999992</v>
          </cell>
          <cell r="E18">
            <v>584</v>
          </cell>
          <cell r="F18">
            <v>9200</v>
          </cell>
          <cell r="G18">
            <v>9969.4599999999991</v>
          </cell>
          <cell r="H18">
            <v>9765.73</v>
          </cell>
          <cell r="I18">
            <v>555</v>
          </cell>
          <cell r="J18">
            <v>102.75</v>
          </cell>
          <cell r="K18">
            <v>110.72</v>
          </cell>
          <cell r="L18">
            <v>104.5</v>
          </cell>
        </row>
        <row r="19">
          <cell r="C19">
            <v>10737.5</v>
          </cell>
          <cell r="D19">
            <v>10528.44</v>
          </cell>
          <cell r="E19">
            <v>613</v>
          </cell>
          <cell r="F19">
            <v>10700</v>
          </cell>
          <cell r="G19">
            <v>11371.5</v>
          </cell>
          <cell r="H19">
            <v>11128.6</v>
          </cell>
          <cell r="I19">
            <v>631</v>
          </cell>
          <cell r="J19">
            <v>113.24000000000001</v>
          </cell>
          <cell r="K19">
            <v>147.35</v>
          </cell>
          <cell r="L19">
            <v>29.34</v>
          </cell>
        </row>
        <row r="20">
          <cell r="C20">
            <v>9307.19</v>
          </cell>
          <cell r="D20">
            <v>9160.0499999999993</v>
          </cell>
          <cell r="E20">
            <v>555</v>
          </cell>
          <cell r="F20">
            <v>9300</v>
          </cell>
          <cell r="G20">
            <v>9178.98</v>
          </cell>
          <cell r="H20">
            <v>9012.49</v>
          </cell>
          <cell r="I20">
            <v>561</v>
          </cell>
          <cell r="J20">
            <v>102.46</v>
          </cell>
          <cell r="K20">
            <v>118.8</v>
          </cell>
          <cell r="L20">
            <v>64.66</v>
          </cell>
        </row>
        <row r="21">
          <cell r="C21">
            <v>14777.96</v>
          </cell>
          <cell r="D21">
            <v>14499.42</v>
          </cell>
          <cell r="E21">
            <v>912</v>
          </cell>
          <cell r="F21">
            <v>14800</v>
          </cell>
          <cell r="G21">
            <v>14330.52</v>
          </cell>
          <cell r="H21">
            <v>14028.15</v>
          </cell>
          <cell r="I21">
            <v>828</v>
          </cell>
          <cell r="J21">
            <v>142.67000000000002</v>
          </cell>
          <cell r="K21">
            <v>169.52</v>
          </cell>
          <cell r="L21">
            <v>40.119999999999997</v>
          </cell>
        </row>
        <row r="22">
          <cell r="C22">
            <v>14592.33</v>
          </cell>
          <cell r="D22">
            <v>14341.11</v>
          </cell>
          <cell r="E22">
            <v>874</v>
          </cell>
          <cell r="F22">
            <v>14600</v>
          </cell>
          <cell r="G22">
            <v>14126.15</v>
          </cell>
          <cell r="H22">
            <v>13797.17</v>
          </cell>
          <cell r="I22">
            <v>743</v>
          </cell>
          <cell r="J22">
            <v>153.13999999999999</v>
          </cell>
          <cell r="K22">
            <v>179.8</v>
          </cell>
          <cell r="L22">
            <v>31.74</v>
          </cell>
        </row>
        <row r="23">
          <cell r="C23">
            <v>15755.11</v>
          </cell>
          <cell r="D23">
            <v>15487.12</v>
          </cell>
          <cell r="E23">
            <v>862</v>
          </cell>
          <cell r="F23">
            <v>15800</v>
          </cell>
          <cell r="G23">
            <v>15948.59</v>
          </cell>
          <cell r="H23">
            <v>15517.78</v>
          </cell>
          <cell r="I23">
            <v>757</v>
          </cell>
          <cell r="J23">
            <v>128.35999999999999</v>
          </cell>
          <cell r="K23">
            <v>154.82</v>
          </cell>
          <cell r="L23">
            <v>27.16</v>
          </cell>
        </row>
        <row r="24">
          <cell r="C24">
            <v>9122.0300000000007</v>
          </cell>
          <cell r="D24">
            <v>8974.5400000000009</v>
          </cell>
          <cell r="E24">
            <v>552</v>
          </cell>
          <cell r="F24">
            <v>9100</v>
          </cell>
          <cell r="G24">
            <v>8497.19</v>
          </cell>
          <cell r="H24">
            <v>8371.2800000000007</v>
          </cell>
          <cell r="I24">
            <v>516</v>
          </cell>
          <cell r="J24">
            <v>89.9</v>
          </cell>
          <cell r="K24">
            <v>106.78</v>
          </cell>
          <cell r="L24">
            <v>34.35</v>
          </cell>
        </row>
        <row r="25">
          <cell r="C25">
            <v>9560.85</v>
          </cell>
          <cell r="D25">
            <v>9445.14</v>
          </cell>
          <cell r="E25">
            <v>569</v>
          </cell>
          <cell r="F25">
            <v>9600</v>
          </cell>
          <cell r="G25">
            <v>8814.41</v>
          </cell>
          <cell r="H25">
            <v>8633.59</v>
          </cell>
          <cell r="I25">
            <v>525</v>
          </cell>
          <cell r="J25">
            <v>92.5</v>
          </cell>
          <cell r="K25">
            <v>117.7</v>
          </cell>
          <cell r="L25">
            <v>28.3</v>
          </cell>
        </row>
        <row r="26">
          <cell r="C26">
            <v>10712.73</v>
          </cell>
          <cell r="D26">
            <v>10513.57</v>
          </cell>
          <cell r="E26">
            <v>661</v>
          </cell>
          <cell r="F26">
            <v>10700</v>
          </cell>
          <cell r="G26">
            <v>10534.59</v>
          </cell>
          <cell r="H26">
            <v>10315.66</v>
          </cell>
          <cell r="I26">
            <v>635</v>
          </cell>
          <cell r="J26">
            <v>102.73</v>
          </cell>
          <cell r="K26">
            <v>127.83</v>
          </cell>
          <cell r="L26">
            <v>48.64</v>
          </cell>
        </row>
        <row r="27">
          <cell r="C27">
            <v>9177.68</v>
          </cell>
          <cell r="D27">
            <v>9005.02</v>
          </cell>
          <cell r="E27">
            <v>584</v>
          </cell>
          <cell r="F27">
            <v>9200</v>
          </cell>
          <cell r="G27">
            <v>8942.59</v>
          </cell>
          <cell r="H27">
            <v>8741.25</v>
          </cell>
          <cell r="I27">
            <v>531</v>
          </cell>
          <cell r="J27">
            <v>97.580000000000013</v>
          </cell>
          <cell r="K27">
            <v>113.98</v>
          </cell>
          <cell r="L27">
            <v>72.040000000000006</v>
          </cell>
        </row>
        <row r="28">
          <cell r="C28">
            <v>13427.27</v>
          </cell>
          <cell r="D28">
            <v>13235.25</v>
          </cell>
          <cell r="E28">
            <v>828</v>
          </cell>
          <cell r="F28">
            <v>13500</v>
          </cell>
          <cell r="G28">
            <v>12133.88</v>
          </cell>
          <cell r="H28">
            <v>11950.3</v>
          </cell>
          <cell r="I28">
            <v>697</v>
          </cell>
          <cell r="J28">
            <v>136.20999999999998</v>
          </cell>
          <cell r="K28">
            <v>154.16999999999999</v>
          </cell>
          <cell r="L28">
            <v>56.14</v>
          </cell>
        </row>
        <row r="29">
          <cell r="C29">
            <v>18168.75</v>
          </cell>
          <cell r="D29">
            <v>17850.23</v>
          </cell>
          <cell r="E29">
            <v>1042</v>
          </cell>
          <cell r="F29">
            <v>18200</v>
          </cell>
          <cell r="G29">
            <v>14367.24</v>
          </cell>
          <cell r="H29">
            <v>14140.8</v>
          </cell>
          <cell r="I29">
            <v>814</v>
          </cell>
          <cell r="J29">
            <v>139.75</v>
          </cell>
          <cell r="K29">
            <v>167.22</v>
          </cell>
          <cell r="L29">
            <v>91.44</v>
          </cell>
        </row>
        <row r="30">
          <cell r="C30">
            <v>14341.51</v>
          </cell>
          <cell r="D30">
            <v>14122.02</v>
          </cell>
          <cell r="E30">
            <v>778</v>
          </cell>
          <cell r="F30">
            <v>14400</v>
          </cell>
          <cell r="G30">
            <v>16123.28</v>
          </cell>
          <cell r="H30">
            <v>15818.4</v>
          </cell>
          <cell r="I30">
            <v>762</v>
          </cell>
          <cell r="J30">
            <v>128.05000000000001</v>
          </cell>
          <cell r="K30">
            <v>154.22</v>
          </cell>
          <cell r="L30">
            <v>94.21</v>
          </cell>
        </row>
        <row r="31">
          <cell r="C31">
            <v>8039.43</v>
          </cell>
          <cell r="D31">
            <v>7875.29</v>
          </cell>
          <cell r="E31">
            <v>505</v>
          </cell>
          <cell r="F31">
            <v>8000</v>
          </cell>
          <cell r="G31">
            <v>6481.02</v>
          </cell>
          <cell r="H31">
            <v>6378.2</v>
          </cell>
          <cell r="I31">
            <v>414</v>
          </cell>
          <cell r="J31">
            <v>81.099999999999994</v>
          </cell>
          <cell r="K31">
            <v>97.75</v>
          </cell>
          <cell r="L31">
            <v>37.28</v>
          </cell>
        </row>
        <row r="32">
          <cell r="C32">
            <v>9018.27</v>
          </cell>
          <cell r="D32">
            <v>8837.9599999999991</v>
          </cell>
          <cell r="E32">
            <v>527</v>
          </cell>
          <cell r="F32">
            <v>9000</v>
          </cell>
          <cell r="G32">
            <v>8104.25</v>
          </cell>
          <cell r="H32">
            <v>7975.86</v>
          </cell>
          <cell r="I32">
            <v>481</v>
          </cell>
          <cell r="J32">
            <v>91.48</v>
          </cell>
          <cell r="K32">
            <v>107.9</v>
          </cell>
          <cell r="L32">
            <v>30.65</v>
          </cell>
        </row>
        <row r="33">
          <cell r="C33">
            <v>10749.71</v>
          </cell>
          <cell r="D33">
            <v>10549.65</v>
          </cell>
          <cell r="E33">
            <v>671</v>
          </cell>
          <cell r="F33">
            <v>10700</v>
          </cell>
          <cell r="G33">
            <v>10667.79</v>
          </cell>
          <cell r="H33">
            <v>10387.549999999999</v>
          </cell>
          <cell r="I33">
            <v>589</v>
          </cell>
          <cell r="J33">
            <v>103.30000000000001</v>
          </cell>
          <cell r="K33">
            <v>120.9</v>
          </cell>
          <cell r="L33">
            <v>46.17</v>
          </cell>
        </row>
        <row r="34">
          <cell r="C34">
            <v>8662.32</v>
          </cell>
          <cell r="D34">
            <v>8521.42</v>
          </cell>
          <cell r="E34">
            <v>555</v>
          </cell>
          <cell r="F34">
            <v>8700</v>
          </cell>
          <cell r="G34">
            <v>9009.7000000000007</v>
          </cell>
          <cell r="H34">
            <v>8811.98</v>
          </cell>
          <cell r="I34">
            <v>522</v>
          </cell>
          <cell r="J34">
            <v>71.25</v>
          </cell>
          <cell r="K34">
            <v>116.28</v>
          </cell>
          <cell r="L34">
            <v>50.82</v>
          </cell>
        </row>
        <row r="35">
          <cell r="C35">
            <v>13806.57</v>
          </cell>
          <cell r="D35">
            <v>13608.09</v>
          </cell>
          <cell r="E35">
            <v>804</v>
          </cell>
          <cell r="F35">
            <v>13900</v>
          </cell>
          <cell r="G35">
            <v>14072.77</v>
          </cell>
          <cell r="H35">
            <v>13782.73</v>
          </cell>
          <cell r="I35">
            <v>762</v>
          </cell>
          <cell r="J35">
            <v>133.18</v>
          </cell>
          <cell r="K35">
            <v>151.53</v>
          </cell>
          <cell r="L35">
            <v>58.62</v>
          </cell>
        </row>
        <row r="36">
          <cell r="C36">
            <v>16133.82</v>
          </cell>
          <cell r="D36">
            <v>15824.21</v>
          </cell>
          <cell r="E36">
            <v>891</v>
          </cell>
          <cell r="F36">
            <v>16100</v>
          </cell>
          <cell r="G36">
            <v>16653.52</v>
          </cell>
          <cell r="H36">
            <v>16343.04</v>
          </cell>
          <cell r="I36">
            <v>946</v>
          </cell>
          <cell r="J36">
            <v>139.38000000000002</v>
          </cell>
          <cell r="K36">
            <v>163.63</v>
          </cell>
          <cell r="L36">
            <v>65.39</v>
          </cell>
        </row>
        <row r="37">
          <cell r="C37">
            <v>16417.830000000002</v>
          </cell>
          <cell r="D37">
            <v>16161.32</v>
          </cell>
          <cell r="E37">
            <v>834</v>
          </cell>
          <cell r="F37">
            <v>16500</v>
          </cell>
          <cell r="G37">
            <v>15997.43</v>
          </cell>
          <cell r="H37">
            <v>15604.25</v>
          </cell>
          <cell r="I37">
            <v>816</v>
          </cell>
          <cell r="J37">
            <v>129.03999999999996</v>
          </cell>
          <cell r="K37">
            <v>155</v>
          </cell>
          <cell r="L37">
            <v>68.14</v>
          </cell>
        </row>
        <row r="38">
          <cell r="C38">
            <v>9243.6200000000008</v>
          </cell>
          <cell r="D38">
            <v>9079.15</v>
          </cell>
          <cell r="E38">
            <v>557</v>
          </cell>
          <cell r="F38">
            <v>9200</v>
          </cell>
          <cell r="G38">
            <v>8346.26</v>
          </cell>
          <cell r="H38">
            <v>8189.63</v>
          </cell>
          <cell r="I38">
            <v>473</v>
          </cell>
          <cell r="J38">
            <v>95.92</v>
          </cell>
          <cell r="K38">
            <v>113.28</v>
          </cell>
          <cell r="L38">
            <v>43.92</v>
          </cell>
        </row>
        <row r="39">
          <cell r="C39">
            <v>9941.6299999999992</v>
          </cell>
          <cell r="D39">
            <v>9803.98</v>
          </cell>
          <cell r="E39">
            <v>585</v>
          </cell>
          <cell r="F39">
            <v>10000</v>
          </cell>
          <cell r="G39">
            <v>9936.5400000000009</v>
          </cell>
          <cell r="H39">
            <v>9782.36</v>
          </cell>
          <cell r="I39">
            <v>543</v>
          </cell>
          <cell r="J39">
            <v>100.56</v>
          </cell>
          <cell r="K39">
            <v>126.15</v>
          </cell>
          <cell r="L39">
            <v>71.05</v>
          </cell>
        </row>
        <row r="40">
          <cell r="C40">
            <v>11959.23</v>
          </cell>
          <cell r="D40">
            <v>11834.74</v>
          </cell>
          <cell r="E40">
            <v>718</v>
          </cell>
          <cell r="F40">
            <v>12000</v>
          </cell>
          <cell r="G40">
            <v>13105.45</v>
          </cell>
          <cell r="H40">
            <v>12804.03</v>
          </cell>
          <cell r="I40">
            <v>739</v>
          </cell>
          <cell r="J40">
            <v>111.57</v>
          </cell>
          <cell r="K40">
            <v>136.76</v>
          </cell>
          <cell r="L40">
            <v>51.58</v>
          </cell>
        </row>
        <row r="41">
          <cell r="C41">
            <v>10481.69</v>
          </cell>
          <cell r="D41">
            <v>10312.44</v>
          </cell>
          <cell r="E41">
            <v>627</v>
          </cell>
          <cell r="F41">
            <v>10500</v>
          </cell>
          <cell r="G41">
            <v>9779.7000000000007</v>
          </cell>
          <cell r="H41">
            <v>9564.02</v>
          </cell>
          <cell r="I41">
            <v>564</v>
          </cell>
          <cell r="J41">
            <v>109.24000000000001</v>
          </cell>
          <cell r="K41">
            <v>125.93</v>
          </cell>
          <cell r="L41">
            <v>0</v>
          </cell>
        </row>
        <row r="42">
          <cell r="C42">
            <v>16195.72</v>
          </cell>
          <cell r="D42">
            <v>16005.41</v>
          </cell>
          <cell r="E42">
            <v>878</v>
          </cell>
          <cell r="F42">
            <v>16300</v>
          </cell>
          <cell r="G42">
            <v>16112.76</v>
          </cell>
          <cell r="H42">
            <v>15752.93</v>
          </cell>
          <cell r="I42">
            <v>864</v>
          </cell>
          <cell r="J42">
            <v>145.38</v>
          </cell>
          <cell r="K42">
            <v>171.1</v>
          </cell>
          <cell r="L42">
            <v>83.4</v>
          </cell>
        </row>
        <row r="43">
          <cell r="C43">
            <v>18333.98</v>
          </cell>
          <cell r="D43">
            <v>18036.03</v>
          </cell>
          <cell r="E43">
            <v>1023</v>
          </cell>
          <cell r="F43">
            <v>18400</v>
          </cell>
          <cell r="G43">
            <v>16394.96</v>
          </cell>
          <cell r="H43">
            <v>16088.51</v>
          </cell>
          <cell r="I43">
            <v>863</v>
          </cell>
          <cell r="J43">
            <v>144.32999999999998</v>
          </cell>
          <cell r="K43">
            <v>170.2</v>
          </cell>
          <cell r="L43">
            <v>59.6</v>
          </cell>
        </row>
        <row r="44">
          <cell r="C44">
            <v>18530.490000000002</v>
          </cell>
          <cell r="D44">
            <v>18211.349999999999</v>
          </cell>
          <cell r="E44">
            <v>1033</v>
          </cell>
          <cell r="F44">
            <v>18500</v>
          </cell>
          <cell r="G44">
            <v>18012.2</v>
          </cell>
          <cell r="H44">
            <v>17633.82</v>
          </cell>
          <cell r="I44">
            <v>950</v>
          </cell>
          <cell r="J44">
            <v>138.58000000000001</v>
          </cell>
          <cell r="K44">
            <v>165.08</v>
          </cell>
          <cell r="L44">
            <v>79.2</v>
          </cell>
        </row>
        <row r="45">
          <cell r="C45">
            <v>7787.28</v>
          </cell>
          <cell r="D45">
            <v>7680.56</v>
          </cell>
          <cell r="E45">
            <v>490</v>
          </cell>
          <cell r="F45">
            <v>7800</v>
          </cell>
          <cell r="G45">
            <v>10611.56</v>
          </cell>
          <cell r="H45">
            <v>10380.219999999999</v>
          </cell>
          <cell r="I45">
            <v>637</v>
          </cell>
          <cell r="J45">
            <v>119</v>
          </cell>
          <cell r="K45">
            <v>141.5</v>
          </cell>
          <cell r="L45">
            <v>66.66</v>
          </cell>
        </row>
        <row r="46">
          <cell r="C46">
            <v>9406.86</v>
          </cell>
          <cell r="D46">
            <v>9229.56</v>
          </cell>
          <cell r="E46">
            <v>549</v>
          </cell>
          <cell r="F46">
            <v>9400</v>
          </cell>
          <cell r="G46">
            <v>11555.47</v>
          </cell>
          <cell r="H46">
            <v>11214.05</v>
          </cell>
          <cell r="I46">
            <v>676</v>
          </cell>
          <cell r="J46">
            <v>134.30000000000001</v>
          </cell>
          <cell r="K46">
            <v>150.78</v>
          </cell>
          <cell r="L46">
            <v>47.46</v>
          </cell>
        </row>
        <row r="47">
          <cell r="C47">
            <v>11530.54</v>
          </cell>
          <cell r="D47">
            <v>11348.82</v>
          </cell>
          <cell r="E47">
            <v>686</v>
          </cell>
          <cell r="F47">
            <v>11600</v>
          </cell>
          <cell r="G47">
            <v>12312.46</v>
          </cell>
          <cell r="H47">
            <v>12086.31</v>
          </cell>
          <cell r="I47">
            <v>676</v>
          </cell>
          <cell r="J47">
            <v>120.15999999999998</v>
          </cell>
          <cell r="K47">
            <v>144.66999999999999</v>
          </cell>
          <cell r="L47">
            <v>56.08</v>
          </cell>
        </row>
        <row r="48">
          <cell r="C48">
            <v>9468.41</v>
          </cell>
          <cell r="D48">
            <v>9266.8799999999992</v>
          </cell>
          <cell r="E48">
            <v>611</v>
          </cell>
          <cell r="F48">
            <v>9400</v>
          </cell>
          <cell r="G48">
            <v>12965.91</v>
          </cell>
          <cell r="H48">
            <v>12660.55</v>
          </cell>
          <cell r="I48">
            <v>670</v>
          </cell>
          <cell r="J48">
            <v>137.47</v>
          </cell>
          <cell r="K48">
            <v>153.52000000000001</v>
          </cell>
          <cell r="L48">
            <v>56.85</v>
          </cell>
        </row>
        <row r="49">
          <cell r="C49">
            <v>16631.78</v>
          </cell>
          <cell r="D49">
            <v>16439.330000000002</v>
          </cell>
          <cell r="E49">
            <v>958</v>
          </cell>
          <cell r="F49">
            <v>16700</v>
          </cell>
          <cell r="G49">
            <v>17683.96</v>
          </cell>
          <cell r="H49">
            <v>17299.2</v>
          </cell>
          <cell r="I49">
            <v>990</v>
          </cell>
          <cell r="J49">
            <v>159.20000000000002</v>
          </cell>
          <cell r="K49">
            <v>184.3</v>
          </cell>
          <cell r="L49">
            <v>97.81</v>
          </cell>
        </row>
        <row r="50">
          <cell r="C50">
            <v>21099.42</v>
          </cell>
          <cell r="D50">
            <v>20786.62</v>
          </cell>
          <cell r="E50">
            <v>1155</v>
          </cell>
          <cell r="F50">
            <v>21200</v>
          </cell>
          <cell r="G50">
            <v>18595.38</v>
          </cell>
          <cell r="H50">
            <v>18283.419999999998</v>
          </cell>
          <cell r="I50">
            <v>1021</v>
          </cell>
          <cell r="J50">
            <v>178.45000000000002</v>
          </cell>
          <cell r="K50">
            <v>195.4</v>
          </cell>
          <cell r="L50">
            <v>48.64</v>
          </cell>
        </row>
        <row r="51">
          <cell r="C51">
            <v>19802.86</v>
          </cell>
          <cell r="D51">
            <v>19432.8</v>
          </cell>
          <cell r="E51">
            <v>1068</v>
          </cell>
          <cell r="F51">
            <v>19800</v>
          </cell>
          <cell r="G51">
            <v>18424.82</v>
          </cell>
          <cell r="H51">
            <v>18010.52</v>
          </cell>
          <cell r="I51">
            <v>905</v>
          </cell>
          <cell r="J51">
            <v>156.22</v>
          </cell>
          <cell r="K51">
            <v>172.82</v>
          </cell>
          <cell r="L51">
            <v>55.22</v>
          </cell>
        </row>
        <row r="52">
          <cell r="C52">
            <v>8822.64</v>
          </cell>
          <cell r="D52">
            <v>8746.59</v>
          </cell>
          <cell r="E52">
            <v>551</v>
          </cell>
          <cell r="F52">
            <v>8900</v>
          </cell>
          <cell r="G52">
            <v>11421.75</v>
          </cell>
          <cell r="H52">
            <v>11136.64</v>
          </cell>
          <cell r="I52">
            <v>663</v>
          </cell>
          <cell r="J52">
            <v>114.44</v>
          </cell>
          <cell r="K52">
            <v>132.47</v>
          </cell>
          <cell r="L52">
            <v>74.349999999999994</v>
          </cell>
        </row>
        <row r="53">
          <cell r="C53">
            <v>9891.23</v>
          </cell>
          <cell r="D53">
            <v>9740.9599999999991</v>
          </cell>
          <cell r="E53">
            <v>609</v>
          </cell>
          <cell r="F53">
            <v>9900</v>
          </cell>
          <cell r="G53">
            <v>13152.68</v>
          </cell>
          <cell r="H53">
            <v>12857.95</v>
          </cell>
          <cell r="I53">
            <v>752</v>
          </cell>
          <cell r="J53">
            <v>128.05000000000001</v>
          </cell>
          <cell r="K53">
            <v>145.55000000000001</v>
          </cell>
          <cell r="L53">
            <v>62.94</v>
          </cell>
        </row>
        <row r="54">
          <cell r="C54">
            <v>11298.84</v>
          </cell>
          <cell r="D54">
            <v>11142.39</v>
          </cell>
          <cell r="E54">
            <v>683</v>
          </cell>
          <cell r="F54">
            <v>11400</v>
          </cell>
          <cell r="G54">
            <v>13517.39</v>
          </cell>
          <cell r="H54">
            <v>13243.81</v>
          </cell>
          <cell r="I54">
            <v>752</v>
          </cell>
          <cell r="J54">
            <v>135.05000000000001</v>
          </cell>
          <cell r="K54">
            <v>152.80000000000001</v>
          </cell>
          <cell r="L54">
            <v>106.07</v>
          </cell>
        </row>
        <row r="55">
          <cell r="C55">
            <v>11023.34</v>
          </cell>
          <cell r="D55">
            <v>10904.53</v>
          </cell>
          <cell r="E55">
            <v>657</v>
          </cell>
          <cell r="F55">
            <v>11100</v>
          </cell>
          <cell r="G55">
            <v>12470.87</v>
          </cell>
          <cell r="H55">
            <v>12145.38</v>
          </cell>
          <cell r="I55">
            <v>690</v>
          </cell>
          <cell r="J55">
            <v>128.26000000000002</v>
          </cell>
          <cell r="K55">
            <v>145.05000000000001</v>
          </cell>
          <cell r="L55">
            <v>70.53</v>
          </cell>
        </row>
        <row r="56">
          <cell r="C56">
            <v>16000.58</v>
          </cell>
          <cell r="D56">
            <v>15758.98</v>
          </cell>
          <cell r="E56">
            <v>960</v>
          </cell>
          <cell r="F56">
            <v>16000</v>
          </cell>
          <cell r="G56">
            <v>15743.3</v>
          </cell>
          <cell r="H56">
            <v>15422.92</v>
          </cell>
          <cell r="I56">
            <v>844</v>
          </cell>
          <cell r="J56">
            <v>161.71</v>
          </cell>
          <cell r="K56">
            <v>178.03</v>
          </cell>
          <cell r="L56">
            <v>47.19</v>
          </cell>
        </row>
        <row r="57">
          <cell r="C57">
            <v>16065.94</v>
          </cell>
          <cell r="D57">
            <v>15791.79</v>
          </cell>
          <cell r="E57">
            <v>905</v>
          </cell>
          <cell r="F57">
            <v>16100</v>
          </cell>
          <cell r="G57">
            <v>17423.900000000001</v>
          </cell>
          <cell r="H57">
            <v>17123.490000000002</v>
          </cell>
          <cell r="I57">
            <v>927</v>
          </cell>
          <cell r="J57">
            <v>176.82</v>
          </cell>
          <cell r="K57">
            <v>192.62</v>
          </cell>
          <cell r="L57">
            <v>65.25</v>
          </cell>
        </row>
        <row r="58">
          <cell r="C58">
            <v>17129.79</v>
          </cell>
          <cell r="D58">
            <v>16847.62</v>
          </cell>
          <cell r="E58">
            <v>916</v>
          </cell>
          <cell r="F58">
            <v>17200</v>
          </cell>
          <cell r="G58">
            <v>16544.91</v>
          </cell>
          <cell r="H58">
            <v>16187.91</v>
          </cell>
          <cell r="I58">
            <v>846</v>
          </cell>
          <cell r="J58">
            <v>153.20000000000002</v>
          </cell>
          <cell r="K58">
            <v>170.68</v>
          </cell>
          <cell r="L58">
            <v>73.89</v>
          </cell>
        </row>
        <row r="59">
          <cell r="C59">
            <v>12414.56</v>
          </cell>
          <cell r="D59">
            <v>12186.77</v>
          </cell>
          <cell r="E59">
            <v>749</v>
          </cell>
          <cell r="F59">
            <v>12400</v>
          </cell>
          <cell r="G59">
            <v>8837.7999999999993</v>
          </cell>
          <cell r="H59">
            <v>8699.02</v>
          </cell>
          <cell r="I59">
            <v>523</v>
          </cell>
          <cell r="J59">
            <v>107.22</v>
          </cell>
          <cell r="K59">
            <v>125.97</v>
          </cell>
          <cell r="L59">
            <v>86.23</v>
          </cell>
        </row>
        <row r="60">
          <cell r="C60">
            <v>11847.06</v>
          </cell>
          <cell r="D60">
            <v>11678.03</v>
          </cell>
          <cell r="E60">
            <v>730</v>
          </cell>
          <cell r="F60">
            <v>11900</v>
          </cell>
          <cell r="G60">
            <v>9936.2999999999993</v>
          </cell>
          <cell r="H60">
            <v>9752.85</v>
          </cell>
          <cell r="I60">
            <v>597</v>
          </cell>
          <cell r="J60">
            <v>110.45</v>
          </cell>
          <cell r="K60">
            <v>126.75</v>
          </cell>
          <cell r="L60">
            <v>59.87</v>
          </cell>
        </row>
        <row r="61">
          <cell r="C61">
            <v>13080.33</v>
          </cell>
          <cell r="D61">
            <v>12819.67</v>
          </cell>
          <cell r="E61">
            <v>794</v>
          </cell>
          <cell r="F61">
            <v>13100</v>
          </cell>
          <cell r="G61">
            <v>11952.21</v>
          </cell>
          <cell r="H61">
            <v>11695.66</v>
          </cell>
          <cell r="I61">
            <v>714</v>
          </cell>
          <cell r="J61">
            <v>116.41</v>
          </cell>
          <cell r="K61">
            <v>141.18</v>
          </cell>
          <cell r="L61">
            <v>57.95</v>
          </cell>
        </row>
        <row r="62">
          <cell r="C62">
            <v>14075.69</v>
          </cell>
          <cell r="D62">
            <v>13790.14</v>
          </cell>
          <cell r="E62">
            <v>837</v>
          </cell>
          <cell r="F62">
            <v>14000</v>
          </cell>
          <cell r="G62">
            <v>9750.42</v>
          </cell>
          <cell r="H62">
            <v>9538.16</v>
          </cell>
          <cell r="I62">
            <v>566</v>
          </cell>
          <cell r="J62">
            <v>114.1</v>
          </cell>
          <cell r="K62">
            <v>131.32</v>
          </cell>
          <cell r="L62">
            <v>101.48</v>
          </cell>
        </row>
        <row r="63">
          <cell r="C63">
            <v>17439.650000000001</v>
          </cell>
          <cell r="D63">
            <v>17168.939999999999</v>
          </cell>
          <cell r="E63">
            <v>1049</v>
          </cell>
          <cell r="F63">
            <v>17500</v>
          </cell>
          <cell r="G63">
            <v>16942.3</v>
          </cell>
          <cell r="H63">
            <v>16692.64</v>
          </cell>
          <cell r="I63">
            <v>982</v>
          </cell>
          <cell r="J63">
            <v>166.92000000000002</v>
          </cell>
          <cell r="K63">
            <v>176.44</v>
          </cell>
          <cell r="L63">
            <v>53.67</v>
          </cell>
        </row>
        <row r="64">
          <cell r="C64">
            <v>16725.3</v>
          </cell>
          <cell r="D64">
            <v>16473.78</v>
          </cell>
          <cell r="E64">
            <v>929</v>
          </cell>
          <cell r="F64">
            <v>16800</v>
          </cell>
          <cell r="G64">
            <v>16095.82</v>
          </cell>
          <cell r="H64">
            <v>15867.14</v>
          </cell>
          <cell r="I64">
            <v>927</v>
          </cell>
          <cell r="J64">
            <v>157.35999999999999</v>
          </cell>
          <cell r="K64">
            <v>182.42</v>
          </cell>
          <cell r="L64">
            <v>70.67</v>
          </cell>
        </row>
        <row r="65">
          <cell r="C65">
            <v>18393.05</v>
          </cell>
          <cell r="D65">
            <v>18141.46</v>
          </cell>
          <cell r="E65">
            <v>978</v>
          </cell>
          <cell r="F65">
            <v>18300</v>
          </cell>
          <cell r="G65">
            <v>20445.13</v>
          </cell>
          <cell r="H65">
            <v>20097.419999999998</v>
          </cell>
          <cell r="I65">
            <v>1032</v>
          </cell>
          <cell r="J65">
            <v>142.85</v>
          </cell>
          <cell r="K65">
            <v>168.32</v>
          </cell>
          <cell r="L65">
            <v>82.13</v>
          </cell>
        </row>
        <row r="66">
          <cell r="C66">
            <v>13688.45</v>
          </cell>
          <cell r="D66">
            <v>13475.26</v>
          </cell>
          <cell r="E66">
            <v>813</v>
          </cell>
          <cell r="F66">
            <v>13600</v>
          </cell>
          <cell r="G66">
            <v>9762.39</v>
          </cell>
          <cell r="H66">
            <v>9551.84</v>
          </cell>
          <cell r="I66">
            <v>548</v>
          </cell>
          <cell r="J66">
            <v>100.02</v>
          </cell>
          <cell r="K66">
            <v>118.17</v>
          </cell>
          <cell r="L66">
            <v>68.260000000000005</v>
          </cell>
        </row>
        <row r="67">
          <cell r="C67">
            <v>13948.13</v>
          </cell>
          <cell r="D67">
            <v>13693.75</v>
          </cell>
          <cell r="E67">
            <v>810</v>
          </cell>
          <cell r="F67">
            <v>13800</v>
          </cell>
          <cell r="G67">
            <v>9260.08</v>
          </cell>
          <cell r="H67">
            <v>9082.82</v>
          </cell>
          <cell r="I67">
            <v>550</v>
          </cell>
          <cell r="J67">
            <v>104.60000000000001</v>
          </cell>
          <cell r="K67">
            <v>121.9</v>
          </cell>
          <cell r="L67">
            <v>81.83</v>
          </cell>
        </row>
        <row r="68">
          <cell r="C68">
            <v>14142.55</v>
          </cell>
          <cell r="D68">
            <v>13884.02</v>
          </cell>
          <cell r="E68">
            <v>821</v>
          </cell>
          <cell r="F68">
            <v>14000</v>
          </cell>
          <cell r="G68">
            <v>12380.39</v>
          </cell>
          <cell r="H68">
            <v>12086.39</v>
          </cell>
          <cell r="I68">
            <v>705</v>
          </cell>
          <cell r="J68">
            <v>116.57000000000001</v>
          </cell>
          <cell r="K68">
            <v>134.30000000000001</v>
          </cell>
          <cell r="L68">
            <v>84.71</v>
          </cell>
        </row>
        <row r="69">
          <cell r="C69">
            <v>12878.85</v>
          </cell>
          <cell r="D69">
            <v>12715.12</v>
          </cell>
          <cell r="E69">
            <v>769</v>
          </cell>
          <cell r="F69">
            <v>12800</v>
          </cell>
          <cell r="G69">
            <v>9372.4</v>
          </cell>
          <cell r="H69">
            <v>9166.57</v>
          </cell>
          <cell r="I69">
            <v>560</v>
          </cell>
          <cell r="J69">
            <v>123.23999999999998</v>
          </cell>
          <cell r="K69">
            <v>139.82</v>
          </cell>
          <cell r="L69">
            <v>42.15</v>
          </cell>
        </row>
        <row r="70">
          <cell r="C70">
            <v>17568.759999999998</v>
          </cell>
          <cell r="D70">
            <v>17286.38</v>
          </cell>
          <cell r="E70">
            <v>1033</v>
          </cell>
          <cell r="F70">
            <v>17400</v>
          </cell>
          <cell r="G70">
            <v>13952.03</v>
          </cell>
          <cell r="H70">
            <v>13672.2</v>
          </cell>
          <cell r="I70">
            <v>796</v>
          </cell>
          <cell r="J70">
            <v>141.78</v>
          </cell>
          <cell r="K70">
            <v>168.08</v>
          </cell>
          <cell r="L70">
            <v>64.760000000000005</v>
          </cell>
        </row>
        <row r="71">
          <cell r="C71">
            <v>17182.939999999999</v>
          </cell>
          <cell r="D71">
            <v>16920.509999999998</v>
          </cell>
          <cell r="E71">
            <v>995</v>
          </cell>
          <cell r="F71">
            <v>17100</v>
          </cell>
          <cell r="G71">
            <v>19290.419999999998</v>
          </cell>
          <cell r="H71">
            <v>18913.52</v>
          </cell>
          <cell r="I71">
            <v>1065</v>
          </cell>
          <cell r="J71">
            <v>153.04999999999998</v>
          </cell>
          <cell r="K71">
            <v>181.32</v>
          </cell>
          <cell r="L71">
            <v>79.97</v>
          </cell>
        </row>
        <row r="72">
          <cell r="C72">
            <v>16521.240000000002</v>
          </cell>
          <cell r="D72">
            <v>16244.99</v>
          </cell>
          <cell r="E72">
            <v>874</v>
          </cell>
          <cell r="F72">
            <v>16400</v>
          </cell>
          <cell r="G72">
            <v>18626.28</v>
          </cell>
          <cell r="H72">
            <v>18312.25</v>
          </cell>
          <cell r="I72">
            <v>1011</v>
          </cell>
          <cell r="J72">
            <v>138.05000000000001</v>
          </cell>
          <cell r="K72">
            <v>154.77000000000001</v>
          </cell>
          <cell r="L72">
            <v>57.74</v>
          </cell>
        </row>
        <row r="73">
          <cell r="C73">
            <v>8426.42</v>
          </cell>
          <cell r="D73">
            <v>8304.68</v>
          </cell>
          <cell r="E73">
            <v>530</v>
          </cell>
          <cell r="F73">
            <v>8400</v>
          </cell>
          <cell r="G73">
            <v>7939.67</v>
          </cell>
          <cell r="H73">
            <v>7829.9</v>
          </cell>
          <cell r="I73">
            <v>472</v>
          </cell>
          <cell r="J73">
            <v>102.32</v>
          </cell>
          <cell r="K73">
            <v>119.75</v>
          </cell>
          <cell r="L73">
            <v>60.14</v>
          </cell>
        </row>
        <row r="74">
          <cell r="C74">
            <v>9205.2800000000007</v>
          </cell>
          <cell r="D74">
            <v>9124.74</v>
          </cell>
          <cell r="E74">
            <v>552</v>
          </cell>
          <cell r="F74">
            <v>9200</v>
          </cell>
          <cell r="G74">
            <v>8656.69</v>
          </cell>
          <cell r="H74">
            <v>8491.8799999999992</v>
          </cell>
          <cell r="I74">
            <v>494</v>
          </cell>
          <cell r="J74">
            <v>89.37</v>
          </cell>
          <cell r="K74">
            <v>108.13</v>
          </cell>
          <cell r="L74">
            <v>148.46</v>
          </cell>
        </row>
        <row r="75">
          <cell r="C75">
            <v>10806.52</v>
          </cell>
          <cell r="D75">
            <v>10634.16</v>
          </cell>
          <cell r="E75">
            <v>659</v>
          </cell>
          <cell r="F75">
            <v>10700</v>
          </cell>
          <cell r="G75">
            <v>11708.15</v>
          </cell>
          <cell r="H75">
            <v>11459.45</v>
          </cell>
          <cell r="I75">
            <v>618</v>
          </cell>
          <cell r="J75">
            <v>137.13</v>
          </cell>
          <cell r="K75">
            <v>154.80000000000001</v>
          </cell>
          <cell r="L75">
            <v>66.010000000000005</v>
          </cell>
        </row>
        <row r="76">
          <cell r="C76">
            <v>9122.75</v>
          </cell>
          <cell r="D76">
            <v>8963.4</v>
          </cell>
          <cell r="E76">
            <v>562</v>
          </cell>
          <cell r="F76">
            <v>9000</v>
          </cell>
          <cell r="G76">
            <v>8821.4500000000007</v>
          </cell>
          <cell r="H76">
            <v>8673.24</v>
          </cell>
          <cell r="I76">
            <v>524</v>
          </cell>
          <cell r="J76">
            <v>92.78</v>
          </cell>
          <cell r="K76">
            <v>109.15</v>
          </cell>
          <cell r="L76">
            <v>49.42</v>
          </cell>
        </row>
        <row r="77">
          <cell r="C77">
            <v>12726.24</v>
          </cell>
          <cell r="D77">
            <v>12541.63</v>
          </cell>
          <cell r="E77">
            <v>752</v>
          </cell>
          <cell r="F77">
            <v>12600</v>
          </cell>
          <cell r="G77">
            <v>13370.08</v>
          </cell>
          <cell r="H77">
            <v>13125.36</v>
          </cell>
          <cell r="I77">
            <v>805</v>
          </cell>
          <cell r="J77">
            <v>144.82000000000002</v>
          </cell>
          <cell r="K77">
            <v>170.77</v>
          </cell>
          <cell r="L77">
            <v>107</v>
          </cell>
        </row>
        <row r="78">
          <cell r="C78">
            <v>13536.7</v>
          </cell>
          <cell r="D78">
            <v>13390.16</v>
          </cell>
          <cell r="E78">
            <v>732</v>
          </cell>
          <cell r="F78">
            <v>13500</v>
          </cell>
          <cell r="G78">
            <v>14286.51</v>
          </cell>
          <cell r="H78">
            <v>13948.74</v>
          </cell>
          <cell r="I78">
            <v>789</v>
          </cell>
          <cell r="J78">
            <v>164.45000000000002</v>
          </cell>
          <cell r="K78">
            <v>189.53</v>
          </cell>
          <cell r="L78">
            <v>80.3</v>
          </cell>
        </row>
        <row r="79">
          <cell r="C79">
            <v>15953.81</v>
          </cell>
          <cell r="D79">
            <v>15754.42</v>
          </cell>
          <cell r="E79">
            <v>846</v>
          </cell>
          <cell r="F79">
            <v>15900</v>
          </cell>
          <cell r="G79">
            <v>15224.84</v>
          </cell>
          <cell r="H79">
            <v>14919.99</v>
          </cell>
          <cell r="I79">
            <v>782</v>
          </cell>
          <cell r="J79">
            <v>164.20999999999998</v>
          </cell>
          <cell r="K79">
            <v>188.53</v>
          </cell>
          <cell r="L79">
            <v>66.16</v>
          </cell>
        </row>
        <row r="80">
          <cell r="C80">
            <v>8034.95</v>
          </cell>
          <cell r="D80">
            <v>7900.86</v>
          </cell>
          <cell r="E80">
            <v>498</v>
          </cell>
          <cell r="F80">
            <v>8000</v>
          </cell>
          <cell r="G80">
            <v>8190.35</v>
          </cell>
          <cell r="H80">
            <v>8058.41</v>
          </cell>
          <cell r="I80">
            <v>495</v>
          </cell>
          <cell r="J80">
            <v>108.53</v>
          </cell>
          <cell r="K80">
            <v>126.33</v>
          </cell>
          <cell r="L80">
            <v>52.41</v>
          </cell>
        </row>
        <row r="81">
          <cell r="C81">
            <v>9934.65</v>
          </cell>
          <cell r="D81">
            <v>9830.75</v>
          </cell>
          <cell r="E81">
            <v>603</v>
          </cell>
          <cell r="F81">
            <v>9900</v>
          </cell>
          <cell r="G81">
            <v>9243.81</v>
          </cell>
          <cell r="H81">
            <v>9096.08</v>
          </cell>
          <cell r="I81">
            <v>531</v>
          </cell>
          <cell r="J81">
            <v>105.3</v>
          </cell>
          <cell r="K81">
            <v>122.83</v>
          </cell>
          <cell r="L81">
            <v>75.02</v>
          </cell>
        </row>
        <row r="82">
          <cell r="C82">
            <v>11412.99</v>
          </cell>
          <cell r="D82">
            <v>11262.05</v>
          </cell>
          <cell r="E82">
            <v>721</v>
          </cell>
          <cell r="F82">
            <v>11400</v>
          </cell>
          <cell r="G82">
            <v>10952.5</v>
          </cell>
          <cell r="H82">
            <v>10719.36</v>
          </cell>
          <cell r="I82">
            <v>641</v>
          </cell>
          <cell r="J82">
            <v>119.83</v>
          </cell>
          <cell r="K82">
            <v>135.18</v>
          </cell>
          <cell r="L82">
            <v>64.260000000000005</v>
          </cell>
        </row>
        <row r="83">
          <cell r="C83">
            <v>10331.48</v>
          </cell>
          <cell r="D83">
            <v>10197.6</v>
          </cell>
          <cell r="E83">
            <v>647</v>
          </cell>
          <cell r="F83">
            <v>10300</v>
          </cell>
          <cell r="G83">
            <v>8769.68</v>
          </cell>
          <cell r="H83">
            <v>8602.2000000000007</v>
          </cell>
          <cell r="I83">
            <v>551</v>
          </cell>
          <cell r="J83">
            <v>115.64000000000001</v>
          </cell>
          <cell r="K83">
            <v>132.27000000000001</v>
          </cell>
          <cell r="L83">
            <v>63.95</v>
          </cell>
        </row>
        <row r="84">
          <cell r="C84">
            <v>12245.2</v>
          </cell>
          <cell r="D84">
            <v>12096.11</v>
          </cell>
          <cell r="E84">
            <v>813</v>
          </cell>
          <cell r="F84">
            <v>12200</v>
          </cell>
          <cell r="G84">
            <v>15639.58</v>
          </cell>
          <cell r="H84">
            <v>15348.66</v>
          </cell>
          <cell r="I84">
            <v>933</v>
          </cell>
          <cell r="J84">
            <v>157.04</v>
          </cell>
          <cell r="K84">
            <v>176.07</v>
          </cell>
          <cell r="L84">
            <v>69.25</v>
          </cell>
        </row>
        <row r="85">
          <cell r="C85">
            <v>15180.45</v>
          </cell>
          <cell r="D85">
            <v>14969.51</v>
          </cell>
          <cell r="E85">
            <v>915</v>
          </cell>
          <cell r="F85">
            <v>15100</v>
          </cell>
          <cell r="G85">
            <v>17388.919999999998</v>
          </cell>
          <cell r="H85">
            <v>17111.919999999998</v>
          </cell>
          <cell r="I85">
            <v>1004</v>
          </cell>
          <cell r="J85">
            <v>160.46</v>
          </cell>
          <cell r="K85">
            <v>185.9</v>
          </cell>
          <cell r="L85">
            <v>52.77</v>
          </cell>
        </row>
        <row r="86">
          <cell r="C86">
            <v>19211.23</v>
          </cell>
          <cell r="D86">
            <v>18923.7</v>
          </cell>
          <cell r="E86">
            <v>1021</v>
          </cell>
          <cell r="F86">
            <v>19100</v>
          </cell>
          <cell r="G86">
            <v>16797.509999999998</v>
          </cell>
          <cell r="H86">
            <v>16466.86</v>
          </cell>
          <cell r="I86">
            <v>789</v>
          </cell>
          <cell r="J86">
            <v>150.91000000000003</v>
          </cell>
          <cell r="K86">
            <v>173.9</v>
          </cell>
          <cell r="L86">
            <v>92.1</v>
          </cell>
        </row>
        <row r="87">
          <cell r="C87">
            <v>8226.93</v>
          </cell>
          <cell r="D87">
            <v>8114.59</v>
          </cell>
          <cell r="E87">
            <v>503</v>
          </cell>
          <cell r="F87">
            <v>8200</v>
          </cell>
          <cell r="G87">
            <v>7827.75</v>
          </cell>
          <cell r="H87">
            <v>7672.94</v>
          </cell>
          <cell r="I87">
            <v>482</v>
          </cell>
          <cell r="J87">
            <v>102.07999999999998</v>
          </cell>
          <cell r="K87">
            <v>128.63</v>
          </cell>
          <cell r="L87">
            <v>41.32</v>
          </cell>
        </row>
        <row r="88">
          <cell r="C88">
            <v>10502.44</v>
          </cell>
          <cell r="D88">
            <v>10318.200000000001</v>
          </cell>
          <cell r="E88">
            <v>652</v>
          </cell>
          <cell r="F88">
            <v>10400</v>
          </cell>
          <cell r="G88">
            <v>9647.68</v>
          </cell>
          <cell r="H88">
            <v>9458.1</v>
          </cell>
          <cell r="I88">
            <v>567</v>
          </cell>
          <cell r="J88">
            <v>103.21000000000001</v>
          </cell>
          <cell r="K88">
            <v>122.03</v>
          </cell>
          <cell r="L88">
            <v>70.25</v>
          </cell>
        </row>
        <row r="89">
          <cell r="C89">
            <v>10802.8</v>
          </cell>
          <cell r="D89">
            <v>10557.07</v>
          </cell>
          <cell r="E89">
            <v>678</v>
          </cell>
          <cell r="F89">
            <v>10700</v>
          </cell>
          <cell r="G89">
            <v>11111.74</v>
          </cell>
          <cell r="H89">
            <v>10752.24</v>
          </cell>
          <cell r="I89">
            <v>622</v>
          </cell>
          <cell r="J89">
            <v>118.67</v>
          </cell>
          <cell r="K89">
            <v>134.65</v>
          </cell>
          <cell r="L89">
            <v>49.77</v>
          </cell>
        </row>
        <row r="90">
          <cell r="C90">
            <v>11141.66</v>
          </cell>
          <cell r="D90">
            <v>10951.76</v>
          </cell>
          <cell r="E90">
            <v>643</v>
          </cell>
          <cell r="F90">
            <v>11100</v>
          </cell>
          <cell r="G90">
            <v>8719.91</v>
          </cell>
          <cell r="H90">
            <v>8559.0300000000007</v>
          </cell>
          <cell r="I90">
            <v>496</v>
          </cell>
          <cell r="J90">
            <v>113.62</v>
          </cell>
          <cell r="K90">
            <v>129.5</v>
          </cell>
          <cell r="L90">
            <v>62.21</v>
          </cell>
        </row>
        <row r="91">
          <cell r="C91">
            <v>14977.07</v>
          </cell>
          <cell r="D91">
            <v>14566.23</v>
          </cell>
          <cell r="E91">
            <v>884</v>
          </cell>
          <cell r="F91">
            <v>14700</v>
          </cell>
          <cell r="G91">
            <v>13732.83</v>
          </cell>
          <cell r="H91">
            <v>13442.51</v>
          </cell>
          <cell r="I91">
            <v>762</v>
          </cell>
          <cell r="J91">
            <v>129.61999999999998</v>
          </cell>
          <cell r="K91">
            <v>157.41999999999999</v>
          </cell>
          <cell r="L91">
            <v>89.75</v>
          </cell>
        </row>
        <row r="92">
          <cell r="C92">
            <v>17162.259999999998</v>
          </cell>
          <cell r="D92">
            <v>16701.11</v>
          </cell>
          <cell r="E92">
            <v>997</v>
          </cell>
          <cell r="F92">
            <v>16800</v>
          </cell>
          <cell r="G92">
            <v>16149.54</v>
          </cell>
          <cell r="H92">
            <v>15795.13</v>
          </cell>
          <cell r="I92">
            <v>930</v>
          </cell>
          <cell r="J92">
            <v>144.30000000000001</v>
          </cell>
          <cell r="K92">
            <v>169.88</v>
          </cell>
          <cell r="L92">
            <v>52.02</v>
          </cell>
        </row>
        <row r="93">
          <cell r="C93">
            <v>22204.09</v>
          </cell>
          <cell r="D93">
            <v>21685.84</v>
          </cell>
          <cell r="E93">
            <v>1248</v>
          </cell>
          <cell r="F93">
            <v>21900</v>
          </cell>
          <cell r="G93">
            <v>19387.150000000001</v>
          </cell>
          <cell r="H93">
            <v>18874.73</v>
          </cell>
          <cell r="I93">
            <v>907</v>
          </cell>
          <cell r="J93">
            <v>148.08999999999997</v>
          </cell>
          <cell r="K93">
            <v>172.67</v>
          </cell>
          <cell r="L93">
            <v>54.72</v>
          </cell>
        </row>
        <row r="94">
          <cell r="C94">
            <v>9617.51</v>
          </cell>
          <cell r="D94">
            <v>9452.9599999999991</v>
          </cell>
          <cell r="E94">
            <v>617</v>
          </cell>
          <cell r="F94">
            <v>9500</v>
          </cell>
          <cell r="G94">
            <v>8898.9699999999993</v>
          </cell>
          <cell r="H94">
            <v>8727.69</v>
          </cell>
          <cell r="I94">
            <v>476</v>
          </cell>
          <cell r="J94">
            <v>99.28</v>
          </cell>
          <cell r="K94">
            <v>116.63</v>
          </cell>
          <cell r="L94">
            <v>60.25</v>
          </cell>
        </row>
        <row r="95">
          <cell r="C95">
            <v>11940.36</v>
          </cell>
          <cell r="D95">
            <v>11699.36</v>
          </cell>
          <cell r="E95">
            <v>718</v>
          </cell>
          <cell r="F95">
            <v>11800</v>
          </cell>
          <cell r="G95">
            <v>9741.7999999999993</v>
          </cell>
          <cell r="H95">
            <v>9503.9</v>
          </cell>
          <cell r="I95">
            <v>558</v>
          </cell>
          <cell r="J95">
            <v>90.5</v>
          </cell>
          <cell r="K95">
            <v>113.65</v>
          </cell>
          <cell r="L95">
            <v>134.96</v>
          </cell>
        </row>
        <row r="96">
          <cell r="C96">
            <v>14296.72</v>
          </cell>
          <cell r="D96">
            <v>13815.59</v>
          </cell>
          <cell r="E96">
            <v>861</v>
          </cell>
          <cell r="F96">
            <v>13900</v>
          </cell>
          <cell r="G96">
            <v>13770.15</v>
          </cell>
          <cell r="H96">
            <v>13367.06</v>
          </cell>
          <cell r="I96">
            <v>747</v>
          </cell>
          <cell r="J96">
            <v>138.41999999999999</v>
          </cell>
          <cell r="K96">
            <v>157.22</v>
          </cell>
          <cell r="L96">
            <v>66.48</v>
          </cell>
        </row>
        <row r="97">
          <cell r="C97">
            <v>12027.94</v>
          </cell>
          <cell r="D97">
            <v>11804.2</v>
          </cell>
          <cell r="E97">
            <v>755</v>
          </cell>
          <cell r="F97">
            <v>11900</v>
          </cell>
          <cell r="G97">
            <v>10589.29</v>
          </cell>
          <cell r="H97">
            <v>10267.51</v>
          </cell>
          <cell r="I97">
            <v>613</v>
          </cell>
          <cell r="J97">
            <v>110.32</v>
          </cell>
          <cell r="K97">
            <v>126.57</v>
          </cell>
          <cell r="L97">
            <v>40.08</v>
          </cell>
        </row>
        <row r="98">
          <cell r="C98">
            <v>18350.939999999999</v>
          </cell>
          <cell r="D98">
            <v>17944.77</v>
          </cell>
          <cell r="E98">
            <v>1111</v>
          </cell>
          <cell r="F98">
            <v>18100</v>
          </cell>
          <cell r="G98">
            <v>16452.45</v>
          </cell>
          <cell r="H98">
            <v>15997.12</v>
          </cell>
          <cell r="I98">
            <v>912</v>
          </cell>
          <cell r="J98">
            <v>159.91</v>
          </cell>
          <cell r="K98">
            <v>183.17</v>
          </cell>
          <cell r="L98">
            <v>41.46</v>
          </cell>
        </row>
        <row r="99">
          <cell r="C99">
            <v>22260.04</v>
          </cell>
          <cell r="D99">
            <v>21704.91</v>
          </cell>
          <cell r="E99">
            <v>1268</v>
          </cell>
          <cell r="F99">
            <v>21900</v>
          </cell>
          <cell r="G99">
            <v>20147.91</v>
          </cell>
          <cell r="H99">
            <v>19698.21</v>
          </cell>
          <cell r="I99">
            <v>1158</v>
          </cell>
          <cell r="J99">
            <v>179.9</v>
          </cell>
          <cell r="K99">
            <v>205.57</v>
          </cell>
          <cell r="L99">
            <v>59.92</v>
          </cell>
        </row>
        <row r="100">
          <cell r="C100">
            <v>26156.22</v>
          </cell>
          <cell r="D100">
            <v>25645.63</v>
          </cell>
          <cell r="E100">
            <v>1442</v>
          </cell>
          <cell r="F100">
            <v>25900</v>
          </cell>
          <cell r="G100">
            <v>21943.96</v>
          </cell>
          <cell r="H100">
            <v>21393.39</v>
          </cell>
          <cell r="I100">
            <v>1231</v>
          </cell>
          <cell r="J100">
            <v>164.53</v>
          </cell>
          <cell r="K100">
            <v>188.17</v>
          </cell>
          <cell r="L100">
            <v>56.22</v>
          </cell>
        </row>
        <row r="101">
          <cell r="C101">
            <v>11480.71</v>
          </cell>
          <cell r="D101">
            <v>11265.61</v>
          </cell>
          <cell r="E101">
            <v>714</v>
          </cell>
          <cell r="F101">
            <v>19300</v>
          </cell>
          <cell r="G101">
            <v>20913.09</v>
          </cell>
          <cell r="H101">
            <v>20387.05</v>
          </cell>
          <cell r="I101">
            <v>1139</v>
          </cell>
          <cell r="J101">
            <v>175.99</v>
          </cell>
          <cell r="K101">
            <v>195.27</v>
          </cell>
          <cell r="L101">
            <v>60.88</v>
          </cell>
        </row>
        <row r="102">
          <cell r="C102">
            <v>12844.4</v>
          </cell>
          <cell r="D102">
            <v>12624.4</v>
          </cell>
          <cell r="E102">
            <v>784</v>
          </cell>
          <cell r="F102">
            <v>12700</v>
          </cell>
          <cell r="G102">
            <v>15323.83</v>
          </cell>
          <cell r="H102">
            <v>14991.35</v>
          </cell>
          <cell r="I102">
            <v>955</v>
          </cell>
          <cell r="J102">
            <v>140.44999999999999</v>
          </cell>
          <cell r="K102">
            <v>158.94999999999999</v>
          </cell>
          <cell r="L102">
            <v>49.68</v>
          </cell>
        </row>
        <row r="103">
          <cell r="C103">
            <v>14695.2</v>
          </cell>
          <cell r="D103">
            <v>14430.43</v>
          </cell>
          <cell r="E103">
            <v>949</v>
          </cell>
          <cell r="F103">
            <v>14600</v>
          </cell>
          <cell r="G103">
            <v>16947.2</v>
          </cell>
          <cell r="H103">
            <v>16538.939999999999</v>
          </cell>
          <cell r="I103">
            <v>1087</v>
          </cell>
          <cell r="J103">
            <v>134.35</v>
          </cell>
          <cell r="K103">
            <v>151.87</v>
          </cell>
          <cell r="L103">
            <v>68.12</v>
          </cell>
        </row>
        <row r="104">
          <cell r="C104">
            <v>12628.31</v>
          </cell>
          <cell r="D104">
            <v>12439.44</v>
          </cell>
          <cell r="E104">
            <v>790</v>
          </cell>
          <cell r="F104">
            <v>12500</v>
          </cell>
          <cell r="G104">
            <v>17218.009999999998</v>
          </cell>
          <cell r="H104">
            <v>16791.54</v>
          </cell>
          <cell r="I104">
            <v>1070</v>
          </cell>
          <cell r="J104">
            <v>145.92999999999998</v>
          </cell>
          <cell r="K104">
            <v>163.19999999999999</v>
          </cell>
          <cell r="L104">
            <v>97.8</v>
          </cell>
        </row>
        <row r="105">
          <cell r="C105">
            <v>19952.169999999998</v>
          </cell>
          <cell r="D105">
            <v>19698.259999999998</v>
          </cell>
          <cell r="E105">
            <v>1270</v>
          </cell>
          <cell r="F105">
            <v>19900</v>
          </cell>
          <cell r="G105">
            <v>18961.900000000001</v>
          </cell>
          <cell r="H105">
            <v>18510.849999999999</v>
          </cell>
          <cell r="I105">
            <v>1107</v>
          </cell>
          <cell r="J105">
            <v>173.6</v>
          </cell>
          <cell r="K105">
            <v>220.2</v>
          </cell>
          <cell r="L105">
            <v>90.29</v>
          </cell>
        </row>
        <row r="106">
          <cell r="C106">
            <v>21338.05</v>
          </cell>
          <cell r="D106">
            <v>21024.42</v>
          </cell>
          <cell r="E106">
            <v>1238</v>
          </cell>
          <cell r="F106">
            <v>21200</v>
          </cell>
          <cell r="G106">
            <v>18755.939999999999</v>
          </cell>
          <cell r="H106">
            <v>18324.310000000001</v>
          </cell>
          <cell r="I106">
            <v>1046</v>
          </cell>
          <cell r="J106">
            <v>147.76</v>
          </cell>
          <cell r="K106">
            <v>192.67</v>
          </cell>
          <cell r="L106">
            <v>68.92</v>
          </cell>
        </row>
        <row r="107">
          <cell r="C107">
            <v>19029.68</v>
          </cell>
          <cell r="D107">
            <v>18664.669999999998</v>
          </cell>
          <cell r="E107">
            <v>942</v>
          </cell>
          <cell r="F107">
            <v>18800</v>
          </cell>
          <cell r="G107">
            <v>16053.62</v>
          </cell>
          <cell r="H107">
            <v>15504.04</v>
          </cell>
          <cell r="I107">
            <v>743</v>
          </cell>
          <cell r="J107">
            <v>165.44</v>
          </cell>
          <cell r="K107">
            <v>188.58</v>
          </cell>
          <cell r="L107">
            <v>66.98</v>
          </cell>
        </row>
        <row r="108">
          <cell r="C108">
            <v>9385.0400000000009</v>
          </cell>
          <cell r="D108">
            <v>9235.18</v>
          </cell>
          <cell r="E108">
            <v>574</v>
          </cell>
          <cell r="F108">
            <v>9300</v>
          </cell>
          <cell r="G108">
            <v>10967.43</v>
          </cell>
          <cell r="H108">
            <v>10648.08</v>
          </cell>
          <cell r="I108">
            <v>624</v>
          </cell>
          <cell r="J108">
            <v>119.7</v>
          </cell>
          <cell r="K108">
            <v>146.12</v>
          </cell>
          <cell r="L108">
            <v>76.55</v>
          </cell>
        </row>
        <row r="109">
          <cell r="C109">
            <v>10748.45</v>
          </cell>
          <cell r="D109">
            <v>10595.96</v>
          </cell>
          <cell r="E109">
            <v>639</v>
          </cell>
          <cell r="F109">
            <v>10700</v>
          </cell>
          <cell r="G109">
            <v>15038.03</v>
          </cell>
          <cell r="H109">
            <v>14624.29</v>
          </cell>
          <cell r="I109">
            <v>818</v>
          </cell>
          <cell r="J109">
            <v>134.13</v>
          </cell>
          <cell r="K109">
            <v>152.44999999999999</v>
          </cell>
          <cell r="L109">
            <v>48.44</v>
          </cell>
        </row>
        <row r="110">
          <cell r="C110">
            <v>10996.26</v>
          </cell>
          <cell r="D110">
            <v>10791.21</v>
          </cell>
          <cell r="E110">
            <v>665</v>
          </cell>
          <cell r="F110">
            <v>10900</v>
          </cell>
          <cell r="G110">
            <v>14914.76</v>
          </cell>
          <cell r="H110">
            <v>14514.7</v>
          </cell>
          <cell r="I110">
            <v>864</v>
          </cell>
          <cell r="J110">
            <v>134.82999999999998</v>
          </cell>
          <cell r="K110">
            <v>162.22999999999999</v>
          </cell>
          <cell r="L110">
            <v>60.25</v>
          </cell>
        </row>
        <row r="111">
          <cell r="C111">
            <v>11084.17</v>
          </cell>
          <cell r="D111">
            <v>10926.31</v>
          </cell>
          <cell r="E111">
            <v>638</v>
          </cell>
          <cell r="F111">
            <v>11000</v>
          </cell>
          <cell r="G111">
            <v>15192.68</v>
          </cell>
          <cell r="H111">
            <v>14852.28</v>
          </cell>
          <cell r="I111">
            <v>970</v>
          </cell>
          <cell r="J111">
            <v>132.07999999999998</v>
          </cell>
          <cell r="K111">
            <v>155.75</v>
          </cell>
          <cell r="L111">
            <v>94.03</v>
          </cell>
        </row>
        <row r="112">
          <cell r="C112">
            <v>17947.39</v>
          </cell>
          <cell r="D112">
            <v>17740.23</v>
          </cell>
          <cell r="E112">
            <v>1076</v>
          </cell>
          <cell r="F112">
            <v>17745</v>
          </cell>
          <cell r="G112">
            <v>20169.650000000001</v>
          </cell>
          <cell r="H112">
            <v>19705.240000000002</v>
          </cell>
          <cell r="I112">
            <v>1225</v>
          </cell>
          <cell r="J112">
            <v>174.55999999999997</v>
          </cell>
          <cell r="K112">
            <v>199.67</v>
          </cell>
          <cell r="L112">
            <v>112.23</v>
          </cell>
        </row>
        <row r="113">
          <cell r="C113">
            <v>19036.939999999999</v>
          </cell>
          <cell r="D113">
            <v>18735.38</v>
          </cell>
          <cell r="E113">
            <v>1166</v>
          </cell>
          <cell r="F113">
            <v>18900</v>
          </cell>
          <cell r="G113">
            <v>19408.22</v>
          </cell>
          <cell r="H113">
            <v>18939.66</v>
          </cell>
          <cell r="I113">
            <v>1152</v>
          </cell>
          <cell r="J113">
            <v>170.57</v>
          </cell>
          <cell r="K113">
            <v>198.35</v>
          </cell>
          <cell r="L113">
            <v>59.98</v>
          </cell>
        </row>
        <row r="114">
          <cell r="C114">
            <v>19463.18</v>
          </cell>
          <cell r="D114">
            <v>19238.759999999998</v>
          </cell>
          <cell r="E114">
            <v>1126</v>
          </cell>
          <cell r="F114">
            <v>19400</v>
          </cell>
          <cell r="G114">
            <v>18661.29</v>
          </cell>
          <cell r="H114">
            <v>18300.29</v>
          </cell>
          <cell r="I114">
            <v>988</v>
          </cell>
          <cell r="J114">
            <v>153.87</v>
          </cell>
          <cell r="K114">
            <v>180.68</v>
          </cell>
          <cell r="L114">
            <v>57.95</v>
          </cell>
        </row>
        <row r="115">
          <cell r="C115">
            <v>18782.310000000001</v>
          </cell>
          <cell r="D115">
            <v>18483.55</v>
          </cell>
          <cell r="E115">
            <v>1067</v>
          </cell>
          <cell r="F115">
            <v>18600</v>
          </cell>
          <cell r="G115">
            <v>9748.68</v>
          </cell>
          <cell r="H115">
            <v>9548.67</v>
          </cell>
          <cell r="I115">
            <v>561</v>
          </cell>
          <cell r="J115">
            <v>92.300000000000011</v>
          </cell>
          <cell r="K115">
            <v>110.62</v>
          </cell>
          <cell r="L115">
            <v>96.39</v>
          </cell>
        </row>
        <row r="116">
          <cell r="C116">
            <v>15781.68</v>
          </cell>
          <cell r="D116">
            <v>15546.63</v>
          </cell>
          <cell r="E116">
            <v>974</v>
          </cell>
          <cell r="F116">
            <v>15700</v>
          </cell>
          <cell r="G116">
            <v>11147.55</v>
          </cell>
          <cell r="H116">
            <v>10858</v>
          </cell>
          <cell r="I116">
            <v>640</v>
          </cell>
          <cell r="J116">
            <v>98.289999999999992</v>
          </cell>
          <cell r="K116">
            <v>115.1</v>
          </cell>
          <cell r="L116">
            <v>43.12</v>
          </cell>
        </row>
        <row r="117">
          <cell r="C117">
            <v>12775.99</v>
          </cell>
          <cell r="D117">
            <v>12577.46</v>
          </cell>
          <cell r="E117">
            <v>770</v>
          </cell>
          <cell r="F117">
            <v>12700</v>
          </cell>
          <cell r="G117">
            <v>12563.37</v>
          </cell>
          <cell r="H117">
            <v>12282.22</v>
          </cell>
          <cell r="I117">
            <v>701</v>
          </cell>
          <cell r="J117">
            <v>124.75</v>
          </cell>
          <cell r="K117">
            <v>141.87</v>
          </cell>
          <cell r="L117">
            <v>41.03</v>
          </cell>
        </row>
        <row r="118">
          <cell r="C118">
            <v>13473.77</v>
          </cell>
          <cell r="D118">
            <v>13224.75</v>
          </cell>
          <cell r="E118">
            <v>857</v>
          </cell>
          <cell r="F118">
            <v>13300</v>
          </cell>
          <cell r="G118">
            <v>11488</v>
          </cell>
          <cell r="H118">
            <v>11299.75</v>
          </cell>
          <cell r="I118">
            <v>752</v>
          </cell>
          <cell r="J118">
            <v>126.08</v>
          </cell>
          <cell r="K118">
            <v>143.87</v>
          </cell>
          <cell r="L118">
            <v>47.99</v>
          </cell>
        </row>
        <row r="119">
          <cell r="C119">
            <v>18175.37</v>
          </cell>
          <cell r="D119">
            <v>17882.169999999998</v>
          </cell>
          <cell r="E119">
            <v>1153</v>
          </cell>
          <cell r="F119">
            <v>18000</v>
          </cell>
          <cell r="G119">
            <v>15854.07</v>
          </cell>
          <cell r="H119">
            <v>15491.18</v>
          </cell>
          <cell r="I119">
            <v>925</v>
          </cell>
          <cell r="J119">
            <v>134.25</v>
          </cell>
          <cell r="K119">
            <v>165.08</v>
          </cell>
          <cell r="L119">
            <v>69.88</v>
          </cell>
        </row>
        <row r="120">
          <cell r="C120">
            <v>16753.740000000002</v>
          </cell>
          <cell r="D120">
            <v>16514.64</v>
          </cell>
          <cell r="E120">
            <v>1011</v>
          </cell>
          <cell r="F120">
            <v>16700</v>
          </cell>
          <cell r="G120">
            <v>18998.21</v>
          </cell>
          <cell r="H120">
            <v>18667.97</v>
          </cell>
          <cell r="I120">
            <v>1132</v>
          </cell>
          <cell r="J120">
            <v>170.29999999999998</v>
          </cell>
          <cell r="K120">
            <v>194.65</v>
          </cell>
          <cell r="L120">
            <v>67.959999999999994</v>
          </cell>
        </row>
        <row r="121">
          <cell r="C121">
            <v>17510.48</v>
          </cell>
          <cell r="D121">
            <v>17177.810000000001</v>
          </cell>
          <cell r="E121">
            <v>973</v>
          </cell>
          <cell r="F121">
            <v>17300</v>
          </cell>
          <cell r="G121">
            <v>19202.650000000001</v>
          </cell>
          <cell r="H121">
            <v>18904.810000000001</v>
          </cell>
          <cell r="I121">
            <v>1032</v>
          </cell>
          <cell r="J121">
            <v>150.26999999999998</v>
          </cell>
          <cell r="K121">
            <v>178.17</v>
          </cell>
          <cell r="L121">
            <v>61.42</v>
          </cell>
        </row>
        <row r="122">
          <cell r="C122">
            <v>13284.2</v>
          </cell>
          <cell r="D122">
            <v>13093.33</v>
          </cell>
          <cell r="E122">
            <v>831</v>
          </cell>
          <cell r="F122">
            <v>13200</v>
          </cell>
          <cell r="G122">
            <v>9606.15</v>
          </cell>
          <cell r="H122">
            <v>9423.06</v>
          </cell>
          <cell r="I122">
            <v>594</v>
          </cell>
          <cell r="J122">
            <v>98.22</v>
          </cell>
          <cell r="K122">
            <v>116.75</v>
          </cell>
          <cell r="L122">
            <v>61.7</v>
          </cell>
        </row>
        <row r="123">
          <cell r="C123">
            <v>15479.39</v>
          </cell>
          <cell r="D123">
            <v>15245.02</v>
          </cell>
          <cell r="E123">
            <v>955</v>
          </cell>
          <cell r="F123">
            <v>15400</v>
          </cell>
          <cell r="G123">
            <v>10127.81</v>
          </cell>
          <cell r="H123">
            <v>9816.36</v>
          </cell>
          <cell r="I123">
            <v>552</v>
          </cell>
          <cell r="J123">
            <v>95.44</v>
          </cell>
          <cell r="K123">
            <v>112.35</v>
          </cell>
          <cell r="L123">
            <v>53.53</v>
          </cell>
        </row>
        <row r="124">
          <cell r="C124">
            <v>19838.03</v>
          </cell>
          <cell r="D124">
            <v>19532.02</v>
          </cell>
          <cell r="E124">
            <v>1201</v>
          </cell>
          <cell r="F124">
            <v>19700</v>
          </cell>
          <cell r="G124">
            <v>13902.72</v>
          </cell>
          <cell r="H124">
            <v>13584.96</v>
          </cell>
          <cell r="I124">
            <v>786</v>
          </cell>
          <cell r="J124">
            <v>142</v>
          </cell>
          <cell r="K124">
            <v>161</v>
          </cell>
          <cell r="L124">
            <v>91.99</v>
          </cell>
        </row>
        <row r="125">
          <cell r="C125">
            <v>27956.720000000001</v>
          </cell>
          <cell r="D125">
            <v>27555.16</v>
          </cell>
          <cell r="E125">
            <v>1605</v>
          </cell>
          <cell r="F125">
            <v>13000</v>
          </cell>
          <cell r="G125">
            <v>15344.66</v>
          </cell>
          <cell r="H125">
            <v>15062.95</v>
          </cell>
          <cell r="I125">
            <v>927</v>
          </cell>
          <cell r="J125">
            <v>156.13000000000002</v>
          </cell>
          <cell r="K125">
            <v>180.08</v>
          </cell>
          <cell r="L125">
            <v>123.61</v>
          </cell>
        </row>
        <row r="126">
          <cell r="C126">
            <v>19894.259999999998</v>
          </cell>
          <cell r="D126">
            <v>19552.169999999998</v>
          </cell>
          <cell r="E126">
            <v>1182</v>
          </cell>
          <cell r="F126">
            <v>21000</v>
          </cell>
          <cell r="G126">
            <v>27041.98</v>
          </cell>
          <cell r="H126">
            <v>26489.91</v>
          </cell>
          <cell r="I126">
            <v>1550</v>
          </cell>
          <cell r="J126">
            <v>201.06</v>
          </cell>
          <cell r="K126">
            <v>229.46</v>
          </cell>
          <cell r="L126">
            <v>86.25</v>
          </cell>
        </row>
        <row r="127">
          <cell r="C127">
            <v>17664.95</v>
          </cell>
          <cell r="D127">
            <v>17444.47</v>
          </cell>
          <cell r="E127">
            <v>1032</v>
          </cell>
          <cell r="F127">
            <v>17800</v>
          </cell>
          <cell r="G127">
            <v>17729.54</v>
          </cell>
          <cell r="H127">
            <v>17377.77</v>
          </cell>
          <cell r="I127">
            <v>1046</v>
          </cell>
          <cell r="J127">
            <v>154.87</v>
          </cell>
          <cell r="K127">
            <v>182.37</v>
          </cell>
          <cell r="L127">
            <v>73.53</v>
          </cell>
        </row>
        <row r="128">
          <cell r="C128">
            <v>16733.599999999999</v>
          </cell>
          <cell r="D128">
            <v>16419.78</v>
          </cell>
          <cell r="E128">
            <v>849</v>
          </cell>
          <cell r="F128">
            <v>16700</v>
          </cell>
          <cell r="G128">
            <v>17969.21</v>
          </cell>
          <cell r="H128">
            <v>17544.05</v>
          </cell>
          <cell r="I128">
            <v>901</v>
          </cell>
          <cell r="J128">
            <v>148.07999999999998</v>
          </cell>
          <cell r="K128">
            <v>172.03</v>
          </cell>
          <cell r="L128">
            <v>65.64</v>
          </cell>
        </row>
        <row r="129">
          <cell r="C129">
            <v>9703.3700000000008</v>
          </cell>
          <cell r="D129">
            <v>9563.7800000000007</v>
          </cell>
          <cell r="E129">
            <v>568</v>
          </cell>
          <cell r="F129">
            <v>9700</v>
          </cell>
          <cell r="G129">
            <v>8688.85</v>
          </cell>
          <cell r="H129">
            <v>8492.15</v>
          </cell>
          <cell r="I129">
            <v>456</v>
          </cell>
          <cell r="J129">
            <v>109.69</v>
          </cell>
          <cell r="K129">
            <v>127.7</v>
          </cell>
          <cell r="L129">
            <v>72.34</v>
          </cell>
        </row>
        <row r="130">
          <cell r="C130">
            <v>11340.16</v>
          </cell>
          <cell r="D130">
            <v>11166.33</v>
          </cell>
          <cell r="E130">
            <v>685</v>
          </cell>
          <cell r="F130">
            <v>11400</v>
          </cell>
          <cell r="G130">
            <v>11370.99</v>
          </cell>
          <cell r="H130">
            <v>10938.76</v>
          </cell>
          <cell r="I130">
            <v>616</v>
          </cell>
          <cell r="J130">
            <v>127.35</v>
          </cell>
          <cell r="K130">
            <v>144.97999999999999</v>
          </cell>
          <cell r="L130">
            <v>97.19</v>
          </cell>
        </row>
        <row r="131">
          <cell r="C131">
            <v>12967.68</v>
          </cell>
          <cell r="D131">
            <v>12746.24</v>
          </cell>
          <cell r="E131">
            <v>787</v>
          </cell>
          <cell r="F131">
            <v>13000</v>
          </cell>
          <cell r="G131">
            <v>12272.4</v>
          </cell>
          <cell r="H131">
            <v>11945.03</v>
          </cell>
          <cell r="I131">
            <v>737</v>
          </cell>
          <cell r="J131">
            <v>142.73000000000002</v>
          </cell>
          <cell r="K131">
            <v>168.13</v>
          </cell>
          <cell r="L131">
            <v>123.4</v>
          </cell>
        </row>
        <row r="132">
          <cell r="C132">
            <v>18130.82</v>
          </cell>
          <cell r="D132">
            <v>17807.400000000001</v>
          </cell>
          <cell r="E132">
            <v>1108</v>
          </cell>
          <cell r="F132">
            <v>18100</v>
          </cell>
          <cell r="G132">
            <v>15414.94</v>
          </cell>
          <cell r="H132">
            <v>15093.09</v>
          </cell>
          <cell r="I132">
            <v>984</v>
          </cell>
          <cell r="J132">
            <v>154.60999999999999</v>
          </cell>
          <cell r="K132">
            <v>184.13</v>
          </cell>
          <cell r="L132">
            <v>112.9</v>
          </cell>
        </row>
        <row r="133">
          <cell r="C133">
            <v>15573.37</v>
          </cell>
          <cell r="D133">
            <v>15353.75</v>
          </cell>
          <cell r="E133">
            <v>946</v>
          </cell>
          <cell r="F133">
            <v>21000</v>
          </cell>
          <cell r="G133">
            <v>18914.37</v>
          </cell>
          <cell r="H133">
            <v>18518.89</v>
          </cell>
          <cell r="I133">
            <v>1104</v>
          </cell>
          <cell r="J133">
            <v>182.42</v>
          </cell>
          <cell r="K133">
            <v>204.23</v>
          </cell>
          <cell r="L133">
            <v>54.7</v>
          </cell>
        </row>
        <row r="134">
          <cell r="C134">
            <v>17502.84</v>
          </cell>
          <cell r="D134">
            <v>17252.84</v>
          </cell>
          <cell r="E134">
            <v>1165</v>
          </cell>
          <cell r="F134">
            <v>17600</v>
          </cell>
          <cell r="G134">
            <v>16521.22</v>
          </cell>
          <cell r="H134">
            <v>16225.97</v>
          </cell>
          <cell r="I134">
            <v>1021</v>
          </cell>
          <cell r="J134">
            <v>178.13</v>
          </cell>
          <cell r="K134">
            <v>201.38</v>
          </cell>
          <cell r="L134">
            <v>129.43</v>
          </cell>
        </row>
        <row r="135">
          <cell r="C135">
            <v>18905.87</v>
          </cell>
          <cell r="D135">
            <v>18655.79</v>
          </cell>
          <cell r="E135">
            <v>1030</v>
          </cell>
          <cell r="F135">
            <v>19000</v>
          </cell>
          <cell r="G135">
            <v>17461.54</v>
          </cell>
          <cell r="H135">
            <v>17026.2</v>
          </cell>
          <cell r="I135">
            <v>882</v>
          </cell>
          <cell r="J135">
            <v>153.08000000000001</v>
          </cell>
          <cell r="K135">
            <v>180.03</v>
          </cell>
          <cell r="L135">
            <v>60.55</v>
          </cell>
        </row>
        <row r="136">
          <cell r="C136">
            <v>8854.85</v>
          </cell>
          <cell r="D136">
            <v>8755.65</v>
          </cell>
          <cell r="E136">
            <v>569</v>
          </cell>
          <cell r="F136">
            <v>8900</v>
          </cell>
          <cell r="G136">
            <v>9063.11</v>
          </cell>
          <cell r="H136">
            <v>8883.98</v>
          </cell>
          <cell r="I136">
            <v>500</v>
          </cell>
          <cell r="J136">
            <v>108.05999999999999</v>
          </cell>
          <cell r="K136">
            <v>124.96</v>
          </cell>
          <cell r="L136">
            <v>72.56</v>
          </cell>
        </row>
        <row r="137">
          <cell r="C137">
            <v>10272.99</v>
          </cell>
          <cell r="D137">
            <v>10173.23</v>
          </cell>
          <cell r="E137">
            <v>673</v>
          </cell>
          <cell r="F137">
            <v>10400</v>
          </cell>
          <cell r="G137">
            <v>10799.43</v>
          </cell>
          <cell r="H137">
            <v>10598.8</v>
          </cell>
          <cell r="I137">
            <v>616</v>
          </cell>
          <cell r="J137">
            <v>111.89999999999999</v>
          </cell>
          <cell r="K137">
            <v>129.35</v>
          </cell>
          <cell r="L137">
            <v>48.7</v>
          </cell>
        </row>
        <row r="138">
          <cell r="C138">
            <v>13847.05</v>
          </cell>
          <cell r="D138">
            <v>13638.3</v>
          </cell>
          <cell r="E138">
            <v>927</v>
          </cell>
          <cell r="F138">
            <v>13900</v>
          </cell>
          <cell r="G138">
            <v>13251.09</v>
          </cell>
          <cell r="H138">
            <v>12987.13</v>
          </cell>
          <cell r="I138">
            <v>840</v>
          </cell>
          <cell r="J138">
            <v>147.07000000000002</v>
          </cell>
          <cell r="K138">
            <v>169.77</v>
          </cell>
          <cell r="L138">
            <v>66.650000000000006</v>
          </cell>
        </row>
        <row r="139">
          <cell r="C139">
            <v>12761.93</v>
          </cell>
          <cell r="D139">
            <v>12608.22</v>
          </cell>
          <cell r="E139">
            <v>867</v>
          </cell>
          <cell r="F139">
            <v>18000</v>
          </cell>
          <cell r="G139">
            <v>15303.99</v>
          </cell>
          <cell r="H139">
            <v>14864.25</v>
          </cell>
          <cell r="I139">
            <v>861</v>
          </cell>
          <cell r="J139">
            <v>166.98999999999998</v>
          </cell>
          <cell r="K139">
            <v>189.92</v>
          </cell>
          <cell r="L139">
            <v>57.88</v>
          </cell>
        </row>
        <row r="140">
          <cell r="C140">
            <v>16698.919999999998</v>
          </cell>
          <cell r="D140">
            <v>16446.669999999998</v>
          </cell>
          <cell r="E140">
            <v>1069</v>
          </cell>
          <cell r="F140">
            <v>16800</v>
          </cell>
          <cell r="G140">
            <v>15140.02</v>
          </cell>
          <cell r="H140">
            <v>14855.02</v>
          </cell>
          <cell r="I140">
            <v>849</v>
          </cell>
          <cell r="J140">
            <v>167.35</v>
          </cell>
          <cell r="K140">
            <v>191.7</v>
          </cell>
          <cell r="L140">
            <v>69.17</v>
          </cell>
        </row>
        <row r="141">
          <cell r="C141">
            <v>19551.21</v>
          </cell>
          <cell r="D141">
            <v>19298.169999999998</v>
          </cell>
          <cell r="E141">
            <v>1150</v>
          </cell>
          <cell r="F141">
            <v>19700</v>
          </cell>
          <cell r="G141">
            <v>14934.98</v>
          </cell>
          <cell r="H141">
            <v>14517.25</v>
          </cell>
          <cell r="I141">
            <v>876</v>
          </cell>
          <cell r="J141">
            <v>164.6</v>
          </cell>
          <cell r="K141">
            <v>188.8</v>
          </cell>
          <cell r="L141">
            <v>73.12</v>
          </cell>
        </row>
        <row r="142">
          <cell r="C142">
            <v>21314.51</v>
          </cell>
          <cell r="D142">
            <v>21028.49</v>
          </cell>
          <cell r="E142">
            <v>1296</v>
          </cell>
          <cell r="F142">
            <v>21400</v>
          </cell>
          <cell r="G142">
            <v>15971.45</v>
          </cell>
          <cell r="H142">
            <v>15636.03</v>
          </cell>
          <cell r="I142">
            <v>858</v>
          </cell>
          <cell r="J142">
            <v>151.66999999999999</v>
          </cell>
          <cell r="K142">
            <v>168.67</v>
          </cell>
          <cell r="L142">
            <v>68.56</v>
          </cell>
        </row>
        <row r="143">
          <cell r="C143">
            <v>8445.49</v>
          </cell>
          <cell r="D143">
            <v>8362.9699999999993</v>
          </cell>
          <cell r="E143">
            <v>553</v>
          </cell>
          <cell r="F143">
            <v>8500</v>
          </cell>
          <cell r="G143">
            <v>7823.24</v>
          </cell>
          <cell r="H143">
            <v>7696.42</v>
          </cell>
          <cell r="I143">
            <v>465</v>
          </cell>
          <cell r="J143">
            <v>103.05000000000001</v>
          </cell>
          <cell r="K143">
            <v>127.98</v>
          </cell>
          <cell r="L143">
            <v>117.32</v>
          </cell>
        </row>
        <row r="144">
          <cell r="C144">
            <v>10340.94</v>
          </cell>
          <cell r="D144">
            <v>10183.299999999999</v>
          </cell>
          <cell r="E144">
            <v>629</v>
          </cell>
          <cell r="F144">
            <v>10400</v>
          </cell>
          <cell r="G144">
            <v>8579.65</v>
          </cell>
          <cell r="H144">
            <v>8430.4599999999991</v>
          </cell>
          <cell r="I144">
            <v>533</v>
          </cell>
          <cell r="J144">
            <v>112.69999999999999</v>
          </cell>
          <cell r="K144">
            <v>128.19</v>
          </cell>
          <cell r="L144">
            <v>61.9</v>
          </cell>
        </row>
        <row r="145">
          <cell r="C145">
            <v>12196.15</v>
          </cell>
          <cell r="D145">
            <v>11985.79</v>
          </cell>
          <cell r="E145">
            <v>782</v>
          </cell>
          <cell r="F145">
            <v>12200</v>
          </cell>
          <cell r="G145">
            <v>12994.34</v>
          </cell>
          <cell r="H145">
            <v>12728.67</v>
          </cell>
          <cell r="I145">
            <v>783</v>
          </cell>
          <cell r="J145">
            <v>145.33000000000001</v>
          </cell>
          <cell r="K145">
            <v>171.15</v>
          </cell>
          <cell r="L145">
            <v>37.67</v>
          </cell>
        </row>
        <row r="146">
          <cell r="C146">
            <v>10807.84</v>
          </cell>
          <cell r="D146">
            <v>10619.4</v>
          </cell>
          <cell r="E146">
            <v>692</v>
          </cell>
          <cell r="F146">
            <v>10800</v>
          </cell>
          <cell r="G146">
            <v>12275.31</v>
          </cell>
          <cell r="H146">
            <v>12091.71</v>
          </cell>
          <cell r="I146">
            <v>844</v>
          </cell>
          <cell r="J146">
            <v>139.38999999999999</v>
          </cell>
          <cell r="K146">
            <v>166.67</v>
          </cell>
          <cell r="L146">
            <v>68.37</v>
          </cell>
        </row>
        <row r="147">
          <cell r="C147">
            <v>15345.21</v>
          </cell>
          <cell r="D147">
            <v>15146.95</v>
          </cell>
          <cell r="E147">
            <v>961</v>
          </cell>
          <cell r="F147">
            <v>15400</v>
          </cell>
          <cell r="G147">
            <v>16842.71</v>
          </cell>
          <cell r="H147">
            <v>16568.25</v>
          </cell>
          <cell r="I147">
            <v>1014</v>
          </cell>
          <cell r="J147">
            <v>167.95</v>
          </cell>
          <cell r="K147">
            <v>195.48</v>
          </cell>
          <cell r="L147">
            <v>53.92</v>
          </cell>
        </row>
        <row r="148">
          <cell r="C148">
            <v>18508.91</v>
          </cell>
          <cell r="D148">
            <v>18235.490000000002</v>
          </cell>
          <cell r="E148">
            <v>1123</v>
          </cell>
          <cell r="F148">
            <v>18600</v>
          </cell>
          <cell r="G148">
            <v>19248.150000000001</v>
          </cell>
          <cell r="H148">
            <v>18878.3</v>
          </cell>
          <cell r="I148">
            <v>1237</v>
          </cell>
          <cell r="J148">
            <v>160.22</v>
          </cell>
          <cell r="K148">
            <v>186.92</v>
          </cell>
          <cell r="L148">
            <v>85.23</v>
          </cell>
        </row>
        <row r="149">
          <cell r="C149">
            <v>17232.82</v>
          </cell>
          <cell r="D149">
            <v>16923.29</v>
          </cell>
          <cell r="E149">
            <v>927</v>
          </cell>
          <cell r="F149">
            <v>17200</v>
          </cell>
          <cell r="G149">
            <v>22670.080000000002</v>
          </cell>
          <cell r="H149">
            <v>22321.79</v>
          </cell>
          <cell r="I149">
            <v>1361</v>
          </cell>
          <cell r="J149">
            <v>171.29999999999998</v>
          </cell>
          <cell r="K149">
            <v>189.63</v>
          </cell>
          <cell r="L149">
            <v>70.17</v>
          </cell>
        </row>
        <row r="150">
          <cell r="C150">
            <v>10557.18</v>
          </cell>
          <cell r="D150">
            <v>10468.69</v>
          </cell>
          <cell r="E150">
            <v>643</v>
          </cell>
          <cell r="F150">
            <v>18100</v>
          </cell>
          <cell r="G150">
            <v>20729.349999999999</v>
          </cell>
          <cell r="H150">
            <v>20314.330000000002</v>
          </cell>
          <cell r="I150">
            <v>1314</v>
          </cell>
          <cell r="J150">
            <v>170.16</v>
          </cell>
          <cell r="K150">
            <v>200.53</v>
          </cell>
          <cell r="L150">
            <v>138.62</v>
          </cell>
        </row>
        <row r="151">
          <cell r="C151">
            <v>12196.52</v>
          </cell>
          <cell r="D151">
            <v>12073.71</v>
          </cell>
          <cell r="E151">
            <v>742</v>
          </cell>
          <cell r="F151">
            <v>12300</v>
          </cell>
          <cell r="G151">
            <v>11935.64</v>
          </cell>
          <cell r="H151">
            <v>11753.4</v>
          </cell>
          <cell r="I151">
            <v>762</v>
          </cell>
          <cell r="J151">
            <v>121.12</v>
          </cell>
          <cell r="K151">
            <v>121.12</v>
          </cell>
          <cell r="L151">
            <v>44.12</v>
          </cell>
        </row>
        <row r="152">
          <cell r="C152">
            <v>17299.53</v>
          </cell>
          <cell r="D152">
            <v>17032.86</v>
          </cell>
          <cell r="E152">
            <v>981</v>
          </cell>
          <cell r="F152">
            <v>17400</v>
          </cell>
          <cell r="G152">
            <v>14744.1</v>
          </cell>
          <cell r="H152">
            <v>14462.82</v>
          </cell>
          <cell r="I152">
            <v>976</v>
          </cell>
          <cell r="J152">
            <v>113.12</v>
          </cell>
          <cell r="K152">
            <v>139.37</v>
          </cell>
          <cell r="L152">
            <v>101.1</v>
          </cell>
        </row>
        <row r="153">
          <cell r="C153">
            <v>22591.75</v>
          </cell>
          <cell r="D153">
            <v>22241.21</v>
          </cell>
          <cell r="E153">
            <v>1370</v>
          </cell>
          <cell r="F153">
            <v>9300</v>
          </cell>
          <cell r="G153">
            <v>12957.11</v>
          </cell>
          <cell r="H153">
            <v>12684.9</v>
          </cell>
          <cell r="I153">
            <v>871</v>
          </cell>
          <cell r="J153">
            <v>118.71</v>
          </cell>
          <cell r="K153">
            <v>142.38</v>
          </cell>
          <cell r="L153">
            <v>126.76</v>
          </cell>
        </row>
        <row r="154">
          <cell r="C154">
            <v>23360.49</v>
          </cell>
          <cell r="D154">
            <v>23049.86</v>
          </cell>
          <cell r="E154">
            <v>1414</v>
          </cell>
          <cell r="F154">
            <v>23500</v>
          </cell>
          <cell r="G154">
            <v>18144.759999999998</v>
          </cell>
          <cell r="H154">
            <v>17821.3</v>
          </cell>
          <cell r="I154">
            <v>1140</v>
          </cell>
          <cell r="J154">
            <v>146.06</v>
          </cell>
          <cell r="K154">
            <v>165.23</v>
          </cell>
          <cell r="L154">
            <v>0</v>
          </cell>
        </row>
        <row r="155">
          <cell r="C155">
            <v>19086.82</v>
          </cell>
          <cell r="D155">
            <v>18876.259999999998</v>
          </cell>
          <cell r="E155">
            <v>1151</v>
          </cell>
          <cell r="F155">
            <v>19200</v>
          </cell>
          <cell r="G155">
            <v>17904.37</v>
          </cell>
          <cell r="H155">
            <v>17555.099999999999</v>
          </cell>
          <cell r="I155">
            <v>1103</v>
          </cell>
          <cell r="J155">
            <v>146.63</v>
          </cell>
          <cell r="K155">
            <v>171.53</v>
          </cell>
          <cell r="L155">
            <v>75.63</v>
          </cell>
        </row>
        <row r="156">
          <cell r="C156">
            <v>23363.78</v>
          </cell>
          <cell r="D156">
            <v>23057.27</v>
          </cell>
          <cell r="E156">
            <v>1240</v>
          </cell>
          <cell r="F156">
            <v>23500</v>
          </cell>
          <cell r="G156">
            <v>17145.009999999998</v>
          </cell>
          <cell r="H156">
            <v>16845.2</v>
          </cell>
          <cell r="I156">
            <v>909</v>
          </cell>
          <cell r="J156">
            <v>149.22999999999999</v>
          </cell>
          <cell r="K156">
            <v>174.98</v>
          </cell>
          <cell r="L156">
            <v>64.41</v>
          </cell>
        </row>
        <row r="157">
          <cell r="C157">
            <v>9887.8700000000008</v>
          </cell>
          <cell r="D157">
            <v>9724.85</v>
          </cell>
          <cell r="E157">
            <v>565</v>
          </cell>
          <cell r="F157">
            <v>9800</v>
          </cell>
          <cell r="G157">
            <v>11402.66</v>
          </cell>
          <cell r="H157">
            <v>11206.21</v>
          </cell>
          <cell r="I157">
            <v>720</v>
          </cell>
          <cell r="J157">
            <v>117.67999999999999</v>
          </cell>
          <cell r="K157">
            <v>136.47999999999999</v>
          </cell>
          <cell r="L157">
            <v>107.34</v>
          </cell>
        </row>
        <row r="158">
          <cell r="C158">
            <v>11945.84</v>
          </cell>
          <cell r="D158">
            <v>11794.26</v>
          </cell>
          <cell r="E158">
            <v>725</v>
          </cell>
          <cell r="F158">
            <v>11900</v>
          </cell>
          <cell r="G158">
            <v>10690.18</v>
          </cell>
          <cell r="H158">
            <v>10454.75</v>
          </cell>
          <cell r="I158">
            <v>593</v>
          </cell>
          <cell r="J158">
            <v>138.63</v>
          </cell>
          <cell r="K158">
            <v>153.9</v>
          </cell>
          <cell r="L158">
            <v>116.2</v>
          </cell>
        </row>
        <row r="159">
          <cell r="C159">
            <v>11783.31</v>
          </cell>
          <cell r="D159">
            <v>11562.56</v>
          </cell>
          <cell r="E159">
            <v>693</v>
          </cell>
          <cell r="F159">
            <v>11700</v>
          </cell>
          <cell r="G159">
            <v>13243.09</v>
          </cell>
          <cell r="H159">
            <v>12967.28</v>
          </cell>
          <cell r="I159">
            <v>815</v>
          </cell>
          <cell r="J159">
            <v>173.99</v>
          </cell>
          <cell r="K159">
            <v>202.62</v>
          </cell>
          <cell r="L159">
            <v>114.76</v>
          </cell>
        </row>
        <row r="160">
          <cell r="C160">
            <v>12768.46</v>
          </cell>
          <cell r="D160">
            <v>12554.8</v>
          </cell>
          <cell r="E160">
            <v>778</v>
          </cell>
          <cell r="F160">
            <v>12700</v>
          </cell>
          <cell r="G160">
            <v>11100.26</v>
          </cell>
          <cell r="H160">
            <v>10861.64</v>
          </cell>
          <cell r="I160">
            <v>624</v>
          </cell>
          <cell r="J160">
            <v>148.28</v>
          </cell>
          <cell r="K160">
            <v>173.63</v>
          </cell>
          <cell r="L160">
            <v>70.41</v>
          </cell>
        </row>
        <row r="161">
          <cell r="C161">
            <v>16005.91</v>
          </cell>
          <cell r="D161">
            <v>15791</v>
          </cell>
          <cell r="E161">
            <v>950</v>
          </cell>
          <cell r="F161">
            <v>15900</v>
          </cell>
          <cell r="G161">
            <v>15853.09</v>
          </cell>
          <cell r="H161">
            <v>15516.61</v>
          </cell>
          <cell r="I161">
            <v>900</v>
          </cell>
          <cell r="J161">
            <v>181.49</v>
          </cell>
          <cell r="K161">
            <v>200.52</v>
          </cell>
          <cell r="L161">
            <v>67.14</v>
          </cell>
        </row>
        <row r="162">
          <cell r="C162">
            <v>17721.650000000001</v>
          </cell>
          <cell r="D162">
            <v>17451.060000000001</v>
          </cell>
          <cell r="E162">
            <v>1003</v>
          </cell>
          <cell r="F162">
            <v>17600</v>
          </cell>
          <cell r="G162">
            <v>18289.72</v>
          </cell>
          <cell r="H162">
            <v>18018.97</v>
          </cell>
          <cell r="I162">
            <v>1112</v>
          </cell>
          <cell r="J162">
            <v>186.64000000000001</v>
          </cell>
          <cell r="K162">
            <v>204.77</v>
          </cell>
          <cell r="L162">
            <v>48.48</v>
          </cell>
        </row>
        <row r="163">
          <cell r="C163">
            <v>23460.38</v>
          </cell>
          <cell r="D163">
            <v>23113.53</v>
          </cell>
          <cell r="E163">
            <v>1260</v>
          </cell>
          <cell r="F163">
            <v>20000</v>
          </cell>
          <cell r="G163">
            <v>20040.3</v>
          </cell>
          <cell r="H163">
            <v>19651.55</v>
          </cell>
          <cell r="I163">
            <v>1102</v>
          </cell>
          <cell r="J163">
            <v>172.83</v>
          </cell>
          <cell r="K163">
            <v>200.75</v>
          </cell>
          <cell r="L163">
            <v>56.78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D367"/>
          <cell r="E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D368"/>
          <cell r="E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C369" t="str">
            <v/>
          </cell>
          <cell r="D369"/>
          <cell r="E369"/>
          <cell r="F369"/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87">
          <cell r="G387">
            <v>1404.8600000000001</v>
          </cell>
          <cell r="H387">
            <v>3985.25</v>
          </cell>
          <cell r="I387">
            <v>1249.21</v>
          </cell>
          <cell r="J387">
            <v>1185.1600000000001</v>
          </cell>
          <cell r="K387">
            <v>1384.12</v>
          </cell>
          <cell r="L387">
            <v>166.06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-24.1</v>
          </cell>
          <cell r="H388">
            <v>8.4700000000000006</v>
          </cell>
          <cell r="I388">
            <v>48.690000000000005</v>
          </cell>
          <cell r="J388">
            <v>49.109999999999985</v>
          </cell>
          <cell r="K388">
            <v>-11.670000000000002</v>
          </cell>
          <cell r="L388">
            <v>33.190000000000005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208.76999999999998</v>
          </cell>
          <cell r="H389">
            <v>167.19</v>
          </cell>
          <cell r="I389">
            <v>165.38</v>
          </cell>
          <cell r="J389">
            <v>262.81000000000006</v>
          </cell>
          <cell r="K389">
            <v>334.01</v>
          </cell>
          <cell r="L389">
            <v>66.72999999999999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5"/>
    </sheetNames>
    <sheetDataSet>
      <sheetData sheetId="0">
        <row r="5">
          <cell r="C5">
            <v>22647.55</v>
          </cell>
        </row>
        <row r="6">
          <cell r="C6">
            <v>12706.33</v>
          </cell>
        </row>
        <row r="7">
          <cell r="C7">
            <v>15634.89</v>
          </cell>
        </row>
        <row r="8">
          <cell r="C8">
            <v>14617.3</v>
          </cell>
        </row>
        <row r="9">
          <cell r="C9">
            <v>12179.37</v>
          </cell>
        </row>
        <row r="10">
          <cell r="C10">
            <v>7147.56</v>
          </cell>
        </row>
        <row r="11">
          <cell r="C11">
            <v>7765.79</v>
          </cell>
        </row>
        <row r="12">
          <cell r="C12">
            <v>11291.64</v>
          </cell>
        </row>
        <row r="13">
          <cell r="C13">
            <v>7869.33</v>
          </cell>
        </row>
        <row r="14">
          <cell r="C14">
            <v>14058.73</v>
          </cell>
        </row>
        <row r="15">
          <cell r="C15">
            <v>13503.21</v>
          </cell>
        </row>
        <row r="16">
          <cell r="C16">
            <v>13678.29</v>
          </cell>
        </row>
        <row r="17">
          <cell r="C17">
            <v>7607.67</v>
          </cell>
        </row>
        <row r="18">
          <cell r="C18">
            <v>8105.24</v>
          </cell>
        </row>
        <row r="19">
          <cell r="C19">
            <v>10309.379999999999</v>
          </cell>
        </row>
        <row r="20">
          <cell r="C20">
            <v>8613.91</v>
          </cell>
        </row>
        <row r="21">
          <cell r="C21">
            <v>13100.77</v>
          </cell>
        </row>
        <row r="22">
          <cell r="C22">
            <v>13758.43</v>
          </cell>
        </row>
        <row r="23">
          <cell r="C23">
            <v>13859.9</v>
          </cell>
        </row>
        <row r="24">
          <cell r="C24">
            <v>6106.85</v>
          </cell>
        </row>
        <row r="25">
          <cell r="C25">
            <v>7940.03</v>
          </cell>
        </row>
        <row r="26">
          <cell r="C26">
            <v>9423.9500000000007</v>
          </cell>
        </row>
        <row r="27">
          <cell r="C27">
            <v>8710.84</v>
          </cell>
        </row>
        <row r="28">
          <cell r="C28">
            <v>12570.91</v>
          </cell>
        </row>
        <row r="29">
          <cell r="C29">
            <v>15874.72</v>
          </cell>
        </row>
        <row r="30">
          <cell r="C30">
            <v>13803.81</v>
          </cell>
        </row>
        <row r="31">
          <cell r="C31">
            <v>5791.8</v>
          </cell>
        </row>
        <row r="32">
          <cell r="C32">
            <v>7963.59</v>
          </cell>
        </row>
        <row r="33">
          <cell r="C33">
            <v>10960.49</v>
          </cell>
        </row>
        <row r="34">
          <cell r="C34">
            <v>8007.56</v>
          </cell>
        </row>
        <row r="35">
          <cell r="C35">
            <v>14314.48</v>
          </cell>
        </row>
        <row r="36">
          <cell r="C36">
            <v>18335.63</v>
          </cell>
        </row>
        <row r="37">
          <cell r="C37">
            <v>14555.68</v>
          </cell>
        </row>
        <row r="38">
          <cell r="C38">
            <v>6678.72</v>
          </cell>
        </row>
        <row r="39">
          <cell r="C39">
            <v>8135.7</v>
          </cell>
        </row>
        <row r="40">
          <cell r="C40">
            <v>10922.24</v>
          </cell>
        </row>
        <row r="41">
          <cell r="C41">
            <v>8478.44</v>
          </cell>
        </row>
        <row r="42">
          <cell r="C42">
            <v>15262.7</v>
          </cell>
        </row>
        <row r="43">
          <cell r="C43">
            <v>19417.63</v>
          </cell>
        </row>
        <row r="44">
          <cell r="C44">
            <v>15801.99</v>
          </cell>
        </row>
        <row r="45">
          <cell r="C45">
            <v>7402.33</v>
          </cell>
        </row>
        <row r="46">
          <cell r="C46">
            <v>9104.98</v>
          </cell>
        </row>
        <row r="47">
          <cell r="C47">
            <v>10660.68</v>
          </cell>
        </row>
        <row r="48">
          <cell r="C48">
            <v>9079.5300000000007</v>
          </cell>
        </row>
        <row r="49">
          <cell r="C49">
            <v>15921</v>
          </cell>
        </row>
        <row r="50">
          <cell r="C50">
            <v>23426.63</v>
          </cell>
        </row>
        <row r="51">
          <cell r="C51">
            <v>15919.34</v>
          </cell>
        </row>
        <row r="52">
          <cell r="C52">
            <v>7415.88</v>
          </cell>
        </row>
        <row r="53">
          <cell r="C53">
            <v>7874.05</v>
          </cell>
        </row>
        <row r="54">
          <cell r="C54">
            <v>10423.23</v>
          </cell>
        </row>
        <row r="55">
          <cell r="C55">
            <v>9188.92</v>
          </cell>
        </row>
        <row r="56">
          <cell r="C56">
            <v>15133.4</v>
          </cell>
        </row>
        <row r="57">
          <cell r="C57">
            <v>21229.55</v>
          </cell>
        </row>
        <row r="58">
          <cell r="C58">
            <v>14053.07</v>
          </cell>
        </row>
        <row r="59">
          <cell r="C59">
            <v>8529.06</v>
          </cell>
        </row>
        <row r="60">
          <cell r="C60">
            <v>8963.67</v>
          </cell>
        </row>
        <row r="61">
          <cell r="C61">
            <v>10611</v>
          </cell>
        </row>
        <row r="62">
          <cell r="C62">
            <v>10861.35</v>
          </cell>
        </row>
        <row r="63">
          <cell r="C63">
            <v>15461.04</v>
          </cell>
        </row>
        <row r="64">
          <cell r="C64">
            <v>18076.560000000001</v>
          </cell>
        </row>
        <row r="65">
          <cell r="C65">
            <v>15432.28</v>
          </cell>
        </row>
        <row r="66">
          <cell r="C66">
            <v>8928.11</v>
          </cell>
        </row>
        <row r="67">
          <cell r="C67">
            <v>9141.99</v>
          </cell>
        </row>
        <row r="68">
          <cell r="C68">
            <v>11470.58</v>
          </cell>
        </row>
        <row r="69">
          <cell r="C69">
            <v>10758.29</v>
          </cell>
        </row>
        <row r="70">
          <cell r="C70">
            <v>14330.06</v>
          </cell>
        </row>
        <row r="71">
          <cell r="C71">
            <v>16908.990000000002</v>
          </cell>
        </row>
        <row r="72">
          <cell r="C72">
            <v>16673.650000000001</v>
          </cell>
        </row>
        <row r="73">
          <cell r="C73">
            <v>8147.45</v>
          </cell>
        </row>
        <row r="74">
          <cell r="C74">
            <v>7260.62</v>
          </cell>
        </row>
        <row r="75">
          <cell r="C75">
            <v>9597.98</v>
          </cell>
        </row>
        <row r="76">
          <cell r="C76">
            <v>8356.7900000000009</v>
          </cell>
        </row>
        <row r="77">
          <cell r="C77">
            <v>12597.82</v>
          </cell>
        </row>
        <row r="78">
          <cell r="C78">
            <v>15596.46</v>
          </cell>
        </row>
        <row r="79">
          <cell r="C79">
            <v>14293.87</v>
          </cell>
        </row>
        <row r="80">
          <cell r="C80">
            <v>6669.79</v>
          </cell>
        </row>
        <row r="81">
          <cell r="C81">
            <v>8221.08</v>
          </cell>
        </row>
        <row r="82">
          <cell r="C82">
            <v>10278.83</v>
          </cell>
        </row>
        <row r="83">
          <cell r="C83">
            <v>8050.53</v>
          </cell>
        </row>
        <row r="84">
          <cell r="C84">
            <v>13179.36</v>
          </cell>
        </row>
        <row r="85">
          <cell r="C85">
            <v>13973.63</v>
          </cell>
        </row>
        <row r="86">
          <cell r="C86">
            <v>15301.68</v>
          </cell>
        </row>
        <row r="87">
          <cell r="C87">
            <v>7142.67</v>
          </cell>
        </row>
        <row r="88">
          <cell r="C88">
            <v>8932.3799999999992</v>
          </cell>
        </row>
        <row r="89">
          <cell r="C89">
            <v>11232.21</v>
          </cell>
        </row>
        <row r="90">
          <cell r="C90">
            <v>10376.74</v>
          </cell>
        </row>
        <row r="91">
          <cell r="C91">
            <v>14819.52</v>
          </cell>
        </row>
        <row r="92">
          <cell r="C92">
            <v>15531.33</v>
          </cell>
        </row>
        <row r="93">
          <cell r="C93">
            <v>18763.150000000001</v>
          </cell>
        </row>
        <row r="94">
          <cell r="C94">
            <v>8337.5300000000007</v>
          </cell>
        </row>
        <row r="95">
          <cell r="C95">
            <v>9245.0300000000007</v>
          </cell>
        </row>
        <row r="96">
          <cell r="C96">
            <v>12612.84</v>
          </cell>
        </row>
        <row r="97">
          <cell r="C97">
            <v>9629.7000000000007</v>
          </cell>
        </row>
        <row r="98">
          <cell r="C98">
            <v>15812.59</v>
          </cell>
        </row>
        <row r="99">
          <cell r="C99">
            <v>17134.55</v>
          </cell>
        </row>
        <row r="100">
          <cell r="C100">
            <v>18956.27</v>
          </cell>
        </row>
        <row r="101">
          <cell r="C101">
            <v>8425.39</v>
          </cell>
        </row>
        <row r="102">
          <cell r="C102">
            <v>8940.1</v>
          </cell>
        </row>
        <row r="103">
          <cell r="C103">
            <v>11814.13</v>
          </cell>
        </row>
        <row r="104">
          <cell r="C104">
            <v>9504.56</v>
          </cell>
        </row>
        <row r="105">
          <cell r="C105">
            <v>14256.37</v>
          </cell>
        </row>
        <row r="106">
          <cell r="C106">
            <v>18112.419999999998</v>
          </cell>
        </row>
        <row r="107">
          <cell r="C107">
            <v>17092.7</v>
          </cell>
        </row>
        <row r="108">
          <cell r="C108">
            <v>7476.57</v>
          </cell>
        </row>
        <row r="109">
          <cell r="C109">
            <v>8998.8700000000008</v>
          </cell>
        </row>
        <row r="110">
          <cell r="C110">
            <v>11495.97</v>
          </cell>
        </row>
        <row r="111">
          <cell r="C111">
            <v>9042.5300000000007</v>
          </cell>
        </row>
        <row r="112">
          <cell r="C112">
            <v>14830.3</v>
          </cell>
        </row>
        <row r="113">
          <cell r="C113">
            <v>14082.14</v>
          </cell>
        </row>
        <row r="114">
          <cell r="C114">
            <v>13280.75</v>
          </cell>
        </row>
        <row r="115">
          <cell r="C115">
            <v>14382.01</v>
          </cell>
        </row>
        <row r="116">
          <cell r="C116">
            <v>10163.950000000001</v>
          </cell>
        </row>
        <row r="117">
          <cell r="C117">
            <v>10332.4</v>
          </cell>
        </row>
        <row r="118">
          <cell r="C118">
            <v>9814.7900000000009</v>
          </cell>
        </row>
        <row r="119">
          <cell r="C119">
            <v>12959.84</v>
          </cell>
        </row>
        <row r="120">
          <cell r="C120">
            <v>12293.48</v>
          </cell>
        </row>
        <row r="121">
          <cell r="C121">
            <v>15940.29</v>
          </cell>
        </row>
        <row r="122">
          <cell r="C122">
            <v>10369.85</v>
          </cell>
        </row>
        <row r="123">
          <cell r="C123">
            <v>11630.7</v>
          </cell>
        </row>
        <row r="124">
          <cell r="C124">
            <v>11964.86</v>
          </cell>
        </row>
        <row r="125">
          <cell r="C125">
            <v>17182.509999999998</v>
          </cell>
        </row>
        <row r="126">
          <cell r="C126">
            <v>14699.17</v>
          </cell>
        </row>
        <row r="127">
          <cell r="C127">
            <v>12558.41</v>
          </cell>
        </row>
        <row r="128">
          <cell r="C128">
            <v>16048.57</v>
          </cell>
        </row>
        <row r="129">
          <cell r="C129">
            <v>7905.07</v>
          </cell>
        </row>
        <row r="130">
          <cell r="C130">
            <v>8776.9500000000007</v>
          </cell>
        </row>
        <row r="131">
          <cell r="C131">
            <v>13142.12</v>
          </cell>
        </row>
        <row r="132">
          <cell r="C132">
            <v>13698.77</v>
          </cell>
        </row>
        <row r="133">
          <cell r="C133">
            <v>13523.15</v>
          </cell>
        </row>
        <row r="134">
          <cell r="C134">
            <v>13172.04</v>
          </cell>
        </row>
        <row r="135">
          <cell r="C135">
            <v>15527.88</v>
          </cell>
        </row>
        <row r="136">
          <cell r="C136">
            <v>7263.72</v>
          </cell>
        </row>
        <row r="137">
          <cell r="C137">
            <v>9482.2900000000009</v>
          </cell>
        </row>
        <row r="138">
          <cell r="C138">
            <v>10397.16</v>
          </cell>
        </row>
        <row r="139">
          <cell r="C139">
            <v>8996.18</v>
          </cell>
        </row>
        <row r="140">
          <cell r="C140">
            <v>13664.73</v>
          </cell>
        </row>
        <row r="141">
          <cell r="C141">
            <v>11725.17</v>
          </cell>
        </row>
        <row r="142">
          <cell r="C142">
            <v>15077.43</v>
          </cell>
        </row>
        <row r="143">
          <cell r="C143">
            <v>7476.21</v>
          </cell>
        </row>
        <row r="144">
          <cell r="C144">
            <v>8581.9500000000007</v>
          </cell>
        </row>
        <row r="145">
          <cell r="C145">
            <v>10387.26</v>
          </cell>
        </row>
        <row r="146">
          <cell r="C146">
            <v>9217.65</v>
          </cell>
        </row>
        <row r="147">
          <cell r="C147">
            <v>12285.93</v>
          </cell>
        </row>
        <row r="148">
          <cell r="C148">
            <v>13905.22</v>
          </cell>
        </row>
        <row r="149">
          <cell r="C149">
            <v>13260.14</v>
          </cell>
        </row>
        <row r="150">
          <cell r="C150">
            <v>8239.2999999999993</v>
          </cell>
        </row>
        <row r="151">
          <cell r="C151">
            <v>8646.66</v>
          </cell>
        </row>
        <row r="152">
          <cell r="C152">
            <v>16238.48</v>
          </cell>
        </row>
        <row r="153">
          <cell r="C153">
            <v>13943.92</v>
          </cell>
        </row>
        <row r="154">
          <cell r="C154">
            <v>11689.97</v>
          </cell>
        </row>
        <row r="155">
          <cell r="C155">
            <v>12265.48</v>
          </cell>
        </row>
        <row r="156">
          <cell r="C156">
            <v>19257.310000000001</v>
          </cell>
        </row>
        <row r="157">
          <cell r="C157">
            <v>8388.1</v>
          </cell>
        </row>
        <row r="158">
          <cell r="C158">
            <v>10704.51</v>
          </cell>
        </row>
        <row r="159">
          <cell r="C159">
            <v>11375.97</v>
          </cell>
        </row>
        <row r="160">
          <cell r="C160">
            <v>10480.299999999999</v>
          </cell>
        </row>
        <row r="161">
          <cell r="C161">
            <v>16360.49</v>
          </cell>
        </row>
        <row r="162">
          <cell r="C162">
            <v>16151.64</v>
          </cell>
        </row>
        <row r="163">
          <cell r="C163">
            <v>18099.21</v>
          </cell>
        </row>
        <row r="164">
          <cell r="C164">
            <v>15823.75</v>
          </cell>
        </row>
        <row r="165">
          <cell r="C165">
            <v>8440.06</v>
          </cell>
        </row>
        <row r="166">
          <cell r="C166">
            <v>10461.92</v>
          </cell>
        </row>
        <row r="167">
          <cell r="C167">
            <v>8425.67</v>
          </cell>
        </row>
        <row r="168">
          <cell r="C168">
            <v>13337.05</v>
          </cell>
        </row>
        <row r="169">
          <cell r="C169">
            <v>12583.03</v>
          </cell>
        </row>
        <row r="170">
          <cell r="C170">
            <v>14145.88</v>
          </cell>
        </row>
        <row r="171">
          <cell r="C171">
            <v>8554.17</v>
          </cell>
        </row>
        <row r="172">
          <cell r="C172">
            <v>9553.0499999999993</v>
          </cell>
        </row>
        <row r="173">
          <cell r="C173">
            <v>10264.44</v>
          </cell>
        </row>
        <row r="174">
          <cell r="C174">
            <v>7934.76</v>
          </cell>
        </row>
        <row r="175">
          <cell r="C175">
            <v>12867.3</v>
          </cell>
        </row>
        <row r="176">
          <cell r="C176">
            <v>12510.7</v>
          </cell>
        </row>
        <row r="177">
          <cell r="C177">
            <v>15601.22</v>
          </cell>
        </row>
        <row r="178">
          <cell r="C178">
            <v>8624.4500000000007</v>
          </cell>
        </row>
        <row r="179">
          <cell r="C179">
            <v>10314.43</v>
          </cell>
        </row>
        <row r="180">
          <cell r="C180">
            <v>10083.83</v>
          </cell>
        </row>
        <row r="181">
          <cell r="C181">
            <v>7580.65</v>
          </cell>
        </row>
        <row r="182">
          <cell r="C182">
            <v>13995.18</v>
          </cell>
        </row>
        <row r="183">
          <cell r="C183">
            <v>14202.03</v>
          </cell>
        </row>
        <row r="184">
          <cell r="C184">
            <v>16228.16</v>
          </cell>
        </row>
        <row r="185">
          <cell r="C185">
            <v>10639.13</v>
          </cell>
        </row>
        <row r="186">
          <cell r="C186">
            <v>12678.35</v>
          </cell>
        </row>
        <row r="187">
          <cell r="C187">
            <v>13394.82</v>
          </cell>
        </row>
        <row r="188">
          <cell r="C188">
            <v>12329.6</v>
          </cell>
        </row>
        <row r="189">
          <cell r="C189">
            <v>19032.88</v>
          </cell>
        </row>
        <row r="190">
          <cell r="C190">
            <v>13986.39</v>
          </cell>
        </row>
        <row r="191">
          <cell r="C191">
            <v>19043.23</v>
          </cell>
        </row>
        <row r="192">
          <cell r="C192">
            <v>10676.76</v>
          </cell>
        </row>
        <row r="193">
          <cell r="C193">
            <v>11130.96</v>
          </cell>
        </row>
        <row r="194">
          <cell r="C194">
            <v>11070.59</v>
          </cell>
        </row>
        <row r="195">
          <cell r="C195">
            <v>11791.88</v>
          </cell>
        </row>
        <row r="196">
          <cell r="C196">
            <v>13680.23</v>
          </cell>
        </row>
        <row r="197">
          <cell r="C197">
            <v>12896.27</v>
          </cell>
        </row>
        <row r="198">
          <cell r="C198">
            <v>17006.330000000002</v>
          </cell>
        </row>
        <row r="199">
          <cell r="C199">
            <v>15502.56</v>
          </cell>
        </row>
        <row r="200">
          <cell r="C200">
            <v>11087.89</v>
          </cell>
        </row>
        <row r="201">
          <cell r="C201">
            <v>11169</v>
          </cell>
        </row>
        <row r="202">
          <cell r="C202">
            <v>10452.629999999999</v>
          </cell>
        </row>
        <row r="203">
          <cell r="C203">
            <v>12466.47</v>
          </cell>
        </row>
        <row r="204">
          <cell r="C204">
            <v>14384.39</v>
          </cell>
        </row>
        <row r="205">
          <cell r="C205">
            <v>18079.990000000002</v>
          </cell>
        </row>
        <row r="206">
          <cell r="C206">
            <v>9988.3799999999992</v>
          </cell>
        </row>
        <row r="207">
          <cell r="C207">
            <v>10057.51</v>
          </cell>
        </row>
        <row r="208">
          <cell r="C208">
            <v>10396.58</v>
          </cell>
        </row>
        <row r="209">
          <cell r="C209">
            <v>11747.02</v>
          </cell>
        </row>
        <row r="210">
          <cell r="C210">
            <v>13978.87</v>
          </cell>
        </row>
        <row r="211">
          <cell r="C211">
            <v>14587.36</v>
          </cell>
        </row>
        <row r="212">
          <cell r="C212">
            <v>18161.73</v>
          </cell>
        </row>
        <row r="213">
          <cell r="C213">
            <v>10520.23</v>
          </cell>
        </row>
        <row r="214">
          <cell r="C214">
            <v>10113.41</v>
          </cell>
        </row>
        <row r="215">
          <cell r="C215">
            <v>11081.33</v>
          </cell>
        </row>
        <row r="216">
          <cell r="C216">
            <v>11013.19</v>
          </cell>
        </row>
        <row r="217">
          <cell r="C217">
            <v>15442.92</v>
          </cell>
        </row>
        <row r="218">
          <cell r="C218">
            <v>14981.1</v>
          </cell>
        </row>
        <row r="219">
          <cell r="C219">
            <v>17468.86</v>
          </cell>
        </row>
        <row r="220">
          <cell r="C220">
            <v>12443.17</v>
          </cell>
        </row>
        <row r="221">
          <cell r="C221">
            <v>12321.65</v>
          </cell>
        </row>
        <row r="222">
          <cell r="C222">
            <v>11324.42</v>
          </cell>
        </row>
        <row r="223">
          <cell r="C223">
            <v>12868.25</v>
          </cell>
        </row>
        <row r="224">
          <cell r="C224">
            <v>14189.93</v>
          </cell>
        </row>
        <row r="225">
          <cell r="C225">
            <v>15578.24</v>
          </cell>
        </row>
        <row r="226">
          <cell r="C226">
            <v>16729.78</v>
          </cell>
        </row>
        <row r="227">
          <cell r="C227">
            <v>13664.32</v>
          </cell>
        </row>
        <row r="228">
          <cell r="C228">
            <v>10843.05</v>
          </cell>
        </row>
        <row r="229">
          <cell r="C229">
            <v>12049.59</v>
          </cell>
        </row>
        <row r="230">
          <cell r="C230">
            <v>14820.45</v>
          </cell>
        </row>
        <row r="231">
          <cell r="C231">
            <v>15062.86</v>
          </cell>
        </row>
        <row r="232">
          <cell r="C232">
            <v>15319.67</v>
          </cell>
        </row>
        <row r="233">
          <cell r="C233">
            <v>17626.12</v>
          </cell>
        </row>
        <row r="234">
          <cell r="C234">
            <v>13023.88</v>
          </cell>
        </row>
        <row r="235">
          <cell r="C235">
            <v>11239.47</v>
          </cell>
        </row>
        <row r="236">
          <cell r="C236">
            <v>12245.47</v>
          </cell>
        </row>
        <row r="237">
          <cell r="C237">
            <v>12964.13</v>
          </cell>
        </row>
        <row r="238">
          <cell r="C238">
            <v>13824.82</v>
          </cell>
        </row>
        <row r="239">
          <cell r="C239">
            <v>15450.41</v>
          </cell>
        </row>
        <row r="240">
          <cell r="C240">
            <v>17957.419999999998</v>
          </cell>
        </row>
        <row r="241">
          <cell r="C241">
            <v>10125.51</v>
          </cell>
        </row>
        <row r="242">
          <cell r="C242">
            <v>10890.1</v>
          </cell>
        </row>
        <row r="243">
          <cell r="C243">
            <v>12617.37</v>
          </cell>
        </row>
        <row r="244">
          <cell r="C244">
            <v>14176.08</v>
          </cell>
        </row>
        <row r="245">
          <cell r="C245">
            <v>16258.36</v>
          </cell>
        </row>
        <row r="246">
          <cell r="C246">
            <v>17739.73</v>
          </cell>
        </row>
        <row r="247">
          <cell r="C247">
            <v>19570.259999999998</v>
          </cell>
        </row>
        <row r="248">
          <cell r="C248">
            <v>9384.89</v>
          </cell>
        </row>
        <row r="249">
          <cell r="C249">
            <v>9958.4599999999991</v>
          </cell>
        </row>
        <row r="250">
          <cell r="C250">
            <v>12462.83</v>
          </cell>
        </row>
        <row r="251">
          <cell r="C251">
            <v>10622.97</v>
          </cell>
        </row>
        <row r="252">
          <cell r="C252">
            <v>15563.91</v>
          </cell>
        </row>
        <row r="253">
          <cell r="C253">
            <v>15840.43</v>
          </cell>
        </row>
        <row r="254">
          <cell r="C254">
            <v>18507.48</v>
          </cell>
        </row>
        <row r="255">
          <cell r="C255">
            <v>8427.4699999999993</v>
          </cell>
        </row>
        <row r="256">
          <cell r="C256">
            <v>10026.459999999999</v>
          </cell>
        </row>
        <row r="257">
          <cell r="C257">
            <v>11090.08</v>
          </cell>
        </row>
        <row r="258">
          <cell r="C258">
            <v>8844.36</v>
          </cell>
        </row>
        <row r="259">
          <cell r="C259">
            <v>14498.03</v>
          </cell>
        </row>
        <row r="260">
          <cell r="C260">
            <v>14811.47</v>
          </cell>
        </row>
        <row r="261">
          <cell r="C261">
            <v>16983.63</v>
          </cell>
        </row>
        <row r="262">
          <cell r="C262">
            <v>7050.34</v>
          </cell>
        </row>
        <row r="263">
          <cell r="C263">
            <v>8777.18</v>
          </cell>
        </row>
        <row r="264">
          <cell r="C264">
            <v>9995.69</v>
          </cell>
        </row>
        <row r="265">
          <cell r="C265">
            <v>8372.4500000000007</v>
          </cell>
        </row>
        <row r="266">
          <cell r="C266">
            <v>15003.86</v>
          </cell>
        </row>
        <row r="267">
          <cell r="C267">
            <v>13710.2</v>
          </cell>
        </row>
        <row r="268">
          <cell r="C268">
            <v>14772.48</v>
          </cell>
        </row>
        <row r="269">
          <cell r="C269">
            <v>6934.59</v>
          </cell>
        </row>
        <row r="270">
          <cell r="C270">
            <v>7788.52</v>
          </cell>
        </row>
        <row r="271">
          <cell r="C271">
            <v>8895.41</v>
          </cell>
        </row>
        <row r="272">
          <cell r="C272">
            <v>8865.85</v>
          </cell>
        </row>
        <row r="273">
          <cell r="C273">
            <v>12823.64</v>
          </cell>
        </row>
        <row r="274">
          <cell r="C274">
            <v>12721.47</v>
          </cell>
        </row>
        <row r="275">
          <cell r="C275">
            <v>17860.13</v>
          </cell>
        </row>
        <row r="276">
          <cell r="C276">
            <v>7115.12</v>
          </cell>
        </row>
        <row r="277">
          <cell r="C277">
            <v>9810.43</v>
          </cell>
        </row>
        <row r="278">
          <cell r="C278">
            <v>10885.98</v>
          </cell>
        </row>
        <row r="279">
          <cell r="C279">
            <v>9176.6299999999992</v>
          </cell>
        </row>
        <row r="280">
          <cell r="C280">
            <v>14684.95</v>
          </cell>
        </row>
        <row r="281">
          <cell r="C281">
            <v>13999.7</v>
          </cell>
        </row>
        <row r="282">
          <cell r="C282">
            <v>16136.24</v>
          </cell>
        </row>
        <row r="283">
          <cell r="C283">
            <v>7683.9</v>
          </cell>
        </row>
        <row r="284">
          <cell r="C284">
            <v>8779.35</v>
          </cell>
        </row>
        <row r="285">
          <cell r="C285">
            <v>10663.12</v>
          </cell>
        </row>
        <row r="286">
          <cell r="C286">
            <v>9747.7199999999993</v>
          </cell>
        </row>
        <row r="287">
          <cell r="C287">
            <v>14728.3</v>
          </cell>
        </row>
        <row r="288">
          <cell r="C288">
            <v>14970.92</v>
          </cell>
        </row>
        <row r="289">
          <cell r="C289">
            <v>16989.96</v>
          </cell>
        </row>
        <row r="290">
          <cell r="C290">
            <v>8686.7199999999993</v>
          </cell>
        </row>
        <row r="291">
          <cell r="C291">
            <v>9789.6</v>
          </cell>
        </row>
        <row r="292">
          <cell r="C292">
            <v>10664.54</v>
          </cell>
        </row>
        <row r="293">
          <cell r="C293">
            <v>8208.76</v>
          </cell>
        </row>
        <row r="294">
          <cell r="C294">
            <v>14926.01</v>
          </cell>
        </row>
        <row r="295">
          <cell r="C295">
            <v>14408.19</v>
          </cell>
        </row>
        <row r="296">
          <cell r="C296">
            <v>18268.36</v>
          </cell>
        </row>
        <row r="297">
          <cell r="C297">
            <v>7319.09</v>
          </cell>
        </row>
        <row r="298">
          <cell r="C298">
            <v>8637.52</v>
          </cell>
        </row>
        <row r="299">
          <cell r="C299">
            <v>10171.32</v>
          </cell>
        </row>
        <row r="300">
          <cell r="C300">
            <v>10489.3</v>
          </cell>
        </row>
        <row r="301">
          <cell r="C301">
            <v>14218.31</v>
          </cell>
        </row>
        <row r="302">
          <cell r="C302">
            <v>11851.83</v>
          </cell>
        </row>
        <row r="303">
          <cell r="C303">
            <v>14329.57</v>
          </cell>
        </row>
        <row r="304">
          <cell r="C304">
            <v>9208.65</v>
          </cell>
        </row>
        <row r="305">
          <cell r="C305">
            <v>10535.69</v>
          </cell>
        </row>
        <row r="306">
          <cell r="C306">
            <v>10624.26</v>
          </cell>
        </row>
        <row r="307">
          <cell r="C307">
            <v>12642.4</v>
          </cell>
        </row>
        <row r="308">
          <cell r="C308">
            <v>15135.54</v>
          </cell>
        </row>
        <row r="309">
          <cell r="C309">
            <v>15563.2</v>
          </cell>
        </row>
        <row r="310">
          <cell r="C310">
            <v>16770.46</v>
          </cell>
        </row>
        <row r="311">
          <cell r="C311">
            <v>7974.26</v>
          </cell>
        </row>
        <row r="312">
          <cell r="C312">
            <v>9239</v>
          </cell>
        </row>
        <row r="313">
          <cell r="C313">
            <v>10737.88</v>
          </cell>
        </row>
        <row r="314">
          <cell r="C314">
            <v>7781.74</v>
          </cell>
        </row>
        <row r="315">
          <cell r="C315">
            <v>13758.69</v>
          </cell>
        </row>
        <row r="316">
          <cell r="C316">
            <v>12920.61</v>
          </cell>
        </row>
        <row r="317">
          <cell r="C317">
            <v>16621.29</v>
          </cell>
        </row>
        <row r="318">
          <cell r="C318">
            <v>10586.17</v>
          </cell>
        </row>
        <row r="319">
          <cell r="C319">
            <v>12296.58</v>
          </cell>
        </row>
        <row r="320">
          <cell r="C320">
            <v>10174.23</v>
          </cell>
        </row>
        <row r="321">
          <cell r="C321">
            <v>9138.58</v>
          </cell>
        </row>
        <row r="322">
          <cell r="C322">
            <v>12542.54</v>
          </cell>
        </row>
        <row r="323">
          <cell r="C323">
            <v>12931.4</v>
          </cell>
        </row>
        <row r="324">
          <cell r="C324">
            <v>14127.71</v>
          </cell>
        </row>
        <row r="325">
          <cell r="C325">
            <v>7398.79</v>
          </cell>
        </row>
        <row r="326">
          <cell r="C326">
            <v>8659.41</v>
          </cell>
        </row>
        <row r="327">
          <cell r="C327">
            <v>9878.52</v>
          </cell>
        </row>
        <row r="328">
          <cell r="C328">
            <v>7991.53</v>
          </cell>
        </row>
        <row r="329">
          <cell r="C329">
            <v>13487.2</v>
          </cell>
        </row>
        <row r="330">
          <cell r="C330">
            <v>13384.65</v>
          </cell>
        </row>
        <row r="331">
          <cell r="C331">
            <v>12777.05</v>
          </cell>
        </row>
        <row r="332">
          <cell r="C332">
            <v>6818.82</v>
          </cell>
        </row>
        <row r="333">
          <cell r="C333">
            <v>8531.77</v>
          </cell>
        </row>
        <row r="334">
          <cell r="C334">
            <v>9904.84</v>
          </cell>
        </row>
        <row r="335">
          <cell r="C335">
            <v>9559.57</v>
          </cell>
        </row>
        <row r="336">
          <cell r="C336">
            <v>14348.59</v>
          </cell>
        </row>
        <row r="337">
          <cell r="C337">
            <v>14510.49</v>
          </cell>
        </row>
        <row r="338">
          <cell r="C338">
            <v>15404.35</v>
          </cell>
        </row>
        <row r="339">
          <cell r="C339">
            <v>7771.73</v>
          </cell>
        </row>
        <row r="340">
          <cell r="C340">
            <v>7698.65</v>
          </cell>
        </row>
        <row r="341">
          <cell r="C341">
            <v>10244.56</v>
          </cell>
        </row>
        <row r="342">
          <cell r="C342">
            <v>8820.16</v>
          </cell>
        </row>
        <row r="343">
          <cell r="C343">
            <v>16577.66</v>
          </cell>
        </row>
        <row r="344">
          <cell r="C344">
            <v>14370.23</v>
          </cell>
        </row>
        <row r="345">
          <cell r="C345">
            <v>16140</v>
          </cell>
        </row>
        <row r="346">
          <cell r="C346">
            <v>8238.5400000000009</v>
          </cell>
        </row>
        <row r="347">
          <cell r="C347">
            <v>8754.27</v>
          </cell>
        </row>
        <row r="348">
          <cell r="C348">
            <v>11954.83</v>
          </cell>
        </row>
        <row r="349">
          <cell r="C349">
            <v>9074.1200000000008</v>
          </cell>
        </row>
        <row r="350">
          <cell r="C350">
            <v>13802.87</v>
          </cell>
        </row>
        <row r="351">
          <cell r="C351">
            <v>16878.84</v>
          </cell>
        </row>
        <row r="352">
          <cell r="C352">
            <v>15150.14</v>
          </cell>
        </row>
        <row r="353">
          <cell r="C353">
            <v>7800.31</v>
          </cell>
        </row>
        <row r="354">
          <cell r="C354">
            <v>8560.06</v>
          </cell>
        </row>
        <row r="355">
          <cell r="C355">
            <v>12269.51</v>
          </cell>
        </row>
        <row r="356">
          <cell r="C356">
            <v>9721.5499999999993</v>
          </cell>
        </row>
        <row r="357">
          <cell r="C357">
            <v>13737.44</v>
          </cell>
        </row>
        <row r="358">
          <cell r="C358">
            <v>18414.259999999998</v>
          </cell>
        </row>
        <row r="359">
          <cell r="C359">
            <v>16138.33</v>
          </cell>
        </row>
        <row r="360">
          <cell r="C360">
            <v>12498.71</v>
          </cell>
        </row>
        <row r="361">
          <cell r="C361">
            <v>13056.71</v>
          </cell>
        </row>
        <row r="362">
          <cell r="C362">
            <v>6101.34</v>
          </cell>
        </row>
        <row r="363">
          <cell r="C363">
            <v>0</v>
          </cell>
        </row>
        <row r="364">
          <cell r="C364">
            <v>15035.1</v>
          </cell>
        </row>
        <row r="365">
          <cell r="C365">
            <v>22563.96</v>
          </cell>
        </row>
        <row r="366">
          <cell r="C366">
            <v>16253.4</v>
          </cell>
        </row>
        <row r="367">
          <cell r="C367">
            <v>13565.9</v>
          </cell>
        </row>
        <row r="368">
          <cell r="C368">
            <v>14199.2</v>
          </cell>
        </row>
        <row r="369">
          <cell r="C369">
            <v>6120.12</v>
          </cell>
        </row>
        <row r="370">
          <cell r="C370">
            <v>0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C6">
            <v>12706.33</v>
          </cell>
          <cell r="D6">
            <v>12482.32</v>
          </cell>
          <cell r="E6">
            <v>610</v>
          </cell>
          <cell r="F6">
            <v>23100</v>
          </cell>
          <cell r="G6">
            <v>24482.58</v>
          </cell>
          <cell r="H6">
            <v>24306.31</v>
          </cell>
          <cell r="I6">
            <v>1016</v>
          </cell>
          <cell r="J6">
            <v>163.73000000000002</v>
          </cell>
          <cell r="K6">
            <v>206.15</v>
          </cell>
          <cell r="L6">
            <v>79.260000000000005</v>
          </cell>
        </row>
        <row r="7">
          <cell r="C7">
            <v>15634.89</v>
          </cell>
          <cell r="D7">
            <v>15405.11</v>
          </cell>
          <cell r="E7">
            <v>758</v>
          </cell>
          <cell r="F7">
            <v>15500</v>
          </cell>
          <cell r="G7">
            <v>18221.02</v>
          </cell>
          <cell r="H7">
            <v>18079.95</v>
          </cell>
          <cell r="I7">
            <v>785</v>
          </cell>
          <cell r="J7">
            <v>149.69</v>
          </cell>
          <cell r="K7">
            <v>175.57</v>
          </cell>
          <cell r="L7">
            <v>28.8</v>
          </cell>
        </row>
        <row r="8">
          <cell r="C8">
            <v>14617.3</v>
          </cell>
          <cell r="D8">
            <v>14357.33</v>
          </cell>
          <cell r="E8">
            <v>670</v>
          </cell>
          <cell r="F8">
            <v>14500</v>
          </cell>
          <cell r="G8">
            <v>17091.96</v>
          </cell>
          <cell r="H8">
            <v>16946.349999999999</v>
          </cell>
          <cell r="I8">
            <v>719</v>
          </cell>
          <cell r="J8">
            <v>162.56</v>
          </cell>
          <cell r="K8">
            <v>180.07</v>
          </cell>
          <cell r="L8">
            <v>57.91</v>
          </cell>
        </row>
        <row r="9">
          <cell r="C9">
            <v>12179.37</v>
          </cell>
          <cell r="D9">
            <v>12004.19</v>
          </cell>
          <cell r="E9">
            <v>549</v>
          </cell>
          <cell r="F9">
            <v>12100</v>
          </cell>
          <cell r="G9">
            <v>16119.02</v>
          </cell>
          <cell r="H9">
            <v>16000</v>
          </cell>
          <cell r="I9">
            <v>664</v>
          </cell>
          <cell r="J9">
            <v>129.33000000000001</v>
          </cell>
          <cell r="K9">
            <v>148.21</v>
          </cell>
          <cell r="L9">
            <v>43.91</v>
          </cell>
        </row>
        <row r="10">
          <cell r="C10">
            <v>7147.56</v>
          </cell>
          <cell r="D10">
            <v>7082.19</v>
          </cell>
          <cell r="E10">
            <v>399</v>
          </cell>
          <cell r="F10">
            <v>7100</v>
          </cell>
          <cell r="G10">
            <v>7091.19</v>
          </cell>
          <cell r="H10">
            <v>7042.5</v>
          </cell>
          <cell r="I10">
            <v>383</v>
          </cell>
          <cell r="J10">
            <v>83.85</v>
          </cell>
          <cell r="K10">
            <v>100.52</v>
          </cell>
          <cell r="L10">
            <v>29.97</v>
          </cell>
        </row>
        <row r="11">
          <cell r="C11">
            <v>7765.79</v>
          </cell>
          <cell r="D11">
            <v>7690.33</v>
          </cell>
          <cell r="E11">
            <v>410</v>
          </cell>
          <cell r="F11">
            <v>7800</v>
          </cell>
          <cell r="G11">
            <v>8481.92</v>
          </cell>
          <cell r="H11">
            <v>8412.26</v>
          </cell>
          <cell r="I11">
            <v>446</v>
          </cell>
          <cell r="J11">
            <v>84.63</v>
          </cell>
          <cell r="K11">
            <v>109.44</v>
          </cell>
          <cell r="L11">
            <v>44.59</v>
          </cell>
        </row>
        <row r="12">
          <cell r="C12">
            <v>11291.64</v>
          </cell>
          <cell r="D12">
            <v>11096.53</v>
          </cell>
          <cell r="E12">
            <v>562</v>
          </cell>
          <cell r="F12">
            <v>11200</v>
          </cell>
          <cell r="G12">
            <v>9492.19</v>
          </cell>
          <cell r="H12">
            <v>9407.66</v>
          </cell>
          <cell r="I12">
            <v>487</v>
          </cell>
          <cell r="J12">
            <v>109.23</v>
          </cell>
          <cell r="K12">
            <v>126.39</v>
          </cell>
          <cell r="L12">
            <v>34.28</v>
          </cell>
        </row>
        <row r="13">
          <cell r="C13">
            <v>7869.33</v>
          </cell>
          <cell r="D13">
            <v>7780.59</v>
          </cell>
          <cell r="E13">
            <v>432</v>
          </cell>
          <cell r="F13">
            <v>7800</v>
          </cell>
          <cell r="G13">
            <v>7014.11</v>
          </cell>
          <cell r="H13">
            <v>6970.51</v>
          </cell>
          <cell r="I13">
            <v>385</v>
          </cell>
          <cell r="J13">
            <v>95.67</v>
          </cell>
          <cell r="K13">
            <v>120.48</v>
          </cell>
          <cell r="L13">
            <v>29.54</v>
          </cell>
        </row>
        <row r="14">
          <cell r="C14">
            <v>14058.73</v>
          </cell>
          <cell r="D14">
            <v>13931.14</v>
          </cell>
          <cell r="E14">
            <v>749</v>
          </cell>
          <cell r="F14">
            <v>14100</v>
          </cell>
          <cell r="G14">
            <v>12590.01</v>
          </cell>
          <cell r="H14">
            <v>12505.46</v>
          </cell>
          <cell r="I14">
            <v>632</v>
          </cell>
          <cell r="J14">
            <v>125.65</v>
          </cell>
          <cell r="K14">
            <v>142.33000000000001</v>
          </cell>
          <cell r="L14">
            <v>49.29</v>
          </cell>
        </row>
        <row r="15">
          <cell r="C15">
            <v>13503.21</v>
          </cell>
          <cell r="D15">
            <v>13315.97</v>
          </cell>
          <cell r="E15">
            <v>665</v>
          </cell>
          <cell r="F15">
            <v>13400</v>
          </cell>
          <cell r="G15">
            <v>11774.2</v>
          </cell>
          <cell r="H15">
            <v>11684.44</v>
          </cell>
          <cell r="I15">
            <v>562</v>
          </cell>
          <cell r="J15">
            <v>145.86000000000001</v>
          </cell>
          <cell r="K15">
            <v>172.52</v>
          </cell>
          <cell r="L15">
            <v>33.94</v>
          </cell>
        </row>
        <row r="16">
          <cell r="C16">
            <v>13678.29</v>
          </cell>
          <cell r="D16">
            <v>13571.02</v>
          </cell>
          <cell r="E16">
            <v>620</v>
          </cell>
          <cell r="F16">
            <v>13700</v>
          </cell>
          <cell r="G16">
            <v>13096.26</v>
          </cell>
          <cell r="H16">
            <v>12983.76</v>
          </cell>
          <cell r="I16">
            <v>551</v>
          </cell>
          <cell r="J16">
            <v>140.55000000000001</v>
          </cell>
          <cell r="K16">
            <v>165.29</v>
          </cell>
          <cell r="L16">
            <v>42.46</v>
          </cell>
        </row>
        <row r="17">
          <cell r="C17">
            <v>7607.67</v>
          </cell>
          <cell r="D17">
            <v>7556.95</v>
          </cell>
          <cell r="E17">
            <v>429</v>
          </cell>
          <cell r="F17">
            <v>7600</v>
          </cell>
          <cell r="G17">
            <v>7436.88</v>
          </cell>
          <cell r="H17">
            <v>7381.52</v>
          </cell>
          <cell r="I17">
            <v>384</v>
          </cell>
          <cell r="J17">
            <v>92.63</v>
          </cell>
          <cell r="K17">
            <v>109.03</v>
          </cell>
          <cell r="L17">
            <v>42.69</v>
          </cell>
        </row>
        <row r="18">
          <cell r="C18">
            <v>8105.24</v>
          </cell>
          <cell r="D18">
            <v>8059.09</v>
          </cell>
          <cell r="E18">
            <v>460</v>
          </cell>
          <cell r="F18">
            <v>8100</v>
          </cell>
          <cell r="G18">
            <v>9514.9</v>
          </cell>
          <cell r="H18">
            <v>9451.7800000000007</v>
          </cell>
          <cell r="I18">
            <v>492</v>
          </cell>
          <cell r="J18">
            <v>94.99</v>
          </cell>
          <cell r="K18">
            <v>113.44</v>
          </cell>
          <cell r="L18">
            <v>52.74</v>
          </cell>
        </row>
        <row r="19">
          <cell r="C19">
            <v>10309.379999999999</v>
          </cell>
          <cell r="D19">
            <v>10212.86</v>
          </cell>
          <cell r="E19">
            <v>560</v>
          </cell>
          <cell r="F19">
            <v>10300</v>
          </cell>
          <cell r="G19">
            <v>10813.12</v>
          </cell>
          <cell r="H19">
            <v>10730.52</v>
          </cell>
          <cell r="I19">
            <v>532</v>
          </cell>
          <cell r="J19">
            <v>125.96000000000001</v>
          </cell>
          <cell r="K19">
            <v>134.09</v>
          </cell>
          <cell r="L19">
            <v>28.04</v>
          </cell>
        </row>
        <row r="20">
          <cell r="C20">
            <v>8613.91</v>
          </cell>
          <cell r="D20">
            <v>8557.36</v>
          </cell>
          <cell r="E20">
            <v>496</v>
          </cell>
          <cell r="F20">
            <v>8600</v>
          </cell>
          <cell r="G20">
            <v>8285.09</v>
          </cell>
          <cell r="H20">
            <v>8230.4699999999993</v>
          </cell>
          <cell r="I20">
            <v>434</v>
          </cell>
          <cell r="J20">
            <v>98.41</v>
          </cell>
          <cell r="K20">
            <v>122.09</v>
          </cell>
          <cell r="L20">
            <v>44.62</v>
          </cell>
        </row>
        <row r="21">
          <cell r="C21">
            <v>13100.77</v>
          </cell>
          <cell r="D21">
            <v>13000.65</v>
          </cell>
          <cell r="E21">
            <v>671</v>
          </cell>
          <cell r="F21">
            <v>13100</v>
          </cell>
          <cell r="G21">
            <v>14057.8</v>
          </cell>
          <cell r="H21">
            <v>13961.39</v>
          </cell>
          <cell r="I21">
            <v>642</v>
          </cell>
          <cell r="J21">
            <v>122.82000000000002</v>
          </cell>
          <cell r="K21">
            <v>157.55000000000001</v>
          </cell>
          <cell r="L21">
            <v>108.39</v>
          </cell>
        </row>
        <row r="22">
          <cell r="C22">
            <v>13758.43</v>
          </cell>
          <cell r="D22">
            <v>13633.96</v>
          </cell>
          <cell r="E22">
            <v>671</v>
          </cell>
          <cell r="F22">
            <v>13800</v>
          </cell>
          <cell r="G22">
            <v>13742.34</v>
          </cell>
          <cell r="H22">
            <v>13632.45</v>
          </cell>
          <cell r="I22">
            <v>654</v>
          </cell>
          <cell r="J22">
            <v>138.23000000000002</v>
          </cell>
          <cell r="K22">
            <v>163.58000000000001</v>
          </cell>
          <cell r="L22">
            <v>49.88</v>
          </cell>
        </row>
        <row r="23">
          <cell r="C23">
            <v>13859.9</v>
          </cell>
          <cell r="D23">
            <v>13758.45</v>
          </cell>
          <cell r="E23">
            <v>638</v>
          </cell>
          <cell r="F23">
            <v>13900</v>
          </cell>
          <cell r="G23">
            <v>13518.91</v>
          </cell>
          <cell r="H23">
            <v>13421.98</v>
          </cell>
          <cell r="I23">
            <v>611</v>
          </cell>
          <cell r="J23">
            <v>119.28</v>
          </cell>
          <cell r="K23">
            <v>144.41</v>
          </cell>
          <cell r="L23">
            <v>29.99</v>
          </cell>
        </row>
        <row r="24">
          <cell r="C24">
            <v>6106.85</v>
          </cell>
          <cell r="D24">
            <v>6071.15</v>
          </cell>
          <cell r="E24">
            <v>382</v>
          </cell>
          <cell r="F24">
            <v>6100</v>
          </cell>
          <cell r="G24">
            <v>7136.2</v>
          </cell>
          <cell r="H24">
            <v>7089.99</v>
          </cell>
          <cell r="I24">
            <v>378</v>
          </cell>
          <cell r="J24">
            <v>86.87</v>
          </cell>
          <cell r="K24">
            <v>103.59</v>
          </cell>
          <cell r="L24">
            <v>41.34</v>
          </cell>
        </row>
        <row r="25">
          <cell r="C25">
            <v>7940.03</v>
          </cell>
          <cell r="D25">
            <v>7869.29</v>
          </cell>
          <cell r="E25">
            <v>472</v>
          </cell>
          <cell r="F25">
            <v>7900</v>
          </cell>
          <cell r="G25">
            <v>8236.2800000000007</v>
          </cell>
          <cell r="H25">
            <v>8176.4</v>
          </cell>
          <cell r="I25">
            <v>416</v>
          </cell>
          <cell r="J25">
            <v>105.11999999999999</v>
          </cell>
          <cell r="K25">
            <v>121.3</v>
          </cell>
          <cell r="L25">
            <v>28.03</v>
          </cell>
        </row>
        <row r="26">
          <cell r="C26">
            <v>9423.9500000000007</v>
          </cell>
          <cell r="D26">
            <v>9332.7900000000009</v>
          </cell>
          <cell r="E26">
            <v>517</v>
          </cell>
          <cell r="F26">
            <v>9300</v>
          </cell>
          <cell r="G26">
            <v>9279.64</v>
          </cell>
          <cell r="H26">
            <v>9192.35</v>
          </cell>
          <cell r="I26">
            <v>491</v>
          </cell>
          <cell r="J26">
            <v>114.28000000000002</v>
          </cell>
          <cell r="K26">
            <v>130.58000000000001</v>
          </cell>
          <cell r="L26">
            <v>22.32</v>
          </cell>
        </row>
        <row r="27">
          <cell r="C27">
            <v>8710.84</v>
          </cell>
          <cell r="D27">
            <v>8662.69</v>
          </cell>
          <cell r="E27">
            <v>508</v>
          </cell>
          <cell r="F27">
            <v>8700</v>
          </cell>
          <cell r="G27">
            <v>7735.74</v>
          </cell>
          <cell r="H27">
            <v>7679.15</v>
          </cell>
          <cell r="I27">
            <v>461</v>
          </cell>
          <cell r="J27">
            <v>93.86</v>
          </cell>
          <cell r="K27">
            <v>118.28</v>
          </cell>
          <cell r="L27">
            <v>42.26</v>
          </cell>
        </row>
        <row r="28">
          <cell r="C28">
            <v>12570.91</v>
          </cell>
          <cell r="D28">
            <v>12488.75</v>
          </cell>
          <cell r="E28">
            <v>675</v>
          </cell>
          <cell r="F28">
            <v>12500</v>
          </cell>
          <cell r="G28">
            <v>13554.32</v>
          </cell>
          <cell r="H28">
            <v>13461.27</v>
          </cell>
          <cell r="I28">
            <v>665</v>
          </cell>
          <cell r="J28">
            <v>126.78999999999998</v>
          </cell>
          <cell r="K28">
            <v>160.58000000000001</v>
          </cell>
          <cell r="L28">
            <v>56.37</v>
          </cell>
        </row>
        <row r="29">
          <cell r="C29">
            <v>15874.72</v>
          </cell>
          <cell r="D29">
            <v>15736.29</v>
          </cell>
          <cell r="E29">
            <v>783</v>
          </cell>
          <cell r="F29">
            <v>15700</v>
          </cell>
          <cell r="G29">
            <v>14916.86</v>
          </cell>
          <cell r="H29">
            <v>14780.2</v>
          </cell>
          <cell r="I29">
            <v>700</v>
          </cell>
          <cell r="J29">
            <v>139.53000000000003</v>
          </cell>
          <cell r="K29">
            <v>173.12</v>
          </cell>
          <cell r="L29">
            <v>43.9</v>
          </cell>
        </row>
        <row r="30">
          <cell r="C30">
            <v>13803.81</v>
          </cell>
          <cell r="D30">
            <v>13693.2</v>
          </cell>
          <cell r="E30">
            <v>673</v>
          </cell>
          <cell r="F30">
            <v>13500</v>
          </cell>
          <cell r="G30">
            <v>14483.88</v>
          </cell>
          <cell r="H30">
            <v>14381.76</v>
          </cell>
          <cell r="I30">
            <v>645</v>
          </cell>
          <cell r="J30">
            <v>129.35000000000002</v>
          </cell>
          <cell r="K30">
            <v>145.36000000000001</v>
          </cell>
          <cell r="L30">
            <v>40.049999999999997</v>
          </cell>
        </row>
        <row r="31">
          <cell r="C31">
            <v>5791.8</v>
          </cell>
          <cell r="D31">
            <v>5743.64</v>
          </cell>
          <cell r="E31">
            <v>335</v>
          </cell>
          <cell r="F31">
            <v>5700</v>
          </cell>
          <cell r="G31">
            <v>6717.96</v>
          </cell>
          <cell r="H31">
            <v>6679.58</v>
          </cell>
          <cell r="I31">
            <v>374</v>
          </cell>
          <cell r="J31">
            <v>85.85</v>
          </cell>
          <cell r="K31">
            <v>94.08</v>
          </cell>
          <cell r="L31">
            <v>35.36</v>
          </cell>
        </row>
        <row r="32">
          <cell r="C32">
            <v>7963.59</v>
          </cell>
          <cell r="D32">
            <v>7918.69</v>
          </cell>
          <cell r="E32">
            <v>450</v>
          </cell>
          <cell r="F32">
            <v>7800</v>
          </cell>
          <cell r="G32">
            <v>7893.5</v>
          </cell>
          <cell r="H32">
            <v>7832.27</v>
          </cell>
          <cell r="I32">
            <v>427</v>
          </cell>
          <cell r="J32">
            <v>86.169999999999987</v>
          </cell>
          <cell r="K32">
            <v>102.53</v>
          </cell>
          <cell r="L32">
            <v>26.14</v>
          </cell>
        </row>
        <row r="33">
          <cell r="C33">
            <v>10960.49</v>
          </cell>
          <cell r="D33">
            <v>10865.49</v>
          </cell>
          <cell r="E33">
            <v>529</v>
          </cell>
          <cell r="F33">
            <v>10700</v>
          </cell>
          <cell r="G33">
            <v>10016.280000000001</v>
          </cell>
          <cell r="H33">
            <v>9936.9599999999991</v>
          </cell>
          <cell r="I33">
            <v>484</v>
          </cell>
          <cell r="J33">
            <v>99.220000000000013</v>
          </cell>
          <cell r="K33">
            <v>115.43</v>
          </cell>
          <cell r="L33">
            <v>42.51</v>
          </cell>
        </row>
        <row r="34">
          <cell r="C34">
            <v>8007.56</v>
          </cell>
          <cell r="D34">
            <v>7969.82</v>
          </cell>
          <cell r="E34">
            <v>446</v>
          </cell>
          <cell r="F34">
            <v>7900</v>
          </cell>
          <cell r="G34">
            <v>8224.75</v>
          </cell>
          <cell r="H34">
            <v>8174.02</v>
          </cell>
          <cell r="I34">
            <v>433</v>
          </cell>
          <cell r="J34">
            <v>81.59</v>
          </cell>
          <cell r="K34">
            <v>98.11</v>
          </cell>
          <cell r="L34">
            <v>11.32</v>
          </cell>
        </row>
        <row r="35">
          <cell r="C35">
            <v>14314.48</v>
          </cell>
          <cell r="D35">
            <v>14221.55</v>
          </cell>
          <cell r="E35">
            <v>720</v>
          </cell>
          <cell r="F35">
            <v>14100</v>
          </cell>
          <cell r="G35">
            <v>13099.06</v>
          </cell>
          <cell r="H35">
            <v>13017.79</v>
          </cell>
          <cell r="I35">
            <v>604</v>
          </cell>
          <cell r="J35">
            <v>134</v>
          </cell>
          <cell r="K35">
            <v>157.11000000000001</v>
          </cell>
          <cell r="L35">
            <v>34.75</v>
          </cell>
        </row>
        <row r="36">
          <cell r="C36">
            <v>18335.63</v>
          </cell>
          <cell r="D36">
            <v>18195.13</v>
          </cell>
          <cell r="E36">
            <v>909</v>
          </cell>
          <cell r="F36">
            <v>18000</v>
          </cell>
          <cell r="G36">
            <v>19601.52</v>
          </cell>
          <cell r="H36">
            <v>19455.14</v>
          </cell>
          <cell r="I36">
            <v>882</v>
          </cell>
          <cell r="J36">
            <v>142.21999999999997</v>
          </cell>
          <cell r="K36">
            <v>177.42</v>
          </cell>
          <cell r="L36">
            <v>75.400000000000006</v>
          </cell>
        </row>
        <row r="37">
          <cell r="C37">
            <v>14555.68</v>
          </cell>
          <cell r="D37">
            <v>14471.12</v>
          </cell>
          <cell r="E37">
            <v>705</v>
          </cell>
          <cell r="F37">
            <v>14600</v>
          </cell>
          <cell r="G37">
            <v>15462.04</v>
          </cell>
          <cell r="H37">
            <v>15341.05</v>
          </cell>
          <cell r="I37">
            <v>671</v>
          </cell>
          <cell r="J37">
            <v>130.48999999999998</v>
          </cell>
          <cell r="K37">
            <v>148.19999999999999</v>
          </cell>
          <cell r="L37">
            <v>32.049999999999997</v>
          </cell>
        </row>
        <row r="38">
          <cell r="C38">
            <v>6678.72</v>
          </cell>
          <cell r="D38">
            <v>6637.76</v>
          </cell>
          <cell r="E38">
            <v>384</v>
          </cell>
          <cell r="F38">
            <v>6700</v>
          </cell>
          <cell r="G38">
            <v>6966.43</v>
          </cell>
          <cell r="H38">
            <v>6917.75</v>
          </cell>
          <cell r="I38">
            <v>384</v>
          </cell>
          <cell r="J38">
            <v>87.95</v>
          </cell>
          <cell r="K38">
            <v>112.01</v>
          </cell>
          <cell r="L38">
            <v>55.14</v>
          </cell>
        </row>
        <row r="39">
          <cell r="C39">
            <v>8135.7</v>
          </cell>
          <cell r="D39">
            <v>8062.87</v>
          </cell>
          <cell r="E39">
            <v>445</v>
          </cell>
          <cell r="F39">
            <v>8100</v>
          </cell>
          <cell r="G39">
            <v>7718.43</v>
          </cell>
          <cell r="H39">
            <v>7646.86</v>
          </cell>
          <cell r="I39">
            <v>405</v>
          </cell>
          <cell r="J39">
            <v>111.65</v>
          </cell>
          <cell r="K39">
            <v>136.36000000000001</v>
          </cell>
          <cell r="L39">
            <v>47.5</v>
          </cell>
        </row>
        <row r="40">
          <cell r="C40">
            <v>10922.24</v>
          </cell>
          <cell r="D40">
            <v>10827.21</v>
          </cell>
          <cell r="E40">
            <v>575</v>
          </cell>
          <cell r="F40">
            <v>10900</v>
          </cell>
          <cell r="G40">
            <v>10548.44</v>
          </cell>
          <cell r="H40">
            <v>10437.16</v>
          </cell>
          <cell r="I40">
            <v>523</v>
          </cell>
          <cell r="J40">
            <v>126.91</v>
          </cell>
          <cell r="K40">
            <v>151.25</v>
          </cell>
          <cell r="L40">
            <v>29.65</v>
          </cell>
        </row>
        <row r="41">
          <cell r="C41">
            <v>8478.44</v>
          </cell>
          <cell r="D41">
            <v>8423.1</v>
          </cell>
          <cell r="E41">
            <v>477</v>
          </cell>
          <cell r="F41">
            <v>8500</v>
          </cell>
          <cell r="G41">
            <v>11089.79</v>
          </cell>
          <cell r="H41">
            <v>11041.62</v>
          </cell>
          <cell r="I41">
            <v>526</v>
          </cell>
          <cell r="J41">
            <v>90.85</v>
          </cell>
          <cell r="K41">
            <v>107.32</v>
          </cell>
          <cell r="L41">
            <v>38</v>
          </cell>
        </row>
        <row r="42">
          <cell r="C42">
            <v>15262.7</v>
          </cell>
          <cell r="D42">
            <v>15157.29</v>
          </cell>
          <cell r="E42">
            <v>787</v>
          </cell>
          <cell r="F42">
            <v>15300</v>
          </cell>
          <cell r="G42">
            <v>13955.5</v>
          </cell>
          <cell r="H42">
            <v>13824.85</v>
          </cell>
          <cell r="I42">
            <v>695</v>
          </cell>
          <cell r="J42">
            <v>145.48999999999998</v>
          </cell>
          <cell r="K42">
            <v>170.57</v>
          </cell>
          <cell r="L42">
            <v>40.76</v>
          </cell>
        </row>
        <row r="43">
          <cell r="C43">
            <v>19417.63</v>
          </cell>
          <cell r="D43">
            <v>19223.060000000001</v>
          </cell>
          <cell r="E43">
            <v>909</v>
          </cell>
          <cell r="F43">
            <v>17000</v>
          </cell>
          <cell r="G43">
            <v>17272.61</v>
          </cell>
          <cell r="H43">
            <v>17085.400000000001</v>
          </cell>
          <cell r="I43">
            <v>759</v>
          </cell>
          <cell r="J43">
            <v>186.02</v>
          </cell>
          <cell r="K43">
            <v>221.73</v>
          </cell>
          <cell r="L43">
            <v>51.27</v>
          </cell>
        </row>
        <row r="44">
          <cell r="C44">
            <v>15801.99</v>
          </cell>
          <cell r="D44">
            <v>15663.37</v>
          </cell>
          <cell r="E44">
            <v>747</v>
          </cell>
          <cell r="F44">
            <v>15800</v>
          </cell>
          <cell r="G44">
            <v>15556.5</v>
          </cell>
          <cell r="H44">
            <v>15447.79</v>
          </cell>
          <cell r="I44">
            <v>717</v>
          </cell>
          <cell r="J44">
            <v>142.26</v>
          </cell>
          <cell r="K44">
            <v>159.87</v>
          </cell>
          <cell r="L44">
            <v>64.61</v>
          </cell>
        </row>
        <row r="45">
          <cell r="C45">
            <v>7402.33</v>
          </cell>
          <cell r="D45">
            <v>7355.78</v>
          </cell>
          <cell r="E45">
            <v>409</v>
          </cell>
          <cell r="F45">
            <v>7400</v>
          </cell>
          <cell r="G45">
            <v>9427.68</v>
          </cell>
          <cell r="H45">
            <v>9356.7900000000009</v>
          </cell>
          <cell r="I45">
            <v>482</v>
          </cell>
          <cell r="J45">
            <v>92.27</v>
          </cell>
          <cell r="K45">
            <v>100.6</v>
          </cell>
          <cell r="L45">
            <v>31.95</v>
          </cell>
        </row>
        <row r="46">
          <cell r="C46">
            <v>9104.98</v>
          </cell>
          <cell r="D46">
            <v>9033.42</v>
          </cell>
          <cell r="E46">
            <v>488</v>
          </cell>
          <cell r="F46">
            <v>9100</v>
          </cell>
          <cell r="G46">
            <v>8825.57</v>
          </cell>
          <cell r="H46">
            <v>8748.14</v>
          </cell>
          <cell r="I46">
            <v>462</v>
          </cell>
          <cell r="J46">
            <v>95.03</v>
          </cell>
          <cell r="K46">
            <v>112.25</v>
          </cell>
          <cell r="L46">
            <v>29.55</v>
          </cell>
        </row>
        <row r="47">
          <cell r="C47">
            <v>10660.68</v>
          </cell>
          <cell r="D47">
            <v>10568.79</v>
          </cell>
          <cell r="E47">
            <v>576</v>
          </cell>
          <cell r="F47">
            <v>10700</v>
          </cell>
          <cell r="G47">
            <v>9856.86</v>
          </cell>
          <cell r="H47">
            <v>9763.43</v>
          </cell>
          <cell r="I47">
            <v>487</v>
          </cell>
          <cell r="J47">
            <v>103.5</v>
          </cell>
          <cell r="K47">
            <v>119.67</v>
          </cell>
          <cell r="L47">
            <v>25.87</v>
          </cell>
        </row>
        <row r="48">
          <cell r="C48">
            <v>9079.5300000000007</v>
          </cell>
          <cell r="D48">
            <v>9018.9699999999993</v>
          </cell>
          <cell r="E48">
            <v>489</v>
          </cell>
          <cell r="F48">
            <v>9100</v>
          </cell>
          <cell r="G48">
            <v>9330.85</v>
          </cell>
          <cell r="H48">
            <v>9254.07</v>
          </cell>
          <cell r="I48">
            <v>491</v>
          </cell>
          <cell r="J48">
            <v>90.289999999999992</v>
          </cell>
          <cell r="K48">
            <v>106.5</v>
          </cell>
          <cell r="L48">
            <v>40.65</v>
          </cell>
        </row>
        <row r="49">
          <cell r="C49">
            <v>15921</v>
          </cell>
          <cell r="D49">
            <v>15818.82</v>
          </cell>
          <cell r="E49">
            <v>827</v>
          </cell>
          <cell r="F49">
            <v>16000</v>
          </cell>
          <cell r="G49">
            <v>15799.99</v>
          </cell>
          <cell r="H49">
            <v>15644.87</v>
          </cell>
          <cell r="I49">
            <v>735</v>
          </cell>
          <cell r="J49">
            <v>147.54999999999998</v>
          </cell>
          <cell r="K49">
            <v>165.16</v>
          </cell>
          <cell r="L49">
            <v>51.8</v>
          </cell>
        </row>
        <row r="50">
          <cell r="C50">
            <v>23426.63</v>
          </cell>
          <cell r="D50">
            <v>23167</v>
          </cell>
          <cell r="E50">
            <v>1006</v>
          </cell>
          <cell r="F50">
            <v>24100</v>
          </cell>
          <cell r="G50">
            <v>20334.060000000001</v>
          </cell>
          <cell r="H50">
            <v>20094.21</v>
          </cell>
          <cell r="I50">
            <v>897</v>
          </cell>
          <cell r="J50">
            <v>192.59000000000003</v>
          </cell>
          <cell r="K50">
            <v>218.4</v>
          </cell>
          <cell r="L50">
            <v>59.77</v>
          </cell>
        </row>
        <row r="51">
          <cell r="C51">
            <v>15919.34</v>
          </cell>
          <cell r="D51">
            <v>15799.72</v>
          </cell>
          <cell r="E51">
            <v>783</v>
          </cell>
          <cell r="F51">
            <v>15800</v>
          </cell>
          <cell r="G51">
            <v>14777.6</v>
          </cell>
          <cell r="H51">
            <v>14661.03</v>
          </cell>
          <cell r="I51">
            <v>672</v>
          </cell>
          <cell r="J51">
            <v>141</v>
          </cell>
          <cell r="K51">
            <v>157</v>
          </cell>
          <cell r="L51">
            <v>45.92</v>
          </cell>
        </row>
        <row r="52">
          <cell r="C52">
            <v>7415.88</v>
          </cell>
          <cell r="D52">
            <v>7363.16</v>
          </cell>
          <cell r="E52">
            <v>413</v>
          </cell>
          <cell r="F52">
            <v>7300</v>
          </cell>
          <cell r="G52">
            <v>8126.06</v>
          </cell>
          <cell r="H52">
            <v>8043.43</v>
          </cell>
          <cell r="I52">
            <v>411</v>
          </cell>
          <cell r="J52">
            <v>100.60000000000001</v>
          </cell>
          <cell r="K52">
            <v>109.01</v>
          </cell>
          <cell r="L52">
            <v>26.92</v>
          </cell>
        </row>
        <row r="53">
          <cell r="C53">
            <v>7874.05</v>
          </cell>
          <cell r="D53">
            <v>7798.64</v>
          </cell>
          <cell r="E53">
            <v>453</v>
          </cell>
          <cell r="F53">
            <v>7800</v>
          </cell>
          <cell r="G53">
            <v>8815.7000000000007</v>
          </cell>
          <cell r="H53">
            <v>8735.06</v>
          </cell>
          <cell r="I53">
            <v>452</v>
          </cell>
          <cell r="J53">
            <v>106.59</v>
          </cell>
          <cell r="K53">
            <v>124.62</v>
          </cell>
          <cell r="L53">
            <v>38.04</v>
          </cell>
        </row>
        <row r="54">
          <cell r="C54">
            <v>10423.23</v>
          </cell>
          <cell r="D54">
            <v>10319.370000000001</v>
          </cell>
          <cell r="E54">
            <v>571</v>
          </cell>
          <cell r="F54">
            <v>10300</v>
          </cell>
          <cell r="G54">
            <v>8938.73</v>
          </cell>
          <cell r="H54">
            <v>8847.65</v>
          </cell>
          <cell r="I54">
            <v>438</v>
          </cell>
          <cell r="J54">
            <v>113.50999999999999</v>
          </cell>
          <cell r="K54">
            <v>138.09</v>
          </cell>
          <cell r="L54">
            <v>46.94</v>
          </cell>
        </row>
        <row r="55">
          <cell r="C55">
            <v>9188.92</v>
          </cell>
          <cell r="D55">
            <v>9108.24</v>
          </cell>
          <cell r="E55">
            <v>515</v>
          </cell>
          <cell r="F55">
            <v>9100</v>
          </cell>
          <cell r="G55">
            <v>9284.4699999999993</v>
          </cell>
          <cell r="H55">
            <v>9185.91</v>
          </cell>
          <cell r="I55">
            <v>475</v>
          </cell>
          <cell r="J55">
            <v>93.39</v>
          </cell>
          <cell r="K55">
            <v>101.42</v>
          </cell>
          <cell r="L55">
            <v>38.47</v>
          </cell>
        </row>
        <row r="56">
          <cell r="C56">
            <v>15133.4</v>
          </cell>
          <cell r="D56">
            <v>14993.61</v>
          </cell>
          <cell r="E56">
            <v>740</v>
          </cell>
          <cell r="F56">
            <v>15000</v>
          </cell>
          <cell r="G56">
            <v>14276.53</v>
          </cell>
          <cell r="H56">
            <v>14148.94</v>
          </cell>
          <cell r="I56">
            <v>681</v>
          </cell>
          <cell r="J56">
            <v>127.92999999999999</v>
          </cell>
          <cell r="K56">
            <v>145.24</v>
          </cell>
          <cell r="L56">
            <v>55.37</v>
          </cell>
        </row>
        <row r="57">
          <cell r="C57">
            <v>21229.55</v>
          </cell>
          <cell r="D57">
            <v>21013.64</v>
          </cell>
          <cell r="E57">
            <v>949</v>
          </cell>
          <cell r="F57">
            <v>21900</v>
          </cell>
          <cell r="G57">
            <v>20572.84</v>
          </cell>
          <cell r="H57">
            <v>20351.650000000001</v>
          </cell>
          <cell r="I57">
            <v>862</v>
          </cell>
          <cell r="J57">
            <v>205.23999999999998</v>
          </cell>
          <cell r="K57">
            <v>228.29</v>
          </cell>
          <cell r="L57">
            <v>25.08</v>
          </cell>
        </row>
        <row r="58">
          <cell r="C58">
            <v>14053.07</v>
          </cell>
          <cell r="D58">
            <v>13946.75</v>
          </cell>
          <cell r="E58">
            <v>667</v>
          </cell>
          <cell r="F58">
            <v>13900</v>
          </cell>
          <cell r="G58">
            <v>16947.14</v>
          </cell>
          <cell r="H58">
            <v>16807.89</v>
          </cell>
          <cell r="I58">
            <v>702</v>
          </cell>
          <cell r="J58">
            <v>135.13</v>
          </cell>
          <cell r="K58">
            <v>151.54</v>
          </cell>
          <cell r="L58">
            <v>62.61</v>
          </cell>
        </row>
        <row r="59">
          <cell r="C59">
            <v>8529.06</v>
          </cell>
          <cell r="D59">
            <v>8467.4599999999991</v>
          </cell>
          <cell r="E59">
            <v>472</v>
          </cell>
          <cell r="F59">
            <v>8500</v>
          </cell>
          <cell r="G59">
            <v>6806.8</v>
          </cell>
          <cell r="H59">
            <v>6734.21</v>
          </cell>
          <cell r="I59">
            <v>376</v>
          </cell>
          <cell r="J59">
            <v>92.850000000000009</v>
          </cell>
          <cell r="K59">
            <v>109.43</v>
          </cell>
          <cell r="L59">
            <v>32.700000000000003</v>
          </cell>
        </row>
        <row r="60">
          <cell r="C60">
            <v>8963.67</v>
          </cell>
          <cell r="D60">
            <v>8871.5300000000007</v>
          </cell>
          <cell r="E60">
            <v>461</v>
          </cell>
          <cell r="F60">
            <v>8900</v>
          </cell>
          <cell r="G60">
            <v>8084.42</v>
          </cell>
          <cell r="H60">
            <v>8005.56</v>
          </cell>
          <cell r="I60">
            <v>408</v>
          </cell>
          <cell r="J60">
            <v>104.15</v>
          </cell>
          <cell r="K60">
            <v>112.82</v>
          </cell>
          <cell r="L60">
            <v>22.49</v>
          </cell>
        </row>
        <row r="61">
          <cell r="C61">
            <v>10611</v>
          </cell>
          <cell r="D61">
            <v>10511.15</v>
          </cell>
          <cell r="E61">
            <v>567</v>
          </cell>
          <cell r="F61">
            <v>10500</v>
          </cell>
          <cell r="G61">
            <v>10513.94</v>
          </cell>
          <cell r="H61">
            <v>10398.299999999999</v>
          </cell>
          <cell r="I61">
            <v>501</v>
          </cell>
          <cell r="J61">
            <v>111.03</v>
          </cell>
          <cell r="K61">
            <v>119.8</v>
          </cell>
          <cell r="L61">
            <v>41.3</v>
          </cell>
        </row>
        <row r="62">
          <cell r="C62">
            <v>10861.35</v>
          </cell>
          <cell r="D62">
            <v>10750.19</v>
          </cell>
          <cell r="E62">
            <v>557</v>
          </cell>
          <cell r="F62">
            <v>10700</v>
          </cell>
          <cell r="G62">
            <v>9015.25</v>
          </cell>
          <cell r="H62">
            <v>8960.7900000000009</v>
          </cell>
          <cell r="I62">
            <v>457</v>
          </cell>
          <cell r="J62">
            <v>92</v>
          </cell>
          <cell r="K62">
            <v>116.55</v>
          </cell>
          <cell r="L62">
            <v>31.53</v>
          </cell>
        </row>
        <row r="63">
          <cell r="C63">
            <v>15461.04</v>
          </cell>
          <cell r="D63">
            <v>15320.6</v>
          </cell>
          <cell r="E63">
            <v>792</v>
          </cell>
          <cell r="F63">
            <v>15300</v>
          </cell>
          <cell r="G63">
            <v>13913.06</v>
          </cell>
          <cell r="H63">
            <v>13765.83</v>
          </cell>
          <cell r="I63">
            <v>673</v>
          </cell>
          <cell r="J63">
            <v>142.54</v>
          </cell>
          <cell r="K63">
            <v>169.59</v>
          </cell>
          <cell r="L63">
            <v>62.84</v>
          </cell>
        </row>
        <row r="64">
          <cell r="C64">
            <v>18076.560000000001</v>
          </cell>
          <cell r="D64">
            <v>17909.349999999999</v>
          </cell>
          <cell r="E64">
            <v>795</v>
          </cell>
          <cell r="F64">
            <v>18100</v>
          </cell>
          <cell r="G64">
            <v>17769.41</v>
          </cell>
          <cell r="H64">
            <v>17567.27</v>
          </cell>
          <cell r="I64">
            <v>775</v>
          </cell>
          <cell r="J64">
            <v>184.35999999999999</v>
          </cell>
          <cell r="K64">
            <v>209.2</v>
          </cell>
          <cell r="L64">
            <v>39.75</v>
          </cell>
        </row>
        <row r="65">
          <cell r="C65">
            <v>15432.28</v>
          </cell>
          <cell r="D65">
            <v>15328.18</v>
          </cell>
          <cell r="E65">
            <v>696</v>
          </cell>
          <cell r="F65">
            <v>15600</v>
          </cell>
          <cell r="G65">
            <v>17345.88</v>
          </cell>
          <cell r="H65">
            <v>17199.490000000002</v>
          </cell>
          <cell r="I65">
            <v>761</v>
          </cell>
          <cell r="J65">
            <v>144.70000000000002</v>
          </cell>
          <cell r="K65">
            <v>152.9</v>
          </cell>
          <cell r="L65">
            <v>40.67</v>
          </cell>
        </row>
        <row r="66">
          <cell r="C66">
            <v>8928.11</v>
          </cell>
          <cell r="D66">
            <v>8856.3799999999992</v>
          </cell>
          <cell r="E66">
            <v>457</v>
          </cell>
          <cell r="F66">
            <v>9000</v>
          </cell>
          <cell r="G66">
            <v>6953.95</v>
          </cell>
          <cell r="H66">
            <v>6889.46</v>
          </cell>
          <cell r="I66">
            <v>380</v>
          </cell>
          <cell r="J66">
            <v>94.72</v>
          </cell>
          <cell r="K66">
            <v>108.15</v>
          </cell>
          <cell r="L66">
            <v>7.62</v>
          </cell>
        </row>
        <row r="67">
          <cell r="C67">
            <v>9141.99</v>
          </cell>
          <cell r="D67">
            <v>9077.7000000000007</v>
          </cell>
          <cell r="E67">
            <v>482</v>
          </cell>
          <cell r="F67">
            <v>9200</v>
          </cell>
          <cell r="G67">
            <v>9402.09</v>
          </cell>
          <cell r="H67">
            <v>9311.39</v>
          </cell>
          <cell r="I67">
            <v>456</v>
          </cell>
          <cell r="J67">
            <v>107.31</v>
          </cell>
          <cell r="K67">
            <v>115.58</v>
          </cell>
          <cell r="L67">
            <v>13.74</v>
          </cell>
        </row>
        <row r="68">
          <cell r="C68">
            <v>11470.58</v>
          </cell>
          <cell r="D68">
            <v>11365.61</v>
          </cell>
          <cell r="E68">
            <v>584</v>
          </cell>
          <cell r="F68">
            <v>11600</v>
          </cell>
          <cell r="G68">
            <v>10274.549999999999</v>
          </cell>
          <cell r="H68">
            <v>10169.450000000001</v>
          </cell>
          <cell r="I68">
            <v>498</v>
          </cell>
          <cell r="J68">
            <v>106.92</v>
          </cell>
          <cell r="K68">
            <v>115.12</v>
          </cell>
          <cell r="L68">
            <v>36.28</v>
          </cell>
        </row>
        <row r="69">
          <cell r="C69">
            <v>10758.29</v>
          </cell>
          <cell r="D69">
            <v>10666</v>
          </cell>
          <cell r="E69">
            <v>574</v>
          </cell>
          <cell r="F69">
            <v>10900</v>
          </cell>
          <cell r="G69">
            <v>9019.4</v>
          </cell>
          <cell r="H69">
            <v>8920</v>
          </cell>
          <cell r="I69">
            <v>465</v>
          </cell>
          <cell r="J69">
            <v>102.38000000000001</v>
          </cell>
          <cell r="K69">
            <v>110.48</v>
          </cell>
          <cell r="L69">
            <v>19.7</v>
          </cell>
        </row>
        <row r="70">
          <cell r="C70">
            <v>14330.06</v>
          </cell>
          <cell r="D70">
            <v>14204.33</v>
          </cell>
          <cell r="E70">
            <v>735</v>
          </cell>
          <cell r="F70">
            <v>14500</v>
          </cell>
          <cell r="G70">
            <v>14256.31</v>
          </cell>
          <cell r="H70">
            <v>14137.32</v>
          </cell>
          <cell r="I70">
            <v>683</v>
          </cell>
          <cell r="J70">
            <v>139.86000000000001</v>
          </cell>
          <cell r="K70">
            <v>156.46</v>
          </cell>
          <cell r="L70">
            <v>14.27</v>
          </cell>
        </row>
        <row r="71">
          <cell r="C71">
            <v>16908.990000000002</v>
          </cell>
          <cell r="D71">
            <v>16773.78</v>
          </cell>
          <cell r="E71">
            <v>831</v>
          </cell>
          <cell r="F71">
            <v>16900</v>
          </cell>
          <cell r="G71">
            <v>15754.31</v>
          </cell>
          <cell r="H71">
            <v>15616.6</v>
          </cell>
          <cell r="I71">
            <v>723</v>
          </cell>
          <cell r="J71">
            <v>172.59000000000003</v>
          </cell>
          <cell r="K71">
            <v>189.11</v>
          </cell>
          <cell r="L71">
            <v>29.36</v>
          </cell>
        </row>
        <row r="72">
          <cell r="C72">
            <v>16673.650000000001</v>
          </cell>
          <cell r="D72">
            <v>16559.91</v>
          </cell>
          <cell r="E72">
            <v>735</v>
          </cell>
          <cell r="F72">
            <v>16900</v>
          </cell>
          <cell r="G72">
            <v>16622.060000000001</v>
          </cell>
          <cell r="H72">
            <v>16491.11</v>
          </cell>
          <cell r="I72">
            <v>730</v>
          </cell>
          <cell r="J72">
            <v>140.14000000000001</v>
          </cell>
          <cell r="K72">
            <v>157.55000000000001</v>
          </cell>
          <cell r="L72">
            <v>47.66</v>
          </cell>
        </row>
        <row r="73">
          <cell r="C73">
            <v>8147.45</v>
          </cell>
          <cell r="D73">
            <v>8101.26</v>
          </cell>
          <cell r="E73">
            <v>465</v>
          </cell>
          <cell r="F73">
            <v>8300</v>
          </cell>
          <cell r="G73">
            <v>7024.84</v>
          </cell>
          <cell r="H73">
            <v>6975.38</v>
          </cell>
          <cell r="I73">
            <v>385</v>
          </cell>
          <cell r="J73">
            <v>95.929999999999993</v>
          </cell>
          <cell r="K73">
            <v>104.1</v>
          </cell>
          <cell r="L73">
            <v>239.57</v>
          </cell>
        </row>
        <row r="74">
          <cell r="C74">
            <v>7260.62</v>
          </cell>
          <cell r="D74">
            <v>7194.26</v>
          </cell>
          <cell r="E74">
            <v>418</v>
          </cell>
          <cell r="F74">
            <v>7300</v>
          </cell>
          <cell r="G74">
            <v>8121.23</v>
          </cell>
          <cell r="H74">
            <v>8026.77</v>
          </cell>
          <cell r="I74">
            <v>377</v>
          </cell>
          <cell r="J74">
            <v>102.51999999999998</v>
          </cell>
          <cell r="K74">
            <v>118.57</v>
          </cell>
          <cell r="L74">
            <v>26.78</v>
          </cell>
        </row>
        <row r="75">
          <cell r="C75">
            <v>9597.98</v>
          </cell>
          <cell r="D75">
            <v>9522.89</v>
          </cell>
          <cell r="E75">
            <v>520</v>
          </cell>
          <cell r="F75">
            <v>9700</v>
          </cell>
          <cell r="G75">
            <v>9912.2000000000007</v>
          </cell>
          <cell r="H75">
            <v>9806.39</v>
          </cell>
          <cell r="I75">
            <v>488</v>
          </cell>
          <cell r="J75">
            <v>109.77</v>
          </cell>
          <cell r="K75">
            <v>126.07</v>
          </cell>
          <cell r="L75">
            <v>-196.01</v>
          </cell>
        </row>
        <row r="76">
          <cell r="C76">
            <v>8356.7900000000009</v>
          </cell>
          <cell r="D76">
            <v>8297.5400000000009</v>
          </cell>
          <cell r="E76">
            <v>452</v>
          </cell>
          <cell r="F76">
            <v>8500</v>
          </cell>
          <cell r="G76">
            <v>8435.08</v>
          </cell>
          <cell r="H76">
            <v>8367.7000000000007</v>
          </cell>
          <cell r="I76">
            <v>429</v>
          </cell>
          <cell r="J76">
            <v>88.02</v>
          </cell>
          <cell r="K76">
            <v>104.43</v>
          </cell>
          <cell r="L76">
            <v>55.39</v>
          </cell>
        </row>
        <row r="77">
          <cell r="C77">
            <v>12597.82</v>
          </cell>
          <cell r="D77">
            <v>12513.91</v>
          </cell>
          <cell r="E77">
            <v>661</v>
          </cell>
          <cell r="F77">
            <v>12800</v>
          </cell>
          <cell r="G77">
            <v>15283.9</v>
          </cell>
          <cell r="H77">
            <v>15188.19</v>
          </cell>
          <cell r="I77">
            <v>694</v>
          </cell>
          <cell r="J77">
            <v>131.55000000000001</v>
          </cell>
          <cell r="K77">
            <v>148.18</v>
          </cell>
          <cell r="L77">
            <v>80.05</v>
          </cell>
        </row>
        <row r="78">
          <cell r="C78">
            <v>15596.46</v>
          </cell>
          <cell r="D78">
            <v>15464.47</v>
          </cell>
          <cell r="E78">
            <v>713</v>
          </cell>
          <cell r="F78">
            <v>16700</v>
          </cell>
          <cell r="G78">
            <v>14898.63</v>
          </cell>
          <cell r="H78">
            <v>14741.55</v>
          </cell>
          <cell r="I78">
            <v>723</v>
          </cell>
          <cell r="J78">
            <v>168.24</v>
          </cell>
          <cell r="K78">
            <v>194.18</v>
          </cell>
          <cell r="L78">
            <v>51.24</v>
          </cell>
        </row>
        <row r="79">
          <cell r="C79">
            <v>14293.87</v>
          </cell>
          <cell r="D79">
            <v>14188.9</v>
          </cell>
          <cell r="E79">
            <v>681</v>
          </cell>
          <cell r="F79">
            <v>14500</v>
          </cell>
          <cell r="G79">
            <v>16093.56</v>
          </cell>
          <cell r="H79">
            <v>15934.31</v>
          </cell>
          <cell r="I79">
            <v>704</v>
          </cell>
          <cell r="J79">
            <v>121.61</v>
          </cell>
          <cell r="K79">
            <v>146.02000000000001</v>
          </cell>
          <cell r="L79">
            <v>41.84</v>
          </cell>
        </row>
        <row r="80">
          <cell r="C80">
            <v>6669.79</v>
          </cell>
          <cell r="D80">
            <v>6637.93</v>
          </cell>
          <cell r="E80">
            <v>377</v>
          </cell>
          <cell r="F80">
            <v>6800</v>
          </cell>
          <cell r="G80">
            <v>6750.09</v>
          </cell>
          <cell r="H80">
            <v>6700.07</v>
          </cell>
          <cell r="I80">
            <v>386</v>
          </cell>
          <cell r="J80">
            <v>79.919999999999987</v>
          </cell>
          <cell r="K80">
            <v>96.44</v>
          </cell>
          <cell r="L80">
            <v>41.99</v>
          </cell>
        </row>
        <row r="81">
          <cell r="C81">
            <v>8221.08</v>
          </cell>
          <cell r="D81">
            <v>8146.31</v>
          </cell>
          <cell r="E81">
            <v>466</v>
          </cell>
          <cell r="F81">
            <v>8300</v>
          </cell>
          <cell r="G81">
            <v>8075.43</v>
          </cell>
          <cell r="H81">
            <v>7979.87</v>
          </cell>
          <cell r="I81">
            <v>429</v>
          </cell>
          <cell r="J81">
            <v>94.74</v>
          </cell>
          <cell r="K81">
            <v>111.35</v>
          </cell>
          <cell r="L81">
            <v>45.33</v>
          </cell>
        </row>
        <row r="82">
          <cell r="C82">
            <v>10278.83</v>
          </cell>
          <cell r="D82">
            <v>10204.61</v>
          </cell>
          <cell r="E82">
            <v>584</v>
          </cell>
          <cell r="F82">
            <v>10400</v>
          </cell>
          <cell r="G82">
            <v>9837.65</v>
          </cell>
          <cell r="H82">
            <v>9747.4599999999991</v>
          </cell>
          <cell r="I82">
            <v>508</v>
          </cell>
          <cell r="J82">
            <v>103.31</v>
          </cell>
          <cell r="K82">
            <v>120.12</v>
          </cell>
          <cell r="L82">
            <v>55.97</v>
          </cell>
        </row>
        <row r="83">
          <cell r="C83">
            <v>8050.53</v>
          </cell>
          <cell r="D83">
            <v>7998.48</v>
          </cell>
          <cell r="E83">
            <v>459</v>
          </cell>
          <cell r="F83">
            <v>8200</v>
          </cell>
          <cell r="G83">
            <v>7763.69</v>
          </cell>
          <cell r="H83">
            <v>7692.4</v>
          </cell>
          <cell r="I83">
            <v>399</v>
          </cell>
          <cell r="J83">
            <v>88.699999999999989</v>
          </cell>
          <cell r="K83">
            <v>105.14</v>
          </cell>
          <cell r="L83">
            <v>65.39</v>
          </cell>
        </row>
        <row r="84">
          <cell r="C84">
            <v>13179.36</v>
          </cell>
          <cell r="D84">
            <v>13091.52</v>
          </cell>
          <cell r="E84">
            <v>647</v>
          </cell>
          <cell r="F84">
            <v>13300</v>
          </cell>
          <cell r="G84">
            <v>16043.04</v>
          </cell>
          <cell r="H84">
            <v>15914.24</v>
          </cell>
          <cell r="I84">
            <v>776</v>
          </cell>
          <cell r="J84">
            <v>134.15999999999997</v>
          </cell>
          <cell r="K84">
            <v>159.16999999999999</v>
          </cell>
          <cell r="L84">
            <v>23.47</v>
          </cell>
        </row>
        <row r="85">
          <cell r="C85">
            <v>13973.63</v>
          </cell>
          <cell r="D85">
            <v>13857.85</v>
          </cell>
          <cell r="E85">
            <v>697</v>
          </cell>
          <cell r="F85">
            <v>14100</v>
          </cell>
          <cell r="G85">
            <v>13087.15</v>
          </cell>
          <cell r="H85">
            <v>12986.96</v>
          </cell>
          <cell r="I85">
            <v>649</v>
          </cell>
          <cell r="J85">
            <v>139.57000000000002</v>
          </cell>
          <cell r="K85">
            <v>156.19</v>
          </cell>
          <cell r="L85">
            <v>39.72</v>
          </cell>
        </row>
        <row r="86">
          <cell r="C86">
            <v>15301.68</v>
          </cell>
          <cell r="D86">
            <v>15196.92</v>
          </cell>
          <cell r="E86">
            <v>695</v>
          </cell>
          <cell r="F86">
            <v>15500</v>
          </cell>
          <cell r="G86">
            <v>15565.11</v>
          </cell>
          <cell r="H86">
            <v>15430.49</v>
          </cell>
          <cell r="I86">
            <v>667</v>
          </cell>
          <cell r="J86">
            <v>138.79</v>
          </cell>
          <cell r="K86">
            <v>155.41999999999999</v>
          </cell>
          <cell r="L86">
            <v>45.56</v>
          </cell>
        </row>
        <row r="87">
          <cell r="C87">
            <v>7142.67</v>
          </cell>
          <cell r="D87">
            <v>7108.22</v>
          </cell>
          <cell r="E87">
            <v>400</v>
          </cell>
          <cell r="F87">
            <v>7200</v>
          </cell>
          <cell r="G87">
            <v>6753.36</v>
          </cell>
          <cell r="H87">
            <v>6694.81</v>
          </cell>
          <cell r="I87">
            <v>369</v>
          </cell>
          <cell r="J87">
            <v>92.89</v>
          </cell>
          <cell r="K87">
            <v>100.47</v>
          </cell>
          <cell r="L87">
            <v>35.090000000000003</v>
          </cell>
        </row>
        <row r="88">
          <cell r="C88">
            <v>8932.3799999999992</v>
          </cell>
          <cell r="D88">
            <v>8787.0300000000007</v>
          </cell>
          <cell r="E88">
            <v>478</v>
          </cell>
          <cell r="F88">
            <v>8900</v>
          </cell>
          <cell r="G88">
            <v>8147.8</v>
          </cell>
          <cell r="H88">
            <v>8022.38</v>
          </cell>
          <cell r="I88">
            <v>419</v>
          </cell>
          <cell r="J88">
            <v>99.69</v>
          </cell>
          <cell r="K88">
            <v>108.2</v>
          </cell>
          <cell r="L88">
            <v>14.33</v>
          </cell>
        </row>
        <row r="89">
          <cell r="C89">
            <v>11232.21</v>
          </cell>
          <cell r="D89">
            <v>10979.4</v>
          </cell>
          <cell r="E89">
            <v>580</v>
          </cell>
          <cell r="F89">
            <v>11100</v>
          </cell>
          <cell r="G89">
            <v>10731.97</v>
          </cell>
          <cell r="H89">
            <v>10572.11</v>
          </cell>
          <cell r="I89">
            <v>514</v>
          </cell>
          <cell r="J89">
            <v>110.49</v>
          </cell>
          <cell r="K89">
            <v>135.07</v>
          </cell>
          <cell r="L89">
            <v>47.19</v>
          </cell>
        </row>
        <row r="90">
          <cell r="C90">
            <v>10376.74</v>
          </cell>
          <cell r="D90">
            <v>10177.6</v>
          </cell>
          <cell r="E90">
            <v>557</v>
          </cell>
          <cell r="F90">
            <v>10300</v>
          </cell>
          <cell r="G90">
            <v>8620.11</v>
          </cell>
          <cell r="H90">
            <v>8500.69</v>
          </cell>
          <cell r="I90">
            <v>432</v>
          </cell>
          <cell r="J90">
            <v>94.65</v>
          </cell>
          <cell r="K90">
            <v>115.25</v>
          </cell>
          <cell r="L90">
            <v>52.24</v>
          </cell>
        </row>
        <row r="91">
          <cell r="C91">
            <v>14819.52</v>
          </cell>
          <cell r="D91">
            <v>14545.73</v>
          </cell>
          <cell r="E91">
            <v>737</v>
          </cell>
          <cell r="F91">
            <v>14700</v>
          </cell>
          <cell r="G91">
            <v>14827.73</v>
          </cell>
          <cell r="H91">
            <v>14620.87</v>
          </cell>
          <cell r="I91">
            <v>695</v>
          </cell>
          <cell r="J91">
            <v>145.27000000000001</v>
          </cell>
          <cell r="K91">
            <v>153.59</v>
          </cell>
          <cell r="L91">
            <v>58.84</v>
          </cell>
        </row>
        <row r="92">
          <cell r="C92">
            <v>15531.33</v>
          </cell>
          <cell r="D92">
            <v>15269.27</v>
          </cell>
          <cell r="E92">
            <v>704</v>
          </cell>
          <cell r="F92">
            <v>15400</v>
          </cell>
          <cell r="G92">
            <v>13832.68</v>
          </cell>
          <cell r="H92">
            <v>13582.63</v>
          </cell>
          <cell r="I92">
            <v>642</v>
          </cell>
          <cell r="J92">
            <v>154.21</v>
          </cell>
          <cell r="K92">
            <v>162.52000000000001</v>
          </cell>
          <cell r="L92">
            <v>63.11</v>
          </cell>
        </row>
        <row r="93">
          <cell r="C93">
            <v>18763.150000000001</v>
          </cell>
          <cell r="D93">
            <v>18463.29</v>
          </cell>
          <cell r="E93">
            <v>952</v>
          </cell>
          <cell r="F93">
            <v>18600</v>
          </cell>
          <cell r="G93">
            <v>16810.169999999998</v>
          </cell>
          <cell r="H93">
            <v>16544.689999999999</v>
          </cell>
          <cell r="I93">
            <v>673</v>
          </cell>
          <cell r="J93">
            <v>145.19</v>
          </cell>
          <cell r="K93">
            <v>153.47</v>
          </cell>
          <cell r="L93">
            <v>20.23</v>
          </cell>
        </row>
        <row r="94">
          <cell r="C94">
            <v>8337.5300000000007</v>
          </cell>
          <cell r="D94">
            <v>8208.5300000000007</v>
          </cell>
          <cell r="E94">
            <v>444</v>
          </cell>
          <cell r="F94">
            <v>8300</v>
          </cell>
          <cell r="G94">
            <v>7080.29</v>
          </cell>
          <cell r="H94">
            <v>6954.07</v>
          </cell>
          <cell r="I94">
            <v>367</v>
          </cell>
          <cell r="J94">
            <v>99.070000000000007</v>
          </cell>
          <cell r="K94">
            <v>107.48</v>
          </cell>
          <cell r="L94">
            <v>55.14</v>
          </cell>
        </row>
        <row r="95">
          <cell r="C95">
            <v>9245.0300000000007</v>
          </cell>
          <cell r="D95">
            <v>9091.24</v>
          </cell>
          <cell r="E95">
            <v>495</v>
          </cell>
          <cell r="F95">
            <v>9200</v>
          </cell>
          <cell r="G95">
            <v>10008.42</v>
          </cell>
          <cell r="H95">
            <v>9816.99</v>
          </cell>
          <cell r="I95">
            <v>489</v>
          </cell>
          <cell r="J95">
            <v>101.75999999999999</v>
          </cell>
          <cell r="K95">
            <v>118.22</v>
          </cell>
          <cell r="L95">
            <v>556.19000000000005</v>
          </cell>
        </row>
        <row r="96">
          <cell r="C96">
            <v>12612.84</v>
          </cell>
          <cell r="D96">
            <v>12357.42</v>
          </cell>
          <cell r="E96">
            <v>638</v>
          </cell>
          <cell r="F96">
            <v>12300</v>
          </cell>
          <cell r="G96">
            <v>12805.07</v>
          </cell>
          <cell r="H96">
            <v>12543.57</v>
          </cell>
          <cell r="I96">
            <v>577</v>
          </cell>
          <cell r="J96">
            <v>126.36000000000001</v>
          </cell>
          <cell r="K96">
            <v>143.02000000000001</v>
          </cell>
          <cell r="L96">
            <v>-493.51</v>
          </cell>
        </row>
        <row r="97">
          <cell r="C97">
            <v>9629.7000000000007</v>
          </cell>
          <cell r="D97">
            <v>9548.51</v>
          </cell>
          <cell r="E97">
            <v>520</v>
          </cell>
          <cell r="F97">
            <v>9500</v>
          </cell>
          <cell r="G97">
            <v>9896.4599999999991</v>
          </cell>
          <cell r="H97">
            <v>9730.33</v>
          </cell>
          <cell r="I97">
            <v>501</v>
          </cell>
          <cell r="J97">
            <v>103.42</v>
          </cell>
          <cell r="K97">
            <v>127.59</v>
          </cell>
          <cell r="L97">
            <v>35.69</v>
          </cell>
        </row>
        <row r="98">
          <cell r="C98">
            <v>15812.59</v>
          </cell>
          <cell r="D98">
            <v>15664.36</v>
          </cell>
          <cell r="E98">
            <v>843</v>
          </cell>
          <cell r="F98">
            <v>15600</v>
          </cell>
          <cell r="G98">
            <v>14793.32</v>
          </cell>
          <cell r="H98">
            <v>14628.67</v>
          </cell>
          <cell r="I98">
            <v>700</v>
          </cell>
          <cell r="J98">
            <v>153.08999999999997</v>
          </cell>
          <cell r="K98">
            <v>178.04</v>
          </cell>
          <cell r="L98">
            <v>44.85</v>
          </cell>
        </row>
        <row r="99">
          <cell r="C99">
            <v>17134.55</v>
          </cell>
          <cell r="D99">
            <v>16968.62</v>
          </cell>
          <cell r="E99">
            <v>840</v>
          </cell>
          <cell r="F99">
            <v>16900</v>
          </cell>
          <cell r="G99">
            <v>13582.04</v>
          </cell>
          <cell r="H99">
            <v>13353.8</v>
          </cell>
          <cell r="I99">
            <v>636</v>
          </cell>
          <cell r="J99">
            <v>157.84</v>
          </cell>
          <cell r="K99">
            <v>174.22</v>
          </cell>
          <cell r="L99">
            <v>26.2</v>
          </cell>
        </row>
        <row r="100">
          <cell r="C100">
            <v>18956.27</v>
          </cell>
          <cell r="D100">
            <v>18783.3</v>
          </cell>
          <cell r="E100">
            <v>930</v>
          </cell>
          <cell r="F100">
            <v>18800</v>
          </cell>
          <cell r="G100">
            <v>13914.96</v>
          </cell>
          <cell r="H100">
            <v>13689.56</v>
          </cell>
          <cell r="I100">
            <v>653</v>
          </cell>
          <cell r="J100">
            <v>158.13999999999999</v>
          </cell>
          <cell r="K100">
            <v>174.45</v>
          </cell>
          <cell r="L100">
            <v>51.21</v>
          </cell>
        </row>
        <row r="101">
          <cell r="C101">
            <v>8425.39</v>
          </cell>
          <cell r="D101">
            <v>8365.08</v>
          </cell>
          <cell r="E101">
            <v>464</v>
          </cell>
          <cell r="F101">
            <v>14400</v>
          </cell>
          <cell r="G101">
            <v>15610.76</v>
          </cell>
          <cell r="H101">
            <v>15338.32</v>
          </cell>
          <cell r="I101">
            <v>694</v>
          </cell>
          <cell r="J101">
            <v>126.44999999999999</v>
          </cell>
          <cell r="K101">
            <v>153.16999999999999</v>
          </cell>
          <cell r="L101">
            <v>25.57</v>
          </cell>
        </row>
        <row r="102">
          <cell r="C102">
            <v>8940.1</v>
          </cell>
          <cell r="D102">
            <v>8863.35</v>
          </cell>
          <cell r="E102">
            <v>486</v>
          </cell>
          <cell r="F102">
            <v>8800</v>
          </cell>
          <cell r="G102">
            <v>9471.52</v>
          </cell>
          <cell r="H102">
            <v>9313.51</v>
          </cell>
          <cell r="I102">
            <v>479</v>
          </cell>
          <cell r="J102">
            <v>104</v>
          </cell>
          <cell r="K102">
            <v>112.25</v>
          </cell>
          <cell r="L102">
            <v>26.61</v>
          </cell>
        </row>
        <row r="103">
          <cell r="C103">
            <v>11814.13</v>
          </cell>
          <cell r="D103">
            <v>11693.93</v>
          </cell>
          <cell r="E103">
            <v>590</v>
          </cell>
          <cell r="F103">
            <v>11600</v>
          </cell>
          <cell r="G103">
            <v>11101.91</v>
          </cell>
          <cell r="H103">
            <v>10911.2</v>
          </cell>
          <cell r="I103">
            <v>564</v>
          </cell>
          <cell r="J103">
            <v>100.64999999999999</v>
          </cell>
          <cell r="K103">
            <v>117.2</v>
          </cell>
          <cell r="L103">
            <v>47.9</v>
          </cell>
        </row>
        <row r="104">
          <cell r="C104">
            <v>9504.56</v>
          </cell>
          <cell r="D104">
            <v>9434.9599999999991</v>
          </cell>
          <cell r="E104">
            <v>526</v>
          </cell>
          <cell r="F104">
            <v>9300</v>
          </cell>
          <cell r="G104">
            <v>9827.42</v>
          </cell>
          <cell r="H104">
            <v>9680.3799999999992</v>
          </cell>
          <cell r="I104">
            <v>500</v>
          </cell>
          <cell r="J104">
            <v>89.73</v>
          </cell>
          <cell r="K104">
            <v>106.26</v>
          </cell>
          <cell r="L104">
            <v>23.47</v>
          </cell>
        </row>
        <row r="105">
          <cell r="C105">
            <v>14256.37</v>
          </cell>
          <cell r="D105">
            <v>14151.47</v>
          </cell>
          <cell r="E105">
            <v>719</v>
          </cell>
          <cell r="F105">
            <v>14000</v>
          </cell>
          <cell r="G105">
            <v>13629.52</v>
          </cell>
          <cell r="H105">
            <v>13391.16</v>
          </cell>
          <cell r="I105">
            <v>645</v>
          </cell>
          <cell r="J105">
            <v>135.66</v>
          </cell>
          <cell r="K105">
            <v>153.03</v>
          </cell>
          <cell r="L105">
            <v>39.39</v>
          </cell>
        </row>
        <row r="106">
          <cell r="C106">
            <v>18112.419999999998</v>
          </cell>
          <cell r="D106">
            <v>17938.13</v>
          </cell>
          <cell r="E106">
            <v>875</v>
          </cell>
          <cell r="F106">
            <v>17700</v>
          </cell>
          <cell r="G106">
            <v>14129.19</v>
          </cell>
          <cell r="H106">
            <v>13874.02</v>
          </cell>
          <cell r="I106">
            <v>667</v>
          </cell>
          <cell r="J106">
            <v>138.06</v>
          </cell>
          <cell r="K106">
            <v>155.44</v>
          </cell>
          <cell r="L106">
            <v>28.22</v>
          </cell>
        </row>
        <row r="107">
          <cell r="C107">
            <v>17092.7</v>
          </cell>
          <cell r="D107">
            <v>16960.86</v>
          </cell>
          <cell r="E107">
            <v>777</v>
          </cell>
          <cell r="F107">
            <v>16800</v>
          </cell>
          <cell r="G107">
            <v>16259.2</v>
          </cell>
          <cell r="H107">
            <v>16017.69</v>
          </cell>
          <cell r="I107">
            <v>665</v>
          </cell>
          <cell r="J107">
            <v>140.11000000000001</v>
          </cell>
          <cell r="K107">
            <v>156.49</v>
          </cell>
          <cell r="L107">
            <v>24.9</v>
          </cell>
        </row>
        <row r="108">
          <cell r="C108">
            <v>7476.57</v>
          </cell>
          <cell r="D108">
            <v>7414.85</v>
          </cell>
          <cell r="E108">
            <v>435</v>
          </cell>
          <cell r="F108">
            <v>7300</v>
          </cell>
          <cell r="G108">
            <v>8922.75</v>
          </cell>
          <cell r="H108">
            <v>8799.07</v>
          </cell>
          <cell r="I108">
            <v>450</v>
          </cell>
          <cell r="J108">
            <v>98.699999999999989</v>
          </cell>
          <cell r="K108">
            <v>107.02</v>
          </cell>
          <cell r="L108">
            <v>26.53</v>
          </cell>
        </row>
        <row r="109">
          <cell r="C109">
            <v>8998.8700000000008</v>
          </cell>
          <cell r="D109">
            <v>8932.58</v>
          </cell>
          <cell r="E109">
            <v>477</v>
          </cell>
          <cell r="F109">
            <v>8700</v>
          </cell>
          <cell r="G109">
            <v>10154.84</v>
          </cell>
          <cell r="H109">
            <v>9986.99</v>
          </cell>
          <cell r="I109">
            <v>490</v>
          </cell>
          <cell r="J109">
            <v>96.16</v>
          </cell>
          <cell r="K109">
            <v>113.52</v>
          </cell>
          <cell r="L109">
            <v>22.08</v>
          </cell>
        </row>
        <row r="110">
          <cell r="C110">
            <v>11495.97</v>
          </cell>
          <cell r="D110">
            <v>11383.63</v>
          </cell>
          <cell r="E110">
            <v>591</v>
          </cell>
          <cell r="F110">
            <v>11100</v>
          </cell>
          <cell r="G110">
            <v>9779.06</v>
          </cell>
          <cell r="H110">
            <v>9630.65</v>
          </cell>
          <cell r="I110">
            <v>466</v>
          </cell>
          <cell r="J110">
            <v>96.960000000000008</v>
          </cell>
          <cell r="K110">
            <v>105.18</v>
          </cell>
          <cell r="L110">
            <v>33.76</v>
          </cell>
        </row>
        <row r="111">
          <cell r="C111">
            <v>9042.5300000000007</v>
          </cell>
          <cell r="D111">
            <v>8974.9</v>
          </cell>
          <cell r="E111">
            <v>483</v>
          </cell>
          <cell r="F111">
            <v>8800</v>
          </cell>
          <cell r="G111">
            <v>10769.55</v>
          </cell>
          <cell r="H111">
            <v>10571.18</v>
          </cell>
          <cell r="I111">
            <v>516</v>
          </cell>
          <cell r="J111">
            <v>97.71</v>
          </cell>
          <cell r="K111">
            <v>115.05</v>
          </cell>
          <cell r="L111">
            <v>26.07</v>
          </cell>
        </row>
        <row r="112">
          <cell r="C112">
            <v>14830.3</v>
          </cell>
          <cell r="D112">
            <v>14701.58</v>
          </cell>
          <cell r="E112">
            <v>769</v>
          </cell>
          <cell r="F112">
            <v>14400</v>
          </cell>
          <cell r="G112">
            <v>13968.41</v>
          </cell>
          <cell r="H112">
            <v>13740.29</v>
          </cell>
          <cell r="I112">
            <v>618</v>
          </cell>
          <cell r="J112">
            <v>135.72999999999999</v>
          </cell>
          <cell r="K112">
            <v>153.37</v>
          </cell>
          <cell r="L112">
            <v>38.020000000000003</v>
          </cell>
        </row>
        <row r="113">
          <cell r="C113">
            <v>14082.14</v>
          </cell>
          <cell r="D113">
            <v>13945.01</v>
          </cell>
          <cell r="E113">
            <v>676</v>
          </cell>
          <cell r="F113">
            <v>13600</v>
          </cell>
          <cell r="G113">
            <v>12371.73</v>
          </cell>
          <cell r="H113">
            <v>12201.63</v>
          </cell>
          <cell r="I113">
            <v>610</v>
          </cell>
          <cell r="J113">
            <v>154.39600000000002</v>
          </cell>
          <cell r="K113">
            <v>171.15</v>
          </cell>
          <cell r="L113">
            <v>40.68</v>
          </cell>
        </row>
        <row r="114">
          <cell r="C114">
            <v>13280.75</v>
          </cell>
          <cell r="D114">
            <v>13161.11</v>
          </cell>
          <cell r="E114">
            <v>689</v>
          </cell>
          <cell r="F114">
            <v>14400</v>
          </cell>
          <cell r="G114">
            <v>15313.15</v>
          </cell>
          <cell r="H114">
            <v>15101.26</v>
          </cell>
          <cell r="I114">
            <v>673</v>
          </cell>
          <cell r="J114">
            <v>136.84</v>
          </cell>
          <cell r="K114">
            <v>153.30000000000001</v>
          </cell>
          <cell r="L114">
            <v>37.71</v>
          </cell>
        </row>
        <row r="115">
          <cell r="C115">
            <v>14382.01</v>
          </cell>
          <cell r="D115">
            <v>14277.96</v>
          </cell>
          <cell r="E115">
            <v>709</v>
          </cell>
          <cell r="F115">
            <v>10400</v>
          </cell>
          <cell r="G115">
            <v>7671.37</v>
          </cell>
          <cell r="H115">
            <v>7559.77</v>
          </cell>
          <cell r="I115">
            <v>391</v>
          </cell>
          <cell r="J115">
            <v>96.8</v>
          </cell>
          <cell r="K115">
            <v>105.1</v>
          </cell>
          <cell r="L115">
            <v>50.9</v>
          </cell>
        </row>
        <row r="116">
          <cell r="C116">
            <v>10163.950000000001</v>
          </cell>
          <cell r="D116">
            <v>10065.629999999999</v>
          </cell>
          <cell r="E116">
            <v>549</v>
          </cell>
          <cell r="F116">
            <v>10000</v>
          </cell>
          <cell r="G116">
            <v>7309.44</v>
          </cell>
          <cell r="H116">
            <v>7216.33</v>
          </cell>
          <cell r="I116">
            <v>421</v>
          </cell>
          <cell r="J116">
            <v>104.81</v>
          </cell>
          <cell r="K116">
            <v>114.06</v>
          </cell>
          <cell r="L116">
            <v>27.9</v>
          </cell>
        </row>
        <row r="117">
          <cell r="C117">
            <v>10332.4</v>
          </cell>
          <cell r="D117">
            <v>10229.780000000001</v>
          </cell>
          <cell r="E117">
            <v>551</v>
          </cell>
          <cell r="F117">
            <v>10200</v>
          </cell>
          <cell r="G117">
            <v>11657.2</v>
          </cell>
          <cell r="H117">
            <v>11461.34</v>
          </cell>
          <cell r="I117">
            <v>543</v>
          </cell>
          <cell r="J117">
            <v>125.52000000000002</v>
          </cell>
          <cell r="K117">
            <v>144.11000000000001</v>
          </cell>
          <cell r="L117">
            <v>56.67</v>
          </cell>
        </row>
        <row r="118">
          <cell r="C118">
            <v>9814.7900000000009</v>
          </cell>
          <cell r="D118">
            <v>9715.33</v>
          </cell>
          <cell r="E118">
            <v>514</v>
          </cell>
          <cell r="F118">
            <v>9700</v>
          </cell>
          <cell r="G118">
            <v>7816.38</v>
          </cell>
          <cell r="H118">
            <v>7726.97</v>
          </cell>
          <cell r="I118">
            <v>433</v>
          </cell>
          <cell r="J118">
            <v>96.02</v>
          </cell>
          <cell r="K118">
            <v>113.26</v>
          </cell>
          <cell r="L118">
            <v>39.94</v>
          </cell>
        </row>
        <row r="119">
          <cell r="C119">
            <v>12959.84</v>
          </cell>
          <cell r="D119">
            <v>12835.57</v>
          </cell>
          <cell r="E119">
            <v>643</v>
          </cell>
          <cell r="F119">
            <v>12800</v>
          </cell>
          <cell r="G119">
            <v>12175.24</v>
          </cell>
          <cell r="H119">
            <v>12037.52</v>
          </cell>
          <cell r="I119">
            <v>610</v>
          </cell>
          <cell r="J119">
            <v>142.91</v>
          </cell>
          <cell r="K119">
            <v>151.34</v>
          </cell>
          <cell r="L119">
            <v>59.88</v>
          </cell>
        </row>
        <row r="120">
          <cell r="C120">
            <v>12293.48</v>
          </cell>
          <cell r="D120">
            <v>12170.56</v>
          </cell>
          <cell r="E120">
            <v>626</v>
          </cell>
          <cell r="F120">
            <v>12200</v>
          </cell>
          <cell r="G120">
            <v>13363.27</v>
          </cell>
          <cell r="H120">
            <v>13138.6</v>
          </cell>
          <cell r="I120">
            <v>666</v>
          </cell>
          <cell r="J120">
            <v>140.06</v>
          </cell>
          <cell r="K120">
            <v>164.5</v>
          </cell>
          <cell r="L120">
            <v>19.96</v>
          </cell>
        </row>
        <row r="121">
          <cell r="C121">
            <v>15940.29</v>
          </cell>
          <cell r="D121">
            <v>15811.99</v>
          </cell>
          <cell r="E121">
            <v>774</v>
          </cell>
          <cell r="F121">
            <v>15800</v>
          </cell>
          <cell r="G121">
            <v>14924.27</v>
          </cell>
          <cell r="H121">
            <v>14701.69</v>
          </cell>
          <cell r="I121">
            <v>713</v>
          </cell>
          <cell r="J121">
            <v>160.5</v>
          </cell>
          <cell r="K121">
            <v>176.47</v>
          </cell>
          <cell r="L121">
            <v>30.03</v>
          </cell>
        </row>
        <row r="122">
          <cell r="C122">
            <v>10369.85</v>
          </cell>
          <cell r="D122">
            <v>10285.36</v>
          </cell>
          <cell r="E122">
            <v>591</v>
          </cell>
          <cell r="F122">
            <v>10200</v>
          </cell>
          <cell r="G122">
            <v>7427.12</v>
          </cell>
          <cell r="H122">
            <v>7357.52</v>
          </cell>
          <cell r="I122">
            <v>419</v>
          </cell>
          <cell r="J122">
            <v>93.5</v>
          </cell>
          <cell r="K122">
            <v>110.08</v>
          </cell>
          <cell r="L122">
            <v>40.25</v>
          </cell>
        </row>
        <row r="123">
          <cell r="C123">
            <v>11630.7</v>
          </cell>
          <cell r="D123">
            <v>11536.32</v>
          </cell>
          <cell r="E123">
            <v>618</v>
          </cell>
          <cell r="F123">
            <v>11400</v>
          </cell>
          <cell r="G123">
            <v>8651.31</v>
          </cell>
          <cell r="H123">
            <v>8545.8700000000008</v>
          </cell>
          <cell r="I123">
            <v>437</v>
          </cell>
          <cell r="J123">
            <v>107.13000000000001</v>
          </cell>
          <cell r="K123">
            <v>116.18</v>
          </cell>
          <cell r="L123">
            <v>23.85</v>
          </cell>
        </row>
        <row r="124">
          <cell r="C124">
            <v>11964.86</v>
          </cell>
          <cell r="D124">
            <v>11855</v>
          </cell>
          <cell r="E124">
            <v>641</v>
          </cell>
          <cell r="F124">
            <v>11700</v>
          </cell>
          <cell r="G124">
            <v>10988.63</v>
          </cell>
          <cell r="H124">
            <v>10799.8</v>
          </cell>
          <cell r="I124">
            <v>548</v>
          </cell>
          <cell r="J124">
            <v>98.49</v>
          </cell>
          <cell r="K124">
            <v>107.52</v>
          </cell>
          <cell r="L124">
            <v>30.78</v>
          </cell>
        </row>
        <row r="125">
          <cell r="C125">
            <v>17182.509999999998</v>
          </cell>
          <cell r="D125">
            <v>17023.87</v>
          </cell>
          <cell r="E125">
            <v>832</v>
          </cell>
          <cell r="F125">
            <v>17200</v>
          </cell>
          <cell r="G125">
            <v>13423.33</v>
          </cell>
          <cell r="H125">
            <v>13223.82</v>
          </cell>
          <cell r="I125">
            <v>676</v>
          </cell>
          <cell r="J125">
            <v>111.63999999999999</v>
          </cell>
          <cell r="K125">
            <v>129.13999999999999</v>
          </cell>
          <cell r="L125">
            <v>28.11</v>
          </cell>
        </row>
        <row r="126">
          <cell r="C126">
            <v>14699.17</v>
          </cell>
          <cell r="D126">
            <v>14564.72</v>
          </cell>
          <cell r="E126">
            <v>753</v>
          </cell>
          <cell r="F126">
            <v>15000</v>
          </cell>
          <cell r="G126">
            <v>19118.650000000001</v>
          </cell>
          <cell r="H126">
            <v>18808.830000000002</v>
          </cell>
          <cell r="I126">
            <v>882</v>
          </cell>
          <cell r="J126">
            <v>152.60000000000002</v>
          </cell>
          <cell r="K126">
            <v>169.05</v>
          </cell>
          <cell r="L126">
            <v>38.68</v>
          </cell>
        </row>
        <row r="127">
          <cell r="C127">
            <v>12558.41</v>
          </cell>
          <cell r="D127">
            <v>12437.39</v>
          </cell>
          <cell r="E127">
            <v>616</v>
          </cell>
          <cell r="F127">
            <v>12600</v>
          </cell>
          <cell r="G127">
            <v>13561.06</v>
          </cell>
          <cell r="H127">
            <v>13353.68</v>
          </cell>
          <cell r="I127">
            <v>648</v>
          </cell>
          <cell r="J127">
            <v>145.18</v>
          </cell>
          <cell r="K127">
            <v>161.58000000000001</v>
          </cell>
          <cell r="L127">
            <v>33.520000000000003</v>
          </cell>
        </row>
        <row r="128">
          <cell r="C128">
            <v>16048.57</v>
          </cell>
          <cell r="D128">
            <v>15940.6</v>
          </cell>
          <cell r="E128">
            <v>703</v>
          </cell>
          <cell r="F128">
            <v>16100</v>
          </cell>
          <cell r="G128">
            <v>17162.28</v>
          </cell>
          <cell r="H128">
            <v>16936.34</v>
          </cell>
          <cell r="I128">
            <v>717</v>
          </cell>
          <cell r="J128">
            <v>132.88000000000002</v>
          </cell>
          <cell r="K128">
            <v>149.46</v>
          </cell>
          <cell r="L128">
            <v>22.41</v>
          </cell>
        </row>
        <row r="129">
          <cell r="C129">
            <v>7905.07</v>
          </cell>
          <cell r="D129">
            <v>7859.53</v>
          </cell>
          <cell r="E129">
            <v>433</v>
          </cell>
          <cell r="F129">
            <v>7900</v>
          </cell>
          <cell r="G129">
            <v>7567.12</v>
          </cell>
          <cell r="H129">
            <v>7494.9</v>
          </cell>
          <cell r="I129">
            <v>396</v>
          </cell>
          <cell r="J129">
            <v>95.73</v>
          </cell>
          <cell r="K129">
            <v>104.22</v>
          </cell>
          <cell r="L129">
            <v>20.02</v>
          </cell>
        </row>
        <row r="130">
          <cell r="C130">
            <v>8776.9500000000007</v>
          </cell>
          <cell r="D130">
            <v>8711.92</v>
          </cell>
          <cell r="E130">
            <v>474</v>
          </cell>
          <cell r="F130">
            <v>8800</v>
          </cell>
          <cell r="G130">
            <v>10469.02</v>
          </cell>
          <cell r="H130">
            <v>10303.049999999999</v>
          </cell>
          <cell r="I130">
            <v>504</v>
          </cell>
          <cell r="J130">
            <v>105.14</v>
          </cell>
          <cell r="K130">
            <v>122.4</v>
          </cell>
          <cell r="L130">
            <v>31.85</v>
          </cell>
        </row>
        <row r="131">
          <cell r="C131">
            <v>13142.12</v>
          </cell>
          <cell r="D131">
            <v>13022.4</v>
          </cell>
          <cell r="E131">
            <v>659</v>
          </cell>
          <cell r="F131">
            <v>13100</v>
          </cell>
          <cell r="G131">
            <v>11067.07</v>
          </cell>
          <cell r="H131">
            <v>10920.03</v>
          </cell>
          <cell r="I131">
            <v>531</v>
          </cell>
          <cell r="J131">
            <v>99.01</v>
          </cell>
          <cell r="K131">
            <v>107.28</v>
          </cell>
          <cell r="L131">
            <v>20.96</v>
          </cell>
        </row>
        <row r="132">
          <cell r="C132">
            <v>13698.77</v>
          </cell>
          <cell r="D132">
            <v>13597.35</v>
          </cell>
          <cell r="E132">
            <v>672</v>
          </cell>
          <cell r="F132">
            <v>13700</v>
          </cell>
          <cell r="G132">
            <v>11434.17</v>
          </cell>
          <cell r="H132">
            <v>11324</v>
          </cell>
          <cell r="I132">
            <v>607</v>
          </cell>
          <cell r="J132">
            <v>103.89</v>
          </cell>
          <cell r="K132">
            <v>120.27</v>
          </cell>
          <cell r="L132">
            <v>33.450000000000003</v>
          </cell>
        </row>
        <row r="133">
          <cell r="C133">
            <v>13523.15</v>
          </cell>
          <cell r="D133">
            <v>13424.34</v>
          </cell>
          <cell r="E133">
            <v>676</v>
          </cell>
          <cell r="F133">
            <v>14000</v>
          </cell>
          <cell r="G133">
            <v>13520.72</v>
          </cell>
          <cell r="H133">
            <v>13297.96</v>
          </cell>
          <cell r="I133">
            <v>686</v>
          </cell>
          <cell r="J133">
            <v>133.73000000000002</v>
          </cell>
          <cell r="K133">
            <v>158.43</v>
          </cell>
          <cell r="L133">
            <v>33.01</v>
          </cell>
        </row>
        <row r="134">
          <cell r="C134">
            <v>13172.04</v>
          </cell>
          <cell r="D134">
            <v>13045.73</v>
          </cell>
          <cell r="E134">
            <v>658</v>
          </cell>
          <cell r="F134">
            <v>13200</v>
          </cell>
          <cell r="G134">
            <v>12372.73</v>
          </cell>
          <cell r="H134">
            <v>12174.97</v>
          </cell>
          <cell r="I134">
            <v>619</v>
          </cell>
          <cell r="J134">
            <v>131.33000000000001</v>
          </cell>
          <cell r="K134">
            <v>148.05000000000001</v>
          </cell>
          <cell r="L134">
            <v>87.6</v>
          </cell>
        </row>
        <row r="135">
          <cell r="C135">
            <v>15527.88</v>
          </cell>
          <cell r="D135">
            <v>15413.99</v>
          </cell>
          <cell r="E135">
            <v>725</v>
          </cell>
          <cell r="F135">
            <v>16000</v>
          </cell>
          <cell r="G135">
            <v>15137.77</v>
          </cell>
          <cell r="H135">
            <v>14953.21</v>
          </cell>
          <cell r="I135">
            <v>706</v>
          </cell>
          <cell r="J135">
            <v>138.78</v>
          </cell>
          <cell r="K135">
            <v>155.22999999999999</v>
          </cell>
          <cell r="L135">
            <v>50.5</v>
          </cell>
        </row>
        <row r="136">
          <cell r="C136">
            <v>7263.72</v>
          </cell>
          <cell r="D136">
            <v>7223.87</v>
          </cell>
          <cell r="E136">
            <v>406</v>
          </cell>
          <cell r="F136">
            <v>7300</v>
          </cell>
          <cell r="G136">
            <v>7415.39</v>
          </cell>
          <cell r="H136">
            <v>7343.74</v>
          </cell>
          <cell r="I136">
            <v>401</v>
          </cell>
          <cell r="J136">
            <v>95.089999999999989</v>
          </cell>
          <cell r="K136">
            <v>103.46</v>
          </cell>
          <cell r="L136">
            <v>32.15</v>
          </cell>
        </row>
        <row r="137">
          <cell r="C137">
            <v>9482.2900000000009</v>
          </cell>
          <cell r="D137">
            <v>9393.1299999999992</v>
          </cell>
          <cell r="E137">
            <v>505</v>
          </cell>
          <cell r="F137">
            <v>9500</v>
          </cell>
          <cell r="G137">
            <v>10526.9</v>
          </cell>
          <cell r="H137">
            <v>10423.299999999999</v>
          </cell>
          <cell r="I137">
            <v>519</v>
          </cell>
          <cell r="J137">
            <v>95.02</v>
          </cell>
          <cell r="K137">
            <v>113.07</v>
          </cell>
          <cell r="L137">
            <v>32.9</v>
          </cell>
        </row>
        <row r="138">
          <cell r="C138">
            <v>10397.16</v>
          </cell>
          <cell r="D138">
            <v>10305.91</v>
          </cell>
          <cell r="E138">
            <v>581</v>
          </cell>
          <cell r="F138">
            <v>10400</v>
          </cell>
          <cell r="G138">
            <v>13735.25</v>
          </cell>
          <cell r="H138">
            <v>13554.34</v>
          </cell>
          <cell r="I138">
            <v>626</v>
          </cell>
          <cell r="J138">
            <v>88.93</v>
          </cell>
          <cell r="K138">
            <v>112.56</v>
          </cell>
          <cell r="L138">
            <v>39.33</v>
          </cell>
        </row>
        <row r="139">
          <cell r="C139">
            <v>8996.18</v>
          </cell>
          <cell r="D139">
            <v>8941.56</v>
          </cell>
          <cell r="E139">
            <v>514</v>
          </cell>
          <cell r="F139">
            <v>13900</v>
          </cell>
          <cell r="G139">
            <v>13862.81</v>
          </cell>
          <cell r="H139">
            <v>13702.28</v>
          </cell>
          <cell r="I139">
            <v>641</v>
          </cell>
          <cell r="J139">
            <v>122.72000000000001</v>
          </cell>
          <cell r="K139">
            <v>156.43</v>
          </cell>
          <cell r="L139">
            <v>32.35</v>
          </cell>
        </row>
        <row r="140">
          <cell r="C140">
            <v>13664.73</v>
          </cell>
          <cell r="D140">
            <v>13554.89</v>
          </cell>
          <cell r="E140">
            <v>735</v>
          </cell>
          <cell r="F140">
            <v>13700</v>
          </cell>
          <cell r="G140">
            <v>12080.77</v>
          </cell>
          <cell r="H140">
            <v>11916.11</v>
          </cell>
          <cell r="I140">
            <v>584</v>
          </cell>
          <cell r="J140">
            <v>136.22</v>
          </cell>
          <cell r="K140">
            <v>144.5</v>
          </cell>
          <cell r="L140">
            <v>22.4</v>
          </cell>
        </row>
        <row r="141">
          <cell r="C141">
            <v>11725.17</v>
          </cell>
          <cell r="D141">
            <v>11606.76</v>
          </cell>
          <cell r="E141">
            <v>630</v>
          </cell>
          <cell r="F141">
            <v>11700</v>
          </cell>
          <cell r="G141">
            <v>11191.7</v>
          </cell>
          <cell r="H141">
            <v>11035.24</v>
          </cell>
          <cell r="I141">
            <v>529</v>
          </cell>
          <cell r="J141">
            <v>120.69999999999997</v>
          </cell>
          <cell r="K141">
            <v>145.54</v>
          </cell>
          <cell r="L141">
            <v>24.15</v>
          </cell>
        </row>
        <row r="142">
          <cell r="C142">
            <v>15077.43</v>
          </cell>
          <cell r="D142">
            <v>14959.65</v>
          </cell>
          <cell r="E142">
            <v>670</v>
          </cell>
          <cell r="F142">
            <v>15100</v>
          </cell>
          <cell r="G142">
            <v>17050.939999999999</v>
          </cell>
          <cell r="H142">
            <v>16830.5</v>
          </cell>
          <cell r="I142">
            <v>749</v>
          </cell>
          <cell r="J142">
            <v>125.21999999999998</v>
          </cell>
          <cell r="K142">
            <v>151.32</v>
          </cell>
          <cell r="L142">
            <v>23.18</v>
          </cell>
        </row>
        <row r="143">
          <cell r="C143">
            <v>7476.21</v>
          </cell>
          <cell r="D143">
            <v>7423.52</v>
          </cell>
          <cell r="E143">
            <v>434</v>
          </cell>
          <cell r="F143">
            <v>7500</v>
          </cell>
          <cell r="G143">
            <v>8060.63</v>
          </cell>
          <cell r="H143">
            <v>7967.89</v>
          </cell>
          <cell r="I143">
            <v>437</v>
          </cell>
          <cell r="J143">
            <v>80.989999999999995</v>
          </cell>
          <cell r="K143">
            <v>97.53</v>
          </cell>
          <cell r="L143">
            <v>18.329999999999998</v>
          </cell>
        </row>
        <row r="144">
          <cell r="C144">
            <v>8581.9500000000007</v>
          </cell>
          <cell r="D144">
            <v>8510.43</v>
          </cell>
          <cell r="E144">
            <v>478</v>
          </cell>
          <cell r="F144">
            <v>8600</v>
          </cell>
          <cell r="G144">
            <v>8120.04</v>
          </cell>
          <cell r="H144">
            <v>8049.95</v>
          </cell>
          <cell r="I144">
            <v>462</v>
          </cell>
          <cell r="J144">
            <v>92.64</v>
          </cell>
          <cell r="K144">
            <v>109.22</v>
          </cell>
          <cell r="L144">
            <v>20.22</v>
          </cell>
        </row>
        <row r="145">
          <cell r="C145">
            <v>10387.26</v>
          </cell>
          <cell r="D145">
            <v>10296.84</v>
          </cell>
          <cell r="E145">
            <v>572</v>
          </cell>
          <cell r="F145">
            <v>10400</v>
          </cell>
          <cell r="G145">
            <v>9822.08</v>
          </cell>
          <cell r="H145">
            <v>9731.06</v>
          </cell>
          <cell r="I145">
            <v>543</v>
          </cell>
          <cell r="J145">
            <v>98.820000000000007</v>
          </cell>
          <cell r="K145">
            <v>115.03</v>
          </cell>
          <cell r="L145">
            <v>26.57</v>
          </cell>
        </row>
        <row r="146">
          <cell r="C146">
            <v>9217.65</v>
          </cell>
          <cell r="D146">
            <v>9152.01</v>
          </cell>
          <cell r="E146">
            <v>509</v>
          </cell>
          <cell r="F146">
            <v>9200</v>
          </cell>
          <cell r="G146">
            <v>7776.92</v>
          </cell>
          <cell r="H146">
            <v>7737.86</v>
          </cell>
          <cell r="I146">
            <v>439</v>
          </cell>
          <cell r="J146">
            <v>90.42</v>
          </cell>
          <cell r="K146">
            <v>115.18</v>
          </cell>
          <cell r="L146">
            <v>29.06</v>
          </cell>
        </row>
        <row r="147">
          <cell r="C147">
            <v>12285.93</v>
          </cell>
          <cell r="D147">
            <v>12189.64</v>
          </cell>
          <cell r="E147">
            <v>651</v>
          </cell>
          <cell r="F147">
            <v>12300</v>
          </cell>
          <cell r="G147">
            <v>12099.68</v>
          </cell>
          <cell r="H147">
            <v>11952.89</v>
          </cell>
          <cell r="I147">
            <v>647</v>
          </cell>
          <cell r="J147">
            <v>149.24</v>
          </cell>
          <cell r="K147">
            <v>157.55000000000001</v>
          </cell>
          <cell r="L147">
            <v>47.31</v>
          </cell>
        </row>
        <row r="148">
          <cell r="C148">
            <v>13905.22</v>
          </cell>
          <cell r="D148">
            <v>13767.94</v>
          </cell>
          <cell r="E148">
            <v>712</v>
          </cell>
          <cell r="F148">
            <v>13900</v>
          </cell>
          <cell r="G148">
            <v>11738.38</v>
          </cell>
          <cell r="H148">
            <v>11589.05</v>
          </cell>
          <cell r="I148">
            <v>578</v>
          </cell>
          <cell r="J148">
            <v>132.54</v>
          </cell>
          <cell r="K148">
            <v>159.26</v>
          </cell>
          <cell r="L148">
            <v>35.33</v>
          </cell>
        </row>
        <row r="149">
          <cell r="C149">
            <v>13260.14</v>
          </cell>
          <cell r="D149">
            <v>13154.03</v>
          </cell>
          <cell r="E149">
            <v>646</v>
          </cell>
          <cell r="F149">
            <v>13300</v>
          </cell>
          <cell r="G149">
            <v>13023.67</v>
          </cell>
          <cell r="H149">
            <v>12829.33</v>
          </cell>
          <cell r="I149">
            <v>644</v>
          </cell>
          <cell r="J149">
            <v>123.39000000000001</v>
          </cell>
          <cell r="K149">
            <v>140</v>
          </cell>
          <cell r="L149">
            <v>25.93</v>
          </cell>
        </row>
        <row r="150">
          <cell r="C150">
            <v>8239.2999999999993</v>
          </cell>
          <cell r="D150">
            <v>8156.33</v>
          </cell>
          <cell r="E150">
            <v>458</v>
          </cell>
          <cell r="F150">
            <v>12300</v>
          </cell>
          <cell r="G150">
            <v>14547.63</v>
          </cell>
          <cell r="H150">
            <v>14411.6</v>
          </cell>
          <cell r="I150">
            <v>684</v>
          </cell>
          <cell r="J150">
            <v>118.98</v>
          </cell>
          <cell r="K150">
            <v>135.44</v>
          </cell>
          <cell r="L150">
            <v>20.61</v>
          </cell>
        </row>
        <row r="151">
          <cell r="C151">
            <v>8646.66</v>
          </cell>
          <cell r="D151">
            <v>8595.91</v>
          </cell>
          <cell r="E151">
            <v>492</v>
          </cell>
          <cell r="F151">
            <v>8700</v>
          </cell>
          <cell r="G151">
            <v>5512.35</v>
          </cell>
          <cell r="H151">
            <v>5465.48</v>
          </cell>
          <cell r="I151">
            <v>308</v>
          </cell>
          <cell r="J151">
            <v>91.390000000000015</v>
          </cell>
          <cell r="K151">
            <v>108.12</v>
          </cell>
          <cell r="L151">
            <v>35.159999999999997</v>
          </cell>
        </row>
        <row r="152">
          <cell r="C152">
            <v>16238.48</v>
          </cell>
          <cell r="D152">
            <v>16082.44</v>
          </cell>
          <cell r="E152">
            <v>802</v>
          </cell>
          <cell r="F152">
            <v>10400</v>
          </cell>
          <cell r="G152">
            <v>11269.29</v>
          </cell>
          <cell r="H152">
            <v>11153.1</v>
          </cell>
          <cell r="I152">
            <v>570</v>
          </cell>
          <cell r="J152">
            <v>104.16</v>
          </cell>
          <cell r="K152">
            <v>112.34</v>
          </cell>
          <cell r="L152">
            <v>34.82</v>
          </cell>
        </row>
        <row r="153">
          <cell r="C153">
            <v>13943.92</v>
          </cell>
          <cell r="D153">
            <v>13840.44</v>
          </cell>
          <cell r="E153">
            <v>685</v>
          </cell>
          <cell r="F153">
            <v>9400</v>
          </cell>
          <cell r="G153">
            <v>10019.33</v>
          </cell>
          <cell r="H153">
            <v>9924.24</v>
          </cell>
          <cell r="I153">
            <v>552</v>
          </cell>
          <cell r="J153">
            <v>100.75</v>
          </cell>
          <cell r="K153">
            <v>109.07</v>
          </cell>
          <cell r="L153">
            <v>32.17</v>
          </cell>
        </row>
        <row r="154">
          <cell r="C154">
            <v>11689.97</v>
          </cell>
          <cell r="D154">
            <v>11571.93</v>
          </cell>
          <cell r="E154">
            <v>623</v>
          </cell>
          <cell r="F154">
            <v>11700</v>
          </cell>
          <cell r="G154">
            <v>13055.4</v>
          </cell>
          <cell r="H154">
            <v>12904.36</v>
          </cell>
          <cell r="I154">
            <v>655</v>
          </cell>
          <cell r="J154">
            <v>127.79999999999998</v>
          </cell>
          <cell r="K154">
            <v>146.29</v>
          </cell>
          <cell r="L154">
            <v>32.200000000000003</v>
          </cell>
        </row>
        <row r="155">
          <cell r="C155">
            <v>12265.48</v>
          </cell>
          <cell r="D155">
            <v>12156.18</v>
          </cell>
          <cell r="E155">
            <v>598</v>
          </cell>
          <cell r="F155">
            <v>12300</v>
          </cell>
          <cell r="G155">
            <v>12484.89</v>
          </cell>
          <cell r="H155">
            <v>12357.16</v>
          </cell>
          <cell r="I155">
            <v>628</v>
          </cell>
          <cell r="J155">
            <v>123.78000000000002</v>
          </cell>
          <cell r="K155">
            <v>149.13</v>
          </cell>
          <cell r="L155">
            <v>100.93</v>
          </cell>
        </row>
        <row r="156">
          <cell r="C156">
            <v>19257.310000000001</v>
          </cell>
          <cell r="D156">
            <v>19035.53</v>
          </cell>
          <cell r="E156">
            <v>889</v>
          </cell>
          <cell r="F156">
            <v>18800</v>
          </cell>
          <cell r="G156">
            <v>16340.11</v>
          </cell>
          <cell r="H156">
            <v>16174.73</v>
          </cell>
          <cell r="I156">
            <v>715</v>
          </cell>
          <cell r="J156">
            <v>128.14999999999998</v>
          </cell>
          <cell r="K156">
            <v>146.01</v>
          </cell>
          <cell r="L156">
            <v>57.07</v>
          </cell>
        </row>
        <row r="157">
          <cell r="C157">
            <v>8388.1</v>
          </cell>
          <cell r="D157">
            <v>8336.76</v>
          </cell>
          <cell r="E157">
            <v>484</v>
          </cell>
          <cell r="F157">
            <v>8600</v>
          </cell>
          <cell r="G157">
            <v>8448.14</v>
          </cell>
          <cell r="H157">
            <v>8366.26</v>
          </cell>
          <cell r="I157">
            <v>490</v>
          </cell>
          <cell r="J157">
            <v>105.64</v>
          </cell>
          <cell r="K157">
            <v>122.3</v>
          </cell>
          <cell r="L157">
            <v>68.407686017988553</v>
          </cell>
        </row>
        <row r="158">
          <cell r="C158">
            <v>10704.51</v>
          </cell>
          <cell r="D158">
            <v>10601.05</v>
          </cell>
          <cell r="E158">
            <v>554</v>
          </cell>
          <cell r="F158">
            <v>10900</v>
          </cell>
          <cell r="G158">
            <v>9737.2900000000009</v>
          </cell>
          <cell r="H158">
            <v>9602.7900000000009</v>
          </cell>
          <cell r="I158">
            <v>485</v>
          </cell>
          <cell r="J158">
            <v>134.19</v>
          </cell>
          <cell r="K158">
            <v>142.47</v>
          </cell>
          <cell r="L158">
            <v>67.402189934723111</v>
          </cell>
        </row>
        <row r="159">
          <cell r="C159">
            <v>11375.97</v>
          </cell>
          <cell r="D159">
            <v>11277.23</v>
          </cell>
          <cell r="E159">
            <v>575</v>
          </cell>
          <cell r="F159">
            <v>11600</v>
          </cell>
          <cell r="G159">
            <v>11479.84</v>
          </cell>
          <cell r="H159">
            <v>11262.88</v>
          </cell>
          <cell r="I159">
            <v>588</v>
          </cell>
          <cell r="J159">
            <v>131.79</v>
          </cell>
          <cell r="K159">
            <v>156.26</v>
          </cell>
          <cell r="L159">
            <v>72.077819019582748</v>
          </cell>
        </row>
        <row r="160">
          <cell r="C160">
            <v>10480.299999999999</v>
          </cell>
          <cell r="D160">
            <v>10395.74</v>
          </cell>
          <cell r="E160">
            <v>559</v>
          </cell>
          <cell r="F160">
            <v>10700</v>
          </cell>
          <cell r="G160">
            <v>10296.549999999999</v>
          </cell>
          <cell r="H160">
            <v>10152.459999999999</v>
          </cell>
          <cell r="I160">
            <v>523</v>
          </cell>
          <cell r="J160">
            <v>119.69999999999999</v>
          </cell>
          <cell r="K160">
            <v>136.29</v>
          </cell>
          <cell r="L160">
            <v>74.491598796683547</v>
          </cell>
        </row>
        <row r="161">
          <cell r="C161">
            <v>16360.49</v>
          </cell>
          <cell r="D161">
            <v>16229.02</v>
          </cell>
          <cell r="E161">
            <v>809</v>
          </cell>
          <cell r="F161">
            <v>16700</v>
          </cell>
          <cell r="G161">
            <v>15876.99</v>
          </cell>
          <cell r="H161">
            <v>15662.23</v>
          </cell>
          <cell r="I161">
            <v>792</v>
          </cell>
          <cell r="J161">
            <v>172.63</v>
          </cell>
          <cell r="K161">
            <v>184.38</v>
          </cell>
          <cell r="L161">
            <v>84.945384531944896</v>
          </cell>
        </row>
        <row r="162">
          <cell r="C162">
            <v>16151.64</v>
          </cell>
          <cell r="D162">
            <v>16011.88</v>
          </cell>
          <cell r="E162">
            <v>748</v>
          </cell>
          <cell r="F162">
            <v>16500</v>
          </cell>
          <cell r="G162">
            <v>14704</v>
          </cell>
          <cell r="H162">
            <v>14450.02</v>
          </cell>
          <cell r="I162">
            <v>725</v>
          </cell>
          <cell r="J162">
            <v>145.25</v>
          </cell>
          <cell r="K162">
            <v>170.7</v>
          </cell>
          <cell r="L162">
            <v>84.651552431165797</v>
          </cell>
        </row>
        <row r="163">
          <cell r="C163">
            <v>18099.21</v>
          </cell>
          <cell r="D163">
            <v>17946.349999999999</v>
          </cell>
          <cell r="E163">
            <v>860</v>
          </cell>
          <cell r="F163">
            <v>18500</v>
          </cell>
          <cell r="G163">
            <v>15951.4</v>
          </cell>
          <cell r="H163">
            <v>15798.28</v>
          </cell>
          <cell r="I163">
            <v>739</v>
          </cell>
          <cell r="J163">
            <v>146.80000000000001</v>
          </cell>
          <cell r="K163">
            <v>163.83000000000001</v>
          </cell>
          <cell r="L163">
            <v>96.430934505279865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 t="str">
            <v/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 t="str">
            <v/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 t="str">
            <v/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 t="str">
            <v/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 t="str">
            <v/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 t="str">
            <v/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 t="str">
            <v/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 t="str">
            <v/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 t="str">
            <v/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 t="str">
            <v/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 t="str">
            <v/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 t="str">
            <v/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 t="str">
            <v/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 t="str">
            <v/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 t="str">
            <v/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 t="str">
            <v/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 t="str">
            <v/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 t="str">
            <v/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 t="str">
            <v/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 t="str">
            <v/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 t="str">
            <v/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 t="str">
            <v/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 t="str">
            <v/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D367"/>
          <cell r="E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D368"/>
          <cell r="E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C369" t="str">
            <v/>
          </cell>
          <cell r="D369"/>
          <cell r="E369"/>
          <cell r="F369"/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87">
          <cell r="G387">
            <v>1008.1999999999999</v>
          </cell>
          <cell r="H387">
            <v>823.18</v>
          </cell>
          <cell r="I387">
            <v>1175.3400000000001</v>
          </cell>
          <cell r="J387">
            <v>938.28</v>
          </cell>
          <cell r="K387">
            <v>1018.34</v>
          </cell>
          <cell r="L387">
            <v>281.53000000000003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-71.150000000000006</v>
          </cell>
          <cell r="H388">
            <v>-62.099999999999994</v>
          </cell>
          <cell r="I388">
            <v>-553.63999999999987</v>
          </cell>
          <cell r="J388">
            <v>-241.06</v>
          </cell>
          <cell r="K388">
            <v>-16.080000000000013</v>
          </cell>
          <cell r="L388">
            <v>26.860000000000007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36.85</v>
          </cell>
          <cell r="H389">
            <v>86.210000000000008</v>
          </cell>
          <cell r="I389">
            <v>44.75</v>
          </cell>
          <cell r="J389">
            <v>172.19</v>
          </cell>
          <cell r="K389">
            <v>34.64</v>
          </cell>
          <cell r="L389">
            <v>0.72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6"/>
    </sheetNames>
    <sheetDataSet>
      <sheetData sheetId="0">
        <row r="5">
          <cell r="C5">
            <v>27229.48</v>
          </cell>
        </row>
        <row r="6">
          <cell r="C6">
            <v>15540.57</v>
          </cell>
        </row>
        <row r="7">
          <cell r="C7">
            <v>18449.72</v>
          </cell>
        </row>
        <row r="8">
          <cell r="C8">
            <v>19804.63</v>
          </cell>
        </row>
        <row r="9">
          <cell r="C9">
            <v>16038.66</v>
          </cell>
        </row>
        <row r="10">
          <cell r="C10">
            <v>12124.66</v>
          </cell>
        </row>
        <row r="11">
          <cell r="C11">
            <v>12725.05</v>
          </cell>
        </row>
        <row r="12">
          <cell r="C12">
            <v>15053.77</v>
          </cell>
        </row>
        <row r="13">
          <cell r="C13">
            <v>11401.39</v>
          </cell>
        </row>
        <row r="14">
          <cell r="C14">
            <v>18171.63</v>
          </cell>
        </row>
        <row r="15">
          <cell r="C15">
            <v>19617.68</v>
          </cell>
        </row>
        <row r="16">
          <cell r="C16">
            <v>18808.330000000002</v>
          </cell>
        </row>
        <row r="17">
          <cell r="C17">
            <v>11676.84</v>
          </cell>
        </row>
        <row r="18">
          <cell r="C18">
            <v>12006.87</v>
          </cell>
        </row>
        <row r="19">
          <cell r="C19">
            <v>14458.35</v>
          </cell>
        </row>
        <row r="20">
          <cell r="C20">
            <v>12951.49</v>
          </cell>
        </row>
        <row r="21">
          <cell r="C21">
            <v>17539.36</v>
          </cell>
        </row>
        <row r="22">
          <cell r="C22">
            <v>20331.5</v>
          </cell>
        </row>
        <row r="23">
          <cell r="C23">
            <v>16598.490000000002</v>
          </cell>
        </row>
        <row r="24">
          <cell r="C24">
            <v>9299.1299999999992</v>
          </cell>
        </row>
        <row r="25">
          <cell r="C25">
            <v>11441.79</v>
          </cell>
        </row>
        <row r="26">
          <cell r="C26">
            <v>12719.46</v>
          </cell>
        </row>
        <row r="27">
          <cell r="C27">
            <v>12381.74</v>
          </cell>
        </row>
        <row r="28">
          <cell r="C28">
            <v>19669.97</v>
          </cell>
        </row>
        <row r="29">
          <cell r="C29">
            <v>21553.71</v>
          </cell>
        </row>
        <row r="30">
          <cell r="C30">
            <v>16524.73</v>
          </cell>
        </row>
        <row r="31">
          <cell r="C31">
            <v>9608.9699999999993</v>
          </cell>
        </row>
        <row r="32">
          <cell r="C32">
            <v>11122.74</v>
          </cell>
        </row>
        <row r="33">
          <cell r="C33">
            <v>13455.11</v>
          </cell>
        </row>
        <row r="34">
          <cell r="C34">
            <v>12871.29</v>
          </cell>
        </row>
        <row r="35">
          <cell r="C35">
            <v>18232.59</v>
          </cell>
        </row>
        <row r="36">
          <cell r="C36">
            <v>22481.75</v>
          </cell>
        </row>
        <row r="37">
          <cell r="C37">
            <v>16988.59</v>
          </cell>
        </row>
        <row r="38">
          <cell r="C38">
            <v>10809.47</v>
          </cell>
        </row>
        <row r="39">
          <cell r="C39">
            <v>12733.95</v>
          </cell>
        </row>
        <row r="40">
          <cell r="C40">
            <v>16567.39</v>
          </cell>
        </row>
        <row r="41">
          <cell r="C41">
            <v>13491.41</v>
          </cell>
        </row>
        <row r="42">
          <cell r="C42">
            <v>19069.46</v>
          </cell>
        </row>
        <row r="43">
          <cell r="C43">
            <v>21359.19</v>
          </cell>
        </row>
        <row r="44">
          <cell r="C44">
            <v>17859.96</v>
          </cell>
        </row>
        <row r="45">
          <cell r="C45">
            <v>9769.06</v>
          </cell>
        </row>
        <row r="46">
          <cell r="C46">
            <v>11780.95</v>
          </cell>
        </row>
        <row r="47">
          <cell r="C47">
            <v>15304.9</v>
          </cell>
        </row>
        <row r="48">
          <cell r="C48">
            <v>12034.47</v>
          </cell>
        </row>
        <row r="49">
          <cell r="C49">
            <v>20326.43</v>
          </cell>
        </row>
        <row r="50">
          <cell r="C50">
            <v>21415.25</v>
          </cell>
        </row>
        <row r="51">
          <cell r="C51">
            <v>19677.88</v>
          </cell>
        </row>
        <row r="52">
          <cell r="C52">
            <v>10388.41</v>
          </cell>
        </row>
        <row r="53">
          <cell r="C53">
            <v>11803.14</v>
          </cell>
        </row>
        <row r="54">
          <cell r="C54">
            <v>13658.13</v>
          </cell>
        </row>
        <row r="55">
          <cell r="C55">
            <v>13661.34</v>
          </cell>
        </row>
        <row r="56">
          <cell r="C56">
            <v>20171.04</v>
          </cell>
        </row>
        <row r="57">
          <cell r="C57">
            <v>19567.900000000001</v>
          </cell>
        </row>
        <row r="58">
          <cell r="C58">
            <v>17047.78</v>
          </cell>
        </row>
        <row r="59">
          <cell r="C59">
            <v>11193.05</v>
          </cell>
        </row>
        <row r="60">
          <cell r="C60">
            <v>12557.74</v>
          </cell>
        </row>
        <row r="61">
          <cell r="C61">
            <v>14250.64</v>
          </cell>
        </row>
        <row r="62">
          <cell r="C62">
            <v>14382.69</v>
          </cell>
        </row>
        <row r="63">
          <cell r="C63">
            <v>20566.34</v>
          </cell>
        </row>
        <row r="64">
          <cell r="C64">
            <v>18822.810000000001</v>
          </cell>
        </row>
        <row r="65">
          <cell r="C65">
            <v>18588.169999999998</v>
          </cell>
        </row>
        <row r="66">
          <cell r="C66">
            <v>13003.76</v>
          </cell>
        </row>
        <row r="67">
          <cell r="C67">
            <v>13070.21</v>
          </cell>
        </row>
        <row r="68">
          <cell r="C68">
            <v>13502.65</v>
          </cell>
        </row>
        <row r="69">
          <cell r="C69">
            <v>13353.85</v>
          </cell>
        </row>
        <row r="70">
          <cell r="C70">
            <v>19169.23</v>
          </cell>
        </row>
        <row r="71">
          <cell r="C71">
            <v>17522.34</v>
          </cell>
        </row>
        <row r="72">
          <cell r="C72">
            <v>17037.27</v>
          </cell>
        </row>
        <row r="73">
          <cell r="C73">
            <v>9528.17</v>
          </cell>
        </row>
        <row r="74">
          <cell r="C74">
            <v>11037.48</v>
          </cell>
        </row>
        <row r="75">
          <cell r="C75">
            <v>14215.07</v>
          </cell>
        </row>
        <row r="76">
          <cell r="C76">
            <v>12320.92</v>
          </cell>
        </row>
        <row r="77">
          <cell r="C77">
            <v>17990.61</v>
          </cell>
        </row>
        <row r="78">
          <cell r="C78">
            <v>18412.7</v>
          </cell>
        </row>
        <row r="79">
          <cell r="C79">
            <v>19529.29</v>
          </cell>
        </row>
        <row r="80">
          <cell r="C80">
            <v>9837.85</v>
          </cell>
        </row>
        <row r="81">
          <cell r="C81">
            <v>11950.86</v>
          </cell>
        </row>
        <row r="82">
          <cell r="C82">
            <v>13948.37</v>
          </cell>
        </row>
        <row r="83">
          <cell r="C83">
            <v>12570.5</v>
          </cell>
        </row>
        <row r="84">
          <cell r="C84">
            <v>16654.5</v>
          </cell>
        </row>
        <row r="85">
          <cell r="C85">
            <v>17509.91</v>
          </cell>
        </row>
        <row r="86">
          <cell r="C86">
            <v>15945.13</v>
          </cell>
        </row>
        <row r="87">
          <cell r="C87">
            <v>8790.41</v>
          </cell>
        </row>
        <row r="88">
          <cell r="C88">
            <v>11794.17</v>
          </cell>
        </row>
        <row r="89">
          <cell r="C89">
            <v>15722.85</v>
          </cell>
        </row>
        <row r="90">
          <cell r="C90">
            <v>14280.51</v>
          </cell>
        </row>
        <row r="91">
          <cell r="C91">
            <v>19683.900000000001</v>
          </cell>
        </row>
        <row r="92">
          <cell r="C92">
            <v>18988.68</v>
          </cell>
        </row>
        <row r="93">
          <cell r="C93">
            <v>18974.11</v>
          </cell>
        </row>
        <row r="94">
          <cell r="C94">
            <v>11378.67</v>
          </cell>
        </row>
        <row r="95">
          <cell r="C95">
            <v>13238.8</v>
          </cell>
        </row>
        <row r="96">
          <cell r="C96">
            <v>17530.11</v>
          </cell>
        </row>
        <row r="97">
          <cell r="C97">
            <v>14538.33</v>
          </cell>
        </row>
        <row r="98">
          <cell r="C98">
            <v>20086.259999999998</v>
          </cell>
        </row>
        <row r="99">
          <cell r="C99">
            <v>20395.12</v>
          </cell>
        </row>
        <row r="100">
          <cell r="C100">
            <v>20308.84</v>
          </cell>
        </row>
        <row r="101">
          <cell r="C101">
            <v>10942.01</v>
          </cell>
        </row>
        <row r="102">
          <cell r="C102">
            <v>13031.05</v>
          </cell>
        </row>
        <row r="103">
          <cell r="C103">
            <v>16192.63</v>
          </cell>
        </row>
        <row r="104">
          <cell r="C104">
            <v>13925.61</v>
          </cell>
        </row>
        <row r="105">
          <cell r="C105">
            <v>19475.03</v>
          </cell>
        </row>
        <row r="106">
          <cell r="C106">
            <v>20791.71</v>
          </cell>
        </row>
        <row r="107">
          <cell r="C107">
            <v>19022.12</v>
          </cell>
        </row>
        <row r="108">
          <cell r="C108">
            <v>11634.99</v>
          </cell>
        </row>
        <row r="109">
          <cell r="C109">
            <v>12958.29</v>
          </cell>
        </row>
        <row r="110">
          <cell r="C110">
            <v>14755.68</v>
          </cell>
        </row>
        <row r="111">
          <cell r="C111">
            <v>13583.77</v>
          </cell>
        </row>
        <row r="112">
          <cell r="C112">
            <v>19016.66</v>
          </cell>
        </row>
        <row r="113">
          <cell r="C113">
            <v>15050.81</v>
          </cell>
        </row>
        <row r="114">
          <cell r="C114">
            <v>16621.38</v>
          </cell>
        </row>
        <row r="115">
          <cell r="C115">
            <v>14313.07</v>
          </cell>
        </row>
        <row r="116">
          <cell r="C116">
            <v>12327.41</v>
          </cell>
        </row>
        <row r="117">
          <cell r="C117">
            <v>12512.87</v>
          </cell>
        </row>
        <row r="118">
          <cell r="C118">
            <v>13145.82</v>
          </cell>
        </row>
        <row r="119">
          <cell r="C119">
            <v>14903.14</v>
          </cell>
        </row>
        <row r="120">
          <cell r="C120">
            <v>15179.95</v>
          </cell>
        </row>
        <row r="121">
          <cell r="C121">
            <v>16288.1</v>
          </cell>
        </row>
        <row r="122">
          <cell r="C122">
            <v>12008.4</v>
          </cell>
        </row>
        <row r="123">
          <cell r="C123">
            <v>12474.41</v>
          </cell>
        </row>
        <row r="124">
          <cell r="C124">
            <v>14171.1</v>
          </cell>
        </row>
        <row r="125">
          <cell r="C125">
            <v>16686.439999999999</v>
          </cell>
        </row>
        <row r="126">
          <cell r="C126">
            <v>15350.9</v>
          </cell>
        </row>
        <row r="127">
          <cell r="C127">
            <v>15285.7</v>
          </cell>
        </row>
        <row r="128">
          <cell r="C128">
            <v>18755.86</v>
          </cell>
        </row>
        <row r="129">
          <cell r="C129">
            <v>11796.5</v>
          </cell>
        </row>
        <row r="130">
          <cell r="C130">
            <v>12183.9</v>
          </cell>
        </row>
        <row r="131">
          <cell r="C131">
            <v>17410.55</v>
          </cell>
        </row>
        <row r="132">
          <cell r="C132">
            <v>15948.05</v>
          </cell>
        </row>
        <row r="133">
          <cell r="C133">
            <v>13559.01</v>
          </cell>
        </row>
        <row r="134">
          <cell r="C134">
            <v>15899.82</v>
          </cell>
        </row>
        <row r="135">
          <cell r="C135">
            <v>16782.28</v>
          </cell>
        </row>
        <row r="136">
          <cell r="C136">
            <v>11176.76</v>
          </cell>
        </row>
        <row r="137">
          <cell r="C137">
            <v>13556.11</v>
          </cell>
        </row>
        <row r="138">
          <cell r="C138">
            <v>14527.89</v>
          </cell>
        </row>
        <row r="139">
          <cell r="C139">
            <v>11781.81</v>
          </cell>
        </row>
        <row r="140">
          <cell r="C140">
            <v>15412.83</v>
          </cell>
        </row>
        <row r="141">
          <cell r="C141">
            <v>17547.03</v>
          </cell>
        </row>
        <row r="142">
          <cell r="C142">
            <v>17132.28</v>
          </cell>
        </row>
        <row r="143">
          <cell r="C143">
            <v>10519.62</v>
          </cell>
        </row>
        <row r="144">
          <cell r="C144">
            <v>11727.93</v>
          </cell>
        </row>
        <row r="145">
          <cell r="C145">
            <v>14478.91</v>
          </cell>
        </row>
        <row r="146">
          <cell r="C146">
            <v>10486.24</v>
          </cell>
        </row>
        <row r="147">
          <cell r="C147">
            <v>18850.71</v>
          </cell>
        </row>
        <row r="148">
          <cell r="C148">
            <v>17839.93</v>
          </cell>
        </row>
        <row r="149">
          <cell r="C149">
            <v>15496.28</v>
          </cell>
        </row>
        <row r="150">
          <cell r="C150">
            <v>11384.93</v>
          </cell>
        </row>
        <row r="151">
          <cell r="C151">
            <v>14016.98</v>
          </cell>
        </row>
        <row r="152">
          <cell r="C152">
            <v>17970.259999999998</v>
          </cell>
        </row>
        <row r="153">
          <cell r="C153">
            <v>14813.47</v>
          </cell>
        </row>
        <row r="154">
          <cell r="C154">
            <v>15369.01</v>
          </cell>
        </row>
        <row r="155">
          <cell r="C155">
            <v>13379.8</v>
          </cell>
        </row>
        <row r="156">
          <cell r="C156">
            <v>20373.48</v>
          </cell>
        </row>
        <row r="157">
          <cell r="C157">
            <v>11972.96</v>
          </cell>
        </row>
        <row r="158">
          <cell r="C158">
            <v>13432.34</v>
          </cell>
        </row>
        <row r="159">
          <cell r="C159">
            <v>16144.49</v>
          </cell>
        </row>
        <row r="160">
          <cell r="C160">
            <v>16527.82</v>
          </cell>
        </row>
        <row r="161">
          <cell r="C161">
            <v>20270.68</v>
          </cell>
        </row>
        <row r="162">
          <cell r="C162">
            <v>19425.45</v>
          </cell>
        </row>
        <row r="163">
          <cell r="C163">
            <v>18663.560000000001</v>
          </cell>
        </row>
        <row r="164">
          <cell r="C164">
            <v>18025.54</v>
          </cell>
        </row>
        <row r="165">
          <cell r="C165">
            <v>12077.04</v>
          </cell>
        </row>
        <row r="166">
          <cell r="C166">
            <v>15150.07</v>
          </cell>
        </row>
        <row r="167">
          <cell r="C167">
            <v>12684.14</v>
          </cell>
        </row>
        <row r="168">
          <cell r="C168">
            <v>17404.29</v>
          </cell>
        </row>
        <row r="169">
          <cell r="C169">
            <v>16439.05</v>
          </cell>
        </row>
        <row r="170">
          <cell r="C170">
            <v>17281.259999999998</v>
          </cell>
        </row>
        <row r="171">
          <cell r="C171">
            <v>12302.62</v>
          </cell>
        </row>
        <row r="172">
          <cell r="C172">
            <v>11366.37</v>
          </cell>
        </row>
        <row r="173">
          <cell r="C173">
            <v>13793.28</v>
          </cell>
        </row>
        <row r="174">
          <cell r="C174">
            <v>11446.18</v>
          </cell>
        </row>
        <row r="175">
          <cell r="C175">
            <v>15310.56</v>
          </cell>
        </row>
        <row r="176">
          <cell r="C176">
            <v>14014.58</v>
          </cell>
        </row>
        <row r="177">
          <cell r="C177">
            <v>18765</v>
          </cell>
        </row>
        <row r="178">
          <cell r="C178">
            <v>10328.209999999999</v>
          </cell>
        </row>
        <row r="179">
          <cell r="C179">
            <v>12403.38</v>
          </cell>
        </row>
        <row r="180">
          <cell r="C180">
            <v>15132.04</v>
          </cell>
        </row>
        <row r="181">
          <cell r="C181">
            <v>15031.57</v>
          </cell>
        </row>
        <row r="182">
          <cell r="C182">
            <v>17031.64</v>
          </cell>
        </row>
        <row r="183">
          <cell r="C183">
            <v>15638.43</v>
          </cell>
        </row>
        <row r="184">
          <cell r="C184">
            <v>18527.05</v>
          </cell>
        </row>
        <row r="185">
          <cell r="C185">
            <v>14273.6</v>
          </cell>
        </row>
        <row r="186">
          <cell r="C186">
            <v>14224.4</v>
          </cell>
        </row>
        <row r="187">
          <cell r="C187">
            <v>16961.75</v>
          </cell>
        </row>
        <row r="188">
          <cell r="C188">
            <v>15095.18</v>
          </cell>
        </row>
        <row r="189">
          <cell r="C189">
            <v>21526.34</v>
          </cell>
        </row>
        <row r="190">
          <cell r="C190">
            <v>16712.39</v>
          </cell>
        </row>
        <row r="191">
          <cell r="C191">
            <v>22245.360000000001</v>
          </cell>
        </row>
        <row r="192">
          <cell r="C192">
            <v>14976.36</v>
          </cell>
        </row>
        <row r="193">
          <cell r="C193">
            <v>14355.79</v>
          </cell>
        </row>
        <row r="194">
          <cell r="C194">
            <v>13033.56</v>
          </cell>
        </row>
        <row r="195">
          <cell r="C195">
            <v>14525.01</v>
          </cell>
        </row>
        <row r="196">
          <cell r="C196">
            <v>17107.13</v>
          </cell>
        </row>
        <row r="197">
          <cell r="C197">
            <v>16026.67</v>
          </cell>
        </row>
        <row r="198">
          <cell r="C198">
            <v>16538.89</v>
          </cell>
        </row>
        <row r="199">
          <cell r="C199">
            <v>17397.82</v>
          </cell>
        </row>
        <row r="200">
          <cell r="C200">
            <v>13372</v>
          </cell>
        </row>
        <row r="201">
          <cell r="C201">
            <v>11646.18</v>
          </cell>
        </row>
        <row r="202">
          <cell r="C202">
            <v>11996.45</v>
          </cell>
        </row>
        <row r="203">
          <cell r="C203">
            <v>14678.29</v>
          </cell>
        </row>
        <row r="204">
          <cell r="C204">
            <v>14404.28</v>
          </cell>
        </row>
        <row r="205">
          <cell r="C205">
            <v>17098.580000000002</v>
          </cell>
        </row>
        <row r="206">
          <cell r="C206">
            <v>11875.5</v>
          </cell>
        </row>
        <row r="207">
          <cell r="C207">
            <v>12466.46</v>
          </cell>
        </row>
        <row r="208">
          <cell r="C208">
            <v>11983.61</v>
          </cell>
        </row>
        <row r="209">
          <cell r="C209">
            <v>13041.12</v>
          </cell>
        </row>
        <row r="210">
          <cell r="C210">
            <v>16388.849999999999</v>
          </cell>
        </row>
        <row r="211">
          <cell r="C211">
            <v>14872.13</v>
          </cell>
        </row>
        <row r="212">
          <cell r="C212">
            <v>17900.150000000001</v>
          </cell>
        </row>
        <row r="213">
          <cell r="C213">
            <v>12621.66</v>
          </cell>
        </row>
        <row r="214">
          <cell r="C214">
            <v>11749.09</v>
          </cell>
        </row>
        <row r="215">
          <cell r="C215">
            <v>12827.46</v>
          </cell>
        </row>
        <row r="216">
          <cell r="C216">
            <v>14420.18</v>
          </cell>
        </row>
        <row r="217">
          <cell r="C217">
            <v>16164.94</v>
          </cell>
        </row>
        <row r="218">
          <cell r="C218">
            <v>14861.8</v>
          </cell>
        </row>
        <row r="219">
          <cell r="C219">
            <v>16467.080000000002</v>
          </cell>
        </row>
        <row r="220">
          <cell r="C220">
            <v>12370.47</v>
          </cell>
        </row>
        <row r="221">
          <cell r="C221">
            <v>12214.09</v>
          </cell>
        </row>
        <row r="222">
          <cell r="C222">
            <v>13689.630000000001</v>
          </cell>
        </row>
        <row r="223">
          <cell r="C223">
            <v>13322.5</v>
          </cell>
        </row>
        <row r="224">
          <cell r="C224">
            <v>14570.53</v>
          </cell>
        </row>
        <row r="225">
          <cell r="C225">
            <v>12429.13</v>
          </cell>
        </row>
        <row r="226">
          <cell r="C226">
            <v>16191.82</v>
          </cell>
        </row>
        <row r="227">
          <cell r="C227">
            <v>12632.3</v>
          </cell>
        </row>
        <row r="228">
          <cell r="C228">
            <v>11529.11</v>
          </cell>
        </row>
        <row r="229">
          <cell r="C229">
            <v>13003.98</v>
          </cell>
        </row>
        <row r="230">
          <cell r="C230">
            <v>15037.89</v>
          </cell>
        </row>
        <row r="231">
          <cell r="C231">
            <v>14694.79</v>
          </cell>
        </row>
        <row r="232">
          <cell r="C232">
            <v>13870.07</v>
          </cell>
        </row>
        <row r="233">
          <cell r="C233">
            <v>17334.97</v>
          </cell>
        </row>
        <row r="234">
          <cell r="C234">
            <v>12284.33</v>
          </cell>
        </row>
        <row r="235">
          <cell r="C235">
            <v>12489.33</v>
          </cell>
        </row>
        <row r="236">
          <cell r="C236">
            <v>15076.18</v>
          </cell>
        </row>
        <row r="237">
          <cell r="C237">
            <v>13229.29</v>
          </cell>
        </row>
        <row r="238">
          <cell r="C238">
            <v>14476.72</v>
          </cell>
        </row>
        <row r="239">
          <cell r="C239">
            <v>14670.26</v>
          </cell>
        </row>
        <row r="240">
          <cell r="C240">
            <v>17669.189999999999</v>
          </cell>
        </row>
        <row r="241">
          <cell r="C241">
            <v>12532.84</v>
          </cell>
        </row>
        <row r="242">
          <cell r="C242">
            <v>12550.04</v>
          </cell>
        </row>
        <row r="243">
          <cell r="C243">
            <v>14865.3</v>
          </cell>
        </row>
        <row r="244">
          <cell r="C244">
            <v>15836.56</v>
          </cell>
        </row>
        <row r="245">
          <cell r="C245">
            <v>19008.88</v>
          </cell>
        </row>
        <row r="246">
          <cell r="C246">
            <v>17431.439999999999</v>
          </cell>
        </row>
        <row r="247">
          <cell r="C247">
            <v>20003.14</v>
          </cell>
        </row>
        <row r="248">
          <cell r="C248">
            <v>12467.1</v>
          </cell>
        </row>
        <row r="249">
          <cell r="C249">
            <v>13088.21</v>
          </cell>
        </row>
        <row r="250">
          <cell r="C250">
            <v>16924.96</v>
          </cell>
        </row>
        <row r="251">
          <cell r="C251">
            <v>13389.65</v>
          </cell>
        </row>
        <row r="252">
          <cell r="C252">
            <v>20465.900000000001</v>
          </cell>
        </row>
        <row r="253">
          <cell r="C253">
            <v>19969.060000000001</v>
          </cell>
        </row>
        <row r="254">
          <cell r="C254">
            <v>20042.54</v>
          </cell>
        </row>
        <row r="255">
          <cell r="C255">
            <v>11276.99</v>
          </cell>
        </row>
        <row r="256">
          <cell r="C256">
            <v>11599.95</v>
          </cell>
        </row>
        <row r="257">
          <cell r="C257">
            <v>14581.39</v>
          </cell>
        </row>
        <row r="258">
          <cell r="C258">
            <v>13208.13</v>
          </cell>
        </row>
        <row r="259">
          <cell r="C259">
            <v>18355.16</v>
          </cell>
        </row>
        <row r="260">
          <cell r="C260">
            <v>17597.759999999998</v>
          </cell>
        </row>
        <row r="261">
          <cell r="C261">
            <v>17844.36</v>
          </cell>
        </row>
        <row r="262">
          <cell r="C262">
            <v>9602.11</v>
          </cell>
        </row>
        <row r="263">
          <cell r="C263">
            <v>10430.99</v>
          </cell>
        </row>
        <row r="264">
          <cell r="C264">
            <v>14136.3</v>
          </cell>
        </row>
        <row r="265">
          <cell r="C265">
            <v>13205.81</v>
          </cell>
        </row>
        <row r="266">
          <cell r="C266">
            <v>16711.169999999998</v>
          </cell>
        </row>
        <row r="267">
          <cell r="C267">
            <v>15949.18</v>
          </cell>
        </row>
        <row r="268">
          <cell r="C268">
            <v>16032.98</v>
          </cell>
        </row>
        <row r="269">
          <cell r="C269">
            <v>9817.7099999999991</v>
          </cell>
        </row>
        <row r="270">
          <cell r="C270">
            <v>10398.31</v>
          </cell>
        </row>
        <row r="271">
          <cell r="C271">
            <v>12561.02</v>
          </cell>
        </row>
        <row r="272">
          <cell r="C272">
            <v>11405.95</v>
          </cell>
        </row>
        <row r="273">
          <cell r="C273">
            <v>18096.150000000001</v>
          </cell>
        </row>
        <row r="274">
          <cell r="C274">
            <v>18774.830000000002</v>
          </cell>
        </row>
        <row r="275">
          <cell r="C275">
            <v>16516.509999999998</v>
          </cell>
        </row>
        <row r="276">
          <cell r="C276">
            <v>10352.98</v>
          </cell>
        </row>
        <row r="277">
          <cell r="C277">
            <v>11748.67</v>
          </cell>
        </row>
        <row r="278">
          <cell r="C278">
            <v>15376.47</v>
          </cell>
        </row>
        <row r="279">
          <cell r="C279">
            <v>13377.89</v>
          </cell>
        </row>
        <row r="280">
          <cell r="C280">
            <v>17711.64</v>
          </cell>
        </row>
        <row r="281">
          <cell r="C281">
            <v>18617.59</v>
          </cell>
        </row>
        <row r="282">
          <cell r="C282">
            <v>18341.54</v>
          </cell>
        </row>
        <row r="283">
          <cell r="C283">
            <v>11687.36</v>
          </cell>
        </row>
        <row r="284">
          <cell r="C284">
            <v>13788.23</v>
          </cell>
        </row>
        <row r="285">
          <cell r="C285">
            <v>15636.96</v>
          </cell>
        </row>
        <row r="286">
          <cell r="C286">
            <v>13760.42</v>
          </cell>
        </row>
        <row r="287">
          <cell r="C287">
            <v>20183.02</v>
          </cell>
        </row>
        <row r="288">
          <cell r="C288">
            <v>20068.060000000001</v>
          </cell>
        </row>
        <row r="289">
          <cell r="C289">
            <v>16810.13</v>
          </cell>
        </row>
        <row r="290">
          <cell r="C290">
            <v>10586.9</v>
          </cell>
        </row>
        <row r="291">
          <cell r="C291">
            <v>12132.91</v>
          </cell>
        </row>
        <row r="292">
          <cell r="C292">
            <v>15801.67</v>
          </cell>
        </row>
        <row r="293">
          <cell r="C293">
            <v>12938.32</v>
          </cell>
        </row>
        <row r="294">
          <cell r="C294">
            <v>18711.79</v>
          </cell>
        </row>
        <row r="295">
          <cell r="C295">
            <v>17599.37</v>
          </cell>
        </row>
        <row r="296">
          <cell r="C296">
            <v>18679.41</v>
          </cell>
        </row>
        <row r="297">
          <cell r="C297">
            <v>11433.06</v>
          </cell>
        </row>
        <row r="298">
          <cell r="C298">
            <v>12879.63</v>
          </cell>
        </row>
        <row r="299">
          <cell r="C299">
            <v>13926.63</v>
          </cell>
        </row>
        <row r="300">
          <cell r="C300">
            <v>15157.36</v>
          </cell>
        </row>
        <row r="301">
          <cell r="C301">
            <v>17192.64</v>
          </cell>
        </row>
        <row r="302">
          <cell r="C302">
            <v>15147.87</v>
          </cell>
        </row>
        <row r="303">
          <cell r="C303">
            <v>17067.400000000001</v>
          </cell>
        </row>
        <row r="304">
          <cell r="C304">
            <v>11723.67</v>
          </cell>
        </row>
        <row r="305">
          <cell r="C305">
            <v>13279.44</v>
          </cell>
        </row>
        <row r="306">
          <cell r="C306">
            <v>15153.75</v>
          </cell>
        </row>
        <row r="307">
          <cell r="C307">
            <v>15422.77</v>
          </cell>
        </row>
        <row r="308">
          <cell r="C308">
            <v>19112.419999999998</v>
          </cell>
        </row>
        <row r="309">
          <cell r="C309">
            <v>18987.25</v>
          </cell>
        </row>
        <row r="310">
          <cell r="C310">
            <v>16464.48</v>
          </cell>
        </row>
        <row r="311">
          <cell r="C311">
            <v>10752.73</v>
          </cell>
        </row>
        <row r="312">
          <cell r="C312">
            <v>12949.32</v>
          </cell>
        </row>
        <row r="313">
          <cell r="C313">
            <v>17443.38</v>
          </cell>
        </row>
        <row r="314">
          <cell r="C314">
            <v>13767.06</v>
          </cell>
        </row>
        <row r="315">
          <cell r="C315">
            <v>19090.62</v>
          </cell>
        </row>
        <row r="316">
          <cell r="C316">
            <v>18268.16</v>
          </cell>
        </row>
        <row r="317">
          <cell r="C317">
            <v>17501.78</v>
          </cell>
        </row>
        <row r="318">
          <cell r="C318">
            <v>12958</v>
          </cell>
        </row>
        <row r="319">
          <cell r="C319">
            <v>15642.2</v>
          </cell>
        </row>
        <row r="320">
          <cell r="C320">
            <v>12079.79</v>
          </cell>
        </row>
        <row r="321">
          <cell r="C321">
            <v>11434.84</v>
          </cell>
        </row>
        <row r="322">
          <cell r="C322">
            <v>17119.689999999999</v>
          </cell>
        </row>
        <row r="323">
          <cell r="C323">
            <v>17727.02</v>
          </cell>
        </row>
        <row r="324">
          <cell r="C324">
            <v>17177.34</v>
          </cell>
        </row>
        <row r="325">
          <cell r="C325">
            <v>9930.19</v>
          </cell>
        </row>
        <row r="326">
          <cell r="C326">
            <v>11174.4</v>
          </cell>
        </row>
        <row r="327">
          <cell r="C327">
            <v>14202</v>
          </cell>
        </row>
        <row r="328">
          <cell r="C328">
            <v>11124</v>
          </cell>
        </row>
        <row r="329">
          <cell r="C329">
            <v>16823</v>
          </cell>
        </row>
        <row r="330">
          <cell r="C330">
            <v>17204</v>
          </cell>
        </row>
        <row r="331">
          <cell r="C331">
            <v>14446</v>
          </cell>
        </row>
        <row r="332">
          <cell r="C332">
            <v>9679</v>
          </cell>
        </row>
        <row r="333">
          <cell r="C333">
            <v>10795</v>
          </cell>
        </row>
        <row r="334">
          <cell r="C334">
            <v>14500</v>
          </cell>
        </row>
        <row r="335">
          <cell r="C335">
            <v>12824</v>
          </cell>
        </row>
        <row r="336">
          <cell r="C336">
            <v>17982</v>
          </cell>
        </row>
        <row r="337">
          <cell r="C337">
            <v>20748</v>
          </cell>
        </row>
        <row r="338">
          <cell r="C338">
            <v>16146</v>
          </cell>
        </row>
        <row r="339">
          <cell r="C339">
            <v>10853</v>
          </cell>
        </row>
        <row r="340">
          <cell r="C340">
            <v>11462</v>
          </cell>
        </row>
        <row r="341">
          <cell r="C341">
            <v>14650</v>
          </cell>
        </row>
        <row r="342">
          <cell r="C342">
            <v>13652</v>
          </cell>
        </row>
        <row r="343">
          <cell r="C343">
            <v>20631</v>
          </cell>
        </row>
        <row r="344">
          <cell r="C344">
            <v>20542</v>
          </cell>
        </row>
        <row r="345">
          <cell r="C345">
            <v>16058</v>
          </cell>
        </row>
        <row r="346">
          <cell r="C346">
            <v>9926</v>
          </cell>
        </row>
        <row r="347">
          <cell r="C347">
            <v>12075</v>
          </cell>
        </row>
        <row r="348">
          <cell r="C348">
            <v>17426</v>
          </cell>
        </row>
        <row r="349">
          <cell r="C349">
            <v>14128</v>
          </cell>
        </row>
        <row r="350">
          <cell r="C350">
            <v>19906</v>
          </cell>
        </row>
        <row r="351">
          <cell r="C351">
            <v>19206</v>
          </cell>
        </row>
        <row r="352">
          <cell r="C352">
            <v>19743</v>
          </cell>
        </row>
        <row r="353">
          <cell r="C353">
            <v>11685</v>
          </cell>
        </row>
        <row r="354">
          <cell r="C354">
            <v>13242</v>
          </cell>
        </row>
        <row r="355">
          <cell r="C355">
            <v>16503</v>
          </cell>
        </row>
        <row r="356">
          <cell r="C356">
            <v>13741</v>
          </cell>
        </row>
        <row r="357">
          <cell r="C357">
            <v>20174</v>
          </cell>
        </row>
        <row r="358">
          <cell r="C358">
            <v>20654</v>
          </cell>
        </row>
        <row r="359">
          <cell r="C359">
            <v>15652</v>
          </cell>
        </row>
        <row r="360">
          <cell r="C360">
            <v>15524</v>
          </cell>
        </row>
        <row r="361">
          <cell r="C361">
            <v>16077</v>
          </cell>
        </row>
        <row r="362">
          <cell r="C362">
            <v>6273</v>
          </cell>
        </row>
        <row r="363">
          <cell r="C363">
            <v>0</v>
          </cell>
        </row>
        <row r="364">
          <cell r="C364">
            <v>18175</v>
          </cell>
        </row>
        <row r="365">
          <cell r="C365">
            <v>18754</v>
          </cell>
        </row>
        <row r="366">
          <cell r="C366">
            <v>17763</v>
          </cell>
        </row>
        <row r="367">
          <cell r="C367">
            <v>15700</v>
          </cell>
        </row>
        <row r="368">
          <cell r="C368">
            <v>17338</v>
          </cell>
        </row>
        <row r="369">
          <cell r="C369">
            <v>7482</v>
          </cell>
        </row>
        <row r="370">
          <cell r="C370">
            <v>28992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C6">
            <v>15540.57</v>
          </cell>
          <cell r="D6">
            <v>15241.68</v>
          </cell>
          <cell r="E6">
            <v>819</v>
          </cell>
          <cell r="F6">
            <v>28500</v>
          </cell>
          <cell r="G6">
            <v>28991.57</v>
          </cell>
          <cell r="H6">
            <v>28389.71</v>
          </cell>
          <cell r="I6">
            <v>1189</v>
          </cell>
          <cell r="J6">
            <v>248.5</v>
          </cell>
          <cell r="K6">
            <v>294.47000000000003</v>
          </cell>
          <cell r="L6">
            <v>104.43</v>
          </cell>
        </row>
        <row r="7">
          <cell r="C7">
            <v>18449.72</v>
          </cell>
          <cell r="D7">
            <v>18074.759999999998</v>
          </cell>
          <cell r="E7">
            <v>935</v>
          </cell>
          <cell r="F7">
            <v>19000</v>
          </cell>
          <cell r="G7">
            <v>19572.48</v>
          </cell>
          <cell r="H7">
            <v>19272.330000000002</v>
          </cell>
          <cell r="I7">
            <v>949</v>
          </cell>
          <cell r="J7">
            <v>190.88</v>
          </cell>
          <cell r="K7">
            <v>208.78</v>
          </cell>
          <cell r="L7">
            <v>106.42</v>
          </cell>
        </row>
        <row r="8">
          <cell r="C8">
            <v>19804.63</v>
          </cell>
          <cell r="D8">
            <v>19408.03</v>
          </cell>
          <cell r="E8">
            <v>942</v>
          </cell>
          <cell r="F8">
            <v>20400</v>
          </cell>
          <cell r="G8">
            <v>18362.37</v>
          </cell>
          <cell r="H8">
            <v>18040.37</v>
          </cell>
          <cell r="I8">
            <v>887</v>
          </cell>
          <cell r="J8">
            <v>188.82999999999996</v>
          </cell>
          <cell r="K8">
            <v>215.42</v>
          </cell>
          <cell r="L8">
            <v>86.01</v>
          </cell>
        </row>
        <row r="9">
          <cell r="C9">
            <v>16038.66</v>
          </cell>
          <cell r="D9">
            <v>15703.83</v>
          </cell>
          <cell r="E9">
            <v>750</v>
          </cell>
          <cell r="F9">
            <v>16500</v>
          </cell>
          <cell r="G9">
            <v>18416.23</v>
          </cell>
          <cell r="H9">
            <v>18409.169999999998</v>
          </cell>
          <cell r="I9">
            <v>830</v>
          </cell>
          <cell r="J9">
            <v>179.48000000000002</v>
          </cell>
          <cell r="K9">
            <v>213.18</v>
          </cell>
          <cell r="L9">
            <v>85.73</v>
          </cell>
        </row>
        <row r="10">
          <cell r="C10">
            <v>12124.66</v>
          </cell>
          <cell r="D10">
            <v>11873.93</v>
          </cell>
          <cell r="E10">
            <v>716</v>
          </cell>
          <cell r="F10">
            <v>12300</v>
          </cell>
          <cell r="G10">
            <v>11383.41</v>
          </cell>
          <cell r="H10">
            <v>11220.34</v>
          </cell>
          <cell r="I10">
            <v>648</v>
          </cell>
          <cell r="J10">
            <v>128.78</v>
          </cell>
          <cell r="K10">
            <v>155.27000000000001</v>
          </cell>
          <cell r="L10">
            <v>119.32</v>
          </cell>
        </row>
        <row r="11">
          <cell r="C11">
            <v>12725.05</v>
          </cell>
          <cell r="D11">
            <v>12503</v>
          </cell>
          <cell r="E11">
            <v>729</v>
          </cell>
          <cell r="F11">
            <v>12500</v>
          </cell>
          <cell r="G11">
            <v>13646.06</v>
          </cell>
          <cell r="H11">
            <v>13465</v>
          </cell>
          <cell r="I11">
            <v>799</v>
          </cell>
          <cell r="J11">
            <v>129.88</v>
          </cell>
          <cell r="K11">
            <v>147.19999999999999</v>
          </cell>
          <cell r="L11">
            <v>64.040000000000006</v>
          </cell>
        </row>
        <row r="12">
          <cell r="C12">
            <v>15053.77</v>
          </cell>
          <cell r="D12">
            <v>14758.52</v>
          </cell>
          <cell r="E12">
            <v>857</v>
          </cell>
          <cell r="F12">
            <v>14700</v>
          </cell>
          <cell r="G12">
            <v>14105.51</v>
          </cell>
          <cell r="H12">
            <v>13865.99</v>
          </cell>
          <cell r="I12">
            <v>794</v>
          </cell>
          <cell r="J12">
            <v>164.15</v>
          </cell>
          <cell r="K12">
            <v>191.28</v>
          </cell>
          <cell r="L12">
            <v>80.61</v>
          </cell>
        </row>
        <row r="13">
          <cell r="C13">
            <v>11401.39</v>
          </cell>
          <cell r="D13">
            <v>11248.24</v>
          </cell>
          <cell r="E13">
            <v>670</v>
          </cell>
          <cell r="F13">
            <v>11200</v>
          </cell>
          <cell r="G13">
            <v>11965.95</v>
          </cell>
          <cell r="H13">
            <v>11796.07</v>
          </cell>
          <cell r="I13">
            <v>672</v>
          </cell>
          <cell r="J13">
            <v>130.6</v>
          </cell>
          <cell r="K13">
            <v>174.35</v>
          </cell>
          <cell r="L13">
            <v>117.95</v>
          </cell>
        </row>
        <row r="14">
          <cell r="C14">
            <v>18171.63</v>
          </cell>
          <cell r="D14">
            <v>17857.77</v>
          </cell>
          <cell r="E14">
            <v>1000</v>
          </cell>
          <cell r="F14">
            <v>17800</v>
          </cell>
          <cell r="G14">
            <v>19129.37</v>
          </cell>
          <cell r="H14">
            <v>18851.419999999998</v>
          </cell>
          <cell r="I14">
            <v>1028</v>
          </cell>
          <cell r="J14">
            <v>187.6</v>
          </cell>
          <cell r="K14">
            <v>206.43</v>
          </cell>
          <cell r="L14">
            <v>95.3</v>
          </cell>
        </row>
        <row r="15">
          <cell r="C15">
            <v>19617.68</v>
          </cell>
          <cell r="D15">
            <v>19294.66</v>
          </cell>
          <cell r="E15">
            <v>963</v>
          </cell>
          <cell r="F15">
            <v>19300</v>
          </cell>
          <cell r="G15">
            <v>19185.43</v>
          </cell>
          <cell r="H15">
            <v>18830.41</v>
          </cell>
          <cell r="I15">
            <v>937</v>
          </cell>
          <cell r="J15">
            <v>176.35</v>
          </cell>
          <cell r="K15">
            <v>193.3</v>
          </cell>
          <cell r="L15">
            <v>92.42</v>
          </cell>
        </row>
        <row r="16">
          <cell r="C16">
            <v>18808.330000000002</v>
          </cell>
          <cell r="D16">
            <v>18557.55</v>
          </cell>
          <cell r="E16">
            <v>888</v>
          </cell>
          <cell r="F16">
            <v>18500</v>
          </cell>
          <cell r="G16">
            <v>17064.36</v>
          </cell>
          <cell r="H16">
            <v>16757.86</v>
          </cell>
          <cell r="I16">
            <v>813</v>
          </cell>
          <cell r="J16">
            <v>168.9</v>
          </cell>
          <cell r="K16">
            <v>192.27</v>
          </cell>
          <cell r="L16">
            <v>71.05</v>
          </cell>
        </row>
        <row r="17">
          <cell r="C17">
            <v>11676.84</v>
          </cell>
          <cell r="D17">
            <v>11521.52</v>
          </cell>
          <cell r="E17">
            <v>709</v>
          </cell>
          <cell r="F17">
            <v>11500</v>
          </cell>
          <cell r="G17">
            <v>10597.6</v>
          </cell>
          <cell r="H17">
            <v>10401.780000000001</v>
          </cell>
          <cell r="I17">
            <v>634</v>
          </cell>
          <cell r="J17">
            <v>124.90000000000002</v>
          </cell>
          <cell r="K17">
            <v>142.02000000000001</v>
          </cell>
          <cell r="L17">
            <v>65.37</v>
          </cell>
        </row>
        <row r="18">
          <cell r="C18">
            <v>12006.87</v>
          </cell>
          <cell r="D18">
            <v>11810.15</v>
          </cell>
          <cell r="E18">
            <v>762</v>
          </cell>
          <cell r="F18">
            <v>11800</v>
          </cell>
          <cell r="G18">
            <v>12439.13</v>
          </cell>
          <cell r="H18">
            <v>12198.44</v>
          </cell>
          <cell r="I18">
            <v>700</v>
          </cell>
          <cell r="J18">
            <v>127.42999999999999</v>
          </cell>
          <cell r="K18">
            <v>145.72999999999999</v>
          </cell>
          <cell r="L18">
            <v>99.06</v>
          </cell>
        </row>
        <row r="19">
          <cell r="C19">
            <v>14458.35</v>
          </cell>
          <cell r="D19">
            <v>14178.1</v>
          </cell>
          <cell r="E19">
            <v>863</v>
          </cell>
          <cell r="F19">
            <v>14800</v>
          </cell>
          <cell r="G19">
            <v>16080.54</v>
          </cell>
          <cell r="H19">
            <v>15809.35</v>
          </cell>
          <cell r="I19">
            <v>892</v>
          </cell>
          <cell r="J19">
            <v>161.76999999999998</v>
          </cell>
          <cell r="K19">
            <v>187.92</v>
          </cell>
          <cell r="L19">
            <v>65</v>
          </cell>
        </row>
        <row r="20">
          <cell r="C20">
            <v>12951.49</v>
          </cell>
          <cell r="D20">
            <v>12734.01</v>
          </cell>
          <cell r="E20">
            <v>810</v>
          </cell>
          <cell r="F20">
            <v>12700</v>
          </cell>
          <cell r="G20">
            <v>13847.6</v>
          </cell>
          <cell r="H20">
            <v>13603.08</v>
          </cell>
          <cell r="I20">
            <v>806</v>
          </cell>
          <cell r="J20">
            <v>136.23000000000002</v>
          </cell>
          <cell r="K20">
            <v>154.28</v>
          </cell>
          <cell r="L20">
            <v>95.82</v>
          </cell>
        </row>
        <row r="21">
          <cell r="C21">
            <v>17539.36</v>
          </cell>
          <cell r="D21">
            <v>17309.810000000001</v>
          </cell>
          <cell r="E21">
            <v>994</v>
          </cell>
          <cell r="F21">
            <v>17300</v>
          </cell>
          <cell r="G21">
            <v>20147.34</v>
          </cell>
          <cell r="H21">
            <v>19833.32</v>
          </cell>
          <cell r="I21">
            <v>1034</v>
          </cell>
          <cell r="J21">
            <v>212.54</v>
          </cell>
          <cell r="K21">
            <v>231.07</v>
          </cell>
          <cell r="L21">
            <v>113.71</v>
          </cell>
        </row>
        <row r="22">
          <cell r="C22">
            <v>20331.5</v>
          </cell>
          <cell r="D22">
            <v>20060.48</v>
          </cell>
          <cell r="E22">
            <v>1029</v>
          </cell>
          <cell r="F22">
            <v>20000</v>
          </cell>
          <cell r="G22">
            <v>21023.09</v>
          </cell>
          <cell r="H22">
            <v>20622.98</v>
          </cell>
          <cell r="I22">
            <v>1042</v>
          </cell>
          <cell r="J22">
            <v>216.75</v>
          </cell>
          <cell r="K22">
            <v>225.23</v>
          </cell>
          <cell r="L22">
            <v>126.91</v>
          </cell>
        </row>
        <row r="23">
          <cell r="C23">
            <v>16598.490000000002</v>
          </cell>
          <cell r="D23">
            <v>16304.71</v>
          </cell>
          <cell r="E23">
            <v>791</v>
          </cell>
          <cell r="F23">
            <v>16300</v>
          </cell>
          <cell r="G23">
            <v>18234.18</v>
          </cell>
          <cell r="H23">
            <v>17853.57</v>
          </cell>
          <cell r="I23">
            <v>855</v>
          </cell>
          <cell r="J23">
            <v>185.56</v>
          </cell>
          <cell r="K23">
            <v>203.58</v>
          </cell>
          <cell r="L23">
            <v>132.58000000000001</v>
          </cell>
        </row>
        <row r="24">
          <cell r="C24">
            <v>9299.1299999999992</v>
          </cell>
          <cell r="D24">
            <v>9192.65</v>
          </cell>
          <cell r="E24">
            <v>582</v>
          </cell>
          <cell r="F24">
            <v>9700</v>
          </cell>
          <cell r="G24">
            <v>9459.51</v>
          </cell>
          <cell r="H24">
            <v>9329.26</v>
          </cell>
          <cell r="I24">
            <v>585</v>
          </cell>
          <cell r="J24">
            <v>131.22999999999999</v>
          </cell>
          <cell r="K24">
            <v>156.97</v>
          </cell>
          <cell r="L24">
            <v>60.66</v>
          </cell>
        </row>
        <row r="25">
          <cell r="C25">
            <v>11441.79</v>
          </cell>
          <cell r="D25">
            <v>11274.2</v>
          </cell>
          <cell r="E25">
            <v>715</v>
          </cell>
          <cell r="F25">
            <v>11300</v>
          </cell>
          <cell r="G25">
            <v>10341.49</v>
          </cell>
          <cell r="H25">
            <v>10159.219999999999</v>
          </cell>
          <cell r="I25">
            <v>643</v>
          </cell>
          <cell r="J25">
            <v>134.9</v>
          </cell>
          <cell r="K25">
            <v>152.32</v>
          </cell>
          <cell r="L25">
            <v>152.49</v>
          </cell>
        </row>
        <row r="26">
          <cell r="C26">
            <v>12719.46</v>
          </cell>
          <cell r="D26">
            <v>12532.24</v>
          </cell>
          <cell r="E26">
            <v>788</v>
          </cell>
          <cell r="F26">
            <v>13000</v>
          </cell>
          <cell r="G26">
            <v>13060.33</v>
          </cell>
          <cell r="H26">
            <v>12887.64</v>
          </cell>
          <cell r="I26">
            <v>766</v>
          </cell>
          <cell r="J26">
            <v>158.95999999999998</v>
          </cell>
          <cell r="K26">
            <v>177.22</v>
          </cell>
          <cell r="L26">
            <v>78.91</v>
          </cell>
        </row>
        <row r="27">
          <cell r="C27">
            <v>12381.74</v>
          </cell>
          <cell r="D27">
            <v>12253.36</v>
          </cell>
          <cell r="E27">
            <v>765</v>
          </cell>
          <cell r="F27">
            <v>12200</v>
          </cell>
          <cell r="G27">
            <v>12118.19</v>
          </cell>
          <cell r="H27">
            <v>11942.96</v>
          </cell>
          <cell r="I27">
            <v>687</v>
          </cell>
          <cell r="J27">
            <v>125.19</v>
          </cell>
          <cell r="K27">
            <v>142.12</v>
          </cell>
          <cell r="L27">
            <v>129.41</v>
          </cell>
        </row>
        <row r="28">
          <cell r="C28">
            <v>19669.97</v>
          </cell>
          <cell r="D28">
            <v>19384</v>
          </cell>
          <cell r="E28">
            <v>1099</v>
          </cell>
          <cell r="F28">
            <v>19400</v>
          </cell>
          <cell r="G28">
            <v>17401.09</v>
          </cell>
          <cell r="H28">
            <v>17121.96</v>
          </cell>
          <cell r="I28">
            <v>951</v>
          </cell>
          <cell r="J28">
            <v>159.18</v>
          </cell>
          <cell r="K28">
            <v>176.43</v>
          </cell>
          <cell r="L28">
            <v>99.34</v>
          </cell>
        </row>
        <row r="29">
          <cell r="C29">
            <v>21553.71</v>
          </cell>
          <cell r="D29">
            <v>21191.65</v>
          </cell>
          <cell r="E29">
            <v>1105</v>
          </cell>
          <cell r="F29">
            <v>21200</v>
          </cell>
          <cell r="G29">
            <v>20095.59</v>
          </cell>
          <cell r="H29">
            <v>19810.98</v>
          </cell>
          <cell r="I29">
            <v>953</v>
          </cell>
          <cell r="J29">
            <v>172.58</v>
          </cell>
          <cell r="K29">
            <v>198.37</v>
          </cell>
          <cell r="L29">
            <v>75.260000000000005</v>
          </cell>
        </row>
        <row r="30">
          <cell r="C30">
            <v>16524.73</v>
          </cell>
          <cell r="D30">
            <v>16248.77</v>
          </cell>
          <cell r="E30">
            <v>821</v>
          </cell>
          <cell r="F30">
            <v>16200</v>
          </cell>
          <cell r="G30">
            <v>16026.6</v>
          </cell>
          <cell r="H30">
            <v>15651.14</v>
          </cell>
          <cell r="I30">
            <v>775</v>
          </cell>
          <cell r="J30">
            <v>171.01999999999998</v>
          </cell>
          <cell r="K30">
            <v>196.03</v>
          </cell>
          <cell r="L30">
            <v>66.34</v>
          </cell>
        </row>
        <row r="31">
          <cell r="C31">
            <v>9608.9699999999993</v>
          </cell>
          <cell r="D31">
            <v>9471.7000000000007</v>
          </cell>
          <cell r="E31">
            <v>606</v>
          </cell>
          <cell r="F31">
            <v>9800</v>
          </cell>
          <cell r="G31">
            <v>9755.5400000000009</v>
          </cell>
          <cell r="H31">
            <v>9627.9500000000007</v>
          </cell>
          <cell r="I31">
            <v>575</v>
          </cell>
          <cell r="J31">
            <v>124.14999999999999</v>
          </cell>
          <cell r="K31">
            <v>140.94999999999999</v>
          </cell>
          <cell r="L31">
            <v>96.57</v>
          </cell>
        </row>
        <row r="32">
          <cell r="C32">
            <v>11122.74</v>
          </cell>
          <cell r="D32">
            <v>10999</v>
          </cell>
          <cell r="E32">
            <v>681</v>
          </cell>
          <cell r="F32">
            <v>11000</v>
          </cell>
          <cell r="G32">
            <v>11277.47</v>
          </cell>
          <cell r="H32">
            <v>11114.82</v>
          </cell>
          <cell r="I32">
            <v>619</v>
          </cell>
          <cell r="J32">
            <v>128.76999999999998</v>
          </cell>
          <cell r="K32">
            <v>145.63</v>
          </cell>
          <cell r="L32">
            <v>50.33</v>
          </cell>
        </row>
        <row r="33">
          <cell r="C33">
            <v>13455.11</v>
          </cell>
          <cell r="D33">
            <v>13254.11</v>
          </cell>
          <cell r="E33">
            <v>806</v>
          </cell>
          <cell r="F33">
            <v>13700</v>
          </cell>
          <cell r="G33">
            <v>15273.14</v>
          </cell>
          <cell r="H33">
            <v>14992.55</v>
          </cell>
          <cell r="I33">
            <v>814</v>
          </cell>
          <cell r="J33">
            <v>148.66</v>
          </cell>
          <cell r="K33">
            <v>184.88</v>
          </cell>
          <cell r="L33">
            <v>60.42</v>
          </cell>
        </row>
        <row r="34">
          <cell r="C34">
            <v>12871.29</v>
          </cell>
          <cell r="D34">
            <v>12727.02</v>
          </cell>
          <cell r="E34">
            <v>780</v>
          </cell>
          <cell r="F34">
            <v>12700</v>
          </cell>
          <cell r="G34">
            <v>13141.31</v>
          </cell>
          <cell r="H34">
            <v>12950.86</v>
          </cell>
          <cell r="I34">
            <v>722</v>
          </cell>
          <cell r="J34">
            <v>129.12</v>
          </cell>
          <cell r="K34">
            <v>146.44999999999999</v>
          </cell>
          <cell r="L34">
            <v>117.48</v>
          </cell>
        </row>
        <row r="35">
          <cell r="C35">
            <v>18232.59</v>
          </cell>
          <cell r="D35">
            <v>17980.509999999998</v>
          </cell>
          <cell r="E35">
            <v>1009</v>
          </cell>
          <cell r="F35">
            <v>18000</v>
          </cell>
          <cell r="G35">
            <v>18889.71</v>
          </cell>
          <cell r="H35">
            <v>18525.419999999998</v>
          </cell>
          <cell r="I35">
            <v>1000</v>
          </cell>
          <cell r="J35">
            <v>167.82</v>
          </cell>
          <cell r="K35">
            <v>185.12</v>
          </cell>
          <cell r="L35">
            <v>114.58</v>
          </cell>
        </row>
        <row r="36">
          <cell r="C36">
            <v>22481.75</v>
          </cell>
          <cell r="D36">
            <v>22152.28</v>
          </cell>
          <cell r="E36">
            <v>1184</v>
          </cell>
          <cell r="F36">
            <v>22100</v>
          </cell>
          <cell r="G36">
            <v>22472.87</v>
          </cell>
          <cell r="H36">
            <v>22115.81</v>
          </cell>
          <cell r="I36">
            <v>1009</v>
          </cell>
          <cell r="J36">
            <v>164.32</v>
          </cell>
          <cell r="K36">
            <v>198.45</v>
          </cell>
          <cell r="L36">
            <v>49.95</v>
          </cell>
        </row>
        <row r="37">
          <cell r="C37">
            <v>16988.59</v>
          </cell>
          <cell r="D37">
            <v>16752.669999999998</v>
          </cell>
          <cell r="E37">
            <v>833</v>
          </cell>
          <cell r="F37">
            <v>17300</v>
          </cell>
          <cell r="G37">
            <v>17246.52</v>
          </cell>
          <cell r="H37">
            <v>16918.939999999999</v>
          </cell>
          <cell r="I37">
            <v>768</v>
          </cell>
          <cell r="J37">
            <v>164.61</v>
          </cell>
          <cell r="K37">
            <v>184.18</v>
          </cell>
          <cell r="L37">
            <v>144.33000000000001</v>
          </cell>
        </row>
        <row r="38">
          <cell r="C38">
            <v>10809.47</v>
          </cell>
          <cell r="D38">
            <v>10629.14</v>
          </cell>
          <cell r="E38">
            <v>670</v>
          </cell>
          <cell r="F38">
            <v>10600</v>
          </cell>
          <cell r="G38">
            <v>10319.42</v>
          </cell>
          <cell r="H38">
            <v>10217.34</v>
          </cell>
          <cell r="I38">
            <v>603</v>
          </cell>
          <cell r="J38">
            <v>122.86000000000001</v>
          </cell>
          <cell r="K38">
            <v>140.68</v>
          </cell>
          <cell r="L38">
            <v>118.66</v>
          </cell>
        </row>
        <row r="39">
          <cell r="C39">
            <v>12733.95</v>
          </cell>
          <cell r="D39">
            <v>12539.87</v>
          </cell>
          <cell r="E39">
            <v>778</v>
          </cell>
          <cell r="F39">
            <v>12500</v>
          </cell>
          <cell r="G39">
            <v>13157.96</v>
          </cell>
          <cell r="H39">
            <v>12961.48</v>
          </cell>
          <cell r="I39">
            <v>752</v>
          </cell>
          <cell r="J39">
            <v>137.88</v>
          </cell>
          <cell r="K39">
            <v>152</v>
          </cell>
          <cell r="L39">
            <v>72.12</v>
          </cell>
        </row>
        <row r="40">
          <cell r="C40">
            <v>16567.39</v>
          </cell>
          <cell r="D40">
            <v>16291.87</v>
          </cell>
          <cell r="E40">
            <v>966</v>
          </cell>
          <cell r="F40">
            <v>16300</v>
          </cell>
          <cell r="G40">
            <v>15162.48</v>
          </cell>
          <cell r="H40">
            <v>14934.16</v>
          </cell>
          <cell r="I40">
            <v>864</v>
          </cell>
          <cell r="J40">
            <v>151.17000000000002</v>
          </cell>
          <cell r="K40">
            <v>176.87</v>
          </cell>
          <cell r="L40">
            <v>95.72</v>
          </cell>
        </row>
        <row r="41">
          <cell r="C41">
            <v>13491.41</v>
          </cell>
          <cell r="D41">
            <v>13349.23</v>
          </cell>
          <cell r="E41">
            <v>830</v>
          </cell>
          <cell r="F41">
            <v>13300</v>
          </cell>
          <cell r="G41">
            <v>14322.61</v>
          </cell>
          <cell r="H41">
            <v>14077.27</v>
          </cell>
          <cell r="I41">
            <v>820</v>
          </cell>
          <cell r="J41">
            <v>149.65</v>
          </cell>
          <cell r="K41">
            <v>169.9</v>
          </cell>
          <cell r="L41">
            <v>54.31</v>
          </cell>
        </row>
        <row r="42">
          <cell r="C42">
            <v>19069.46</v>
          </cell>
          <cell r="D42">
            <v>18810.080000000002</v>
          </cell>
          <cell r="E42">
            <v>1100</v>
          </cell>
          <cell r="F42">
            <v>19600</v>
          </cell>
          <cell r="G42">
            <v>21946.6</v>
          </cell>
          <cell r="H42">
            <v>21561.98</v>
          </cell>
          <cell r="I42">
            <v>1096</v>
          </cell>
          <cell r="J42">
            <v>190.81</v>
          </cell>
          <cell r="K42">
            <v>217.76</v>
          </cell>
          <cell r="L42">
            <v>69.69</v>
          </cell>
        </row>
        <row r="43">
          <cell r="C43">
            <v>21359.19</v>
          </cell>
          <cell r="D43">
            <v>21065.81</v>
          </cell>
          <cell r="E43">
            <v>985</v>
          </cell>
          <cell r="F43">
            <v>21700</v>
          </cell>
          <cell r="G43">
            <v>20217.28</v>
          </cell>
          <cell r="H43">
            <v>19937.03</v>
          </cell>
          <cell r="I43">
            <v>984</v>
          </cell>
          <cell r="J43">
            <v>172.9</v>
          </cell>
          <cell r="K43">
            <v>199.22</v>
          </cell>
          <cell r="L43">
            <v>107.7</v>
          </cell>
        </row>
        <row r="44">
          <cell r="C44">
            <v>17859.96</v>
          </cell>
          <cell r="D44">
            <v>17545.169999999998</v>
          </cell>
          <cell r="E44">
            <v>856</v>
          </cell>
          <cell r="F44">
            <v>18100</v>
          </cell>
          <cell r="G44">
            <v>18954.22</v>
          </cell>
          <cell r="H44">
            <v>18638.68</v>
          </cell>
          <cell r="I44">
            <v>912</v>
          </cell>
          <cell r="J44">
            <v>145.47999999999999</v>
          </cell>
          <cell r="K44">
            <v>172.28</v>
          </cell>
          <cell r="L44">
            <v>79.06</v>
          </cell>
        </row>
        <row r="45">
          <cell r="C45">
            <v>9769.06</v>
          </cell>
          <cell r="D45">
            <v>9656.52</v>
          </cell>
          <cell r="E45">
            <v>637</v>
          </cell>
          <cell r="F45">
            <v>10300</v>
          </cell>
          <cell r="G45">
            <v>12989.78</v>
          </cell>
          <cell r="H45">
            <v>12761.9</v>
          </cell>
          <cell r="I45">
            <v>698</v>
          </cell>
          <cell r="J45">
            <v>115.61999999999999</v>
          </cell>
          <cell r="K45">
            <v>132.57</v>
          </cell>
          <cell r="L45">
            <v>111.41</v>
          </cell>
        </row>
        <row r="46">
          <cell r="C46">
            <v>11780.95</v>
          </cell>
          <cell r="D46">
            <v>11600.83</v>
          </cell>
          <cell r="E46">
            <v>743</v>
          </cell>
          <cell r="F46">
            <v>11600</v>
          </cell>
          <cell r="G46">
            <v>13540.37</v>
          </cell>
          <cell r="H46">
            <v>13305.85</v>
          </cell>
          <cell r="I46">
            <v>737</v>
          </cell>
          <cell r="J46">
            <v>130.10000000000002</v>
          </cell>
          <cell r="K46">
            <v>147.30000000000001</v>
          </cell>
          <cell r="L46">
            <v>55.21</v>
          </cell>
        </row>
        <row r="47">
          <cell r="C47">
            <v>15304.9</v>
          </cell>
          <cell r="D47">
            <v>15074.98</v>
          </cell>
          <cell r="E47">
            <v>939</v>
          </cell>
          <cell r="F47">
            <v>14800</v>
          </cell>
          <cell r="G47">
            <v>14838.28</v>
          </cell>
          <cell r="H47">
            <v>14541.85</v>
          </cell>
          <cell r="I47">
            <v>758</v>
          </cell>
          <cell r="J47">
            <v>145.24</v>
          </cell>
          <cell r="K47">
            <v>162.47</v>
          </cell>
          <cell r="L47">
            <v>109.34</v>
          </cell>
        </row>
        <row r="48">
          <cell r="C48">
            <v>12034.47</v>
          </cell>
          <cell r="D48">
            <v>11858.74</v>
          </cell>
          <cell r="E48">
            <v>750</v>
          </cell>
          <cell r="F48">
            <v>12200</v>
          </cell>
          <cell r="G48">
            <v>14044.91</v>
          </cell>
          <cell r="H48">
            <v>13838.55</v>
          </cell>
          <cell r="I48">
            <v>767</v>
          </cell>
          <cell r="J48">
            <v>139.97999999999999</v>
          </cell>
          <cell r="K48">
            <v>156.75</v>
          </cell>
          <cell r="L48">
            <v>77.25</v>
          </cell>
        </row>
        <row r="49">
          <cell r="C49">
            <v>20326.43</v>
          </cell>
          <cell r="D49">
            <v>20058.93</v>
          </cell>
          <cell r="E49">
            <v>1145</v>
          </cell>
          <cell r="F49">
            <v>20000</v>
          </cell>
          <cell r="G49">
            <v>19480.71</v>
          </cell>
          <cell r="H49">
            <v>19176.900000000001</v>
          </cell>
          <cell r="I49">
            <v>1025</v>
          </cell>
          <cell r="J49">
            <v>195.09000000000003</v>
          </cell>
          <cell r="K49">
            <v>221.68</v>
          </cell>
          <cell r="L49">
            <v>85.63</v>
          </cell>
        </row>
        <row r="50">
          <cell r="C50">
            <v>21415.25</v>
          </cell>
          <cell r="D50">
            <v>21038.35</v>
          </cell>
          <cell r="E50">
            <v>1077</v>
          </cell>
          <cell r="F50">
            <v>20600</v>
          </cell>
          <cell r="G50">
            <v>22027.88</v>
          </cell>
          <cell r="H50">
            <v>21672.62</v>
          </cell>
          <cell r="I50">
            <v>992</v>
          </cell>
          <cell r="J50">
            <v>168.91</v>
          </cell>
          <cell r="K50">
            <v>205.12</v>
          </cell>
          <cell r="L50">
            <v>106.55</v>
          </cell>
        </row>
        <row r="51">
          <cell r="C51">
            <v>19677.88</v>
          </cell>
          <cell r="D51">
            <v>19380.009999999998</v>
          </cell>
          <cell r="E51">
            <v>998</v>
          </cell>
          <cell r="F51">
            <v>18400</v>
          </cell>
          <cell r="G51">
            <v>19075.349999999999</v>
          </cell>
          <cell r="H51">
            <v>18777.53</v>
          </cell>
          <cell r="I51">
            <v>862</v>
          </cell>
          <cell r="J51">
            <v>164.21</v>
          </cell>
          <cell r="K51">
            <v>189.28</v>
          </cell>
          <cell r="L51">
            <v>99.72</v>
          </cell>
        </row>
        <row r="52">
          <cell r="C52">
            <v>10388.41</v>
          </cell>
          <cell r="D52">
            <v>10297.75</v>
          </cell>
          <cell r="E52">
            <v>663</v>
          </cell>
          <cell r="F52">
            <v>11300</v>
          </cell>
          <cell r="G52">
            <v>11995.73</v>
          </cell>
          <cell r="H52">
            <v>11820.65</v>
          </cell>
          <cell r="I52">
            <v>651</v>
          </cell>
          <cell r="J52">
            <v>132.4</v>
          </cell>
          <cell r="K52">
            <v>150.57</v>
          </cell>
          <cell r="L52">
            <v>233.5</v>
          </cell>
        </row>
        <row r="53">
          <cell r="C53">
            <v>11803.14</v>
          </cell>
          <cell r="D53">
            <v>11613.15</v>
          </cell>
          <cell r="E53">
            <v>713</v>
          </cell>
          <cell r="F53">
            <v>12000</v>
          </cell>
          <cell r="G53">
            <v>12183.03</v>
          </cell>
          <cell r="H53">
            <v>12000.19</v>
          </cell>
          <cell r="I53">
            <v>691</v>
          </cell>
          <cell r="J53">
            <v>152.44999999999999</v>
          </cell>
          <cell r="K53">
            <v>174.23</v>
          </cell>
          <cell r="L53">
            <v>64.66</v>
          </cell>
        </row>
        <row r="54">
          <cell r="C54">
            <v>13658.13</v>
          </cell>
          <cell r="D54">
            <v>13487.97</v>
          </cell>
          <cell r="E54">
            <v>809</v>
          </cell>
          <cell r="F54">
            <v>13500</v>
          </cell>
          <cell r="G54">
            <v>13877.04</v>
          </cell>
          <cell r="H54">
            <v>13648.22</v>
          </cell>
          <cell r="I54">
            <v>744</v>
          </cell>
          <cell r="J54">
            <v>181.90000000000003</v>
          </cell>
          <cell r="K54">
            <v>213.43</v>
          </cell>
          <cell r="L54">
            <v>127.09</v>
          </cell>
        </row>
        <row r="55">
          <cell r="C55">
            <v>13661.34</v>
          </cell>
          <cell r="D55">
            <v>13481.08</v>
          </cell>
          <cell r="E55">
            <v>811</v>
          </cell>
          <cell r="F55">
            <v>13500</v>
          </cell>
          <cell r="G55">
            <v>13605.21</v>
          </cell>
          <cell r="H55">
            <v>13371.06</v>
          </cell>
          <cell r="I55">
            <v>699</v>
          </cell>
          <cell r="J55">
            <v>157.08000000000001</v>
          </cell>
          <cell r="K55">
            <v>175.8</v>
          </cell>
          <cell r="L55">
            <v>61.44</v>
          </cell>
        </row>
        <row r="56">
          <cell r="C56">
            <v>20171.04</v>
          </cell>
          <cell r="D56">
            <v>19908.310000000001</v>
          </cell>
          <cell r="E56">
            <v>1059</v>
          </cell>
          <cell r="F56">
            <v>19900</v>
          </cell>
          <cell r="G56">
            <v>18483.45</v>
          </cell>
          <cell r="H56">
            <v>18215.71</v>
          </cell>
          <cell r="I56">
            <v>902</v>
          </cell>
          <cell r="J56">
            <v>200.35</v>
          </cell>
          <cell r="K56">
            <v>224.55</v>
          </cell>
          <cell r="L56">
            <v>96.25</v>
          </cell>
        </row>
        <row r="57">
          <cell r="C57">
            <v>19567.900000000001</v>
          </cell>
          <cell r="D57">
            <v>19285.099999999999</v>
          </cell>
          <cell r="E57">
            <v>1031</v>
          </cell>
          <cell r="F57">
            <v>17900</v>
          </cell>
          <cell r="G57">
            <v>18929.8</v>
          </cell>
          <cell r="H57">
            <v>18580.62</v>
          </cell>
          <cell r="I57">
            <v>921</v>
          </cell>
          <cell r="J57">
            <v>175.42000000000002</v>
          </cell>
          <cell r="K57">
            <v>200.58</v>
          </cell>
          <cell r="L57">
            <v>99.06</v>
          </cell>
        </row>
        <row r="58">
          <cell r="C58">
            <v>17047.78</v>
          </cell>
          <cell r="D58">
            <v>16772.2</v>
          </cell>
          <cell r="E58">
            <v>826</v>
          </cell>
          <cell r="F58">
            <v>17300</v>
          </cell>
          <cell r="G58">
            <v>17621.419999999998</v>
          </cell>
          <cell r="H58">
            <v>17338.63</v>
          </cell>
          <cell r="I58">
            <v>806</v>
          </cell>
          <cell r="J58">
            <v>175.48</v>
          </cell>
          <cell r="K58">
            <v>198.43</v>
          </cell>
          <cell r="L58">
            <v>103.5</v>
          </cell>
        </row>
        <row r="59">
          <cell r="C59">
            <v>11193.05</v>
          </cell>
          <cell r="D59">
            <v>11075.39</v>
          </cell>
          <cell r="E59">
            <v>631</v>
          </cell>
          <cell r="F59">
            <v>11400</v>
          </cell>
          <cell r="G59">
            <v>9649.43</v>
          </cell>
          <cell r="H59">
            <v>9494.9</v>
          </cell>
          <cell r="I59">
            <v>585</v>
          </cell>
          <cell r="J59">
            <v>141.13999999999999</v>
          </cell>
          <cell r="K59">
            <v>157.88</v>
          </cell>
          <cell r="L59">
            <v>138.65</v>
          </cell>
        </row>
        <row r="60">
          <cell r="C60">
            <v>12557.74</v>
          </cell>
          <cell r="D60">
            <v>12387.95</v>
          </cell>
          <cell r="E60">
            <v>724</v>
          </cell>
          <cell r="F60">
            <v>11600</v>
          </cell>
          <cell r="G60">
            <v>10342.1</v>
          </cell>
          <cell r="H60">
            <v>10172.780000000001</v>
          </cell>
          <cell r="I60">
            <v>625</v>
          </cell>
          <cell r="J60">
            <v>147.82</v>
          </cell>
          <cell r="K60">
            <v>164.75</v>
          </cell>
          <cell r="L60">
            <v>116.69</v>
          </cell>
        </row>
        <row r="61">
          <cell r="C61">
            <v>14250.64</v>
          </cell>
          <cell r="D61">
            <v>14043.77</v>
          </cell>
          <cell r="E61">
            <v>797</v>
          </cell>
          <cell r="F61">
            <v>14600</v>
          </cell>
          <cell r="G61">
            <v>14260.19</v>
          </cell>
          <cell r="H61">
            <v>14024.67</v>
          </cell>
          <cell r="I61">
            <v>779</v>
          </cell>
          <cell r="J61">
            <v>182.68999999999997</v>
          </cell>
          <cell r="K61">
            <v>205.45</v>
          </cell>
          <cell r="L61">
            <v>124.48</v>
          </cell>
        </row>
        <row r="62">
          <cell r="C62">
            <v>14382.69</v>
          </cell>
          <cell r="D62">
            <v>14176.25</v>
          </cell>
          <cell r="E62">
            <v>793</v>
          </cell>
          <cell r="F62">
            <v>14200</v>
          </cell>
          <cell r="G62">
            <v>12824.15</v>
          </cell>
          <cell r="H62">
            <v>12667.63</v>
          </cell>
          <cell r="I62">
            <v>691</v>
          </cell>
          <cell r="J62">
            <v>161.19999999999999</v>
          </cell>
          <cell r="K62">
            <v>180.88</v>
          </cell>
          <cell r="L62">
            <v>39.4</v>
          </cell>
        </row>
        <row r="63">
          <cell r="C63">
            <v>20566.34</v>
          </cell>
          <cell r="D63">
            <v>20309.490000000002</v>
          </cell>
          <cell r="E63">
            <v>1068</v>
          </cell>
          <cell r="F63">
            <v>19900</v>
          </cell>
          <cell r="G63">
            <v>19650.8</v>
          </cell>
          <cell r="H63">
            <v>19385.419999999998</v>
          </cell>
          <cell r="I63">
            <v>1010</v>
          </cell>
          <cell r="J63">
            <v>196.37</v>
          </cell>
          <cell r="K63">
            <v>221.63</v>
          </cell>
          <cell r="L63">
            <v>137.27000000000001</v>
          </cell>
        </row>
        <row r="64">
          <cell r="C64">
            <v>18822.810000000001</v>
          </cell>
          <cell r="D64">
            <v>18562.3</v>
          </cell>
          <cell r="E64">
            <v>930</v>
          </cell>
          <cell r="F64">
            <v>19100</v>
          </cell>
          <cell r="G64">
            <v>20714.7</v>
          </cell>
          <cell r="H64">
            <v>20383.2</v>
          </cell>
          <cell r="I64">
            <v>969</v>
          </cell>
          <cell r="J64">
            <v>174.47</v>
          </cell>
          <cell r="K64">
            <v>199.72</v>
          </cell>
          <cell r="L64">
            <v>89.89</v>
          </cell>
        </row>
        <row r="65">
          <cell r="C65">
            <v>18588.169999999998</v>
          </cell>
          <cell r="D65">
            <v>18296.330000000002</v>
          </cell>
          <cell r="E65">
            <v>870</v>
          </cell>
          <cell r="F65">
            <v>19200</v>
          </cell>
          <cell r="G65">
            <v>17774.18</v>
          </cell>
          <cell r="H65">
            <v>17525.04</v>
          </cell>
          <cell r="I65">
            <v>803</v>
          </cell>
          <cell r="J65">
            <v>168.44</v>
          </cell>
          <cell r="K65">
            <v>180.88</v>
          </cell>
          <cell r="L65">
            <v>124.75</v>
          </cell>
        </row>
        <row r="66">
          <cell r="C66">
            <v>13003.76</v>
          </cell>
          <cell r="D66">
            <v>12826.23</v>
          </cell>
          <cell r="E66">
            <v>715</v>
          </cell>
          <cell r="F66">
            <v>11500</v>
          </cell>
          <cell r="G66">
            <v>10440.91</v>
          </cell>
          <cell r="H66">
            <v>10233.16</v>
          </cell>
          <cell r="I66">
            <v>603</v>
          </cell>
          <cell r="J66">
            <v>143.10999999999999</v>
          </cell>
          <cell r="K66">
            <v>160.28</v>
          </cell>
          <cell r="L66">
            <v>61.63</v>
          </cell>
        </row>
        <row r="67">
          <cell r="C67">
            <v>13070.21</v>
          </cell>
          <cell r="D67">
            <v>12868.73</v>
          </cell>
          <cell r="E67">
            <v>758</v>
          </cell>
          <cell r="F67">
            <v>11300</v>
          </cell>
          <cell r="G67">
            <v>12128.3</v>
          </cell>
          <cell r="H67">
            <v>11919.49</v>
          </cell>
          <cell r="I67">
            <v>669</v>
          </cell>
          <cell r="J67">
            <v>146.5</v>
          </cell>
          <cell r="K67">
            <v>164.03</v>
          </cell>
          <cell r="L67">
            <v>121.39</v>
          </cell>
        </row>
        <row r="68">
          <cell r="C68">
            <v>13502.65</v>
          </cell>
          <cell r="D68">
            <v>13312.38</v>
          </cell>
          <cell r="E68">
            <v>750</v>
          </cell>
          <cell r="F68">
            <v>14100</v>
          </cell>
          <cell r="G68">
            <v>15252.69</v>
          </cell>
          <cell r="H68">
            <v>14947.21</v>
          </cell>
          <cell r="I68">
            <v>819</v>
          </cell>
          <cell r="J68">
            <v>187.93</v>
          </cell>
          <cell r="K68">
            <v>205.98</v>
          </cell>
          <cell r="L68">
            <v>83.28</v>
          </cell>
        </row>
        <row r="69">
          <cell r="C69">
            <v>13353.85</v>
          </cell>
          <cell r="D69">
            <v>13152.37</v>
          </cell>
          <cell r="E69">
            <v>764</v>
          </cell>
          <cell r="F69">
            <v>13300</v>
          </cell>
          <cell r="G69">
            <v>13827.72</v>
          </cell>
          <cell r="H69">
            <v>13629.35</v>
          </cell>
          <cell r="I69">
            <v>771</v>
          </cell>
          <cell r="J69">
            <v>153.35999999999999</v>
          </cell>
          <cell r="K69">
            <v>178.17</v>
          </cell>
          <cell r="L69">
            <v>81.31</v>
          </cell>
        </row>
        <row r="70">
          <cell r="C70">
            <v>19169.23</v>
          </cell>
          <cell r="D70">
            <v>18921.04</v>
          </cell>
          <cell r="E70">
            <v>1010</v>
          </cell>
          <cell r="F70">
            <v>19500</v>
          </cell>
          <cell r="G70">
            <v>18407.27</v>
          </cell>
          <cell r="H70">
            <v>18086.07</v>
          </cell>
          <cell r="I70">
            <v>994</v>
          </cell>
          <cell r="J70">
            <v>194.93</v>
          </cell>
          <cell r="K70">
            <v>211.55</v>
          </cell>
          <cell r="L70">
            <v>90.94</v>
          </cell>
        </row>
        <row r="71">
          <cell r="C71">
            <v>17522.34</v>
          </cell>
          <cell r="D71">
            <v>17281.46</v>
          </cell>
          <cell r="E71">
            <v>895</v>
          </cell>
          <cell r="F71">
            <v>18200</v>
          </cell>
          <cell r="G71">
            <v>21009.78</v>
          </cell>
          <cell r="H71">
            <v>20740.79</v>
          </cell>
          <cell r="I71">
            <v>1024</v>
          </cell>
          <cell r="J71">
            <v>179.67000000000002</v>
          </cell>
          <cell r="K71">
            <v>193.52</v>
          </cell>
          <cell r="L71">
            <v>90.75</v>
          </cell>
        </row>
        <row r="72">
          <cell r="C72">
            <v>17037.27</v>
          </cell>
          <cell r="D72">
            <v>16796.09</v>
          </cell>
          <cell r="E72">
            <v>808</v>
          </cell>
          <cell r="F72">
            <v>18200</v>
          </cell>
          <cell r="G72">
            <v>17854.650000000001</v>
          </cell>
          <cell r="H72">
            <v>17567.68</v>
          </cell>
          <cell r="I72">
            <v>848</v>
          </cell>
          <cell r="J72">
            <v>181.99</v>
          </cell>
          <cell r="K72">
            <v>198.55</v>
          </cell>
          <cell r="L72">
            <v>107</v>
          </cell>
        </row>
        <row r="73">
          <cell r="C73">
            <v>9528.17</v>
          </cell>
          <cell r="D73">
            <v>9421.75</v>
          </cell>
          <cell r="E73">
            <v>620</v>
          </cell>
          <cell r="F73">
            <v>9700</v>
          </cell>
          <cell r="G73">
            <v>9777.91</v>
          </cell>
          <cell r="H73">
            <v>9687.74</v>
          </cell>
          <cell r="I73">
            <v>600</v>
          </cell>
          <cell r="J73">
            <v>120.03000000000002</v>
          </cell>
          <cell r="K73">
            <v>144.9</v>
          </cell>
          <cell r="L73">
            <v>109.73</v>
          </cell>
        </row>
        <row r="74">
          <cell r="C74">
            <v>11037.48</v>
          </cell>
          <cell r="D74">
            <v>10879.98</v>
          </cell>
          <cell r="E74">
            <v>699</v>
          </cell>
          <cell r="F74">
            <v>11200</v>
          </cell>
          <cell r="G74">
            <v>11965.15</v>
          </cell>
          <cell r="H74">
            <v>11804.61</v>
          </cell>
          <cell r="I74">
            <v>670</v>
          </cell>
          <cell r="J74">
            <v>152.02000000000001</v>
          </cell>
          <cell r="K74">
            <v>161.02000000000001</v>
          </cell>
          <cell r="L74">
            <v>121.37</v>
          </cell>
        </row>
        <row r="75">
          <cell r="C75">
            <v>14215.07</v>
          </cell>
          <cell r="D75">
            <v>14026.1</v>
          </cell>
          <cell r="E75">
            <v>828</v>
          </cell>
          <cell r="F75">
            <v>14400</v>
          </cell>
          <cell r="G75">
            <v>13985.51</v>
          </cell>
          <cell r="H75">
            <v>13785.03</v>
          </cell>
          <cell r="I75">
            <v>752</v>
          </cell>
          <cell r="J75">
            <v>170.85000000000002</v>
          </cell>
          <cell r="K75">
            <v>188.15</v>
          </cell>
          <cell r="L75">
            <v>143.47</v>
          </cell>
        </row>
        <row r="76">
          <cell r="C76">
            <v>12320.92</v>
          </cell>
          <cell r="D76">
            <v>12158.82</v>
          </cell>
          <cell r="E76">
            <v>765</v>
          </cell>
          <cell r="F76">
            <v>12700</v>
          </cell>
          <cell r="G76">
            <v>13304.71</v>
          </cell>
          <cell r="H76">
            <v>13113.61</v>
          </cell>
          <cell r="I76">
            <v>733</v>
          </cell>
          <cell r="J76">
            <v>139.13000000000002</v>
          </cell>
          <cell r="K76">
            <v>161.77000000000001</v>
          </cell>
          <cell r="L76">
            <v>111.03</v>
          </cell>
        </row>
        <row r="77">
          <cell r="C77">
            <v>17990.61</v>
          </cell>
          <cell r="D77">
            <v>17741.03</v>
          </cell>
          <cell r="E77">
            <v>987</v>
          </cell>
          <cell r="F77">
            <v>18500</v>
          </cell>
          <cell r="G77">
            <v>19114.2</v>
          </cell>
          <cell r="H77">
            <v>18793.18</v>
          </cell>
          <cell r="I77">
            <v>1014</v>
          </cell>
          <cell r="J77">
            <v>198.61</v>
          </cell>
          <cell r="K77">
            <v>215.6</v>
          </cell>
          <cell r="L77">
            <v>148.52000000000001</v>
          </cell>
        </row>
        <row r="78">
          <cell r="C78">
            <v>18412.7</v>
          </cell>
          <cell r="D78">
            <v>18127.150000000001</v>
          </cell>
          <cell r="E78">
            <v>921</v>
          </cell>
          <cell r="F78">
            <v>19000</v>
          </cell>
          <cell r="G78">
            <v>19652.330000000002</v>
          </cell>
          <cell r="H78">
            <v>19295.349999999999</v>
          </cell>
          <cell r="I78">
            <v>953</v>
          </cell>
          <cell r="J78">
            <v>173.85</v>
          </cell>
          <cell r="K78">
            <v>182.18</v>
          </cell>
          <cell r="L78">
            <v>91.59</v>
          </cell>
        </row>
        <row r="79">
          <cell r="C79">
            <v>19529.29</v>
          </cell>
          <cell r="D79">
            <v>19241.080000000002</v>
          </cell>
          <cell r="E79">
            <v>948</v>
          </cell>
          <cell r="F79">
            <v>20000</v>
          </cell>
          <cell r="G79">
            <v>18358.13</v>
          </cell>
          <cell r="H79">
            <v>18091.759999999998</v>
          </cell>
          <cell r="I79">
            <v>842</v>
          </cell>
          <cell r="J79">
            <v>181.48</v>
          </cell>
          <cell r="K79">
            <v>194.5</v>
          </cell>
          <cell r="L79">
            <v>113.45</v>
          </cell>
        </row>
        <row r="80">
          <cell r="C80">
            <v>9837.85</v>
          </cell>
          <cell r="D80">
            <v>9677.57</v>
          </cell>
          <cell r="E80">
            <v>621</v>
          </cell>
          <cell r="F80">
            <v>10000</v>
          </cell>
          <cell r="G80">
            <v>9714.27</v>
          </cell>
          <cell r="H80">
            <v>9602.31</v>
          </cell>
          <cell r="I80">
            <v>559</v>
          </cell>
          <cell r="J80">
            <v>125.42</v>
          </cell>
          <cell r="K80">
            <v>142.35</v>
          </cell>
          <cell r="L80">
            <v>86.72</v>
          </cell>
        </row>
        <row r="81">
          <cell r="C81">
            <v>11950.86</v>
          </cell>
          <cell r="D81">
            <v>11726.31</v>
          </cell>
          <cell r="E81">
            <v>710</v>
          </cell>
          <cell r="F81">
            <v>12100</v>
          </cell>
          <cell r="G81">
            <v>11846.19</v>
          </cell>
          <cell r="H81">
            <v>11650.59</v>
          </cell>
          <cell r="I81">
            <v>674</v>
          </cell>
          <cell r="J81">
            <v>133.59</v>
          </cell>
          <cell r="K81">
            <v>150.72</v>
          </cell>
          <cell r="L81">
            <v>114.9</v>
          </cell>
        </row>
        <row r="82">
          <cell r="C82">
            <v>13948.37</v>
          </cell>
          <cell r="D82">
            <v>13710.72</v>
          </cell>
          <cell r="E82">
            <v>834</v>
          </cell>
          <cell r="F82">
            <v>14100</v>
          </cell>
          <cell r="G82">
            <v>13134.13</v>
          </cell>
          <cell r="H82">
            <v>12895.33</v>
          </cell>
          <cell r="I82">
            <v>720</v>
          </cell>
          <cell r="J82">
            <v>166.15</v>
          </cell>
          <cell r="K82">
            <v>183.62</v>
          </cell>
          <cell r="L82">
            <v>132.52000000000001</v>
          </cell>
        </row>
        <row r="83">
          <cell r="C83">
            <v>12570.5</v>
          </cell>
          <cell r="D83">
            <v>12404.65</v>
          </cell>
          <cell r="E83">
            <v>793</v>
          </cell>
          <cell r="F83">
            <v>13000</v>
          </cell>
          <cell r="G83">
            <v>12157.13</v>
          </cell>
          <cell r="H83">
            <v>11977.12</v>
          </cell>
          <cell r="I83">
            <v>746</v>
          </cell>
          <cell r="J83">
            <v>143.89999999999998</v>
          </cell>
          <cell r="K83">
            <v>160.38</v>
          </cell>
          <cell r="L83">
            <v>83.58</v>
          </cell>
        </row>
        <row r="84">
          <cell r="C84">
            <v>16654.5</v>
          </cell>
          <cell r="D84">
            <v>16321.49</v>
          </cell>
          <cell r="E84">
            <v>911</v>
          </cell>
          <cell r="F84">
            <v>17800</v>
          </cell>
          <cell r="G84">
            <v>19237.63</v>
          </cell>
          <cell r="H84">
            <v>18974.68</v>
          </cell>
          <cell r="I84">
            <v>1044</v>
          </cell>
          <cell r="J84">
            <v>186.57</v>
          </cell>
          <cell r="K84">
            <v>204.57</v>
          </cell>
          <cell r="L84">
            <v>100.38</v>
          </cell>
        </row>
        <row r="85">
          <cell r="C85">
            <v>17509.91</v>
          </cell>
          <cell r="D85">
            <v>17243.759999999998</v>
          </cell>
          <cell r="E85">
            <v>918</v>
          </cell>
          <cell r="F85">
            <v>18500</v>
          </cell>
          <cell r="G85">
            <v>18926.740000000002</v>
          </cell>
          <cell r="H85">
            <v>18595.73</v>
          </cell>
          <cell r="I85">
            <v>994</v>
          </cell>
          <cell r="J85">
            <v>164.08999999999997</v>
          </cell>
          <cell r="K85">
            <v>181.32</v>
          </cell>
          <cell r="L85">
            <v>91.1</v>
          </cell>
        </row>
        <row r="86">
          <cell r="C86">
            <v>15945.13</v>
          </cell>
          <cell r="D86">
            <v>15669.06</v>
          </cell>
          <cell r="E86">
            <v>768</v>
          </cell>
          <cell r="F86">
            <v>16500</v>
          </cell>
          <cell r="G86">
            <v>18725.02</v>
          </cell>
          <cell r="H86">
            <v>18387.07</v>
          </cell>
          <cell r="I86">
            <v>872</v>
          </cell>
          <cell r="J86">
            <v>147.85</v>
          </cell>
          <cell r="K86">
            <v>164.12</v>
          </cell>
          <cell r="L86">
            <v>86.88</v>
          </cell>
        </row>
        <row r="87">
          <cell r="C87">
            <v>8790.41</v>
          </cell>
          <cell r="D87">
            <v>8718.68</v>
          </cell>
          <cell r="E87">
            <v>577</v>
          </cell>
          <cell r="F87">
            <v>9700</v>
          </cell>
          <cell r="G87">
            <v>9603.9500000000007</v>
          </cell>
          <cell r="H87">
            <v>9444.16</v>
          </cell>
          <cell r="I87">
            <v>566</v>
          </cell>
          <cell r="J87">
            <v>102.17999999999999</v>
          </cell>
          <cell r="K87">
            <v>118.88</v>
          </cell>
          <cell r="L87">
            <v>117.01</v>
          </cell>
        </row>
        <row r="88">
          <cell r="C88">
            <v>11794.17</v>
          </cell>
          <cell r="D88">
            <v>11546.02</v>
          </cell>
          <cell r="E88">
            <v>708</v>
          </cell>
          <cell r="F88">
            <v>12000</v>
          </cell>
          <cell r="G88">
            <v>11853.86</v>
          </cell>
          <cell r="H88">
            <v>11620.84</v>
          </cell>
          <cell r="I88">
            <v>690</v>
          </cell>
          <cell r="J88">
            <v>113.63000000000001</v>
          </cell>
          <cell r="K88">
            <v>131.08000000000001</v>
          </cell>
          <cell r="L88">
            <v>126.8</v>
          </cell>
        </row>
        <row r="89">
          <cell r="C89">
            <v>15722.85</v>
          </cell>
          <cell r="D89">
            <v>15361.43</v>
          </cell>
          <cell r="E89">
            <v>904</v>
          </cell>
          <cell r="F89">
            <v>15300</v>
          </cell>
          <cell r="G89">
            <v>14465.29</v>
          </cell>
          <cell r="H89">
            <v>14104.61</v>
          </cell>
          <cell r="I89">
            <v>790</v>
          </cell>
          <cell r="J89">
            <v>163.44999999999999</v>
          </cell>
          <cell r="K89">
            <v>179.78</v>
          </cell>
          <cell r="L89">
            <v>123.83</v>
          </cell>
        </row>
        <row r="90">
          <cell r="C90">
            <v>14280.51</v>
          </cell>
          <cell r="D90">
            <v>13997.37</v>
          </cell>
          <cell r="E90">
            <v>853</v>
          </cell>
          <cell r="F90">
            <v>14000</v>
          </cell>
          <cell r="G90">
            <v>13361.71</v>
          </cell>
          <cell r="H90">
            <v>13086.69</v>
          </cell>
          <cell r="I90">
            <v>742</v>
          </cell>
          <cell r="J90">
            <v>135.81</v>
          </cell>
          <cell r="K90">
            <v>152.43</v>
          </cell>
          <cell r="L90">
            <v>97.49</v>
          </cell>
        </row>
        <row r="91">
          <cell r="C91">
            <v>19683.900000000001</v>
          </cell>
          <cell r="D91">
            <v>19144.96</v>
          </cell>
          <cell r="E91">
            <v>1029</v>
          </cell>
          <cell r="F91">
            <v>19550</v>
          </cell>
          <cell r="G91">
            <v>20487.22</v>
          </cell>
          <cell r="H91">
            <v>19974.05</v>
          </cell>
          <cell r="I91">
            <v>1033</v>
          </cell>
          <cell r="J91">
            <v>191.59</v>
          </cell>
          <cell r="K91">
            <v>208.52</v>
          </cell>
          <cell r="L91">
            <v>107.61</v>
          </cell>
        </row>
        <row r="92">
          <cell r="C92">
            <v>18988.68</v>
          </cell>
          <cell r="D92">
            <v>18464.98</v>
          </cell>
          <cell r="E92">
            <v>994</v>
          </cell>
          <cell r="F92">
            <v>18400</v>
          </cell>
          <cell r="G92">
            <v>21019.61</v>
          </cell>
          <cell r="H92">
            <v>20505.82</v>
          </cell>
          <cell r="I92">
            <v>1024</v>
          </cell>
          <cell r="J92">
            <v>163.66999999999999</v>
          </cell>
          <cell r="K92">
            <v>181.87</v>
          </cell>
          <cell r="L92">
            <v>83.43</v>
          </cell>
        </row>
        <row r="93">
          <cell r="C93">
            <v>18974.11</v>
          </cell>
          <cell r="D93">
            <v>18439.8</v>
          </cell>
          <cell r="E93">
            <v>925</v>
          </cell>
          <cell r="F93">
            <v>18400</v>
          </cell>
          <cell r="G93">
            <v>19756.57</v>
          </cell>
          <cell r="H93">
            <v>19360.86</v>
          </cell>
          <cell r="I93">
            <v>848</v>
          </cell>
          <cell r="J93">
            <v>151.15</v>
          </cell>
          <cell r="K93">
            <v>162.37</v>
          </cell>
          <cell r="L93">
            <v>68.73</v>
          </cell>
        </row>
        <row r="94">
          <cell r="C94">
            <v>11378.67</v>
          </cell>
          <cell r="D94">
            <v>11102.85</v>
          </cell>
          <cell r="E94">
            <v>701</v>
          </cell>
          <cell r="F94">
            <v>11100</v>
          </cell>
          <cell r="G94">
            <v>10762.81</v>
          </cell>
          <cell r="H94">
            <v>10534.1</v>
          </cell>
          <cell r="I94">
            <v>597</v>
          </cell>
          <cell r="J94">
            <v>127.65</v>
          </cell>
          <cell r="K94">
            <v>144.15</v>
          </cell>
          <cell r="L94">
            <v>107.57</v>
          </cell>
        </row>
        <row r="95">
          <cell r="C95">
            <v>13238.8</v>
          </cell>
          <cell r="D95">
            <v>12948.86</v>
          </cell>
          <cell r="E95">
            <v>822</v>
          </cell>
          <cell r="F95">
            <v>13600</v>
          </cell>
          <cell r="G95">
            <v>13588.83</v>
          </cell>
          <cell r="H95">
            <v>13238.74</v>
          </cell>
          <cell r="I95">
            <v>725</v>
          </cell>
          <cell r="J95">
            <v>132.69</v>
          </cell>
          <cell r="K95">
            <v>141.82</v>
          </cell>
          <cell r="L95">
            <v>73.760000000000005</v>
          </cell>
        </row>
        <row r="96">
          <cell r="C96">
            <v>17530.11</v>
          </cell>
          <cell r="D96">
            <v>16992.5</v>
          </cell>
          <cell r="E96">
            <v>947</v>
          </cell>
          <cell r="F96">
            <v>17000</v>
          </cell>
          <cell r="G96">
            <v>16649.77</v>
          </cell>
          <cell r="H96">
            <v>16159.32</v>
          </cell>
          <cell r="I96">
            <v>858</v>
          </cell>
          <cell r="J96">
            <v>149.49</v>
          </cell>
          <cell r="K96">
            <v>157.74</v>
          </cell>
          <cell r="L96">
            <v>103.2</v>
          </cell>
        </row>
        <row r="97">
          <cell r="C97">
            <v>14538.33</v>
          </cell>
          <cell r="D97">
            <v>14281.78</v>
          </cell>
          <cell r="E97">
            <v>846</v>
          </cell>
          <cell r="F97">
            <v>14300</v>
          </cell>
          <cell r="G97">
            <v>13917.18</v>
          </cell>
          <cell r="H97">
            <v>13657.44</v>
          </cell>
          <cell r="I97">
            <v>754</v>
          </cell>
          <cell r="J97">
            <v>134.54</v>
          </cell>
          <cell r="K97">
            <v>143.16999999999999</v>
          </cell>
          <cell r="L97">
            <v>71.17</v>
          </cell>
        </row>
        <row r="98">
          <cell r="C98">
            <v>20086.259999999998</v>
          </cell>
          <cell r="D98">
            <v>19724.060000000001</v>
          </cell>
          <cell r="E98">
            <v>1150</v>
          </cell>
          <cell r="F98">
            <v>20300</v>
          </cell>
          <cell r="G98">
            <v>20401.03</v>
          </cell>
          <cell r="H98">
            <v>19889.98</v>
          </cell>
          <cell r="I98">
            <v>1028</v>
          </cell>
          <cell r="J98">
            <v>184.75</v>
          </cell>
          <cell r="K98">
            <v>193.68</v>
          </cell>
          <cell r="L98">
            <v>100.98</v>
          </cell>
        </row>
        <row r="99">
          <cell r="C99">
            <v>20395.12</v>
          </cell>
          <cell r="D99">
            <v>19991.810000000001</v>
          </cell>
          <cell r="E99">
            <v>1090</v>
          </cell>
          <cell r="F99">
            <v>17500</v>
          </cell>
          <cell r="G99">
            <v>18543.080000000002</v>
          </cell>
          <cell r="H99">
            <v>18127.3</v>
          </cell>
          <cell r="I99">
            <v>921</v>
          </cell>
          <cell r="J99">
            <v>159.72</v>
          </cell>
          <cell r="K99">
            <v>168.45</v>
          </cell>
          <cell r="L99">
            <v>121.64</v>
          </cell>
        </row>
        <row r="100">
          <cell r="C100">
            <v>20308.84</v>
          </cell>
          <cell r="D100">
            <v>19993.8</v>
          </cell>
          <cell r="E100">
            <v>972</v>
          </cell>
          <cell r="F100">
            <v>15100</v>
          </cell>
          <cell r="G100">
            <v>13650.93</v>
          </cell>
          <cell r="H100">
            <v>13351.1</v>
          </cell>
          <cell r="I100">
            <v>689</v>
          </cell>
          <cell r="J100">
            <v>161.35</v>
          </cell>
          <cell r="K100">
            <v>178.95</v>
          </cell>
          <cell r="L100">
            <v>76.55</v>
          </cell>
        </row>
        <row r="101">
          <cell r="C101">
            <v>10942.01</v>
          </cell>
          <cell r="D101">
            <v>10815.85</v>
          </cell>
          <cell r="E101">
            <v>681</v>
          </cell>
          <cell r="F101">
            <v>15500</v>
          </cell>
          <cell r="G101">
            <v>16333.4</v>
          </cell>
          <cell r="H101">
            <v>15981.82</v>
          </cell>
          <cell r="I101">
            <v>803</v>
          </cell>
          <cell r="J101">
            <v>143.42999999999998</v>
          </cell>
          <cell r="K101">
            <v>151.94999999999999</v>
          </cell>
          <cell r="L101">
            <v>171.09</v>
          </cell>
        </row>
        <row r="102">
          <cell r="C102">
            <v>13031.05</v>
          </cell>
          <cell r="D102">
            <v>12854.79</v>
          </cell>
          <cell r="E102">
            <v>798</v>
          </cell>
          <cell r="F102">
            <v>12800</v>
          </cell>
          <cell r="G102">
            <v>13715.98</v>
          </cell>
          <cell r="H102">
            <v>13372.16</v>
          </cell>
          <cell r="I102">
            <v>735</v>
          </cell>
          <cell r="J102">
            <v>115.84</v>
          </cell>
          <cell r="K102">
            <v>124.77</v>
          </cell>
          <cell r="L102">
            <v>110.86</v>
          </cell>
        </row>
        <row r="103">
          <cell r="C103">
            <v>16192.63</v>
          </cell>
          <cell r="D103">
            <v>15970.71</v>
          </cell>
          <cell r="E103">
            <v>956</v>
          </cell>
          <cell r="F103">
            <v>14300</v>
          </cell>
          <cell r="G103">
            <v>13330.86</v>
          </cell>
          <cell r="H103">
            <v>12953.06</v>
          </cell>
          <cell r="I103">
            <v>709</v>
          </cell>
          <cell r="J103">
            <v>148.97</v>
          </cell>
          <cell r="K103">
            <v>157.97</v>
          </cell>
          <cell r="L103">
            <v>106.21</v>
          </cell>
        </row>
        <row r="104">
          <cell r="C104">
            <v>13925.61</v>
          </cell>
          <cell r="D104">
            <v>13781.8</v>
          </cell>
          <cell r="E104">
            <v>839</v>
          </cell>
          <cell r="F104">
            <v>13800</v>
          </cell>
          <cell r="G104">
            <v>13756.46</v>
          </cell>
          <cell r="H104">
            <v>13479.54</v>
          </cell>
          <cell r="I104">
            <v>733</v>
          </cell>
          <cell r="J104">
            <v>114.62</v>
          </cell>
          <cell r="K104">
            <v>122.87</v>
          </cell>
          <cell r="L104">
            <v>94.27</v>
          </cell>
        </row>
        <row r="105">
          <cell r="C105">
            <v>19475.03</v>
          </cell>
          <cell r="D105">
            <v>19214.88</v>
          </cell>
          <cell r="E105">
            <v>1054</v>
          </cell>
          <cell r="F105">
            <v>15800</v>
          </cell>
          <cell r="G105">
            <v>15965.2</v>
          </cell>
          <cell r="H105">
            <v>15623.07</v>
          </cell>
          <cell r="I105">
            <v>825</v>
          </cell>
          <cell r="J105">
            <v>161.75</v>
          </cell>
          <cell r="K105">
            <v>170.58</v>
          </cell>
          <cell r="L105">
            <v>93.72</v>
          </cell>
        </row>
        <row r="106">
          <cell r="C106">
            <v>20791.71</v>
          </cell>
          <cell r="D106">
            <v>20447.21</v>
          </cell>
          <cell r="E106">
            <v>1067</v>
          </cell>
          <cell r="F106">
            <v>15800</v>
          </cell>
          <cell r="G106">
            <v>17134.86</v>
          </cell>
          <cell r="H106">
            <v>16748.849999999999</v>
          </cell>
          <cell r="I106">
            <v>885</v>
          </cell>
          <cell r="J106">
            <v>157.35</v>
          </cell>
          <cell r="K106">
            <v>165.67</v>
          </cell>
          <cell r="L106">
            <v>54.12</v>
          </cell>
        </row>
        <row r="107">
          <cell r="C107">
            <v>19022.12</v>
          </cell>
          <cell r="D107">
            <v>18728.87</v>
          </cell>
          <cell r="E107">
            <v>874</v>
          </cell>
          <cell r="F107">
            <v>18700</v>
          </cell>
          <cell r="G107">
            <v>18423.419999999998</v>
          </cell>
          <cell r="H107">
            <v>17972.830000000002</v>
          </cell>
          <cell r="I107">
            <v>831</v>
          </cell>
          <cell r="J107">
            <v>144.54</v>
          </cell>
          <cell r="K107">
            <v>152.97</v>
          </cell>
          <cell r="L107">
            <v>55.67</v>
          </cell>
        </row>
        <row r="108">
          <cell r="C108">
            <v>11634.99</v>
          </cell>
          <cell r="D108">
            <v>11516.66</v>
          </cell>
          <cell r="E108">
            <v>711</v>
          </cell>
          <cell r="F108">
            <v>11900</v>
          </cell>
          <cell r="G108">
            <v>11745.31</v>
          </cell>
          <cell r="H108">
            <v>11499.02</v>
          </cell>
          <cell r="I108">
            <v>636</v>
          </cell>
          <cell r="J108">
            <v>117.7</v>
          </cell>
          <cell r="K108">
            <v>125.95</v>
          </cell>
          <cell r="L108">
            <v>100.87</v>
          </cell>
        </row>
        <row r="109">
          <cell r="C109">
            <v>12958.29</v>
          </cell>
          <cell r="D109">
            <v>12787.37</v>
          </cell>
          <cell r="E109">
            <v>788</v>
          </cell>
          <cell r="F109">
            <v>12800</v>
          </cell>
          <cell r="G109">
            <v>13085.39</v>
          </cell>
          <cell r="H109">
            <v>12735.56</v>
          </cell>
          <cell r="I109">
            <v>728</v>
          </cell>
          <cell r="J109">
            <v>119.44</v>
          </cell>
          <cell r="K109">
            <v>127.77</v>
          </cell>
          <cell r="L109">
            <v>85.55</v>
          </cell>
        </row>
        <row r="110">
          <cell r="C110">
            <v>14755.68</v>
          </cell>
          <cell r="D110">
            <v>14476.8</v>
          </cell>
          <cell r="E110">
            <v>845</v>
          </cell>
          <cell r="F110">
            <v>14500</v>
          </cell>
          <cell r="G110">
            <v>12729.47</v>
          </cell>
          <cell r="H110">
            <v>12439.77</v>
          </cell>
          <cell r="I110">
            <v>689</v>
          </cell>
          <cell r="J110">
            <v>164.89</v>
          </cell>
          <cell r="K110">
            <v>173.32</v>
          </cell>
          <cell r="L110">
            <v>73.28</v>
          </cell>
        </row>
        <row r="111">
          <cell r="C111">
            <v>13583.77</v>
          </cell>
          <cell r="D111">
            <v>13437.5</v>
          </cell>
          <cell r="E111">
            <v>817</v>
          </cell>
          <cell r="F111">
            <v>13400</v>
          </cell>
          <cell r="G111">
            <v>12647.64</v>
          </cell>
          <cell r="H111">
            <v>12379.13</v>
          </cell>
          <cell r="I111">
            <v>683</v>
          </cell>
          <cell r="J111">
            <v>119.73999999999998</v>
          </cell>
          <cell r="K111">
            <v>128.16999999999999</v>
          </cell>
          <cell r="L111">
            <v>82.32</v>
          </cell>
        </row>
        <row r="112">
          <cell r="C112">
            <v>19016.66</v>
          </cell>
          <cell r="D112">
            <v>18762.599999999999</v>
          </cell>
          <cell r="E112">
            <v>1063</v>
          </cell>
          <cell r="F112">
            <v>18700</v>
          </cell>
          <cell r="G112">
            <v>17335.259999999998</v>
          </cell>
          <cell r="H112">
            <v>16961.54</v>
          </cell>
          <cell r="I112">
            <v>905</v>
          </cell>
          <cell r="J112">
            <v>196.01000000000002</v>
          </cell>
          <cell r="K112">
            <v>204.08</v>
          </cell>
          <cell r="L112">
            <v>157.18</v>
          </cell>
        </row>
        <row r="113">
          <cell r="C113">
            <v>15050.81</v>
          </cell>
          <cell r="D113">
            <v>14780.77</v>
          </cell>
          <cell r="E113">
            <v>799</v>
          </cell>
          <cell r="F113">
            <v>17100</v>
          </cell>
          <cell r="G113">
            <v>16417.689999999999</v>
          </cell>
          <cell r="H113">
            <v>16003.82</v>
          </cell>
          <cell r="I113">
            <v>835</v>
          </cell>
          <cell r="J113">
            <v>163.28</v>
          </cell>
          <cell r="K113">
            <v>172.55</v>
          </cell>
          <cell r="L113">
            <v>108.22</v>
          </cell>
        </row>
        <row r="114">
          <cell r="C114">
            <v>16621.38</v>
          </cell>
          <cell r="D114">
            <v>13459.69</v>
          </cell>
          <cell r="E114">
            <v>650</v>
          </cell>
          <cell r="F114">
            <v>18700</v>
          </cell>
          <cell r="G114">
            <v>16616.72</v>
          </cell>
          <cell r="H114">
            <v>16307.14</v>
          </cell>
          <cell r="I114">
            <v>765</v>
          </cell>
          <cell r="J114">
            <v>160.41999999999999</v>
          </cell>
          <cell r="K114">
            <v>169.67</v>
          </cell>
          <cell r="L114">
            <v>109.82</v>
          </cell>
        </row>
        <row r="115">
          <cell r="C115">
            <v>14313.07</v>
          </cell>
          <cell r="D115">
            <v>14108.35</v>
          </cell>
          <cell r="E115">
            <v>698</v>
          </cell>
          <cell r="F115">
            <v>12600</v>
          </cell>
          <cell r="G115">
            <v>9486.15</v>
          </cell>
          <cell r="H115">
            <v>9331.51</v>
          </cell>
          <cell r="I115">
            <v>577</v>
          </cell>
          <cell r="J115">
            <v>138.52000000000001</v>
          </cell>
          <cell r="K115">
            <v>147.22</v>
          </cell>
          <cell r="L115">
            <v>106.41</v>
          </cell>
        </row>
        <row r="116">
          <cell r="C116">
            <v>12327.41</v>
          </cell>
          <cell r="D116">
            <v>12108.42</v>
          </cell>
          <cell r="E116">
            <v>762</v>
          </cell>
          <cell r="F116">
            <v>12600</v>
          </cell>
          <cell r="G116">
            <v>11528.81</v>
          </cell>
          <cell r="H116">
            <v>11353.13</v>
          </cell>
          <cell r="I116">
            <v>668</v>
          </cell>
          <cell r="J116">
            <v>130.6</v>
          </cell>
          <cell r="K116">
            <v>139.16999999999999</v>
          </cell>
          <cell r="L116">
            <v>111.51</v>
          </cell>
        </row>
        <row r="117">
          <cell r="C117">
            <v>12512.87</v>
          </cell>
          <cell r="D117">
            <v>12345.96</v>
          </cell>
          <cell r="E117">
            <v>753</v>
          </cell>
          <cell r="F117">
            <v>13900</v>
          </cell>
          <cell r="G117">
            <v>13946.71</v>
          </cell>
          <cell r="H117">
            <v>13661.07</v>
          </cell>
          <cell r="I117">
            <v>786</v>
          </cell>
          <cell r="J117">
            <v>155.26999999999998</v>
          </cell>
          <cell r="K117">
            <v>166.82</v>
          </cell>
          <cell r="L117">
            <v>-11.8</v>
          </cell>
        </row>
        <row r="118">
          <cell r="C118">
            <v>13145.82</v>
          </cell>
          <cell r="D118">
            <v>12946.42</v>
          </cell>
          <cell r="E118">
            <v>728</v>
          </cell>
          <cell r="F118">
            <v>12900</v>
          </cell>
          <cell r="G118">
            <v>13783.41</v>
          </cell>
          <cell r="H118">
            <v>13589.62</v>
          </cell>
          <cell r="I118">
            <v>801</v>
          </cell>
          <cell r="J118">
            <v>133.85</v>
          </cell>
          <cell r="K118">
            <v>143.15</v>
          </cell>
          <cell r="L118">
            <v>105.75</v>
          </cell>
        </row>
        <row r="119">
          <cell r="C119">
            <v>14903.14</v>
          </cell>
          <cell r="D119">
            <v>14717.11</v>
          </cell>
          <cell r="E119">
            <v>848</v>
          </cell>
          <cell r="F119">
            <v>18200</v>
          </cell>
          <cell r="G119">
            <v>16261.36</v>
          </cell>
          <cell r="H119">
            <v>15912.66</v>
          </cell>
          <cell r="I119">
            <v>888</v>
          </cell>
          <cell r="J119">
            <v>185.07</v>
          </cell>
          <cell r="K119">
            <v>193.65</v>
          </cell>
          <cell r="L119">
            <v>97.38</v>
          </cell>
        </row>
        <row r="120">
          <cell r="C120">
            <v>15179.95</v>
          </cell>
          <cell r="D120">
            <v>14948.72</v>
          </cell>
          <cell r="E120">
            <v>746</v>
          </cell>
          <cell r="F120">
            <v>18300</v>
          </cell>
          <cell r="G120">
            <v>18010.72</v>
          </cell>
          <cell r="H120">
            <v>17597.61</v>
          </cell>
          <cell r="I120">
            <v>900</v>
          </cell>
          <cell r="J120">
            <v>155.14000000000001</v>
          </cell>
          <cell r="K120">
            <v>164.02</v>
          </cell>
          <cell r="L120">
            <v>81.260000000000005</v>
          </cell>
        </row>
        <row r="121">
          <cell r="C121">
            <v>16288.1</v>
          </cell>
          <cell r="D121">
            <v>16035.28</v>
          </cell>
          <cell r="E121">
            <v>790</v>
          </cell>
          <cell r="F121">
            <v>17800</v>
          </cell>
          <cell r="G121">
            <v>17405.330000000002</v>
          </cell>
          <cell r="H121">
            <v>16999.240000000002</v>
          </cell>
          <cell r="I121">
            <v>805</v>
          </cell>
          <cell r="J121">
            <v>172.92</v>
          </cell>
          <cell r="K121">
            <v>181.32</v>
          </cell>
          <cell r="L121">
            <v>67.790000000000006</v>
          </cell>
        </row>
        <row r="122">
          <cell r="C122">
            <v>12008.4</v>
          </cell>
          <cell r="D122">
            <v>11832.48</v>
          </cell>
          <cell r="E122">
            <v>703</v>
          </cell>
          <cell r="F122">
            <v>11800</v>
          </cell>
          <cell r="G122">
            <v>9617.5</v>
          </cell>
          <cell r="H122">
            <v>9436.39</v>
          </cell>
          <cell r="I122">
            <v>541</v>
          </cell>
          <cell r="J122">
            <v>136.43</v>
          </cell>
          <cell r="K122">
            <v>144.5</v>
          </cell>
          <cell r="L122">
            <v>54.6</v>
          </cell>
        </row>
        <row r="123">
          <cell r="C123">
            <v>12474.41</v>
          </cell>
          <cell r="D123">
            <v>12298.54</v>
          </cell>
          <cell r="E123">
            <v>691</v>
          </cell>
          <cell r="F123">
            <v>12300</v>
          </cell>
          <cell r="G123">
            <v>12590.88</v>
          </cell>
          <cell r="H123">
            <v>12330.16</v>
          </cell>
          <cell r="I123">
            <v>756</v>
          </cell>
          <cell r="J123">
            <v>131.26999999999998</v>
          </cell>
          <cell r="K123">
            <v>148.15</v>
          </cell>
          <cell r="L123">
            <v>64.02</v>
          </cell>
        </row>
        <row r="124">
          <cell r="C124">
            <v>14171.1</v>
          </cell>
          <cell r="D124">
            <v>13933.68</v>
          </cell>
          <cell r="E124">
            <v>811</v>
          </cell>
          <cell r="F124">
            <v>14500</v>
          </cell>
          <cell r="G124">
            <v>14703.64</v>
          </cell>
          <cell r="H124">
            <v>14361.5</v>
          </cell>
          <cell r="I124">
            <v>827</v>
          </cell>
          <cell r="J124">
            <v>157.72</v>
          </cell>
          <cell r="K124">
            <v>166.52</v>
          </cell>
          <cell r="L124">
            <v>79.69</v>
          </cell>
        </row>
        <row r="125">
          <cell r="C125">
            <v>16686.439999999999</v>
          </cell>
          <cell r="D125">
            <v>16446.41</v>
          </cell>
          <cell r="E125">
            <v>846</v>
          </cell>
          <cell r="F125">
            <v>17400</v>
          </cell>
          <cell r="G125">
            <v>17253.86</v>
          </cell>
          <cell r="H125">
            <v>16942.46</v>
          </cell>
          <cell r="I125">
            <v>935</v>
          </cell>
          <cell r="J125">
            <v>162.47</v>
          </cell>
          <cell r="K125">
            <v>162.47</v>
          </cell>
          <cell r="L125">
            <v>192.27</v>
          </cell>
        </row>
        <row r="126">
          <cell r="C126">
            <v>15350.9</v>
          </cell>
          <cell r="D126">
            <v>15142.34</v>
          </cell>
          <cell r="E126">
            <v>823</v>
          </cell>
          <cell r="F126">
            <v>14300</v>
          </cell>
          <cell r="G126">
            <v>19011.2</v>
          </cell>
          <cell r="H126">
            <v>18611.689999999999</v>
          </cell>
          <cell r="I126">
            <v>897</v>
          </cell>
          <cell r="J126">
            <v>198.33</v>
          </cell>
          <cell r="K126">
            <v>206.8</v>
          </cell>
          <cell r="L126">
            <v>92.11</v>
          </cell>
        </row>
        <row r="127">
          <cell r="C127">
            <v>15285.7</v>
          </cell>
          <cell r="D127">
            <v>15090.38</v>
          </cell>
          <cell r="E127">
            <v>833</v>
          </cell>
          <cell r="F127">
            <v>15100</v>
          </cell>
          <cell r="G127">
            <v>17117.02</v>
          </cell>
          <cell r="H127">
            <v>16740.939999999999</v>
          </cell>
          <cell r="I127">
            <v>904</v>
          </cell>
          <cell r="J127">
            <v>182.4</v>
          </cell>
          <cell r="K127">
            <v>190.83</v>
          </cell>
          <cell r="L127">
            <v>103.01</v>
          </cell>
        </row>
        <row r="128">
          <cell r="C128">
            <v>18755.86</v>
          </cell>
          <cell r="D128">
            <v>18482.68</v>
          </cell>
          <cell r="E128">
            <v>885</v>
          </cell>
          <cell r="F128">
            <v>18500</v>
          </cell>
          <cell r="G128">
            <v>17226.080000000002</v>
          </cell>
          <cell r="H128">
            <v>16831.96</v>
          </cell>
          <cell r="I128">
            <v>781</v>
          </cell>
          <cell r="J128">
            <v>158</v>
          </cell>
          <cell r="K128">
            <v>175</v>
          </cell>
          <cell r="L128">
            <v>65.790000000000006</v>
          </cell>
        </row>
        <row r="129">
          <cell r="C129">
            <v>11796.5</v>
          </cell>
          <cell r="D129">
            <v>11670.88</v>
          </cell>
          <cell r="E129">
            <v>721</v>
          </cell>
          <cell r="F129">
            <v>11700</v>
          </cell>
          <cell r="G129">
            <v>10429.030000000001</v>
          </cell>
          <cell r="H129">
            <v>10265.94</v>
          </cell>
          <cell r="I129">
            <v>600</v>
          </cell>
          <cell r="J129">
            <v>136.43</v>
          </cell>
          <cell r="K129">
            <v>145.08000000000001</v>
          </cell>
          <cell r="L129">
            <v>115.19</v>
          </cell>
        </row>
        <row r="130">
          <cell r="C130">
            <v>12183.9</v>
          </cell>
          <cell r="D130">
            <v>12055.7</v>
          </cell>
          <cell r="E130">
            <v>753</v>
          </cell>
          <cell r="F130">
            <v>12000</v>
          </cell>
          <cell r="G130">
            <v>13450.12</v>
          </cell>
          <cell r="H130">
            <v>13199.57</v>
          </cell>
          <cell r="I130">
            <v>765</v>
          </cell>
          <cell r="J130">
            <v>146.91999999999999</v>
          </cell>
          <cell r="K130">
            <v>155.91999999999999</v>
          </cell>
          <cell r="L130">
            <v>56.11</v>
          </cell>
        </row>
        <row r="131">
          <cell r="C131">
            <v>17410.55</v>
          </cell>
          <cell r="D131">
            <v>17192.490000000002</v>
          </cell>
          <cell r="E131">
            <v>997</v>
          </cell>
          <cell r="F131">
            <v>16000</v>
          </cell>
          <cell r="G131">
            <v>16559.78</v>
          </cell>
          <cell r="H131">
            <v>16190.85</v>
          </cell>
          <cell r="I131">
            <v>918</v>
          </cell>
          <cell r="J131">
            <v>166.06999999999996</v>
          </cell>
          <cell r="K131">
            <v>181.7</v>
          </cell>
          <cell r="L131">
            <v>108.08</v>
          </cell>
        </row>
        <row r="132">
          <cell r="C132">
            <v>15948.05</v>
          </cell>
          <cell r="D132">
            <v>15695.99</v>
          </cell>
          <cell r="E132">
            <v>809</v>
          </cell>
          <cell r="F132">
            <v>17500</v>
          </cell>
          <cell r="G132">
            <v>16452.48</v>
          </cell>
          <cell r="H132">
            <v>16202.14</v>
          </cell>
          <cell r="I132">
            <v>958</v>
          </cell>
          <cell r="J132">
            <v>149.93</v>
          </cell>
          <cell r="K132">
            <v>158.43</v>
          </cell>
          <cell r="L132">
            <v>159.58000000000001</v>
          </cell>
        </row>
        <row r="133">
          <cell r="C133">
            <v>13559.01</v>
          </cell>
          <cell r="D133">
            <v>13325.15</v>
          </cell>
          <cell r="E133">
            <v>809</v>
          </cell>
          <cell r="F133">
            <v>16500</v>
          </cell>
          <cell r="G133">
            <v>17090.86</v>
          </cell>
          <cell r="H133">
            <v>16736.169999999998</v>
          </cell>
          <cell r="I133">
            <v>869</v>
          </cell>
          <cell r="J133">
            <v>195.35</v>
          </cell>
          <cell r="K133">
            <v>195.35</v>
          </cell>
          <cell r="L133">
            <v>125.48</v>
          </cell>
        </row>
        <row r="134">
          <cell r="C134">
            <v>15899.82</v>
          </cell>
          <cell r="D134">
            <v>15682</v>
          </cell>
          <cell r="E134">
            <v>910</v>
          </cell>
          <cell r="F134">
            <v>15700</v>
          </cell>
          <cell r="G134">
            <v>15560.15</v>
          </cell>
          <cell r="H134">
            <v>15328.86</v>
          </cell>
          <cell r="I134">
            <v>875</v>
          </cell>
          <cell r="J134">
            <v>175.43</v>
          </cell>
          <cell r="K134">
            <v>184</v>
          </cell>
          <cell r="L134">
            <v>95.29</v>
          </cell>
        </row>
        <row r="135">
          <cell r="C135">
            <v>16782.28</v>
          </cell>
          <cell r="D135">
            <v>16532.46</v>
          </cell>
          <cell r="E135">
            <v>842</v>
          </cell>
          <cell r="F135">
            <v>16500</v>
          </cell>
          <cell r="G135">
            <v>16882.419999999998</v>
          </cell>
          <cell r="H135">
            <v>16575.66</v>
          </cell>
          <cell r="I135">
            <v>823</v>
          </cell>
          <cell r="J135">
            <v>154.25</v>
          </cell>
          <cell r="K135">
            <v>154.25</v>
          </cell>
          <cell r="L135">
            <v>106.08</v>
          </cell>
        </row>
        <row r="136">
          <cell r="C136">
            <v>11176.76</v>
          </cell>
          <cell r="D136">
            <v>11094.89</v>
          </cell>
          <cell r="E136">
            <v>717</v>
          </cell>
          <cell r="F136">
            <v>11100</v>
          </cell>
          <cell r="G136">
            <v>10135.09</v>
          </cell>
          <cell r="H136">
            <v>9919.1200000000008</v>
          </cell>
          <cell r="I136">
            <v>620</v>
          </cell>
          <cell r="J136">
            <v>125.53</v>
          </cell>
          <cell r="K136">
            <v>125.53</v>
          </cell>
          <cell r="L136">
            <v>129.86000000000001</v>
          </cell>
        </row>
        <row r="137">
          <cell r="C137">
            <v>13556.11</v>
          </cell>
          <cell r="D137">
            <v>13350.26</v>
          </cell>
          <cell r="E137">
            <v>792</v>
          </cell>
          <cell r="F137">
            <v>13300</v>
          </cell>
          <cell r="G137">
            <v>11361.33</v>
          </cell>
          <cell r="H137">
            <v>11169.72</v>
          </cell>
          <cell r="I137">
            <v>682</v>
          </cell>
          <cell r="J137">
            <v>157.47</v>
          </cell>
          <cell r="K137">
            <v>157.47</v>
          </cell>
          <cell r="L137">
            <v>72.83</v>
          </cell>
        </row>
        <row r="138">
          <cell r="C138">
            <v>14527.89</v>
          </cell>
          <cell r="D138">
            <v>14366.64</v>
          </cell>
          <cell r="E138">
            <v>907</v>
          </cell>
          <cell r="F138">
            <v>17000</v>
          </cell>
          <cell r="G138">
            <v>16794.439999999999</v>
          </cell>
          <cell r="H138">
            <v>16447.990000000002</v>
          </cell>
          <cell r="I138">
            <v>922</v>
          </cell>
          <cell r="J138">
            <v>202.75</v>
          </cell>
          <cell r="K138">
            <v>202.75</v>
          </cell>
          <cell r="L138">
            <v>77.59</v>
          </cell>
        </row>
        <row r="139">
          <cell r="C139">
            <v>11781.81</v>
          </cell>
          <cell r="D139">
            <v>11704.32</v>
          </cell>
          <cell r="E139">
            <v>765</v>
          </cell>
          <cell r="F139">
            <v>15700</v>
          </cell>
          <cell r="G139">
            <v>15656.11</v>
          </cell>
          <cell r="H139">
            <v>15357.64</v>
          </cell>
          <cell r="I139">
            <v>785</v>
          </cell>
          <cell r="J139">
            <v>162.54999999999998</v>
          </cell>
          <cell r="K139">
            <v>170.98</v>
          </cell>
          <cell r="L139">
            <v>140.91</v>
          </cell>
        </row>
        <row r="140">
          <cell r="C140">
            <v>15412.83</v>
          </cell>
          <cell r="D140">
            <v>15306.17</v>
          </cell>
          <cell r="E140">
            <v>1007</v>
          </cell>
          <cell r="F140">
            <v>15300</v>
          </cell>
          <cell r="G140">
            <v>13120.94</v>
          </cell>
          <cell r="H140">
            <v>12845.51</v>
          </cell>
          <cell r="I140">
            <v>719</v>
          </cell>
          <cell r="J140">
            <v>205.15</v>
          </cell>
          <cell r="K140">
            <v>213.78</v>
          </cell>
          <cell r="L140">
            <v>72.09</v>
          </cell>
        </row>
        <row r="141">
          <cell r="C141">
            <v>17547.03</v>
          </cell>
          <cell r="D141">
            <v>17376.45</v>
          </cell>
          <cell r="E141">
            <v>977</v>
          </cell>
          <cell r="F141">
            <v>17400</v>
          </cell>
          <cell r="G141">
            <v>13498.95</v>
          </cell>
          <cell r="H141">
            <v>13228.97</v>
          </cell>
          <cell r="I141">
            <v>708</v>
          </cell>
          <cell r="J141">
            <v>188.03</v>
          </cell>
          <cell r="K141">
            <v>196.68</v>
          </cell>
          <cell r="L141">
            <v>77.459999999999994</v>
          </cell>
        </row>
        <row r="142">
          <cell r="C142">
            <v>17132.28</v>
          </cell>
          <cell r="D142">
            <v>17028.810000000001</v>
          </cell>
          <cell r="E142">
            <v>877</v>
          </cell>
          <cell r="F142">
            <v>19300</v>
          </cell>
          <cell r="G142">
            <v>16462.63</v>
          </cell>
          <cell r="H142">
            <v>16179.53</v>
          </cell>
          <cell r="I142">
            <v>751</v>
          </cell>
          <cell r="J142">
            <v>171.3</v>
          </cell>
          <cell r="K142">
            <v>179.8</v>
          </cell>
          <cell r="L142">
            <v>70.38</v>
          </cell>
        </row>
        <row r="143">
          <cell r="C143">
            <v>10519.62</v>
          </cell>
          <cell r="D143">
            <v>10397.19</v>
          </cell>
          <cell r="E143">
            <v>624</v>
          </cell>
          <cell r="F143">
            <v>10400</v>
          </cell>
          <cell r="G143">
            <v>10481.15</v>
          </cell>
          <cell r="H143">
            <v>10332.959999999999</v>
          </cell>
          <cell r="I143">
            <v>648</v>
          </cell>
          <cell r="J143">
            <v>138.97999999999999</v>
          </cell>
          <cell r="K143">
            <v>138.97999999999999</v>
          </cell>
          <cell r="L143">
            <v>295.52999999999997</v>
          </cell>
        </row>
        <row r="144">
          <cell r="C144">
            <v>11727.93</v>
          </cell>
          <cell r="D144">
            <v>11562.16</v>
          </cell>
          <cell r="E144">
            <v>734</v>
          </cell>
          <cell r="F144">
            <v>11600</v>
          </cell>
          <cell r="G144">
            <v>12024.68</v>
          </cell>
          <cell r="H144">
            <v>11807.87</v>
          </cell>
          <cell r="I144">
            <v>700</v>
          </cell>
          <cell r="J144">
            <v>151.80000000000001</v>
          </cell>
          <cell r="K144">
            <v>160.77000000000001</v>
          </cell>
          <cell r="L144">
            <v>39.729999999999997</v>
          </cell>
        </row>
        <row r="145">
          <cell r="C145">
            <v>14478.91</v>
          </cell>
          <cell r="D145">
            <v>14287.28</v>
          </cell>
          <cell r="E145">
            <v>854</v>
          </cell>
          <cell r="F145">
            <v>14300</v>
          </cell>
          <cell r="G145">
            <v>12384.58</v>
          </cell>
          <cell r="H145">
            <v>12174.54</v>
          </cell>
          <cell r="I145">
            <v>761</v>
          </cell>
          <cell r="J145">
            <v>179.42</v>
          </cell>
          <cell r="K145">
            <v>187.7</v>
          </cell>
          <cell r="L145">
            <v>82.19</v>
          </cell>
        </row>
        <row r="146">
          <cell r="C146">
            <v>10486.24</v>
          </cell>
          <cell r="D146">
            <v>10377.14</v>
          </cell>
          <cell r="E146">
            <v>680</v>
          </cell>
          <cell r="F146">
            <v>11800</v>
          </cell>
          <cell r="G146">
            <v>11072.52</v>
          </cell>
          <cell r="H146">
            <v>10888.93</v>
          </cell>
          <cell r="I146">
            <v>688</v>
          </cell>
          <cell r="J146">
            <v>148.45000000000002</v>
          </cell>
          <cell r="K146">
            <v>165.43</v>
          </cell>
          <cell r="L146">
            <v>54.31</v>
          </cell>
        </row>
        <row r="147">
          <cell r="C147">
            <v>18850.71</v>
          </cell>
          <cell r="D147">
            <v>18677.919999999998</v>
          </cell>
          <cell r="E147">
            <v>1063</v>
          </cell>
          <cell r="F147">
            <v>20200</v>
          </cell>
          <cell r="G147">
            <v>15686.66</v>
          </cell>
          <cell r="H147">
            <v>15439.87</v>
          </cell>
          <cell r="I147">
            <v>864</v>
          </cell>
          <cell r="J147">
            <v>188.3</v>
          </cell>
          <cell r="K147">
            <v>206.12</v>
          </cell>
          <cell r="L147">
            <v>80.3</v>
          </cell>
        </row>
        <row r="148">
          <cell r="C148">
            <v>17839.93</v>
          </cell>
          <cell r="D148">
            <v>17567.669999999998</v>
          </cell>
          <cell r="E148">
            <v>933</v>
          </cell>
          <cell r="F148">
            <v>15400</v>
          </cell>
          <cell r="G148">
            <v>14147.05</v>
          </cell>
          <cell r="H148">
            <v>13933.3</v>
          </cell>
          <cell r="I148">
            <v>766</v>
          </cell>
          <cell r="J148">
            <v>167.85</v>
          </cell>
          <cell r="K148">
            <v>176.53</v>
          </cell>
          <cell r="L148">
            <v>68.209999999999994</v>
          </cell>
        </row>
        <row r="149">
          <cell r="C149">
            <v>15496.28</v>
          </cell>
          <cell r="D149">
            <v>15213.06</v>
          </cell>
          <cell r="E149">
            <v>725</v>
          </cell>
          <cell r="F149">
            <v>15200</v>
          </cell>
          <cell r="G149">
            <v>14571.09</v>
          </cell>
          <cell r="H149">
            <v>14254.69</v>
          </cell>
          <cell r="I149">
            <v>726</v>
          </cell>
          <cell r="J149">
            <v>154.13999999999999</v>
          </cell>
          <cell r="K149">
            <v>163.72</v>
          </cell>
          <cell r="L149">
            <v>56.82</v>
          </cell>
        </row>
        <row r="150">
          <cell r="C150">
            <v>11384.93</v>
          </cell>
          <cell r="D150">
            <v>11275.8</v>
          </cell>
          <cell r="E150">
            <v>699</v>
          </cell>
          <cell r="F150">
            <v>18600</v>
          </cell>
          <cell r="G150">
            <v>15139.1</v>
          </cell>
          <cell r="H150">
            <v>14905.21</v>
          </cell>
          <cell r="I150">
            <v>766</v>
          </cell>
          <cell r="J150">
            <v>153.44999999999999</v>
          </cell>
          <cell r="K150">
            <v>162.72999999999999</v>
          </cell>
          <cell r="L150">
            <v>69.92</v>
          </cell>
        </row>
        <row r="151">
          <cell r="C151">
            <v>14016.98</v>
          </cell>
          <cell r="D151">
            <v>13870.96</v>
          </cell>
          <cell r="E151">
            <v>856</v>
          </cell>
          <cell r="F151">
            <v>11400</v>
          </cell>
          <cell r="G151">
            <v>10679.47</v>
          </cell>
          <cell r="H151">
            <v>10505.94</v>
          </cell>
          <cell r="I151">
            <v>630</v>
          </cell>
          <cell r="J151">
            <v>142.60000000000002</v>
          </cell>
          <cell r="K151">
            <v>151.77000000000001</v>
          </cell>
          <cell r="L151">
            <v>82.48</v>
          </cell>
        </row>
        <row r="152">
          <cell r="C152">
            <v>17970.259999999998</v>
          </cell>
          <cell r="D152">
            <v>17714.11</v>
          </cell>
          <cell r="E152">
            <v>949</v>
          </cell>
          <cell r="F152">
            <v>15500</v>
          </cell>
          <cell r="G152">
            <v>13522.8</v>
          </cell>
          <cell r="H152">
            <v>13260.49</v>
          </cell>
          <cell r="I152">
            <v>779</v>
          </cell>
          <cell r="J152">
            <v>187.95</v>
          </cell>
          <cell r="K152">
            <v>206.35</v>
          </cell>
          <cell r="L152">
            <v>120.97</v>
          </cell>
        </row>
        <row r="153">
          <cell r="C153">
            <v>14813.47</v>
          </cell>
          <cell r="D153">
            <v>14629.48</v>
          </cell>
          <cell r="E153">
            <v>781</v>
          </cell>
          <cell r="F153">
            <v>13600</v>
          </cell>
          <cell r="G153">
            <v>11460.29</v>
          </cell>
          <cell r="H153">
            <v>11319.19</v>
          </cell>
          <cell r="I153">
            <v>689</v>
          </cell>
          <cell r="J153">
            <v>131.91</v>
          </cell>
          <cell r="K153">
            <v>141.18</v>
          </cell>
          <cell r="L153">
            <v>69.2</v>
          </cell>
        </row>
        <row r="154">
          <cell r="C154">
            <v>15369.01</v>
          </cell>
          <cell r="D154">
            <v>15147.5</v>
          </cell>
          <cell r="E154">
            <v>832</v>
          </cell>
          <cell r="F154">
            <v>17200</v>
          </cell>
          <cell r="G154">
            <v>17213.77</v>
          </cell>
          <cell r="H154">
            <v>16840.18</v>
          </cell>
          <cell r="I154">
            <v>971</v>
          </cell>
          <cell r="J154">
            <v>192.56000000000003</v>
          </cell>
          <cell r="K154">
            <v>193.68</v>
          </cell>
          <cell r="L154">
            <v>92.25</v>
          </cell>
        </row>
        <row r="155">
          <cell r="C155">
            <v>13379.8</v>
          </cell>
          <cell r="D155">
            <v>13200.86</v>
          </cell>
          <cell r="E155">
            <v>724</v>
          </cell>
          <cell r="F155">
            <v>17000</v>
          </cell>
          <cell r="G155">
            <v>18975.09</v>
          </cell>
          <cell r="H155">
            <v>18640.23</v>
          </cell>
          <cell r="I155">
            <v>990</v>
          </cell>
          <cell r="J155">
            <v>154.58000000000001</v>
          </cell>
          <cell r="K155">
            <v>171.25</v>
          </cell>
          <cell r="L155">
            <v>66.75</v>
          </cell>
        </row>
        <row r="156">
          <cell r="C156">
            <v>20373.48</v>
          </cell>
          <cell r="D156">
            <v>20066.990000000002</v>
          </cell>
          <cell r="E156">
            <v>949</v>
          </cell>
          <cell r="F156">
            <v>19600</v>
          </cell>
          <cell r="G156">
            <v>16558.990000000002</v>
          </cell>
          <cell r="H156">
            <v>16251.14</v>
          </cell>
          <cell r="I156">
            <v>759</v>
          </cell>
          <cell r="J156">
            <v>143.65</v>
          </cell>
          <cell r="K156">
            <v>153.33000000000001</v>
          </cell>
          <cell r="L156">
            <v>185.73</v>
          </cell>
        </row>
        <row r="157">
          <cell r="C157">
            <v>11972.96</v>
          </cell>
          <cell r="D157">
            <v>11791.76</v>
          </cell>
          <cell r="E157">
            <v>692</v>
          </cell>
          <cell r="F157">
            <v>10800</v>
          </cell>
          <cell r="G157">
            <v>11172.19</v>
          </cell>
          <cell r="H157">
            <v>11015.45</v>
          </cell>
          <cell r="I157">
            <v>677</v>
          </cell>
          <cell r="J157">
            <v>135.62</v>
          </cell>
          <cell r="K157">
            <v>144.55000000000001</v>
          </cell>
          <cell r="L157">
            <v>97.03</v>
          </cell>
        </row>
        <row r="158">
          <cell r="C158">
            <v>13432.34</v>
          </cell>
          <cell r="D158">
            <v>13285.7</v>
          </cell>
          <cell r="E158">
            <v>811</v>
          </cell>
          <cell r="F158">
            <v>12000</v>
          </cell>
          <cell r="G158">
            <v>12502.26</v>
          </cell>
          <cell r="H158">
            <v>12268.66</v>
          </cell>
          <cell r="I158">
            <v>704</v>
          </cell>
          <cell r="J158">
            <v>136.41</v>
          </cell>
          <cell r="K158">
            <v>153.68</v>
          </cell>
          <cell r="L158">
            <v>70.2</v>
          </cell>
        </row>
        <row r="159">
          <cell r="C159">
            <v>16144.49</v>
          </cell>
          <cell r="D159">
            <v>15879.44</v>
          </cell>
          <cell r="E159">
            <v>943</v>
          </cell>
          <cell r="F159">
            <v>15000</v>
          </cell>
          <cell r="G159">
            <v>15467.75</v>
          </cell>
          <cell r="H159">
            <v>15096.11</v>
          </cell>
          <cell r="I159">
            <v>912</v>
          </cell>
          <cell r="J159">
            <v>181.07</v>
          </cell>
          <cell r="K159">
            <v>198.12</v>
          </cell>
          <cell r="L159">
            <v>111.16</v>
          </cell>
        </row>
        <row r="160">
          <cell r="C160">
            <v>16527.82</v>
          </cell>
          <cell r="D160">
            <v>16293.23</v>
          </cell>
          <cell r="E160">
            <v>940</v>
          </cell>
          <cell r="F160">
            <v>12000</v>
          </cell>
          <cell r="G160">
            <v>12174.59</v>
          </cell>
          <cell r="H160">
            <v>11928.19</v>
          </cell>
          <cell r="I160">
            <v>727</v>
          </cell>
          <cell r="J160">
            <v>151.29999999999998</v>
          </cell>
          <cell r="K160">
            <v>168.17</v>
          </cell>
          <cell r="L160">
            <v>63.64</v>
          </cell>
        </row>
        <row r="161">
          <cell r="C161">
            <v>20270.68</v>
          </cell>
          <cell r="D161">
            <v>19996.580000000002</v>
          </cell>
          <cell r="E161">
            <v>1185</v>
          </cell>
          <cell r="F161">
            <v>19000</v>
          </cell>
          <cell r="G161">
            <v>19835.22</v>
          </cell>
          <cell r="H161">
            <v>19482.810000000001</v>
          </cell>
          <cell r="I161">
            <v>1070</v>
          </cell>
          <cell r="J161">
            <v>189</v>
          </cell>
          <cell r="K161">
            <v>197.52</v>
          </cell>
          <cell r="L161">
            <v>64.38</v>
          </cell>
        </row>
        <row r="162">
          <cell r="C162">
            <v>19425.45</v>
          </cell>
          <cell r="D162">
            <v>19191.07</v>
          </cell>
          <cell r="E162">
            <v>1025</v>
          </cell>
          <cell r="F162">
            <v>16000</v>
          </cell>
          <cell r="G162">
            <v>17588.84</v>
          </cell>
          <cell r="H162">
            <v>17253.78</v>
          </cell>
          <cell r="I162">
            <v>905</v>
          </cell>
          <cell r="J162">
            <v>176.14000000000001</v>
          </cell>
          <cell r="K162">
            <v>185.52</v>
          </cell>
          <cell r="L162">
            <v>70.63</v>
          </cell>
        </row>
        <row r="163">
          <cell r="C163">
            <v>18663.560000000001</v>
          </cell>
          <cell r="D163">
            <v>18353.18</v>
          </cell>
          <cell r="E163">
            <v>913</v>
          </cell>
          <cell r="F163">
            <v>17000</v>
          </cell>
          <cell r="G163">
            <v>19471.099999999999</v>
          </cell>
          <cell r="H163">
            <v>19176.759999999998</v>
          </cell>
          <cell r="I163">
            <v>896</v>
          </cell>
          <cell r="J163">
            <v>144.48000000000002</v>
          </cell>
          <cell r="K163">
            <v>153.18</v>
          </cell>
          <cell r="L163">
            <v>79.42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D367"/>
          <cell r="E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D368"/>
          <cell r="E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C369" t="str">
            <v/>
          </cell>
          <cell r="D369"/>
          <cell r="E369"/>
          <cell r="F369"/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87">
          <cell r="G387">
            <v>1589.11</v>
          </cell>
          <cell r="H387">
            <v>1419.04</v>
          </cell>
          <cell r="I387">
            <v>1558.53</v>
          </cell>
          <cell r="J387">
            <v>1282.08</v>
          </cell>
          <cell r="K387">
            <v>1684.97</v>
          </cell>
          <cell r="L387">
            <v>247.00000000000003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33.96</v>
          </cell>
          <cell r="H388">
            <v>78.05</v>
          </cell>
          <cell r="I388">
            <v>6.6599999999999948</v>
          </cell>
          <cell r="J388">
            <v>18.509999999999998</v>
          </cell>
          <cell r="K388">
            <v>-157.91999999999999</v>
          </cell>
          <cell r="L388">
            <v>45.88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108.39</v>
          </cell>
          <cell r="H389">
            <v>16.600000000000001</v>
          </cell>
          <cell r="I389">
            <v>85.009999999999991</v>
          </cell>
          <cell r="J389">
            <v>141.15</v>
          </cell>
          <cell r="K389">
            <v>116.53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5"/>
    </sheetNames>
    <sheetDataSet>
      <sheetData sheetId="0">
        <row r="5">
          <cell r="C5">
            <v>19865.669999999998</v>
          </cell>
        </row>
        <row r="6">
          <cell r="C6">
            <v>9545.4699999999993</v>
          </cell>
        </row>
        <row r="7">
          <cell r="C7">
            <v>9972.25</v>
          </cell>
        </row>
        <row r="8">
          <cell r="C8">
            <v>10456.9</v>
          </cell>
        </row>
        <row r="9">
          <cell r="C9">
            <v>11843.87</v>
          </cell>
        </row>
        <row r="10">
          <cell r="C10">
            <v>5589.28</v>
          </cell>
        </row>
        <row r="11">
          <cell r="C11">
            <v>6495.84</v>
          </cell>
        </row>
        <row r="12">
          <cell r="C12">
            <v>7502.91</v>
          </cell>
        </row>
        <row r="13">
          <cell r="C13">
            <v>6198.87</v>
          </cell>
        </row>
        <row r="14">
          <cell r="C14">
            <v>10663.8</v>
          </cell>
        </row>
        <row r="15">
          <cell r="C15">
            <v>9746.83</v>
          </cell>
        </row>
        <row r="16">
          <cell r="C16">
            <v>10741.95</v>
          </cell>
        </row>
        <row r="17">
          <cell r="C17">
            <v>4895.3999999999996</v>
          </cell>
        </row>
        <row r="18">
          <cell r="C18">
            <v>6045.37</v>
          </cell>
        </row>
        <row r="19">
          <cell r="C19">
            <v>7450.71</v>
          </cell>
        </row>
        <row r="20">
          <cell r="C20">
            <v>6591.1</v>
          </cell>
        </row>
        <row r="21">
          <cell r="C21">
            <v>10758.85</v>
          </cell>
        </row>
        <row r="22">
          <cell r="C22">
            <v>10569.88</v>
          </cell>
        </row>
        <row r="23">
          <cell r="C23">
            <v>11537.68</v>
          </cell>
        </row>
        <row r="24">
          <cell r="C24">
            <v>4877.18</v>
          </cell>
        </row>
        <row r="25">
          <cell r="C25">
            <v>6087.65</v>
          </cell>
        </row>
        <row r="26">
          <cell r="C26">
            <v>6874.5</v>
          </cell>
        </row>
        <row r="27">
          <cell r="C27">
            <v>5549.57</v>
          </cell>
        </row>
        <row r="28">
          <cell r="C28">
            <v>10027</v>
          </cell>
        </row>
        <row r="29">
          <cell r="C29">
            <v>11424.38</v>
          </cell>
        </row>
        <row r="30">
          <cell r="C30">
            <v>11852.25</v>
          </cell>
        </row>
        <row r="31">
          <cell r="C31">
            <v>5118.1499999999996</v>
          </cell>
        </row>
        <row r="32">
          <cell r="C32">
            <v>5549.5</v>
          </cell>
        </row>
        <row r="33">
          <cell r="C33">
            <v>8458.8700000000008</v>
          </cell>
        </row>
        <row r="34">
          <cell r="C34">
            <v>6759.25</v>
          </cell>
        </row>
        <row r="35">
          <cell r="C35">
            <v>11416.29</v>
          </cell>
        </row>
        <row r="36">
          <cell r="C36">
            <v>11823.71</v>
          </cell>
        </row>
        <row r="37">
          <cell r="C37">
            <v>11021.5</v>
          </cell>
        </row>
        <row r="38">
          <cell r="C38">
            <v>5022.2700000000004</v>
          </cell>
        </row>
        <row r="39">
          <cell r="C39">
            <v>6007.42</v>
          </cell>
        </row>
        <row r="40">
          <cell r="C40">
            <v>9715.42</v>
          </cell>
        </row>
        <row r="41">
          <cell r="C41">
            <v>6738.11</v>
          </cell>
        </row>
        <row r="42">
          <cell r="C42">
            <v>10952.09</v>
          </cell>
        </row>
        <row r="43">
          <cell r="C43">
            <v>14259.54</v>
          </cell>
        </row>
        <row r="44">
          <cell r="C44">
            <v>13603.85</v>
          </cell>
        </row>
        <row r="45">
          <cell r="C45">
            <v>5487.35</v>
          </cell>
        </row>
        <row r="46">
          <cell r="C46">
            <v>5796.65</v>
          </cell>
        </row>
        <row r="47">
          <cell r="C47">
            <v>8282.98</v>
          </cell>
        </row>
        <row r="48">
          <cell r="C48">
            <v>6492.05</v>
          </cell>
        </row>
        <row r="49">
          <cell r="C49">
            <v>12848</v>
          </cell>
        </row>
        <row r="50">
          <cell r="C50">
            <v>12165.3</v>
          </cell>
        </row>
        <row r="51">
          <cell r="C51">
            <v>13361.17</v>
          </cell>
        </row>
        <row r="52">
          <cell r="C52">
            <v>4611.54</v>
          </cell>
        </row>
        <row r="53">
          <cell r="C53">
            <v>6455.83</v>
          </cell>
        </row>
        <row r="54">
          <cell r="C54">
            <v>8437.4599999999991</v>
          </cell>
        </row>
        <row r="55">
          <cell r="C55">
            <v>6814.02</v>
          </cell>
        </row>
        <row r="56">
          <cell r="C56">
            <v>12079.25</v>
          </cell>
        </row>
        <row r="57">
          <cell r="C57">
            <v>10787.59</v>
          </cell>
        </row>
        <row r="58">
          <cell r="C58">
            <v>12702.21</v>
          </cell>
        </row>
        <row r="59">
          <cell r="C59">
            <v>6818.89</v>
          </cell>
        </row>
        <row r="60">
          <cell r="C60">
            <v>7531.93</v>
          </cell>
        </row>
        <row r="61">
          <cell r="C61">
            <v>8329.7999999999993</v>
          </cell>
        </row>
        <row r="62">
          <cell r="C62">
            <v>8769.5499999999993</v>
          </cell>
        </row>
        <row r="63">
          <cell r="C63">
            <v>12133.24</v>
          </cell>
        </row>
        <row r="64">
          <cell r="C64">
            <v>12084.96</v>
          </cell>
        </row>
        <row r="65">
          <cell r="C65">
            <v>11962.26</v>
          </cell>
        </row>
        <row r="66">
          <cell r="C66">
            <v>7642.85</v>
          </cell>
        </row>
        <row r="67">
          <cell r="C67">
            <v>9304.81</v>
          </cell>
        </row>
        <row r="68">
          <cell r="C68">
            <v>9762.07</v>
          </cell>
        </row>
        <row r="69">
          <cell r="C69">
            <v>9373.59</v>
          </cell>
        </row>
        <row r="70">
          <cell r="C70">
            <v>13271.18</v>
          </cell>
        </row>
        <row r="71">
          <cell r="C71">
            <v>11695.92</v>
          </cell>
        </row>
        <row r="72">
          <cell r="C72">
            <v>13433.33</v>
          </cell>
        </row>
        <row r="73">
          <cell r="C73">
            <v>5173.24</v>
          </cell>
        </row>
        <row r="74">
          <cell r="C74">
            <v>5466.92</v>
          </cell>
        </row>
        <row r="75">
          <cell r="C75">
            <v>6999.85</v>
          </cell>
        </row>
        <row r="76">
          <cell r="C76">
            <v>5572.52</v>
          </cell>
        </row>
        <row r="77">
          <cell r="C77">
            <v>9927.32</v>
          </cell>
        </row>
        <row r="78">
          <cell r="C78">
            <v>11175.82</v>
          </cell>
        </row>
        <row r="79">
          <cell r="C79">
            <v>10622.2</v>
          </cell>
        </row>
        <row r="80">
          <cell r="C80">
            <v>4607.24</v>
          </cell>
        </row>
        <row r="81">
          <cell r="C81">
            <v>6269.21</v>
          </cell>
        </row>
        <row r="82">
          <cell r="C82">
            <v>7827.81</v>
          </cell>
        </row>
        <row r="83">
          <cell r="C83">
            <v>5858.6</v>
          </cell>
        </row>
        <row r="84">
          <cell r="C84">
            <v>10073.959999999999</v>
          </cell>
        </row>
        <row r="85">
          <cell r="C85">
            <v>12172.48</v>
          </cell>
        </row>
        <row r="86">
          <cell r="C86">
            <v>13794.58</v>
          </cell>
        </row>
        <row r="87">
          <cell r="C87">
            <v>4869.4799999999996</v>
          </cell>
        </row>
        <row r="88">
          <cell r="C88">
            <v>6024.6</v>
          </cell>
        </row>
        <row r="89">
          <cell r="C89">
            <v>8926.43</v>
          </cell>
        </row>
        <row r="90">
          <cell r="C90">
            <v>6696.22</v>
          </cell>
        </row>
        <row r="91">
          <cell r="C91">
            <v>11532.04</v>
          </cell>
        </row>
        <row r="92">
          <cell r="C92">
            <v>13413.89</v>
          </cell>
        </row>
        <row r="93">
          <cell r="C93">
            <v>14780.36</v>
          </cell>
        </row>
        <row r="94">
          <cell r="C94">
            <v>5415.96</v>
          </cell>
        </row>
        <row r="95">
          <cell r="C95">
            <v>7522.22</v>
          </cell>
        </row>
        <row r="96">
          <cell r="C96">
            <v>10554.24</v>
          </cell>
        </row>
        <row r="97">
          <cell r="C97">
            <v>8216.2900000000009</v>
          </cell>
        </row>
        <row r="98">
          <cell r="C98">
            <v>11730.62</v>
          </cell>
        </row>
        <row r="99">
          <cell r="C99">
            <v>14191.91</v>
          </cell>
        </row>
        <row r="100">
          <cell r="C100">
            <v>14334.79</v>
          </cell>
        </row>
        <row r="101">
          <cell r="C101">
            <v>6091.05</v>
          </cell>
        </row>
        <row r="102">
          <cell r="C102">
            <v>7336.18</v>
          </cell>
        </row>
        <row r="103">
          <cell r="C103">
            <v>8577.92</v>
          </cell>
        </row>
        <row r="104">
          <cell r="C104">
            <v>6986.96</v>
          </cell>
        </row>
        <row r="105">
          <cell r="C105">
            <v>12388.39</v>
          </cell>
        </row>
        <row r="106">
          <cell r="C106">
            <v>13178.22</v>
          </cell>
        </row>
        <row r="107">
          <cell r="C107">
            <v>12656.28</v>
          </cell>
        </row>
        <row r="108">
          <cell r="C108">
            <v>5073.41</v>
          </cell>
        </row>
        <row r="109">
          <cell r="C109">
            <v>7756.63</v>
          </cell>
        </row>
        <row r="110">
          <cell r="C110">
            <v>8444.07</v>
          </cell>
        </row>
        <row r="111">
          <cell r="C111">
            <v>7089.19</v>
          </cell>
        </row>
        <row r="112">
          <cell r="C112">
            <v>12859.54</v>
          </cell>
        </row>
        <row r="113">
          <cell r="C113">
            <v>12893.46</v>
          </cell>
        </row>
        <row r="114">
          <cell r="C114">
            <v>10031.94</v>
          </cell>
        </row>
        <row r="115">
          <cell r="C115">
            <v>11468.23</v>
          </cell>
        </row>
        <row r="116">
          <cell r="C116">
            <v>8457.27</v>
          </cell>
        </row>
        <row r="117">
          <cell r="C117">
            <v>7408.82</v>
          </cell>
        </row>
        <row r="118">
          <cell r="C118">
            <v>8686.59</v>
          </cell>
        </row>
        <row r="119">
          <cell r="C119">
            <v>11057.23</v>
          </cell>
        </row>
        <row r="120">
          <cell r="C120">
            <v>11037.15</v>
          </cell>
        </row>
        <row r="121">
          <cell r="C121">
            <v>12952.33</v>
          </cell>
        </row>
        <row r="122">
          <cell r="C122">
            <v>7768.17</v>
          </cell>
        </row>
        <row r="123">
          <cell r="C123">
            <v>8993.4</v>
          </cell>
        </row>
        <row r="124">
          <cell r="C124">
            <v>9619.5400000000009</v>
          </cell>
        </row>
        <row r="125">
          <cell r="C125">
            <v>15723.42</v>
          </cell>
        </row>
        <row r="126">
          <cell r="C126">
            <v>11371</v>
          </cell>
        </row>
        <row r="127">
          <cell r="C127">
            <v>11039.08</v>
          </cell>
        </row>
        <row r="128">
          <cell r="C128">
            <v>13266.49</v>
          </cell>
        </row>
        <row r="129">
          <cell r="C129">
            <v>5518.42</v>
          </cell>
        </row>
        <row r="130">
          <cell r="C130">
            <v>6767.53</v>
          </cell>
        </row>
        <row r="131">
          <cell r="C131">
            <v>10545.38</v>
          </cell>
        </row>
        <row r="132">
          <cell r="C132">
            <v>11446.18</v>
          </cell>
        </row>
        <row r="133">
          <cell r="C133">
            <v>9561.15</v>
          </cell>
        </row>
        <row r="134">
          <cell r="C134">
            <v>10802.98</v>
          </cell>
        </row>
        <row r="135">
          <cell r="C135">
            <v>12973.63</v>
          </cell>
        </row>
        <row r="136">
          <cell r="C136">
            <v>4824.3500000000004</v>
          </cell>
        </row>
        <row r="137">
          <cell r="C137">
            <v>6824.68</v>
          </cell>
        </row>
        <row r="138">
          <cell r="C138">
            <v>9093.6200000000008</v>
          </cell>
        </row>
        <row r="139">
          <cell r="C139">
            <v>8113.74</v>
          </cell>
        </row>
        <row r="140">
          <cell r="C140">
            <v>10916.38</v>
          </cell>
        </row>
        <row r="141">
          <cell r="C141">
            <v>10491.14</v>
          </cell>
        </row>
        <row r="142">
          <cell r="C142">
            <v>14010.5</v>
          </cell>
        </row>
        <row r="143">
          <cell r="C143">
            <v>6604.72</v>
          </cell>
        </row>
        <row r="144">
          <cell r="C144">
            <v>5949.5</v>
          </cell>
        </row>
        <row r="145">
          <cell r="C145">
            <v>7907.2</v>
          </cell>
        </row>
        <row r="146">
          <cell r="C146">
            <v>7408.1</v>
          </cell>
        </row>
        <row r="147">
          <cell r="C147">
            <v>10577.67</v>
          </cell>
        </row>
        <row r="148">
          <cell r="C148">
            <v>12514.43</v>
          </cell>
        </row>
        <row r="149">
          <cell r="C149">
            <v>11040.16</v>
          </cell>
        </row>
        <row r="150">
          <cell r="C150">
            <v>5682.72</v>
          </cell>
        </row>
        <row r="151">
          <cell r="C151">
            <v>6986.42</v>
          </cell>
        </row>
        <row r="152">
          <cell r="C152">
            <v>12361.06</v>
          </cell>
        </row>
        <row r="153">
          <cell r="C153">
            <v>13142.5</v>
          </cell>
        </row>
        <row r="154">
          <cell r="C154">
            <v>11767.78</v>
          </cell>
        </row>
        <row r="155">
          <cell r="C155">
            <v>10553.29</v>
          </cell>
        </row>
        <row r="156">
          <cell r="C156">
            <v>15836.92</v>
          </cell>
        </row>
        <row r="157">
          <cell r="C157">
            <v>6292.79</v>
          </cell>
        </row>
        <row r="158">
          <cell r="C158">
            <v>7795.8</v>
          </cell>
        </row>
        <row r="159">
          <cell r="C159">
            <v>9380.1299999999992</v>
          </cell>
        </row>
        <row r="160">
          <cell r="C160">
            <v>8862.66</v>
          </cell>
        </row>
        <row r="161">
          <cell r="C161">
            <v>13277.46</v>
          </cell>
        </row>
        <row r="162">
          <cell r="C162">
            <v>12187.9</v>
          </cell>
        </row>
        <row r="163">
          <cell r="C163">
            <v>13569.64</v>
          </cell>
        </row>
        <row r="164">
          <cell r="C164">
            <v>15281.73</v>
          </cell>
        </row>
        <row r="165">
          <cell r="C165">
            <v>6736.11</v>
          </cell>
        </row>
        <row r="166">
          <cell r="C166">
            <v>8980.9</v>
          </cell>
        </row>
        <row r="167">
          <cell r="C167">
            <v>7730</v>
          </cell>
        </row>
        <row r="168">
          <cell r="C168">
            <v>11435.02</v>
          </cell>
        </row>
        <row r="169">
          <cell r="C169">
            <v>11086.95</v>
          </cell>
        </row>
        <row r="170">
          <cell r="C170">
            <v>12653.41</v>
          </cell>
        </row>
        <row r="171">
          <cell r="C171">
            <v>7137.25</v>
          </cell>
        </row>
        <row r="172">
          <cell r="C172">
            <v>7981.61</v>
          </cell>
        </row>
        <row r="173">
          <cell r="C173">
            <v>8971.0499999999993</v>
          </cell>
        </row>
        <row r="174">
          <cell r="C174">
            <v>6988.7</v>
          </cell>
        </row>
        <row r="175">
          <cell r="C175">
            <v>12345.14</v>
          </cell>
        </row>
        <row r="176">
          <cell r="C176">
            <v>9606.68</v>
          </cell>
        </row>
        <row r="177">
          <cell r="C177">
            <v>14039.17</v>
          </cell>
        </row>
        <row r="178">
          <cell r="C178">
            <v>6588.89</v>
          </cell>
        </row>
        <row r="179">
          <cell r="C179">
            <v>7336.12</v>
          </cell>
        </row>
        <row r="180">
          <cell r="C180">
            <v>8324.8799999999992</v>
          </cell>
        </row>
        <row r="181">
          <cell r="C181">
            <v>8198.75</v>
          </cell>
        </row>
        <row r="182">
          <cell r="C182">
            <v>12307.47</v>
          </cell>
        </row>
        <row r="183">
          <cell r="C183">
            <v>10104.65</v>
          </cell>
        </row>
        <row r="184">
          <cell r="C184">
            <v>15639.61</v>
          </cell>
        </row>
        <row r="185">
          <cell r="C185">
            <v>7690.62</v>
          </cell>
        </row>
        <row r="186">
          <cell r="C186">
            <v>10425.52</v>
          </cell>
        </row>
        <row r="187">
          <cell r="C187">
            <v>11732.84</v>
          </cell>
        </row>
        <row r="188">
          <cell r="C188">
            <v>10928.83</v>
          </cell>
        </row>
        <row r="189">
          <cell r="C189">
            <v>14600.65</v>
          </cell>
        </row>
        <row r="190">
          <cell r="C190">
            <v>12451.6</v>
          </cell>
        </row>
        <row r="191">
          <cell r="C191">
            <v>18056.04</v>
          </cell>
        </row>
        <row r="192">
          <cell r="C192">
            <v>9662.35</v>
          </cell>
        </row>
        <row r="193">
          <cell r="C193">
            <v>10315.86</v>
          </cell>
        </row>
        <row r="194">
          <cell r="C194">
            <v>10956.69</v>
          </cell>
        </row>
        <row r="195">
          <cell r="C195">
            <v>9826.5300000000007</v>
          </cell>
        </row>
        <row r="196">
          <cell r="C196">
            <v>12859.81</v>
          </cell>
        </row>
        <row r="197">
          <cell r="C197">
            <v>11380.39</v>
          </cell>
        </row>
        <row r="198">
          <cell r="C198">
            <v>12961.76</v>
          </cell>
        </row>
        <row r="199">
          <cell r="C199">
            <v>15089.98</v>
          </cell>
        </row>
        <row r="200">
          <cell r="C200">
            <v>8266.66</v>
          </cell>
        </row>
        <row r="201">
          <cell r="C201">
            <v>7538.98</v>
          </cell>
        </row>
        <row r="202">
          <cell r="C202">
            <v>9544.32</v>
          </cell>
        </row>
        <row r="203">
          <cell r="C203">
            <v>10406.81</v>
          </cell>
        </row>
        <row r="204">
          <cell r="C204">
            <v>11925.66</v>
          </cell>
        </row>
        <row r="205">
          <cell r="C205">
            <v>13192.82</v>
          </cell>
        </row>
        <row r="206">
          <cell r="C206">
            <v>7799.62</v>
          </cell>
        </row>
        <row r="207">
          <cell r="C207">
            <v>8999.41</v>
          </cell>
        </row>
        <row r="208">
          <cell r="C208">
            <v>8456.09</v>
          </cell>
        </row>
        <row r="209">
          <cell r="C209">
            <v>10224.36</v>
          </cell>
        </row>
        <row r="210">
          <cell r="C210">
            <v>12484.03</v>
          </cell>
        </row>
        <row r="211">
          <cell r="C211">
            <v>10905.87</v>
          </cell>
        </row>
        <row r="212">
          <cell r="C212">
            <v>14316.64</v>
          </cell>
        </row>
        <row r="213">
          <cell r="C213">
            <v>8005.19</v>
          </cell>
        </row>
        <row r="214">
          <cell r="C214">
            <v>9499.94</v>
          </cell>
        </row>
        <row r="215">
          <cell r="C215">
            <v>10141.89</v>
          </cell>
        </row>
        <row r="216">
          <cell r="C216">
            <v>11567.62</v>
          </cell>
        </row>
        <row r="217">
          <cell r="C217">
            <v>12934.93</v>
          </cell>
        </row>
        <row r="218">
          <cell r="C218">
            <v>12895.32</v>
          </cell>
        </row>
        <row r="219">
          <cell r="C219">
            <v>17403.28</v>
          </cell>
        </row>
        <row r="220">
          <cell r="C220">
            <v>9876.64</v>
          </cell>
        </row>
        <row r="221">
          <cell r="C221">
            <v>10231.24</v>
          </cell>
        </row>
        <row r="222">
          <cell r="C222">
            <v>10207.1</v>
          </cell>
        </row>
        <row r="223">
          <cell r="C223">
            <v>9508.4500000000007</v>
          </cell>
        </row>
        <row r="224">
          <cell r="C224">
            <v>11471.46</v>
          </cell>
        </row>
        <row r="225">
          <cell r="C225">
            <v>10680.01</v>
          </cell>
        </row>
        <row r="226">
          <cell r="C226">
            <v>12945.19</v>
          </cell>
        </row>
        <row r="227">
          <cell r="C227">
            <v>8509.3700000000008</v>
          </cell>
        </row>
        <row r="228">
          <cell r="C228">
            <v>10104.879999999999</v>
          </cell>
        </row>
        <row r="229">
          <cell r="C229">
            <v>8659.41</v>
          </cell>
        </row>
        <row r="230">
          <cell r="C230">
            <v>11155.13</v>
          </cell>
        </row>
        <row r="231">
          <cell r="C231">
            <v>12056.85</v>
          </cell>
        </row>
        <row r="232">
          <cell r="C232">
            <v>10627.08</v>
          </cell>
        </row>
        <row r="233">
          <cell r="C233">
            <v>15060.14</v>
          </cell>
        </row>
        <row r="234">
          <cell r="C234">
            <v>9233.0499999999993</v>
          </cell>
        </row>
        <row r="235">
          <cell r="C235">
            <v>9666.66</v>
          </cell>
        </row>
        <row r="236">
          <cell r="C236">
            <v>9162.7800000000007</v>
          </cell>
        </row>
        <row r="237">
          <cell r="C237">
            <v>10034.93</v>
          </cell>
        </row>
        <row r="238">
          <cell r="C238">
            <v>11643.65</v>
          </cell>
        </row>
        <row r="239">
          <cell r="C239">
            <v>9256.02</v>
          </cell>
        </row>
        <row r="240">
          <cell r="C240">
            <v>13827.61</v>
          </cell>
        </row>
        <row r="241">
          <cell r="C241">
            <v>8361.09</v>
          </cell>
        </row>
        <row r="242">
          <cell r="C242">
            <v>8362.36</v>
          </cell>
        </row>
        <row r="243">
          <cell r="C243">
            <v>9554.56</v>
          </cell>
        </row>
        <row r="244">
          <cell r="C244">
            <v>9694.5499999999993</v>
          </cell>
        </row>
        <row r="245">
          <cell r="C245">
            <v>12458.72</v>
          </cell>
        </row>
        <row r="246">
          <cell r="C246">
            <v>11700.73</v>
          </cell>
        </row>
        <row r="247">
          <cell r="C247">
            <v>15588.34</v>
          </cell>
        </row>
        <row r="248">
          <cell r="C248">
            <v>8106.55</v>
          </cell>
        </row>
        <row r="249">
          <cell r="C249">
            <v>6380.49</v>
          </cell>
        </row>
        <row r="250">
          <cell r="C250">
            <v>9280.57</v>
          </cell>
        </row>
        <row r="251">
          <cell r="C251">
            <v>6920.84</v>
          </cell>
        </row>
        <row r="252">
          <cell r="C252">
            <v>12909.45</v>
          </cell>
        </row>
        <row r="253">
          <cell r="C253">
            <v>12869.66</v>
          </cell>
        </row>
        <row r="254">
          <cell r="C254">
            <v>15463.98</v>
          </cell>
        </row>
        <row r="255">
          <cell r="C255">
            <v>6076.27</v>
          </cell>
        </row>
        <row r="256">
          <cell r="C256">
            <v>7094.64</v>
          </cell>
        </row>
        <row r="257">
          <cell r="C257">
            <v>9194.09</v>
          </cell>
        </row>
        <row r="258">
          <cell r="C258">
            <v>7435.02</v>
          </cell>
        </row>
        <row r="259">
          <cell r="C259">
            <v>12447.21</v>
          </cell>
        </row>
        <row r="260">
          <cell r="C260">
            <v>10936.87</v>
          </cell>
        </row>
        <row r="261">
          <cell r="C261">
            <v>13138.62</v>
          </cell>
        </row>
        <row r="262">
          <cell r="C262">
            <v>6263.38</v>
          </cell>
        </row>
        <row r="263">
          <cell r="C263">
            <v>6217.48</v>
          </cell>
        </row>
        <row r="264">
          <cell r="C264">
            <v>8665.34</v>
          </cell>
        </row>
        <row r="265">
          <cell r="C265">
            <v>6921.85</v>
          </cell>
        </row>
        <row r="266">
          <cell r="C266">
            <v>11114.37</v>
          </cell>
        </row>
        <row r="267">
          <cell r="C267">
            <v>10752.28</v>
          </cell>
        </row>
        <row r="268">
          <cell r="C268">
            <v>12336.04</v>
          </cell>
        </row>
        <row r="269">
          <cell r="C269">
            <v>4849.2</v>
          </cell>
        </row>
        <row r="270">
          <cell r="C270">
            <v>5630.71</v>
          </cell>
        </row>
        <row r="271">
          <cell r="C271">
            <v>7444.41</v>
          </cell>
        </row>
        <row r="272">
          <cell r="C272">
            <v>6897.64</v>
          </cell>
        </row>
        <row r="273">
          <cell r="C273">
            <v>10487.86</v>
          </cell>
        </row>
        <row r="274">
          <cell r="C274">
            <v>12257.28</v>
          </cell>
        </row>
        <row r="275">
          <cell r="C275">
            <v>12549.99</v>
          </cell>
        </row>
        <row r="276">
          <cell r="C276">
            <v>5346.83</v>
          </cell>
        </row>
        <row r="277">
          <cell r="C277">
            <v>6072.93</v>
          </cell>
        </row>
        <row r="278">
          <cell r="C278">
            <v>8615.5300000000007</v>
          </cell>
        </row>
        <row r="279">
          <cell r="C279">
            <v>7718.57</v>
          </cell>
        </row>
        <row r="280">
          <cell r="C280">
            <v>11076.48</v>
          </cell>
        </row>
        <row r="281">
          <cell r="C281">
            <v>12243.12</v>
          </cell>
        </row>
        <row r="282">
          <cell r="C282">
            <v>14520.33</v>
          </cell>
        </row>
        <row r="283">
          <cell r="C283">
            <v>5239.17</v>
          </cell>
        </row>
        <row r="284">
          <cell r="C284">
            <v>7049.21</v>
          </cell>
        </row>
        <row r="285">
          <cell r="C285">
            <v>9382.4699999999993</v>
          </cell>
        </row>
        <row r="286">
          <cell r="C286">
            <v>7438.84</v>
          </cell>
        </row>
        <row r="287">
          <cell r="C287">
            <v>12505.46</v>
          </cell>
        </row>
        <row r="288">
          <cell r="C288">
            <v>14025.77</v>
          </cell>
        </row>
        <row r="289">
          <cell r="C289">
            <v>15036.73</v>
          </cell>
        </row>
        <row r="290">
          <cell r="C290">
            <v>5613.19</v>
          </cell>
        </row>
        <row r="291">
          <cell r="C291">
            <v>5698.15</v>
          </cell>
        </row>
        <row r="292">
          <cell r="C292">
            <v>8712.64</v>
          </cell>
        </row>
        <row r="293">
          <cell r="C293">
            <v>7343.55</v>
          </cell>
        </row>
        <row r="294">
          <cell r="C294">
            <v>13102.92</v>
          </cell>
        </row>
        <row r="295">
          <cell r="C295">
            <v>11500.48</v>
          </cell>
        </row>
        <row r="296">
          <cell r="C296">
            <v>13551.57</v>
          </cell>
        </row>
        <row r="297">
          <cell r="C297">
            <v>6919.78</v>
          </cell>
        </row>
        <row r="298">
          <cell r="C298">
            <v>7303.52</v>
          </cell>
        </row>
        <row r="299">
          <cell r="C299">
            <v>7406.5</v>
          </cell>
        </row>
        <row r="300">
          <cell r="C300">
            <v>8332.42</v>
          </cell>
        </row>
        <row r="301">
          <cell r="C301">
            <v>12561.06</v>
          </cell>
        </row>
        <row r="302">
          <cell r="C302">
            <v>10578.96</v>
          </cell>
        </row>
        <row r="303">
          <cell r="C303">
            <v>12848.19</v>
          </cell>
        </row>
        <row r="304">
          <cell r="C304">
            <v>6260.62</v>
          </cell>
        </row>
        <row r="305">
          <cell r="C305">
            <v>8749.98</v>
          </cell>
        </row>
        <row r="306">
          <cell r="C306">
            <v>8580.98</v>
          </cell>
        </row>
        <row r="307">
          <cell r="C307">
            <v>9927.5499999999993</v>
          </cell>
        </row>
        <row r="308">
          <cell r="C308">
            <v>13435.03</v>
          </cell>
        </row>
        <row r="309">
          <cell r="C309">
            <v>13143.67</v>
          </cell>
        </row>
        <row r="310">
          <cell r="C310">
            <v>12906.72</v>
          </cell>
        </row>
        <row r="311">
          <cell r="C311">
            <v>5266.33</v>
          </cell>
        </row>
        <row r="312">
          <cell r="C312">
            <v>6315.78</v>
          </cell>
        </row>
        <row r="313">
          <cell r="C313">
            <v>8031.59</v>
          </cell>
        </row>
        <row r="314">
          <cell r="C314">
            <v>6454.41</v>
          </cell>
        </row>
        <row r="315">
          <cell r="C315">
            <v>11086.46</v>
          </cell>
        </row>
        <row r="316">
          <cell r="C316">
            <v>12080.68</v>
          </cell>
        </row>
        <row r="317">
          <cell r="C317">
            <v>11903.64</v>
          </cell>
        </row>
        <row r="318">
          <cell r="C318">
            <v>8484.93</v>
          </cell>
        </row>
        <row r="319">
          <cell r="C319">
            <v>13015.2</v>
          </cell>
        </row>
        <row r="320">
          <cell r="C320">
            <v>7722.53</v>
          </cell>
        </row>
        <row r="321">
          <cell r="C321">
            <v>6086.75</v>
          </cell>
        </row>
        <row r="322">
          <cell r="C322">
            <v>10649.94</v>
          </cell>
        </row>
        <row r="323">
          <cell r="C323">
            <v>9650.16</v>
          </cell>
        </row>
        <row r="324">
          <cell r="C324">
            <v>11782.36</v>
          </cell>
        </row>
        <row r="325">
          <cell r="C325">
            <v>4882.34</v>
          </cell>
        </row>
        <row r="326">
          <cell r="C326">
            <v>6515.68</v>
          </cell>
        </row>
        <row r="327">
          <cell r="C327">
            <v>7533.59</v>
          </cell>
        </row>
        <row r="328">
          <cell r="C328">
            <v>6598.7</v>
          </cell>
        </row>
        <row r="329">
          <cell r="C329">
            <v>10080.530000000001</v>
          </cell>
        </row>
        <row r="330">
          <cell r="C330">
            <v>8577.4599999999991</v>
          </cell>
        </row>
        <row r="331">
          <cell r="C331">
            <v>10391.64</v>
          </cell>
        </row>
        <row r="332">
          <cell r="C332">
            <v>4872.17</v>
          </cell>
        </row>
        <row r="333">
          <cell r="C333">
            <v>5495.68</v>
          </cell>
        </row>
        <row r="334">
          <cell r="C334">
            <v>7672.53</v>
          </cell>
        </row>
        <row r="335">
          <cell r="C335">
            <v>7178.03</v>
          </cell>
        </row>
        <row r="336">
          <cell r="C336">
            <v>12062.84</v>
          </cell>
        </row>
        <row r="337">
          <cell r="C337">
            <v>10933.94</v>
          </cell>
        </row>
        <row r="338">
          <cell r="C338">
            <v>12414.64</v>
          </cell>
        </row>
        <row r="339">
          <cell r="C339">
            <v>4657.1099999999997</v>
          </cell>
        </row>
        <row r="340">
          <cell r="C340">
            <v>6383.99</v>
          </cell>
        </row>
        <row r="341">
          <cell r="C341">
            <v>7443.83</v>
          </cell>
        </row>
        <row r="342">
          <cell r="C342">
            <v>7566.8</v>
          </cell>
        </row>
        <row r="343">
          <cell r="C343">
            <v>11217.73</v>
          </cell>
        </row>
        <row r="344">
          <cell r="C344">
            <v>14217.15</v>
          </cell>
        </row>
        <row r="345">
          <cell r="C345">
            <v>12418.86</v>
          </cell>
        </row>
        <row r="346">
          <cell r="C346">
            <v>7280.91</v>
          </cell>
        </row>
        <row r="347">
          <cell r="C347">
            <v>6321.5</v>
          </cell>
        </row>
        <row r="348">
          <cell r="C348">
            <v>9587.67</v>
          </cell>
        </row>
        <row r="349">
          <cell r="C349">
            <v>7818.01</v>
          </cell>
        </row>
        <row r="350">
          <cell r="C350">
            <v>12033.98</v>
          </cell>
        </row>
        <row r="351">
          <cell r="C351">
            <v>14286.3</v>
          </cell>
        </row>
        <row r="352">
          <cell r="C352">
            <v>13475.38</v>
          </cell>
        </row>
        <row r="353">
          <cell r="C353">
            <v>0</v>
          </cell>
        </row>
        <row r="354">
          <cell r="C354">
            <v>0</v>
          </cell>
        </row>
        <row r="355">
          <cell r="C355">
            <v>0</v>
          </cell>
        </row>
        <row r="356">
          <cell r="C356">
            <v>0</v>
          </cell>
        </row>
        <row r="357">
          <cell r="C357">
            <v>0</v>
          </cell>
        </row>
        <row r="358">
          <cell r="C358">
            <v>0</v>
          </cell>
        </row>
        <row r="359">
          <cell r="C359">
            <v>0</v>
          </cell>
        </row>
        <row r="360">
          <cell r="C360">
            <v>0</v>
          </cell>
        </row>
        <row r="361">
          <cell r="C361">
            <v>0</v>
          </cell>
        </row>
        <row r="362">
          <cell r="C362">
            <v>0</v>
          </cell>
        </row>
        <row r="363">
          <cell r="C363">
            <v>0</v>
          </cell>
        </row>
        <row r="364">
          <cell r="C364">
            <v>0</v>
          </cell>
        </row>
        <row r="365">
          <cell r="C365">
            <v>0</v>
          </cell>
        </row>
        <row r="366">
          <cell r="C366">
            <v>0</v>
          </cell>
        </row>
        <row r="367">
          <cell r="C367">
            <v>0</v>
          </cell>
        </row>
        <row r="368">
          <cell r="C368">
            <v>0</v>
          </cell>
        </row>
        <row r="369">
          <cell r="C369">
            <v>0</v>
          </cell>
        </row>
        <row r="370">
          <cell r="C370">
            <v>0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C6">
            <v>9545.4699999999993</v>
          </cell>
          <cell r="D6">
            <v>9399</v>
          </cell>
          <cell r="E6">
            <v>444</v>
          </cell>
          <cell r="F6">
            <v>19100</v>
          </cell>
          <cell r="G6">
            <v>19334.09</v>
          </cell>
          <cell r="H6">
            <v>19203.37</v>
          </cell>
          <cell r="I6">
            <v>725</v>
          </cell>
          <cell r="J6">
            <v>149.32</v>
          </cell>
          <cell r="K6">
            <v>175.16</v>
          </cell>
          <cell r="L6">
            <v>49.67</v>
          </cell>
        </row>
        <row r="7">
          <cell r="C7">
            <v>9972.25</v>
          </cell>
          <cell r="D7">
            <v>9833.01</v>
          </cell>
          <cell r="E7">
            <v>458</v>
          </cell>
          <cell r="F7">
            <v>9900</v>
          </cell>
          <cell r="G7">
            <v>13008.92</v>
          </cell>
          <cell r="H7">
            <v>12892.55</v>
          </cell>
          <cell r="I7">
            <v>541</v>
          </cell>
          <cell r="J7">
            <v>116.65</v>
          </cell>
          <cell r="K7">
            <v>125.06</v>
          </cell>
          <cell r="L7">
            <v>27.15</v>
          </cell>
        </row>
        <row r="8">
          <cell r="C8">
            <v>10456.9</v>
          </cell>
          <cell r="D8">
            <v>10299.85</v>
          </cell>
          <cell r="E8">
            <v>456</v>
          </cell>
          <cell r="F8">
            <v>10400</v>
          </cell>
          <cell r="G8">
            <v>12873.35</v>
          </cell>
          <cell r="H8">
            <v>12769.96</v>
          </cell>
          <cell r="I8">
            <v>534</v>
          </cell>
          <cell r="J8">
            <v>118.06</v>
          </cell>
          <cell r="K8">
            <v>127.17</v>
          </cell>
          <cell r="L8">
            <v>104.82</v>
          </cell>
        </row>
        <row r="9">
          <cell r="C9">
            <v>11843.87</v>
          </cell>
          <cell r="D9">
            <v>11671.71</v>
          </cell>
          <cell r="E9">
            <v>500</v>
          </cell>
          <cell r="F9">
            <v>11800</v>
          </cell>
          <cell r="G9">
            <v>11382.4</v>
          </cell>
          <cell r="H9">
            <v>11297.24</v>
          </cell>
          <cell r="I9">
            <v>437</v>
          </cell>
          <cell r="J9">
            <v>115.62</v>
          </cell>
          <cell r="K9">
            <v>130.15</v>
          </cell>
          <cell r="L9">
            <v>74.58</v>
          </cell>
        </row>
        <row r="10">
          <cell r="C10">
            <v>5589.28</v>
          </cell>
          <cell r="D10">
            <v>5551.28</v>
          </cell>
          <cell r="E10">
            <v>288</v>
          </cell>
          <cell r="F10">
            <v>5600</v>
          </cell>
          <cell r="G10">
            <v>5383.25</v>
          </cell>
          <cell r="H10">
            <v>5340.97</v>
          </cell>
          <cell r="I10">
            <v>261</v>
          </cell>
          <cell r="J10">
            <v>74.64</v>
          </cell>
          <cell r="K10">
            <v>83.11</v>
          </cell>
          <cell r="L10">
            <v>103.53</v>
          </cell>
        </row>
        <row r="11">
          <cell r="C11">
            <v>6495.84</v>
          </cell>
          <cell r="D11">
            <v>6453.05</v>
          </cell>
          <cell r="E11">
            <v>313</v>
          </cell>
          <cell r="F11">
            <v>6500</v>
          </cell>
          <cell r="G11">
            <v>5087.29</v>
          </cell>
          <cell r="H11">
            <v>5058.67</v>
          </cell>
          <cell r="I11">
            <v>246</v>
          </cell>
          <cell r="J11">
            <v>74.83</v>
          </cell>
          <cell r="K11">
            <v>83.13</v>
          </cell>
          <cell r="L11">
            <v>80.209999999999994</v>
          </cell>
        </row>
        <row r="12">
          <cell r="C12">
            <v>7502.91</v>
          </cell>
          <cell r="D12">
            <v>7431.69</v>
          </cell>
          <cell r="E12">
            <v>381</v>
          </cell>
          <cell r="F12">
            <v>7500</v>
          </cell>
          <cell r="G12">
            <v>6528.99</v>
          </cell>
          <cell r="H12">
            <v>6455.46</v>
          </cell>
          <cell r="I12">
            <v>342</v>
          </cell>
          <cell r="J12">
            <v>105.64</v>
          </cell>
          <cell r="K12">
            <v>121.47</v>
          </cell>
          <cell r="L12">
            <v>28.05</v>
          </cell>
        </row>
        <row r="13">
          <cell r="C13">
            <v>6198.87</v>
          </cell>
          <cell r="D13">
            <v>6142.24</v>
          </cell>
          <cell r="E13">
            <v>334</v>
          </cell>
          <cell r="F13">
            <v>6200</v>
          </cell>
          <cell r="G13">
            <v>6453.4</v>
          </cell>
          <cell r="H13">
            <v>6417.6</v>
          </cell>
          <cell r="I13">
            <v>311</v>
          </cell>
          <cell r="J13">
            <v>89.82</v>
          </cell>
          <cell r="K13">
            <v>107.24</v>
          </cell>
          <cell r="L13">
            <v>798.85</v>
          </cell>
        </row>
        <row r="14">
          <cell r="C14">
            <v>10663.8</v>
          </cell>
          <cell r="D14">
            <v>10569.68</v>
          </cell>
          <cell r="E14">
            <v>497</v>
          </cell>
          <cell r="F14">
            <v>10700</v>
          </cell>
          <cell r="G14">
            <v>10385.629999999999</v>
          </cell>
          <cell r="H14">
            <v>10309.459999999999</v>
          </cell>
          <cell r="I14">
            <v>449</v>
          </cell>
          <cell r="J14">
            <v>113.15</v>
          </cell>
          <cell r="K14">
            <v>135.15</v>
          </cell>
          <cell r="L14">
            <v>-684.56</v>
          </cell>
        </row>
        <row r="15">
          <cell r="C15">
            <v>9746.83</v>
          </cell>
          <cell r="D15">
            <v>9645.94</v>
          </cell>
          <cell r="E15">
            <v>435</v>
          </cell>
          <cell r="F15">
            <v>9700</v>
          </cell>
          <cell r="G15">
            <v>9732.2000000000007</v>
          </cell>
          <cell r="H15">
            <v>9648.25</v>
          </cell>
          <cell r="I15">
            <v>395</v>
          </cell>
          <cell r="J15">
            <v>106.85</v>
          </cell>
          <cell r="K15">
            <v>116.13</v>
          </cell>
          <cell r="L15">
            <v>65.37</v>
          </cell>
        </row>
        <row r="16">
          <cell r="C16">
            <v>10741.95</v>
          </cell>
          <cell r="D16">
            <v>10638.05</v>
          </cell>
          <cell r="E16">
            <v>494</v>
          </cell>
          <cell r="F16">
            <v>10700</v>
          </cell>
          <cell r="G16">
            <v>10853.71</v>
          </cell>
          <cell r="H16">
            <v>10576.78</v>
          </cell>
          <cell r="I16">
            <v>435</v>
          </cell>
          <cell r="J16">
            <v>119.44</v>
          </cell>
          <cell r="K16">
            <v>127.5</v>
          </cell>
          <cell r="L16">
            <v>102.2</v>
          </cell>
        </row>
        <row r="17">
          <cell r="C17">
            <v>4895.3999999999996</v>
          </cell>
          <cell r="D17">
            <v>4861.59</v>
          </cell>
          <cell r="E17">
            <v>273</v>
          </cell>
          <cell r="F17">
            <v>4900</v>
          </cell>
          <cell r="G17">
            <v>5706.48</v>
          </cell>
          <cell r="H17">
            <v>5652.34</v>
          </cell>
          <cell r="I17">
            <v>292</v>
          </cell>
          <cell r="J17">
            <v>77.53</v>
          </cell>
          <cell r="K17">
            <v>93.32</v>
          </cell>
          <cell r="L17">
            <v>83.66</v>
          </cell>
        </row>
        <row r="18">
          <cell r="C18">
            <v>6045.37</v>
          </cell>
          <cell r="D18">
            <v>5995.95</v>
          </cell>
          <cell r="E18">
            <v>314</v>
          </cell>
          <cell r="F18">
            <v>6100</v>
          </cell>
          <cell r="G18">
            <v>7086.85</v>
          </cell>
          <cell r="H18">
            <v>7035.43</v>
          </cell>
          <cell r="I18">
            <v>317</v>
          </cell>
          <cell r="J18">
            <v>77.02</v>
          </cell>
          <cell r="K18">
            <v>94.55</v>
          </cell>
          <cell r="L18">
            <v>24.17</v>
          </cell>
        </row>
        <row r="19">
          <cell r="C19">
            <v>7450.71</v>
          </cell>
          <cell r="D19">
            <v>7381.78</v>
          </cell>
          <cell r="E19">
            <v>399</v>
          </cell>
          <cell r="F19">
            <v>7400</v>
          </cell>
          <cell r="G19">
            <v>8107.52</v>
          </cell>
          <cell r="H19">
            <v>8045.7</v>
          </cell>
          <cell r="I19">
            <v>425</v>
          </cell>
          <cell r="J19">
            <v>90.83</v>
          </cell>
          <cell r="K19">
            <v>105.36</v>
          </cell>
          <cell r="L19">
            <v>44.16</v>
          </cell>
        </row>
        <row r="20">
          <cell r="C20">
            <v>6591.1</v>
          </cell>
          <cell r="D20">
            <v>6547.61</v>
          </cell>
          <cell r="E20">
            <v>352</v>
          </cell>
          <cell r="F20">
            <v>6600</v>
          </cell>
          <cell r="G20">
            <v>7428.45</v>
          </cell>
          <cell r="H20">
            <v>7386.17</v>
          </cell>
          <cell r="I20">
            <v>367</v>
          </cell>
          <cell r="J20">
            <v>79.3</v>
          </cell>
          <cell r="K20">
            <v>96.23</v>
          </cell>
          <cell r="L20">
            <v>135.41</v>
          </cell>
        </row>
        <row r="21">
          <cell r="C21">
            <v>10758.85</v>
          </cell>
          <cell r="D21">
            <v>10690.55</v>
          </cell>
          <cell r="E21">
            <v>526</v>
          </cell>
          <cell r="F21">
            <v>10800</v>
          </cell>
          <cell r="G21">
            <v>10919.91</v>
          </cell>
          <cell r="H21">
            <v>10834.71</v>
          </cell>
          <cell r="I21">
            <v>493</v>
          </cell>
          <cell r="J21">
            <v>111.55</v>
          </cell>
          <cell r="K21">
            <v>127.38</v>
          </cell>
          <cell r="L21">
            <v>23.59</v>
          </cell>
        </row>
        <row r="22">
          <cell r="C22">
            <v>10569.88</v>
          </cell>
          <cell r="D22">
            <v>10483.39</v>
          </cell>
          <cell r="E22">
            <v>457</v>
          </cell>
          <cell r="F22">
            <v>10600</v>
          </cell>
          <cell r="G22">
            <v>10990.09</v>
          </cell>
          <cell r="H22">
            <v>10891.33</v>
          </cell>
          <cell r="I22">
            <v>483</v>
          </cell>
          <cell r="J22">
            <v>95.57</v>
          </cell>
          <cell r="K22">
            <v>112.33</v>
          </cell>
          <cell r="L22">
            <v>43.42</v>
          </cell>
        </row>
        <row r="23">
          <cell r="C23">
            <v>11537.68</v>
          </cell>
          <cell r="D23">
            <v>11446.63</v>
          </cell>
          <cell r="E23">
            <v>472</v>
          </cell>
          <cell r="F23">
            <v>12100</v>
          </cell>
          <cell r="G23">
            <v>10649.58</v>
          </cell>
          <cell r="H23">
            <v>10569.55</v>
          </cell>
          <cell r="I23">
            <v>451</v>
          </cell>
          <cell r="J23">
            <v>90.61</v>
          </cell>
          <cell r="K23">
            <v>106.05</v>
          </cell>
          <cell r="L23">
            <v>17.25</v>
          </cell>
        </row>
        <row r="24">
          <cell r="C24">
            <v>4877.18</v>
          </cell>
          <cell r="D24">
            <v>4853.7700000000004</v>
          </cell>
          <cell r="E24">
            <v>272</v>
          </cell>
          <cell r="F24">
            <v>4900</v>
          </cell>
          <cell r="G24">
            <v>4973.22</v>
          </cell>
          <cell r="H24">
            <v>4948.49</v>
          </cell>
          <cell r="I24">
            <v>259</v>
          </cell>
          <cell r="J24">
            <v>70.08</v>
          </cell>
          <cell r="K24">
            <v>78.400000000000006</v>
          </cell>
          <cell r="L24">
            <v>63.43</v>
          </cell>
        </row>
        <row r="25">
          <cell r="C25">
            <v>6087.65</v>
          </cell>
          <cell r="D25">
            <v>6036.96</v>
          </cell>
          <cell r="E25">
            <v>323</v>
          </cell>
          <cell r="F25">
            <v>6200</v>
          </cell>
          <cell r="G25">
            <v>5794.2</v>
          </cell>
          <cell r="H25">
            <v>5753.87</v>
          </cell>
          <cell r="I25">
            <v>290</v>
          </cell>
          <cell r="J25">
            <v>68.88</v>
          </cell>
          <cell r="K25">
            <v>85.39</v>
          </cell>
          <cell r="L25">
            <v>46.72</v>
          </cell>
        </row>
        <row r="26">
          <cell r="C26">
            <v>6874.5</v>
          </cell>
          <cell r="D26">
            <v>6809.43</v>
          </cell>
          <cell r="E26">
            <v>374</v>
          </cell>
          <cell r="F26">
            <v>7000</v>
          </cell>
          <cell r="G26">
            <v>6910.38</v>
          </cell>
          <cell r="H26">
            <v>6844.06</v>
          </cell>
          <cell r="I26">
            <v>355</v>
          </cell>
          <cell r="J26">
            <v>79.92</v>
          </cell>
          <cell r="K26">
            <v>90.08</v>
          </cell>
          <cell r="L26">
            <v>13.29</v>
          </cell>
        </row>
        <row r="27">
          <cell r="C27">
            <v>5549.57</v>
          </cell>
          <cell r="D27">
            <v>5511.84</v>
          </cell>
          <cell r="E27">
            <v>296</v>
          </cell>
          <cell r="F27">
            <v>6300</v>
          </cell>
          <cell r="G27">
            <v>6341.89</v>
          </cell>
          <cell r="H27">
            <v>6293.78</v>
          </cell>
          <cell r="I27">
            <v>300</v>
          </cell>
          <cell r="J27">
            <v>72</v>
          </cell>
          <cell r="K27">
            <v>80.099999999999994</v>
          </cell>
          <cell r="L27">
            <v>33.01</v>
          </cell>
        </row>
        <row r="28">
          <cell r="C28">
            <v>10027</v>
          </cell>
          <cell r="D28">
            <v>9965.42</v>
          </cell>
          <cell r="E28">
            <v>518</v>
          </cell>
          <cell r="F28">
            <v>11000</v>
          </cell>
          <cell r="G28">
            <v>9551.4599999999991</v>
          </cell>
          <cell r="H28">
            <v>9481.2099999999991</v>
          </cell>
          <cell r="I28">
            <v>465</v>
          </cell>
          <cell r="J28">
            <v>108.65</v>
          </cell>
          <cell r="K28">
            <v>116</v>
          </cell>
          <cell r="L28">
            <v>24.4</v>
          </cell>
        </row>
        <row r="29">
          <cell r="C29">
            <v>11424.38</v>
          </cell>
          <cell r="D29">
            <v>11326.78</v>
          </cell>
          <cell r="E29">
            <v>520</v>
          </cell>
          <cell r="F29">
            <v>11800</v>
          </cell>
          <cell r="G29">
            <v>10567.44</v>
          </cell>
          <cell r="H29">
            <v>10466.57</v>
          </cell>
          <cell r="I29">
            <v>445</v>
          </cell>
          <cell r="J29">
            <v>100.78</v>
          </cell>
          <cell r="K29">
            <v>119.04</v>
          </cell>
          <cell r="L29">
            <v>46.07</v>
          </cell>
        </row>
        <row r="30">
          <cell r="C30">
            <v>11852.25</v>
          </cell>
          <cell r="D30">
            <v>11759.95</v>
          </cell>
          <cell r="E30">
            <v>537</v>
          </cell>
          <cell r="F30">
            <v>12300</v>
          </cell>
          <cell r="G30">
            <v>11251.69</v>
          </cell>
          <cell r="H30">
            <v>11156.72</v>
          </cell>
          <cell r="I30">
            <v>461</v>
          </cell>
          <cell r="J30">
            <v>104.81</v>
          </cell>
          <cell r="K30">
            <v>121.54</v>
          </cell>
          <cell r="L30">
            <v>57.27</v>
          </cell>
        </row>
        <row r="31">
          <cell r="C31">
            <v>5118.1499999999996</v>
          </cell>
          <cell r="D31">
            <v>5086.8999999999996</v>
          </cell>
          <cell r="E31">
            <v>252</v>
          </cell>
          <cell r="F31">
            <v>5400</v>
          </cell>
          <cell r="G31">
            <v>5536.09</v>
          </cell>
          <cell r="H31">
            <v>5498.33</v>
          </cell>
          <cell r="I31">
            <v>262</v>
          </cell>
          <cell r="J31">
            <v>70</v>
          </cell>
          <cell r="K31">
            <v>77.3</v>
          </cell>
          <cell r="L31">
            <v>15.46</v>
          </cell>
        </row>
        <row r="32">
          <cell r="C32">
            <v>5549.5</v>
          </cell>
          <cell r="D32">
            <v>5511.73</v>
          </cell>
          <cell r="E32">
            <v>278</v>
          </cell>
          <cell r="F32">
            <v>5800</v>
          </cell>
          <cell r="G32">
            <v>5916.52</v>
          </cell>
          <cell r="H32">
            <v>5879.47</v>
          </cell>
          <cell r="I32">
            <v>286</v>
          </cell>
          <cell r="J32">
            <v>65.81</v>
          </cell>
          <cell r="K32">
            <v>75.180000000000007</v>
          </cell>
          <cell r="L32">
            <v>30.6</v>
          </cell>
        </row>
        <row r="33">
          <cell r="C33">
            <v>8458.8700000000008</v>
          </cell>
          <cell r="D33">
            <v>8367.19</v>
          </cell>
          <cell r="E33">
            <v>443</v>
          </cell>
          <cell r="F33">
            <v>8800</v>
          </cell>
          <cell r="G33">
            <v>8018.23</v>
          </cell>
          <cell r="H33">
            <v>7903.12</v>
          </cell>
          <cell r="I33">
            <v>384</v>
          </cell>
          <cell r="J33">
            <v>87.25</v>
          </cell>
          <cell r="K33">
            <v>104.06</v>
          </cell>
          <cell r="L33">
            <v>79.66</v>
          </cell>
        </row>
        <row r="34">
          <cell r="C34">
            <v>6759.25</v>
          </cell>
          <cell r="D34">
            <v>6691.56</v>
          </cell>
          <cell r="E34">
            <v>335</v>
          </cell>
          <cell r="F34">
            <v>6900</v>
          </cell>
          <cell r="G34">
            <v>6317.22</v>
          </cell>
          <cell r="H34">
            <v>6279.47</v>
          </cell>
          <cell r="I34">
            <v>320</v>
          </cell>
          <cell r="J34">
            <v>68.98</v>
          </cell>
          <cell r="K34">
            <v>84.019000000000005</v>
          </cell>
          <cell r="L34">
            <v>83.42</v>
          </cell>
        </row>
        <row r="35">
          <cell r="C35">
            <v>11416.29</v>
          </cell>
          <cell r="D35">
            <v>11328.4</v>
          </cell>
          <cell r="E35">
            <v>544</v>
          </cell>
          <cell r="F35">
            <v>12100</v>
          </cell>
          <cell r="G35">
            <v>10603.37</v>
          </cell>
          <cell r="H35">
            <v>10523.17</v>
          </cell>
          <cell r="I35">
            <v>481</v>
          </cell>
          <cell r="J35">
            <v>104.91</v>
          </cell>
          <cell r="K35">
            <v>119.57</v>
          </cell>
          <cell r="L35">
            <v>23.05</v>
          </cell>
        </row>
        <row r="36">
          <cell r="C36">
            <v>11823.71</v>
          </cell>
          <cell r="D36">
            <v>11718.87</v>
          </cell>
          <cell r="E36">
            <v>551</v>
          </cell>
          <cell r="F36">
            <v>12300</v>
          </cell>
          <cell r="G36">
            <v>13064.34</v>
          </cell>
          <cell r="H36">
            <v>12954.6</v>
          </cell>
          <cell r="I36">
            <v>552</v>
          </cell>
          <cell r="J36">
            <v>105.61</v>
          </cell>
          <cell r="K36">
            <v>124.5</v>
          </cell>
          <cell r="L36">
            <v>-93.61</v>
          </cell>
        </row>
        <row r="37">
          <cell r="C37">
            <v>11021.5</v>
          </cell>
          <cell r="D37">
            <v>10934.95</v>
          </cell>
          <cell r="E37">
            <v>505</v>
          </cell>
          <cell r="F37">
            <v>12400</v>
          </cell>
          <cell r="G37">
            <v>11199.88</v>
          </cell>
          <cell r="H37">
            <v>11107.56</v>
          </cell>
          <cell r="I37">
            <v>472</v>
          </cell>
          <cell r="J37">
            <v>112.89</v>
          </cell>
          <cell r="K37">
            <v>128.53</v>
          </cell>
          <cell r="L37">
            <v>46.29</v>
          </cell>
        </row>
        <row r="38">
          <cell r="C38">
            <v>5022.2700000000004</v>
          </cell>
          <cell r="D38">
            <v>4979.3500000000004</v>
          </cell>
          <cell r="E38">
            <v>268</v>
          </cell>
          <cell r="F38">
            <v>5300</v>
          </cell>
          <cell r="G38">
            <v>5541.17</v>
          </cell>
          <cell r="H38">
            <v>5511.33</v>
          </cell>
          <cell r="I38">
            <v>273</v>
          </cell>
          <cell r="J38">
            <v>70.83</v>
          </cell>
          <cell r="K38">
            <v>86.49</v>
          </cell>
          <cell r="L38">
            <v>51.23</v>
          </cell>
        </row>
        <row r="39">
          <cell r="C39">
            <v>6007.42</v>
          </cell>
          <cell r="D39">
            <v>5960.58</v>
          </cell>
          <cell r="E39">
            <v>308</v>
          </cell>
          <cell r="F39">
            <v>6000</v>
          </cell>
          <cell r="G39">
            <v>6191.7889999999998</v>
          </cell>
          <cell r="H39">
            <v>6146.89</v>
          </cell>
          <cell r="I39">
            <v>304</v>
          </cell>
          <cell r="J39">
            <v>77.11</v>
          </cell>
          <cell r="K39">
            <v>102.03</v>
          </cell>
          <cell r="L39">
            <v>70.42</v>
          </cell>
        </row>
        <row r="40">
          <cell r="C40">
            <v>9715.42</v>
          </cell>
          <cell r="D40">
            <v>9614.6299999999992</v>
          </cell>
          <cell r="E40">
            <v>497</v>
          </cell>
          <cell r="F40">
            <v>9600</v>
          </cell>
          <cell r="G40">
            <v>8307.73</v>
          </cell>
          <cell r="H40">
            <v>8221.86</v>
          </cell>
          <cell r="I40">
            <v>420</v>
          </cell>
          <cell r="J40">
            <v>92.97</v>
          </cell>
          <cell r="K40">
            <v>101.27</v>
          </cell>
          <cell r="L40">
            <v>25.83</v>
          </cell>
        </row>
        <row r="41">
          <cell r="C41">
            <v>6738.11</v>
          </cell>
          <cell r="D41">
            <v>6662.89</v>
          </cell>
          <cell r="E41">
            <v>354</v>
          </cell>
          <cell r="F41">
            <v>6900</v>
          </cell>
          <cell r="G41">
            <v>7142.79</v>
          </cell>
          <cell r="H41">
            <v>7096.61</v>
          </cell>
          <cell r="I41">
            <v>367</v>
          </cell>
          <cell r="J41">
            <v>81.98</v>
          </cell>
          <cell r="K41">
            <v>99.15</v>
          </cell>
          <cell r="L41">
            <v>25.82</v>
          </cell>
        </row>
        <row r="42">
          <cell r="C42">
            <v>10952.09</v>
          </cell>
          <cell r="D42">
            <v>10865.56</v>
          </cell>
          <cell r="E42">
            <v>534</v>
          </cell>
          <cell r="F42">
            <v>11300</v>
          </cell>
          <cell r="G42">
            <v>11099.37</v>
          </cell>
          <cell r="H42">
            <v>11020.82</v>
          </cell>
          <cell r="I42">
            <v>507</v>
          </cell>
          <cell r="J42">
            <v>94.14</v>
          </cell>
          <cell r="K42">
            <v>126.34</v>
          </cell>
          <cell r="L42">
            <v>49.29</v>
          </cell>
        </row>
        <row r="43">
          <cell r="C43">
            <v>14259.54</v>
          </cell>
          <cell r="D43">
            <v>14155.42</v>
          </cell>
          <cell r="E43">
            <v>588</v>
          </cell>
          <cell r="F43">
            <v>13200</v>
          </cell>
          <cell r="G43">
            <v>10868.16</v>
          </cell>
          <cell r="H43">
            <v>10769.22</v>
          </cell>
          <cell r="I43">
            <v>473</v>
          </cell>
          <cell r="J43">
            <v>107.55</v>
          </cell>
          <cell r="K43">
            <v>116.05</v>
          </cell>
          <cell r="L43">
            <v>35.06</v>
          </cell>
        </row>
        <row r="44">
          <cell r="C44">
            <v>13603.85</v>
          </cell>
          <cell r="D44">
            <v>13501.69</v>
          </cell>
          <cell r="E44">
            <v>615</v>
          </cell>
          <cell r="F44">
            <v>13600</v>
          </cell>
          <cell r="G44">
            <v>12743.65</v>
          </cell>
          <cell r="H44">
            <v>12632.8</v>
          </cell>
          <cell r="I44">
            <v>580</v>
          </cell>
          <cell r="J44">
            <v>119.26</v>
          </cell>
          <cell r="K44">
            <v>136.26</v>
          </cell>
          <cell r="L44">
            <v>40.71</v>
          </cell>
        </row>
        <row r="45">
          <cell r="C45">
            <v>5487.35</v>
          </cell>
          <cell r="D45">
            <v>5448.95</v>
          </cell>
          <cell r="E45">
            <v>281</v>
          </cell>
          <cell r="F45">
            <v>6200</v>
          </cell>
          <cell r="G45">
            <v>6321.9</v>
          </cell>
          <cell r="H45">
            <v>6263.3</v>
          </cell>
          <cell r="I45">
            <v>329</v>
          </cell>
          <cell r="J45">
            <v>74.58</v>
          </cell>
          <cell r="K45">
            <v>91.85</v>
          </cell>
          <cell r="L45">
            <v>23.84</v>
          </cell>
        </row>
        <row r="46">
          <cell r="C46">
            <v>5796.65</v>
          </cell>
          <cell r="D46">
            <v>5757.38</v>
          </cell>
          <cell r="E46">
            <v>321</v>
          </cell>
          <cell r="F46">
            <v>6300</v>
          </cell>
          <cell r="G46">
            <v>6987.83</v>
          </cell>
          <cell r="H46">
            <v>6936.07</v>
          </cell>
          <cell r="I46">
            <v>261</v>
          </cell>
          <cell r="J46">
            <v>82.25</v>
          </cell>
          <cell r="K46">
            <v>99.23</v>
          </cell>
          <cell r="L46">
            <v>19.010000000000002</v>
          </cell>
        </row>
        <row r="47">
          <cell r="C47">
            <v>8282.98</v>
          </cell>
          <cell r="D47">
            <v>8189.96</v>
          </cell>
          <cell r="E47">
            <v>441</v>
          </cell>
          <cell r="F47">
            <v>8500</v>
          </cell>
          <cell r="G47">
            <v>7812.66</v>
          </cell>
          <cell r="H47">
            <v>7739.14</v>
          </cell>
          <cell r="I47">
            <v>385</v>
          </cell>
          <cell r="J47">
            <v>88</v>
          </cell>
          <cell r="K47">
            <v>106.7</v>
          </cell>
          <cell r="L47">
            <v>54.02</v>
          </cell>
        </row>
        <row r="48">
          <cell r="C48">
            <v>6492.05</v>
          </cell>
          <cell r="D48">
            <v>6447.13</v>
          </cell>
          <cell r="E48">
            <v>323</v>
          </cell>
          <cell r="F48">
            <v>6500</v>
          </cell>
          <cell r="G48">
            <v>7840.86</v>
          </cell>
          <cell r="H48">
            <v>7776.4</v>
          </cell>
          <cell r="I48">
            <v>374</v>
          </cell>
          <cell r="J48">
            <v>82.83</v>
          </cell>
          <cell r="K48">
            <v>100.32</v>
          </cell>
          <cell r="L48">
            <v>51.19</v>
          </cell>
        </row>
        <row r="49">
          <cell r="C49">
            <v>12848</v>
          </cell>
          <cell r="D49">
            <v>12763.36</v>
          </cell>
          <cell r="E49">
            <v>608</v>
          </cell>
          <cell r="F49">
            <v>12900</v>
          </cell>
          <cell r="G49">
            <v>12296.2</v>
          </cell>
          <cell r="H49">
            <v>12183.78</v>
          </cell>
          <cell r="I49">
            <v>573</v>
          </cell>
          <cell r="J49">
            <v>88.35</v>
          </cell>
          <cell r="K49">
            <v>115.68</v>
          </cell>
          <cell r="L49">
            <v>15.92</v>
          </cell>
        </row>
        <row r="50">
          <cell r="C50">
            <v>12165.3</v>
          </cell>
          <cell r="D50">
            <v>12039.13</v>
          </cell>
          <cell r="E50">
            <v>570</v>
          </cell>
          <cell r="F50">
            <v>12800</v>
          </cell>
          <cell r="G50">
            <v>13638.14</v>
          </cell>
          <cell r="H50">
            <v>13513.85</v>
          </cell>
          <cell r="I50">
            <v>526</v>
          </cell>
          <cell r="J50">
            <v>96.35</v>
          </cell>
          <cell r="K50">
            <v>114.42</v>
          </cell>
          <cell r="L50">
            <v>8.89</v>
          </cell>
        </row>
        <row r="51">
          <cell r="C51">
            <v>13361.17</v>
          </cell>
          <cell r="D51">
            <v>13251.86</v>
          </cell>
          <cell r="E51">
            <v>589</v>
          </cell>
          <cell r="F51">
            <v>13800</v>
          </cell>
          <cell r="G51">
            <v>11345.54</v>
          </cell>
          <cell r="H51">
            <v>11255.14</v>
          </cell>
          <cell r="I51">
            <v>478</v>
          </cell>
          <cell r="J51">
            <v>96.85</v>
          </cell>
          <cell r="K51">
            <v>113.48</v>
          </cell>
          <cell r="L51">
            <v>29.57</v>
          </cell>
        </row>
        <row r="52">
          <cell r="C52">
            <v>4611.54</v>
          </cell>
          <cell r="D52">
            <v>4580.92</v>
          </cell>
          <cell r="E52">
            <v>278</v>
          </cell>
          <cell r="F52">
            <v>6100</v>
          </cell>
          <cell r="G52">
            <v>6809.75</v>
          </cell>
          <cell r="H52">
            <v>6752.44</v>
          </cell>
          <cell r="I52">
            <v>350</v>
          </cell>
          <cell r="J52">
            <v>80.069999999999993</v>
          </cell>
          <cell r="K52">
            <v>95.55</v>
          </cell>
          <cell r="L52">
            <v>50.8</v>
          </cell>
        </row>
        <row r="53">
          <cell r="C53">
            <v>6455.83</v>
          </cell>
          <cell r="D53">
            <v>6407.06</v>
          </cell>
          <cell r="E53">
            <v>343</v>
          </cell>
          <cell r="F53">
            <v>7300</v>
          </cell>
          <cell r="G53">
            <v>6592.95</v>
          </cell>
          <cell r="H53">
            <v>6542.89</v>
          </cell>
          <cell r="I53">
            <v>310</v>
          </cell>
          <cell r="J53">
            <v>77.34</v>
          </cell>
          <cell r="K53">
            <v>93.49</v>
          </cell>
          <cell r="L53">
            <v>59.38</v>
          </cell>
        </row>
        <row r="54">
          <cell r="C54">
            <v>8437.4599999999991</v>
          </cell>
          <cell r="D54">
            <v>8370.35</v>
          </cell>
          <cell r="E54">
            <v>410</v>
          </cell>
          <cell r="F54">
            <v>8600</v>
          </cell>
          <cell r="G54">
            <v>7255.5</v>
          </cell>
          <cell r="H54">
            <v>7192.99</v>
          </cell>
          <cell r="I54">
            <v>363</v>
          </cell>
          <cell r="J54">
            <v>81.790000000000006</v>
          </cell>
          <cell r="K54">
            <v>97.31</v>
          </cell>
          <cell r="L54">
            <v>26.84</v>
          </cell>
        </row>
        <row r="55">
          <cell r="C55">
            <v>6814.02</v>
          </cell>
          <cell r="D55">
            <v>6772.36</v>
          </cell>
          <cell r="E55">
            <v>348</v>
          </cell>
          <cell r="F55">
            <v>7000</v>
          </cell>
          <cell r="G55">
            <v>7132.61</v>
          </cell>
          <cell r="H55">
            <v>7061.6</v>
          </cell>
          <cell r="I55">
            <v>328</v>
          </cell>
          <cell r="J55">
            <v>66.790000000000006</v>
          </cell>
          <cell r="K55">
            <v>91.17</v>
          </cell>
          <cell r="L55">
            <v>42.21</v>
          </cell>
        </row>
        <row r="56">
          <cell r="C56">
            <v>12079.25</v>
          </cell>
          <cell r="D56">
            <v>11981.04</v>
          </cell>
          <cell r="E56">
            <v>580</v>
          </cell>
          <cell r="F56">
            <v>12200</v>
          </cell>
          <cell r="G56">
            <v>11121.67</v>
          </cell>
          <cell r="H56">
            <v>11022.86</v>
          </cell>
          <cell r="I56">
            <v>486</v>
          </cell>
          <cell r="J56">
            <v>98.36</v>
          </cell>
          <cell r="K56">
            <v>122.08</v>
          </cell>
          <cell r="L56">
            <v>36.99</v>
          </cell>
        </row>
        <row r="57">
          <cell r="C57">
            <v>10787.59</v>
          </cell>
          <cell r="D57">
            <v>10686.04</v>
          </cell>
          <cell r="E57">
            <v>500</v>
          </cell>
          <cell r="F57">
            <v>13100</v>
          </cell>
          <cell r="G57">
            <v>11186.44</v>
          </cell>
          <cell r="H57">
            <v>11747.45</v>
          </cell>
          <cell r="I57">
            <v>515</v>
          </cell>
          <cell r="J57">
            <v>103.39</v>
          </cell>
          <cell r="K57">
            <v>120.18</v>
          </cell>
          <cell r="L57">
            <v>52.49</v>
          </cell>
        </row>
        <row r="58">
          <cell r="C58">
            <v>12702.21</v>
          </cell>
          <cell r="D58">
            <v>12611.77</v>
          </cell>
          <cell r="E58">
            <v>563</v>
          </cell>
          <cell r="F58">
            <v>13800</v>
          </cell>
          <cell r="G58">
            <v>10845.62</v>
          </cell>
          <cell r="H58">
            <v>10751.7</v>
          </cell>
          <cell r="I58">
            <v>444</v>
          </cell>
          <cell r="J58">
            <v>104.49</v>
          </cell>
          <cell r="K58">
            <v>121.16</v>
          </cell>
          <cell r="L58">
            <v>98.21</v>
          </cell>
        </row>
        <row r="59">
          <cell r="C59">
            <v>6818.89</v>
          </cell>
          <cell r="D59">
            <v>6754.45</v>
          </cell>
          <cell r="E59">
            <v>375</v>
          </cell>
          <cell r="F59">
            <v>5900</v>
          </cell>
          <cell r="G59">
            <v>5447.99</v>
          </cell>
          <cell r="H59">
            <v>5406.37</v>
          </cell>
          <cell r="I59">
            <v>290</v>
          </cell>
          <cell r="J59">
            <v>77.099999999999994</v>
          </cell>
          <cell r="K59">
            <v>93.43</v>
          </cell>
          <cell r="L59">
            <v>34.04</v>
          </cell>
        </row>
        <row r="60">
          <cell r="C60">
            <v>7531.93</v>
          </cell>
          <cell r="D60">
            <v>7469.44</v>
          </cell>
          <cell r="E60">
            <v>385</v>
          </cell>
          <cell r="F60">
            <v>6700</v>
          </cell>
          <cell r="G60">
            <v>5032.03</v>
          </cell>
          <cell r="H60">
            <v>5000.51</v>
          </cell>
          <cell r="I60">
            <v>273</v>
          </cell>
          <cell r="J60">
            <v>73.03</v>
          </cell>
          <cell r="K60">
            <v>84.32</v>
          </cell>
          <cell r="L60">
            <v>43.64</v>
          </cell>
        </row>
        <row r="61">
          <cell r="C61">
            <v>8329.7999999999993</v>
          </cell>
          <cell r="D61">
            <v>8253.08</v>
          </cell>
          <cell r="E61">
            <v>432</v>
          </cell>
          <cell r="F61">
            <v>8000</v>
          </cell>
          <cell r="G61">
            <v>8368.77</v>
          </cell>
          <cell r="H61">
            <v>8287.66</v>
          </cell>
          <cell r="I61">
            <v>415</v>
          </cell>
          <cell r="J61">
            <v>91.79</v>
          </cell>
          <cell r="K61">
            <v>115.44</v>
          </cell>
          <cell r="L61">
            <v>18.11</v>
          </cell>
        </row>
        <row r="62">
          <cell r="C62">
            <v>8769.5499999999993</v>
          </cell>
          <cell r="D62">
            <v>8677.77</v>
          </cell>
          <cell r="E62">
            <v>456</v>
          </cell>
          <cell r="F62">
            <v>7200</v>
          </cell>
          <cell r="G62">
            <v>7542.26</v>
          </cell>
          <cell r="H62">
            <v>7496.69</v>
          </cell>
          <cell r="I62">
            <v>367</v>
          </cell>
          <cell r="J62">
            <v>69.239999999999995</v>
          </cell>
          <cell r="K62">
            <v>88.36</v>
          </cell>
          <cell r="L62">
            <v>60.98</v>
          </cell>
        </row>
        <row r="63">
          <cell r="C63">
            <v>12133.24</v>
          </cell>
          <cell r="D63">
            <v>12021.32</v>
          </cell>
          <cell r="E63">
            <v>586</v>
          </cell>
          <cell r="F63">
            <v>12800</v>
          </cell>
          <cell r="G63">
            <v>11772.67</v>
          </cell>
          <cell r="H63">
            <v>11645.83</v>
          </cell>
          <cell r="I63">
            <v>521</v>
          </cell>
          <cell r="J63">
            <v>102.1</v>
          </cell>
          <cell r="K63">
            <v>125.44</v>
          </cell>
          <cell r="L63">
            <v>31.71</v>
          </cell>
        </row>
        <row r="64">
          <cell r="C64">
            <v>12084.96</v>
          </cell>
          <cell r="D64">
            <v>11959.55</v>
          </cell>
          <cell r="E64">
            <v>544</v>
          </cell>
          <cell r="F64">
            <v>13100</v>
          </cell>
          <cell r="G64">
            <v>13038.24</v>
          </cell>
          <cell r="H64">
            <v>12891.18</v>
          </cell>
          <cell r="I64">
            <v>503</v>
          </cell>
          <cell r="J64">
            <v>107.02</v>
          </cell>
          <cell r="K64">
            <v>125.1</v>
          </cell>
          <cell r="L64">
            <v>49.49</v>
          </cell>
        </row>
        <row r="65">
          <cell r="C65">
            <v>11962.26</v>
          </cell>
          <cell r="D65">
            <v>11862.75</v>
          </cell>
          <cell r="E65">
            <v>525</v>
          </cell>
          <cell r="F65">
            <v>12500</v>
          </cell>
          <cell r="G65">
            <v>13834.72</v>
          </cell>
          <cell r="H65">
            <v>13714.29</v>
          </cell>
          <cell r="I65">
            <v>533</v>
          </cell>
          <cell r="J65">
            <v>114.69</v>
          </cell>
          <cell r="K65">
            <v>130.16</v>
          </cell>
          <cell r="L65">
            <v>42.14</v>
          </cell>
        </row>
        <row r="66">
          <cell r="C66">
            <v>7642.85</v>
          </cell>
          <cell r="D66">
            <v>7555.71</v>
          </cell>
          <cell r="E66">
            <v>399</v>
          </cell>
          <cell r="F66">
            <v>5800</v>
          </cell>
          <cell r="G66">
            <v>6182.67</v>
          </cell>
          <cell r="H66">
            <v>6137.77</v>
          </cell>
          <cell r="I66">
            <v>306</v>
          </cell>
          <cell r="J66">
            <v>75.69</v>
          </cell>
          <cell r="K66">
            <v>91.13</v>
          </cell>
          <cell r="L66">
            <v>29.96</v>
          </cell>
        </row>
        <row r="67">
          <cell r="C67">
            <v>9304.81</v>
          </cell>
          <cell r="D67">
            <v>9209.84</v>
          </cell>
          <cell r="E67">
            <v>464</v>
          </cell>
          <cell r="F67">
            <v>6300</v>
          </cell>
          <cell r="G67">
            <v>5972.81</v>
          </cell>
          <cell r="H67">
            <v>5927.82</v>
          </cell>
          <cell r="I67">
            <v>324</v>
          </cell>
          <cell r="J67">
            <v>72.790000000000006</v>
          </cell>
          <cell r="K67">
            <v>89.11</v>
          </cell>
          <cell r="L67">
            <v>21.05</v>
          </cell>
        </row>
        <row r="68">
          <cell r="C68">
            <v>9762.07</v>
          </cell>
          <cell r="D68">
            <v>9659.23</v>
          </cell>
          <cell r="E68">
            <v>466</v>
          </cell>
          <cell r="F68">
            <v>8000</v>
          </cell>
          <cell r="G68">
            <v>8853.2999999999993</v>
          </cell>
          <cell r="H68">
            <v>8749.8700000000008</v>
          </cell>
          <cell r="I68">
            <v>446</v>
          </cell>
          <cell r="J68">
            <v>83.54</v>
          </cell>
          <cell r="K68">
            <v>92.06</v>
          </cell>
          <cell r="L68">
            <v>17.18</v>
          </cell>
        </row>
        <row r="69">
          <cell r="C69">
            <v>9373.59</v>
          </cell>
          <cell r="D69">
            <v>9282.4500000000007</v>
          </cell>
          <cell r="E69">
            <v>475</v>
          </cell>
          <cell r="F69">
            <v>6800</v>
          </cell>
          <cell r="G69">
            <v>7106.48</v>
          </cell>
          <cell r="H69">
            <v>7044.09</v>
          </cell>
          <cell r="I69">
            <v>350</v>
          </cell>
          <cell r="J69">
            <v>79.209999999999994</v>
          </cell>
          <cell r="K69">
            <v>92.32</v>
          </cell>
          <cell r="L69">
            <v>28.16</v>
          </cell>
        </row>
        <row r="70">
          <cell r="C70">
            <v>13271.18</v>
          </cell>
          <cell r="D70">
            <v>13156.05</v>
          </cell>
          <cell r="E70">
            <v>606</v>
          </cell>
          <cell r="F70">
            <v>11600</v>
          </cell>
          <cell r="G70">
            <v>10725.04</v>
          </cell>
          <cell r="H70">
            <v>10637.54</v>
          </cell>
          <cell r="I70">
            <v>491</v>
          </cell>
          <cell r="J70">
            <v>97.66</v>
          </cell>
          <cell r="K70">
            <v>114.26</v>
          </cell>
          <cell r="L70">
            <v>25.36</v>
          </cell>
        </row>
        <row r="71">
          <cell r="C71">
            <v>11695.92</v>
          </cell>
          <cell r="D71">
            <v>11584.03</v>
          </cell>
          <cell r="E71">
            <v>530</v>
          </cell>
          <cell r="F71">
            <v>12000</v>
          </cell>
          <cell r="G71">
            <v>13291.97</v>
          </cell>
          <cell r="H71">
            <v>13154.12</v>
          </cell>
          <cell r="I71">
            <v>613</v>
          </cell>
          <cell r="J71">
            <v>101.56</v>
          </cell>
          <cell r="K71">
            <v>110</v>
          </cell>
          <cell r="L71">
            <v>19.95</v>
          </cell>
        </row>
        <row r="72">
          <cell r="C72">
            <v>13433.33</v>
          </cell>
          <cell r="D72">
            <v>13331.17</v>
          </cell>
          <cell r="E72">
            <v>578</v>
          </cell>
          <cell r="F72">
            <v>13700</v>
          </cell>
          <cell r="G72">
            <v>15029.95</v>
          </cell>
          <cell r="H72">
            <v>14905.88</v>
          </cell>
          <cell r="I72">
            <v>575</v>
          </cell>
          <cell r="J72">
            <v>115.56</v>
          </cell>
          <cell r="K72">
            <v>131.22</v>
          </cell>
          <cell r="L72">
            <v>34.229999999999997</v>
          </cell>
        </row>
        <row r="73">
          <cell r="C73">
            <v>5173.24</v>
          </cell>
          <cell r="D73">
            <v>5143.28</v>
          </cell>
          <cell r="E73">
            <v>287</v>
          </cell>
          <cell r="F73">
            <v>5200</v>
          </cell>
          <cell r="G73">
            <v>5253</v>
          </cell>
          <cell r="H73">
            <v>5226.99</v>
          </cell>
          <cell r="I73">
            <v>277</v>
          </cell>
          <cell r="J73">
            <v>71.180000000000007</v>
          </cell>
          <cell r="K73">
            <v>78.48</v>
          </cell>
          <cell r="L73">
            <v>22.78</v>
          </cell>
        </row>
        <row r="74">
          <cell r="C74">
            <v>5466.92</v>
          </cell>
          <cell r="D74">
            <v>5423.36</v>
          </cell>
          <cell r="E74">
            <v>309</v>
          </cell>
          <cell r="F74">
            <v>5500</v>
          </cell>
          <cell r="G74">
            <v>7088.38</v>
          </cell>
          <cell r="H74">
            <v>7044.72</v>
          </cell>
          <cell r="I74">
            <v>333</v>
          </cell>
          <cell r="J74">
            <v>78.66</v>
          </cell>
          <cell r="K74">
            <v>94</v>
          </cell>
          <cell r="L74">
            <v>24.65</v>
          </cell>
        </row>
        <row r="75">
          <cell r="C75">
            <v>6999.85</v>
          </cell>
          <cell r="D75">
            <v>6930.17</v>
          </cell>
          <cell r="E75">
            <v>366</v>
          </cell>
          <cell r="F75">
            <v>7000</v>
          </cell>
          <cell r="G75">
            <v>8455.1200000000008</v>
          </cell>
          <cell r="H75">
            <v>8377.66</v>
          </cell>
          <cell r="I75">
            <v>377</v>
          </cell>
          <cell r="J75">
            <v>88.98</v>
          </cell>
          <cell r="K75">
            <v>108.54</v>
          </cell>
          <cell r="L75">
            <v>17.399999999999999</v>
          </cell>
        </row>
        <row r="76">
          <cell r="C76">
            <v>5572.52</v>
          </cell>
          <cell r="D76">
            <v>5523.8</v>
          </cell>
          <cell r="E76">
            <v>299</v>
          </cell>
          <cell r="F76">
            <v>5600</v>
          </cell>
          <cell r="G76">
            <v>6770.57</v>
          </cell>
          <cell r="H76">
            <v>6727.72</v>
          </cell>
          <cell r="I76">
            <v>318</v>
          </cell>
          <cell r="J76">
            <v>70.09</v>
          </cell>
          <cell r="K76">
            <v>85.35</v>
          </cell>
          <cell r="L76">
            <v>13.43</v>
          </cell>
        </row>
        <row r="77">
          <cell r="C77">
            <v>9927.32</v>
          </cell>
          <cell r="D77">
            <v>9860.3799999999992</v>
          </cell>
          <cell r="E77">
            <v>481</v>
          </cell>
          <cell r="F77">
            <v>11100</v>
          </cell>
          <cell r="G77">
            <v>11726.41</v>
          </cell>
          <cell r="H77">
            <v>11643.07</v>
          </cell>
          <cell r="I77">
            <v>517</v>
          </cell>
          <cell r="J77">
            <v>113.67</v>
          </cell>
          <cell r="K77">
            <v>125.88</v>
          </cell>
          <cell r="L77">
            <v>24.73</v>
          </cell>
        </row>
        <row r="78">
          <cell r="C78">
            <v>11175.82</v>
          </cell>
          <cell r="D78">
            <v>11091.26</v>
          </cell>
          <cell r="E78">
            <v>473</v>
          </cell>
          <cell r="F78">
            <v>11200</v>
          </cell>
          <cell r="G78">
            <v>10014.450000000001</v>
          </cell>
          <cell r="H78">
            <v>9943.5400000000009</v>
          </cell>
          <cell r="I78">
            <v>427</v>
          </cell>
          <cell r="J78">
            <v>99.34</v>
          </cell>
          <cell r="K78">
            <v>108.36</v>
          </cell>
          <cell r="L78">
            <v>151.94</v>
          </cell>
        </row>
        <row r="79">
          <cell r="C79">
            <v>10622.2</v>
          </cell>
          <cell r="D79">
            <v>10527.9</v>
          </cell>
          <cell r="E79">
            <v>438</v>
          </cell>
          <cell r="F79">
            <v>12000</v>
          </cell>
          <cell r="G79">
            <v>11833.87</v>
          </cell>
          <cell r="H79">
            <v>11743.47</v>
          </cell>
          <cell r="I79">
            <v>506</v>
          </cell>
          <cell r="J79">
            <v>99.99</v>
          </cell>
          <cell r="K79">
            <v>108.06</v>
          </cell>
          <cell r="L79">
            <v>27.65</v>
          </cell>
        </row>
        <row r="80">
          <cell r="C80">
            <v>4607.24</v>
          </cell>
          <cell r="D80">
            <v>4585.7700000000004</v>
          </cell>
          <cell r="E80">
            <v>265</v>
          </cell>
          <cell r="F80">
            <v>4600</v>
          </cell>
          <cell r="G80">
            <v>4924.8</v>
          </cell>
          <cell r="H80">
            <v>4904</v>
          </cell>
          <cell r="I80">
            <v>240</v>
          </cell>
          <cell r="J80">
            <v>70.510000000000005</v>
          </cell>
          <cell r="K80">
            <v>87.39</v>
          </cell>
          <cell r="L80">
            <v>35.26</v>
          </cell>
        </row>
        <row r="81">
          <cell r="C81">
            <v>6269.21</v>
          </cell>
          <cell r="D81">
            <v>6221.04</v>
          </cell>
          <cell r="E81">
            <v>327</v>
          </cell>
          <cell r="F81">
            <v>6300</v>
          </cell>
          <cell r="G81">
            <v>6384.99</v>
          </cell>
          <cell r="H81">
            <v>6343.99</v>
          </cell>
          <cell r="I81">
            <v>303</v>
          </cell>
          <cell r="J81">
            <v>75.709999999999994</v>
          </cell>
          <cell r="K81">
            <v>91.09</v>
          </cell>
          <cell r="L81">
            <v>58.4</v>
          </cell>
        </row>
        <row r="82">
          <cell r="C82">
            <v>7827.81</v>
          </cell>
          <cell r="D82">
            <v>7756.9</v>
          </cell>
          <cell r="E82">
            <v>404</v>
          </cell>
          <cell r="F82">
            <v>7800</v>
          </cell>
          <cell r="G82">
            <v>8495.44</v>
          </cell>
          <cell r="H82">
            <v>8430.36</v>
          </cell>
          <cell r="I82">
            <v>401</v>
          </cell>
          <cell r="J82">
            <v>85.93</v>
          </cell>
          <cell r="K82">
            <v>101.35</v>
          </cell>
          <cell r="L82">
            <v>41.78</v>
          </cell>
        </row>
        <row r="83">
          <cell r="C83">
            <v>5858.6</v>
          </cell>
          <cell r="D83">
            <v>5818.18</v>
          </cell>
          <cell r="E83">
            <v>299</v>
          </cell>
          <cell r="F83">
            <v>5900</v>
          </cell>
          <cell r="G83">
            <v>6706.98</v>
          </cell>
          <cell r="H83">
            <v>6664.67</v>
          </cell>
          <cell r="I83">
            <v>317</v>
          </cell>
          <cell r="J83">
            <v>77.41</v>
          </cell>
          <cell r="K83">
            <v>82.57</v>
          </cell>
          <cell r="L83">
            <v>31.36</v>
          </cell>
        </row>
        <row r="84">
          <cell r="C84">
            <v>10073.959999999999</v>
          </cell>
          <cell r="D84">
            <v>10002.31</v>
          </cell>
          <cell r="E84">
            <v>497</v>
          </cell>
          <cell r="F84">
            <v>10600</v>
          </cell>
          <cell r="G84">
            <v>12229.92</v>
          </cell>
          <cell r="H84">
            <v>12133.63</v>
          </cell>
          <cell r="I84">
            <v>582</v>
          </cell>
          <cell r="J84">
            <v>107.23</v>
          </cell>
          <cell r="K84">
            <v>122.54</v>
          </cell>
          <cell r="L84">
            <v>29.93</v>
          </cell>
        </row>
        <row r="85">
          <cell r="C85">
            <v>12172.48</v>
          </cell>
          <cell r="D85">
            <v>12066.51</v>
          </cell>
          <cell r="E85">
            <v>532</v>
          </cell>
          <cell r="F85">
            <v>12200</v>
          </cell>
          <cell r="G85">
            <v>12993.85</v>
          </cell>
          <cell r="H85">
            <v>12860.51</v>
          </cell>
          <cell r="I85">
            <v>587</v>
          </cell>
          <cell r="J85">
            <v>104.79</v>
          </cell>
          <cell r="K85">
            <v>122.49</v>
          </cell>
          <cell r="L85">
            <v>31.36</v>
          </cell>
        </row>
        <row r="86">
          <cell r="C86">
            <v>13794.58</v>
          </cell>
          <cell r="D86">
            <v>13691.88</v>
          </cell>
          <cell r="E86">
            <v>581</v>
          </cell>
          <cell r="F86">
            <v>13800</v>
          </cell>
          <cell r="G86">
            <v>11091.41</v>
          </cell>
          <cell r="H86">
            <v>11002.94</v>
          </cell>
          <cell r="I86">
            <v>463</v>
          </cell>
          <cell r="J86">
            <v>100.82</v>
          </cell>
          <cell r="K86">
            <v>108.4</v>
          </cell>
          <cell r="L86">
            <v>47.55</v>
          </cell>
        </row>
        <row r="87">
          <cell r="C87">
            <v>4869.4799999999996</v>
          </cell>
          <cell r="D87">
            <v>4835.01</v>
          </cell>
          <cell r="E87">
            <v>258</v>
          </cell>
          <cell r="F87">
            <v>4900</v>
          </cell>
          <cell r="G87">
            <v>4924.0600000000004</v>
          </cell>
          <cell r="H87">
            <v>4887</v>
          </cell>
          <cell r="I87">
            <v>253</v>
          </cell>
          <cell r="J87">
            <v>78.569999999999993</v>
          </cell>
          <cell r="K87">
            <v>86.08</v>
          </cell>
          <cell r="L87">
            <v>20.11</v>
          </cell>
        </row>
        <row r="88">
          <cell r="C88">
            <v>6024.6</v>
          </cell>
          <cell r="D88">
            <v>5868.98</v>
          </cell>
          <cell r="E88">
            <v>292</v>
          </cell>
          <cell r="F88">
            <v>5900</v>
          </cell>
          <cell r="G88">
            <v>5658.75</v>
          </cell>
          <cell r="H88">
            <v>5551.08</v>
          </cell>
          <cell r="I88">
            <v>294</v>
          </cell>
          <cell r="J88">
            <v>77.02</v>
          </cell>
          <cell r="K88">
            <v>84.39</v>
          </cell>
          <cell r="L88">
            <v>22.25</v>
          </cell>
        </row>
        <row r="89">
          <cell r="C89">
            <v>8926.43</v>
          </cell>
          <cell r="D89">
            <v>8708.27</v>
          </cell>
          <cell r="E89">
            <v>440</v>
          </cell>
          <cell r="F89">
            <v>8800</v>
          </cell>
          <cell r="G89">
            <v>8322.76</v>
          </cell>
          <cell r="H89">
            <v>8137.37</v>
          </cell>
          <cell r="I89">
            <v>389</v>
          </cell>
          <cell r="J89">
            <v>77.510000000000005</v>
          </cell>
          <cell r="K89">
            <v>93.37</v>
          </cell>
          <cell r="L89">
            <v>48.03</v>
          </cell>
        </row>
        <row r="90">
          <cell r="C90">
            <v>6696.22</v>
          </cell>
          <cell r="D90">
            <v>6527.07</v>
          </cell>
          <cell r="E90">
            <v>344</v>
          </cell>
          <cell r="F90">
            <v>6600</v>
          </cell>
          <cell r="G90">
            <v>6709.47</v>
          </cell>
          <cell r="H90">
            <v>6572.2</v>
          </cell>
          <cell r="I90">
            <v>310</v>
          </cell>
          <cell r="J90">
            <v>76.31</v>
          </cell>
          <cell r="K90">
            <v>91.49</v>
          </cell>
          <cell r="L90">
            <v>17.350000000000001</v>
          </cell>
        </row>
        <row r="91">
          <cell r="C91">
            <v>11532.04</v>
          </cell>
          <cell r="D91">
            <v>11357.94</v>
          </cell>
          <cell r="E91">
            <v>543</v>
          </cell>
          <cell r="F91">
            <v>11500</v>
          </cell>
          <cell r="G91">
            <v>12013.22</v>
          </cell>
          <cell r="H91">
            <v>11872.27</v>
          </cell>
          <cell r="I91">
            <v>530</v>
          </cell>
          <cell r="J91">
            <v>91.6</v>
          </cell>
          <cell r="K91">
            <v>114.48</v>
          </cell>
          <cell r="L91">
            <v>51.99</v>
          </cell>
        </row>
        <row r="92">
          <cell r="C92">
            <v>13413.89</v>
          </cell>
          <cell r="D92">
            <v>13136.94</v>
          </cell>
          <cell r="E92">
            <v>556</v>
          </cell>
          <cell r="F92">
            <v>13200</v>
          </cell>
          <cell r="G92">
            <v>11985.86</v>
          </cell>
          <cell r="H92">
            <v>11748.59</v>
          </cell>
          <cell r="I92">
            <v>528</v>
          </cell>
          <cell r="J92">
            <v>102.98</v>
          </cell>
          <cell r="K92">
            <v>121.51</v>
          </cell>
          <cell r="L92">
            <v>91.81</v>
          </cell>
        </row>
        <row r="93">
          <cell r="C93">
            <v>14780.36</v>
          </cell>
          <cell r="D93">
            <v>14492.69</v>
          </cell>
          <cell r="E93">
            <v>648</v>
          </cell>
          <cell r="F93">
            <v>14600</v>
          </cell>
          <cell r="G93">
            <v>14754.79</v>
          </cell>
          <cell r="H93">
            <v>14500.62</v>
          </cell>
          <cell r="I93">
            <v>581</v>
          </cell>
          <cell r="J93">
            <v>103.9</v>
          </cell>
          <cell r="K93">
            <v>116.41</v>
          </cell>
          <cell r="L93">
            <v>38.729999999999997</v>
          </cell>
        </row>
        <row r="94">
          <cell r="C94">
            <v>5415.96</v>
          </cell>
          <cell r="D94">
            <v>5332.31</v>
          </cell>
          <cell r="E94">
            <v>287</v>
          </cell>
          <cell r="F94">
            <v>5700</v>
          </cell>
          <cell r="G94">
            <v>5633.02</v>
          </cell>
          <cell r="H94">
            <v>5549.09</v>
          </cell>
          <cell r="I94">
            <v>261</v>
          </cell>
          <cell r="J94">
            <v>73.88</v>
          </cell>
          <cell r="K94">
            <v>89.24</v>
          </cell>
          <cell r="L94">
            <v>39.4</v>
          </cell>
        </row>
        <row r="95">
          <cell r="C95">
            <v>7522.22</v>
          </cell>
          <cell r="D95">
            <v>7386.8</v>
          </cell>
          <cell r="E95">
            <v>404</v>
          </cell>
          <cell r="F95">
            <v>7800</v>
          </cell>
          <cell r="G95">
            <v>6182.55</v>
          </cell>
          <cell r="H95">
            <v>6038.53</v>
          </cell>
          <cell r="I95">
            <v>285</v>
          </cell>
          <cell r="J95">
            <v>73.73</v>
          </cell>
          <cell r="K95">
            <v>90.22</v>
          </cell>
          <cell r="L95">
            <v>48.47</v>
          </cell>
        </row>
        <row r="96">
          <cell r="C96">
            <v>10554.24</v>
          </cell>
          <cell r="D96">
            <v>10381.879999999999</v>
          </cell>
          <cell r="E96">
            <v>530</v>
          </cell>
          <cell r="F96">
            <v>10500</v>
          </cell>
          <cell r="G96">
            <v>9290.9699999999993</v>
          </cell>
          <cell r="H96">
            <v>9117.2000000000007</v>
          </cell>
          <cell r="I96">
            <v>440</v>
          </cell>
          <cell r="J96">
            <v>86.32</v>
          </cell>
          <cell r="K96">
            <v>103.15</v>
          </cell>
          <cell r="L96">
            <v>51.9</v>
          </cell>
        </row>
        <row r="97">
          <cell r="C97">
            <v>8216.2900000000009</v>
          </cell>
          <cell r="D97">
            <v>8157.95</v>
          </cell>
          <cell r="E97">
            <v>397</v>
          </cell>
          <cell r="F97">
            <v>8200</v>
          </cell>
          <cell r="G97">
            <v>7563.52</v>
          </cell>
          <cell r="H97">
            <v>7457.59</v>
          </cell>
          <cell r="I97">
            <v>366</v>
          </cell>
          <cell r="J97">
            <v>88.74</v>
          </cell>
          <cell r="K97">
            <v>104.36</v>
          </cell>
          <cell r="L97">
            <v>28.99</v>
          </cell>
        </row>
        <row r="98">
          <cell r="C98">
            <v>11730.62</v>
          </cell>
          <cell r="D98">
            <v>11640.93</v>
          </cell>
          <cell r="E98">
            <v>569</v>
          </cell>
          <cell r="F98">
            <v>12900</v>
          </cell>
          <cell r="G98">
            <v>13318.05</v>
          </cell>
          <cell r="H98">
            <v>13128.28</v>
          </cell>
          <cell r="I98">
            <v>571</v>
          </cell>
          <cell r="J98">
            <v>118.3</v>
          </cell>
          <cell r="K98">
            <v>135.59</v>
          </cell>
          <cell r="L98">
            <v>29</v>
          </cell>
        </row>
        <row r="99">
          <cell r="C99">
            <v>14191.91</v>
          </cell>
          <cell r="D99">
            <v>14048.75</v>
          </cell>
          <cell r="E99">
            <v>651</v>
          </cell>
          <cell r="F99">
            <v>12900</v>
          </cell>
          <cell r="G99">
            <v>11749.88</v>
          </cell>
          <cell r="H99">
            <v>11523.9</v>
          </cell>
          <cell r="I99">
            <v>526</v>
          </cell>
          <cell r="J99">
            <v>107.99</v>
          </cell>
          <cell r="K99">
            <v>125.46</v>
          </cell>
          <cell r="L99">
            <v>35.28</v>
          </cell>
        </row>
        <row r="100">
          <cell r="C100">
            <v>14334.79</v>
          </cell>
          <cell r="D100">
            <v>14221.56</v>
          </cell>
          <cell r="E100">
            <v>668</v>
          </cell>
          <cell r="F100">
            <v>12600</v>
          </cell>
          <cell r="G100">
            <v>10532.28</v>
          </cell>
          <cell r="H100">
            <v>10365.780000000001</v>
          </cell>
          <cell r="I100">
            <v>436</v>
          </cell>
          <cell r="J100">
            <v>96.59</v>
          </cell>
          <cell r="K100">
            <v>111.29</v>
          </cell>
          <cell r="L100">
            <v>58.94</v>
          </cell>
        </row>
        <row r="101">
          <cell r="C101">
            <v>6091.05</v>
          </cell>
          <cell r="D101">
            <v>6049.47</v>
          </cell>
          <cell r="E101">
            <v>321</v>
          </cell>
          <cell r="F101">
            <v>12900</v>
          </cell>
          <cell r="G101">
            <v>11428.88</v>
          </cell>
          <cell r="H101">
            <v>11253.17</v>
          </cell>
          <cell r="I101">
            <v>467</v>
          </cell>
          <cell r="J101">
            <v>106.66</v>
          </cell>
          <cell r="K101">
            <v>122.25</v>
          </cell>
          <cell r="L101">
            <v>29.38</v>
          </cell>
        </row>
        <row r="102">
          <cell r="C102">
            <v>7336.18</v>
          </cell>
          <cell r="D102">
            <v>7275.34</v>
          </cell>
          <cell r="E102">
            <v>389</v>
          </cell>
          <cell r="F102">
            <v>7600</v>
          </cell>
          <cell r="G102">
            <v>7901.89</v>
          </cell>
          <cell r="H102">
            <v>7787.48</v>
          </cell>
          <cell r="I102">
            <v>370</v>
          </cell>
          <cell r="J102">
            <v>82.67</v>
          </cell>
          <cell r="K102">
            <v>97.48</v>
          </cell>
          <cell r="L102">
            <v>14.65</v>
          </cell>
        </row>
        <row r="103">
          <cell r="C103">
            <v>8577.92</v>
          </cell>
          <cell r="D103">
            <v>8490.07</v>
          </cell>
          <cell r="E103">
            <v>461</v>
          </cell>
          <cell r="F103">
            <v>8800</v>
          </cell>
          <cell r="G103">
            <v>8234</v>
          </cell>
          <cell r="H103">
            <v>8104.49</v>
          </cell>
          <cell r="I103">
            <v>412</v>
          </cell>
          <cell r="J103">
            <v>81.510000000000005</v>
          </cell>
          <cell r="K103">
            <v>96</v>
          </cell>
          <cell r="L103">
            <v>36.03</v>
          </cell>
        </row>
        <row r="104">
          <cell r="C104">
            <v>6986.96</v>
          </cell>
          <cell r="D104">
            <v>6937.4</v>
          </cell>
          <cell r="E104">
            <v>368</v>
          </cell>
          <cell r="F104">
            <v>7200</v>
          </cell>
          <cell r="G104">
            <v>9254.2099999999991</v>
          </cell>
          <cell r="H104">
            <v>9104.09</v>
          </cell>
          <cell r="I104">
            <v>429</v>
          </cell>
          <cell r="J104">
            <v>93.03</v>
          </cell>
          <cell r="K104">
            <v>102.07</v>
          </cell>
          <cell r="L104">
            <v>87.22</v>
          </cell>
        </row>
        <row r="105">
          <cell r="C105">
            <v>12388.39</v>
          </cell>
          <cell r="D105">
            <v>12289.54</v>
          </cell>
          <cell r="E105">
            <v>585</v>
          </cell>
          <cell r="F105">
            <v>12800</v>
          </cell>
          <cell r="G105">
            <v>10763</v>
          </cell>
          <cell r="H105">
            <v>10614.88</v>
          </cell>
          <cell r="I105">
            <v>505</v>
          </cell>
          <cell r="J105">
            <v>106.22</v>
          </cell>
          <cell r="K105">
            <v>121.5</v>
          </cell>
          <cell r="L105">
            <v>54.67</v>
          </cell>
        </row>
        <row r="106">
          <cell r="C106">
            <v>13178.22</v>
          </cell>
          <cell r="D106">
            <v>13043.6</v>
          </cell>
          <cell r="E106">
            <v>557</v>
          </cell>
          <cell r="F106">
            <v>12900</v>
          </cell>
          <cell r="G106">
            <v>11032.93</v>
          </cell>
          <cell r="H106">
            <v>10826.84</v>
          </cell>
          <cell r="I106">
            <v>482</v>
          </cell>
          <cell r="J106">
            <v>101.07</v>
          </cell>
          <cell r="K106">
            <v>120.1</v>
          </cell>
          <cell r="L106">
            <v>39.159999999999997</v>
          </cell>
        </row>
        <row r="107">
          <cell r="C107">
            <v>12656.28</v>
          </cell>
          <cell r="D107">
            <v>12564.72</v>
          </cell>
          <cell r="E107">
            <v>547</v>
          </cell>
          <cell r="F107">
            <v>12700</v>
          </cell>
          <cell r="G107">
            <v>13527.42</v>
          </cell>
          <cell r="H107">
            <v>13336.46</v>
          </cell>
          <cell r="I107">
            <v>546</v>
          </cell>
          <cell r="J107">
            <v>116.2</v>
          </cell>
          <cell r="K107">
            <v>133.09</v>
          </cell>
          <cell r="L107">
            <v>73.64</v>
          </cell>
        </row>
        <row r="108">
          <cell r="C108">
            <v>5073.41</v>
          </cell>
          <cell r="D108">
            <v>5032.45</v>
          </cell>
          <cell r="E108">
            <v>284</v>
          </cell>
          <cell r="F108">
            <v>6500</v>
          </cell>
          <cell r="G108">
            <v>6505.09</v>
          </cell>
          <cell r="H108">
            <v>6404.13</v>
          </cell>
          <cell r="I108">
            <v>310</v>
          </cell>
          <cell r="J108">
            <v>97.85</v>
          </cell>
          <cell r="K108">
            <v>113.5</v>
          </cell>
          <cell r="L108">
            <v>37.630000000000003</v>
          </cell>
        </row>
        <row r="109">
          <cell r="C109">
            <v>7756.63</v>
          </cell>
          <cell r="D109">
            <v>7705.25</v>
          </cell>
          <cell r="E109">
            <v>383</v>
          </cell>
          <cell r="F109">
            <v>8000</v>
          </cell>
          <cell r="G109">
            <v>7210.41</v>
          </cell>
          <cell r="H109">
            <v>7076.13</v>
          </cell>
          <cell r="I109">
            <v>325</v>
          </cell>
          <cell r="J109">
            <v>78.05</v>
          </cell>
          <cell r="K109">
            <v>86.35</v>
          </cell>
          <cell r="L109">
            <v>33.04</v>
          </cell>
        </row>
        <row r="110">
          <cell r="C110">
            <v>8444.07</v>
          </cell>
          <cell r="D110">
            <v>8364.7000000000007</v>
          </cell>
          <cell r="E110">
            <v>412</v>
          </cell>
          <cell r="F110">
            <v>8400</v>
          </cell>
          <cell r="G110">
            <v>8630.9500000000007</v>
          </cell>
          <cell r="H110">
            <v>8470.14</v>
          </cell>
          <cell r="I110">
            <v>409</v>
          </cell>
          <cell r="J110">
            <v>87.31</v>
          </cell>
          <cell r="K110">
            <v>95.33</v>
          </cell>
          <cell r="L110">
            <v>35.909999999999997</v>
          </cell>
        </row>
        <row r="111">
          <cell r="C111">
            <v>7089.19</v>
          </cell>
          <cell r="D111">
            <v>7042.98</v>
          </cell>
          <cell r="E111">
            <v>368</v>
          </cell>
          <cell r="F111">
            <v>7700</v>
          </cell>
          <cell r="G111">
            <v>9280.77</v>
          </cell>
          <cell r="H111">
            <v>9107.57</v>
          </cell>
          <cell r="I111">
            <v>383</v>
          </cell>
          <cell r="J111">
            <v>74.81</v>
          </cell>
          <cell r="K111">
            <v>91.18</v>
          </cell>
          <cell r="L111">
            <v>50.02</v>
          </cell>
        </row>
        <row r="112">
          <cell r="C112">
            <v>12859.54</v>
          </cell>
          <cell r="D112">
            <v>12754.14</v>
          </cell>
          <cell r="E112">
            <v>636</v>
          </cell>
          <cell r="F112">
            <v>12900</v>
          </cell>
          <cell r="G112">
            <v>10977.28</v>
          </cell>
          <cell r="H112">
            <v>10799.75</v>
          </cell>
          <cell r="I112">
            <v>481</v>
          </cell>
          <cell r="J112">
            <v>97.42</v>
          </cell>
          <cell r="K112">
            <v>114.11</v>
          </cell>
          <cell r="L112">
            <v>30.75</v>
          </cell>
        </row>
        <row r="113">
          <cell r="C113">
            <v>12893.46</v>
          </cell>
          <cell r="D113">
            <v>12771.11</v>
          </cell>
          <cell r="E113">
            <v>618</v>
          </cell>
          <cell r="F113">
            <v>12900</v>
          </cell>
          <cell r="G113">
            <v>11122.52</v>
          </cell>
          <cell r="H113">
            <v>10937.7</v>
          </cell>
          <cell r="I113">
            <v>485</v>
          </cell>
          <cell r="J113">
            <v>100.56</v>
          </cell>
          <cell r="K113">
            <v>118.37</v>
          </cell>
          <cell r="L113">
            <v>12.25</v>
          </cell>
        </row>
        <row r="114">
          <cell r="C114">
            <v>10031.94</v>
          </cell>
          <cell r="D114">
            <v>9942.17</v>
          </cell>
          <cell r="E114">
            <v>469</v>
          </cell>
          <cell r="F114">
            <v>13400</v>
          </cell>
          <cell r="G114">
            <v>12284.82</v>
          </cell>
          <cell r="H114">
            <v>12098.77</v>
          </cell>
          <cell r="I114">
            <v>539</v>
          </cell>
          <cell r="J114">
            <v>101.94</v>
          </cell>
          <cell r="K114">
            <v>119.2</v>
          </cell>
          <cell r="L114">
            <v>25.41</v>
          </cell>
        </row>
        <row r="115">
          <cell r="C115">
            <v>11468.23</v>
          </cell>
          <cell r="D115">
            <v>11368</v>
          </cell>
          <cell r="E115">
            <v>548</v>
          </cell>
          <cell r="F115">
            <v>5700</v>
          </cell>
          <cell r="G115">
            <v>5189.68</v>
          </cell>
          <cell r="H115">
            <v>5130.95</v>
          </cell>
          <cell r="I115">
            <v>275</v>
          </cell>
          <cell r="J115">
            <v>67.900000000000006</v>
          </cell>
          <cell r="K115">
            <v>82.9</v>
          </cell>
          <cell r="L115">
            <v>13.01</v>
          </cell>
        </row>
        <row r="116">
          <cell r="C116">
            <v>8457.27</v>
          </cell>
          <cell r="D116">
            <v>8367.52</v>
          </cell>
          <cell r="E116">
            <v>414</v>
          </cell>
          <cell r="F116">
            <v>6500</v>
          </cell>
          <cell r="G116">
            <v>6655.88</v>
          </cell>
          <cell r="H116">
            <v>6579.27</v>
          </cell>
          <cell r="I116">
            <v>302</v>
          </cell>
          <cell r="J116">
            <v>64.97</v>
          </cell>
          <cell r="K116">
            <v>81.53</v>
          </cell>
          <cell r="L116">
            <v>20.53</v>
          </cell>
        </row>
        <row r="117">
          <cell r="C117">
            <v>7408.82</v>
          </cell>
          <cell r="D117">
            <v>7326.9</v>
          </cell>
          <cell r="E117">
            <v>370</v>
          </cell>
          <cell r="F117">
            <v>7600</v>
          </cell>
          <cell r="G117">
            <v>7988.5</v>
          </cell>
          <cell r="H117">
            <v>7849.96</v>
          </cell>
          <cell r="I117">
            <v>394</v>
          </cell>
          <cell r="J117">
            <v>76.33</v>
          </cell>
          <cell r="K117">
            <v>99.45</v>
          </cell>
          <cell r="L117">
            <v>42.99</v>
          </cell>
        </row>
        <row r="118">
          <cell r="C118">
            <v>8686.59</v>
          </cell>
          <cell r="D118">
            <v>8601.31</v>
          </cell>
          <cell r="E118">
            <v>441</v>
          </cell>
          <cell r="F118">
            <v>7200</v>
          </cell>
          <cell r="G118">
            <v>6967.29</v>
          </cell>
          <cell r="H118">
            <v>6857.85</v>
          </cell>
          <cell r="I118">
            <v>333</v>
          </cell>
          <cell r="J118">
            <v>69.39</v>
          </cell>
          <cell r="K118">
            <v>76.5</v>
          </cell>
          <cell r="L118">
            <v>124.48</v>
          </cell>
        </row>
        <row r="119">
          <cell r="C119">
            <v>11057.23</v>
          </cell>
          <cell r="D119">
            <v>10932.41</v>
          </cell>
          <cell r="E119">
            <v>561</v>
          </cell>
          <cell r="F119">
            <v>11800</v>
          </cell>
          <cell r="G119">
            <v>11540.16</v>
          </cell>
          <cell r="H119">
            <v>11391.1</v>
          </cell>
          <cell r="I119">
            <v>514</v>
          </cell>
          <cell r="J119">
            <v>110.64</v>
          </cell>
          <cell r="K119">
            <v>127.5</v>
          </cell>
          <cell r="L119">
            <v>34.18</v>
          </cell>
        </row>
        <row r="120">
          <cell r="C120">
            <v>11037.15</v>
          </cell>
          <cell r="D120">
            <v>10923.4</v>
          </cell>
          <cell r="E120">
            <v>495</v>
          </cell>
          <cell r="F120">
            <v>11400</v>
          </cell>
          <cell r="G120">
            <v>11075.29</v>
          </cell>
          <cell r="H120">
            <v>10907.4</v>
          </cell>
          <cell r="I120">
            <v>509</v>
          </cell>
          <cell r="J120">
            <v>100.44</v>
          </cell>
          <cell r="K120">
            <v>118</v>
          </cell>
          <cell r="L120">
            <v>18.8</v>
          </cell>
        </row>
        <row r="121">
          <cell r="C121">
            <v>12952.33</v>
          </cell>
          <cell r="D121">
            <v>12858.64</v>
          </cell>
          <cell r="E121">
            <v>536</v>
          </cell>
          <cell r="F121">
            <v>13000</v>
          </cell>
          <cell r="G121">
            <v>13009.86</v>
          </cell>
          <cell r="H121">
            <v>12844.3</v>
          </cell>
          <cell r="I121">
            <v>538</v>
          </cell>
          <cell r="J121">
            <v>98.5</v>
          </cell>
          <cell r="K121">
            <v>114.5</v>
          </cell>
          <cell r="L121">
            <v>32.4</v>
          </cell>
        </row>
        <row r="122">
          <cell r="C122">
            <v>7768.17</v>
          </cell>
          <cell r="D122">
            <v>7704.39</v>
          </cell>
          <cell r="E122">
            <v>387</v>
          </cell>
          <cell r="F122">
            <v>5600</v>
          </cell>
          <cell r="G122">
            <v>6216</v>
          </cell>
          <cell r="H122">
            <v>6154.06</v>
          </cell>
          <cell r="I122">
            <v>305</v>
          </cell>
          <cell r="J122">
            <v>65.819999999999993</v>
          </cell>
          <cell r="K122">
            <v>83.07</v>
          </cell>
          <cell r="L122">
            <v>24.68</v>
          </cell>
        </row>
        <row r="123">
          <cell r="C123">
            <v>8993.4</v>
          </cell>
          <cell r="D123">
            <v>8899.1</v>
          </cell>
          <cell r="E123">
            <v>425</v>
          </cell>
          <cell r="F123">
            <v>6600</v>
          </cell>
          <cell r="G123">
            <v>5853.05</v>
          </cell>
          <cell r="H123">
            <v>5779.01</v>
          </cell>
          <cell r="I123">
            <v>279</v>
          </cell>
          <cell r="J123">
            <v>59.92</v>
          </cell>
          <cell r="K123">
            <v>75.290000000000006</v>
          </cell>
          <cell r="L123">
            <v>23.13</v>
          </cell>
        </row>
        <row r="124">
          <cell r="C124">
            <v>9619.5400000000009</v>
          </cell>
          <cell r="D124">
            <v>9514.74</v>
          </cell>
          <cell r="E124">
            <v>467</v>
          </cell>
          <cell r="F124">
            <v>7900</v>
          </cell>
          <cell r="G124">
            <v>9766.17</v>
          </cell>
          <cell r="H124">
            <v>9613.7999999999993</v>
          </cell>
          <cell r="I124">
            <v>432</v>
          </cell>
          <cell r="J124">
            <v>86.11</v>
          </cell>
          <cell r="K124">
            <v>94.25</v>
          </cell>
          <cell r="L124">
            <v>26.45</v>
          </cell>
        </row>
        <row r="125">
          <cell r="C125">
            <v>15723.42</v>
          </cell>
          <cell r="D125">
            <v>15582.28</v>
          </cell>
          <cell r="E125">
            <v>698</v>
          </cell>
          <cell r="F125">
            <v>9400</v>
          </cell>
          <cell r="G125">
            <v>10451.06</v>
          </cell>
          <cell r="H125">
            <v>10354.26</v>
          </cell>
          <cell r="I125">
            <v>455</v>
          </cell>
          <cell r="J125">
            <v>81.88</v>
          </cell>
          <cell r="K125">
            <v>99.4</v>
          </cell>
          <cell r="L125">
            <v>91.3</v>
          </cell>
        </row>
        <row r="126">
          <cell r="C126">
            <v>11371</v>
          </cell>
          <cell r="D126">
            <v>11250.15</v>
          </cell>
          <cell r="E126">
            <v>507</v>
          </cell>
          <cell r="F126">
            <v>13000</v>
          </cell>
          <cell r="G126">
            <v>14246.45</v>
          </cell>
          <cell r="H126">
            <v>14110.43</v>
          </cell>
          <cell r="I126">
            <v>616</v>
          </cell>
          <cell r="J126">
            <v>117</v>
          </cell>
          <cell r="K126">
            <v>268</v>
          </cell>
          <cell r="L126">
            <v>50.44</v>
          </cell>
        </row>
        <row r="127">
          <cell r="C127">
            <v>11039.08</v>
          </cell>
          <cell r="D127">
            <v>10934.99</v>
          </cell>
          <cell r="E127">
            <v>508</v>
          </cell>
          <cell r="F127">
            <v>11000</v>
          </cell>
          <cell r="G127">
            <v>10014.08</v>
          </cell>
          <cell r="H127">
            <v>9912.31</v>
          </cell>
          <cell r="I127">
            <v>425</v>
          </cell>
          <cell r="J127">
            <v>102.55</v>
          </cell>
          <cell r="K127">
            <v>119.28</v>
          </cell>
          <cell r="L127">
            <v>53.41</v>
          </cell>
        </row>
        <row r="128">
          <cell r="C128">
            <v>13266.49</v>
          </cell>
          <cell r="D128">
            <v>13170.19</v>
          </cell>
          <cell r="E128">
            <v>559</v>
          </cell>
          <cell r="F128">
            <v>13300</v>
          </cell>
          <cell r="G128">
            <v>13469.21</v>
          </cell>
          <cell r="H128">
            <v>13347.61</v>
          </cell>
          <cell r="I128">
            <v>555</v>
          </cell>
          <cell r="J128">
            <v>97.69</v>
          </cell>
          <cell r="K128">
            <v>113.4</v>
          </cell>
          <cell r="L128">
            <v>135.16999999999999</v>
          </cell>
        </row>
        <row r="129">
          <cell r="C129">
            <v>5518.42</v>
          </cell>
          <cell r="D129">
            <v>5491.12</v>
          </cell>
          <cell r="E129">
            <v>298</v>
          </cell>
          <cell r="F129">
            <v>5800</v>
          </cell>
          <cell r="G129">
            <v>6214.95</v>
          </cell>
          <cell r="H129">
            <v>6175.25</v>
          </cell>
          <cell r="I129">
            <v>285</v>
          </cell>
          <cell r="J129">
            <v>71.75</v>
          </cell>
          <cell r="K129">
            <v>79.2</v>
          </cell>
          <cell r="L129">
            <v>12.46</v>
          </cell>
        </row>
        <row r="130">
          <cell r="C130">
            <v>6767.53</v>
          </cell>
          <cell r="D130">
            <v>6708.99</v>
          </cell>
          <cell r="E130">
            <v>353</v>
          </cell>
          <cell r="F130">
            <v>7100</v>
          </cell>
          <cell r="G130">
            <v>6742.3</v>
          </cell>
          <cell r="H130">
            <v>6647.86</v>
          </cell>
          <cell r="I130">
            <v>328</v>
          </cell>
          <cell r="J130">
            <v>59.15</v>
          </cell>
          <cell r="K130">
            <v>69.150000000000006</v>
          </cell>
          <cell r="L130">
            <v>71.489999999999995</v>
          </cell>
        </row>
        <row r="131">
          <cell r="C131">
            <v>10545.38</v>
          </cell>
          <cell r="D131">
            <v>10457.6</v>
          </cell>
          <cell r="E131">
            <v>507</v>
          </cell>
          <cell r="F131">
            <v>9800</v>
          </cell>
          <cell r="G131">
            <v>9082.94</v>
          </cell>
          <cell r="H131">
            <v>8994.43</v>
          </cell>
          <cell r="I131">
            <v>416</v>
          </cell>
          <cell r="J131">
            <v>74.72</v>
          </cell>
          <cell r="K131">
            <v>89.09</v>
          </cell>
          <cell r="L131">
            <v>17.66</v>
          </cell>
        </row>
        <row r="132">
          <cell r="C132">
            <v>11446.18</v>
          </cell>
          <cell r="D132">
            <v>11355.81</v>
          </cell>
          <cell r="E132">
            <v>509</v>
          </cell>
          <cell r="F132">
            <v>6000</v>
          </cell>
          <cell r="G132">
            <v>9907.67</v>
          </cell>
          <cell r="H132">
            <v>9831.76</v>
          </cell>
          <cell r="I132">
            <v>468</v>
          </cell>
          <cell r="J132">
            <v>80.319999999999993</v>
          </cell>
          <cell r="K132">
            <v>95.46</v>
          </cell>
          <cell r="L132">
            <v>74.569999999999993</v>
          </cell>
        </row>
        <row r="133">
          <cell r="C133">
            <v>9561.15</v>
          </cell>
          <cell r="D133">
            <v>9472.5499999999993</v>
          </cell>
          <cell r="E133">
            <v>486</v>
          </cell>
          <cell r="F133">
            <v>13800</v>
          </cell>
          <cell r="G133">
            <v>11138.78</v>
          </cell>
          <cell r="H133">
            <v>11021.61</v>
          </cell>
          <cell r="I133">
            <v>518</v>
          </cell>
          <cell r="J133">
            <v>115.14</v>
          </cell>
          <cell r="K133">
            <v>130.01</v>
          </cell>
          <cell r="L133">
            <v>52.18</v>
          </cell>
        </row>
        <row r="134">
          <cell r="C134">
            <v>10802.98</v>
          </cell>
          <cell r="D134">
            <v>10691.18</v>
          </cell>
          <cell r="E134">
            <v>523</v>
          </cell>
          <cell r="F134">
            <v>10800</v>
          </cell>
          <cell r="G134">
            <v>9563.35</v>
          </cell>
          <cell r="H134">
            <v>9448.16</v>
          </cell>
          <cell r="I134">
            <v>482</v>
          </cell>
          <cell r="J134">
            <v>101.51</v>
          </cell>
          <cell r="K134">
            <v>120</v>
          </cell>
          <cell r="L134">
            <v>43.16</v>
          </cell>
        </row>
        <row r="135">
          <cell r="C135">
            <v>12973.63</v>
          </cell>
          <cell r="D135">
            <v>12870.24</v>
          </cell>
          <cell r="E135">
            <v>610</v>
          </cell>
          <cell r="F135">
            <v>13000</v>
          </cell>
          <cell r="G135">
            <v>14366.06</v>
          </cell>
          <cell r="H135">
            <v>14221.11</v>
          </cell>
          <cell r="I135">
            <v>615</v>
          </cell>
          <cell r="J135">
            <v>105.99</v>
          </cell>
          <cell r="K135">
            <v>121.31</v>
          </cell>
          <cell r="L135">
            <v>103.39</v>
          </cell>
        </row>
        <row r="136">
          <cell r="C136">
            <v>4824.3500000000004</v>
          </cell>
          <cell r="D136">
            <v>4793.76</v>
          </cell>
          <cell r="E136">
            <v>287</v>
          </cell>
          <cell r="F136">
            <v>5500</v>
          </cell>
          <cell r="G136">
            <v>5355.58</v>
          </cell>
          <cell r="H136">
            <v>5321.77</v>
          </cell>
          <cell r="I136">
            <v>267</v>
          </cell>
          <cell r="J136">
            <v>65.39</v>
          </cell>
          <cell r="K136">
            <v>80.16</v>
          </cell>
          <cell r="L136">
            <v>19.329999999999998</v>
          </cell>
        </row>
        <row r="137">
          <cell r="C137">
            <v>6824.68</v>
          </cell>
          <cell r="D137">
            <v>6775.23</v>
          </cell>
          <cell r="E137">
            <v>369</v>
          </cell>
          <cell r="F137">
            <v>6800</v>
          </cell>
          <cell r="G137">
            <v>6957.26</v>
          </cell>
          <cell r="H137">
            <v>6880.64</v>
          </cell>
          <cell r="I137">
            <v>364</v>
          </cell>
          <cell r="J137">
            <v>69.95</v>
          </cell>
          <cell r="K137">
            <v>85.46</v>
          </cell>
          <cell r="L137">
            <v>20.16</v>
          </cell>
        </row>
        <row r="138">
          <cell r="C138">
            <v>9093.6200000000008</v>
          </cell>
          <cell r="D138">
            <v>9019.4699999999993</v>
          </cell>
          <cell r="E138">
            <v>486</v>
          </cell>
          <cell r="F138">
            <v>9400</v>
          </cell>
          <cell r="G138">
            <v>11021.01</v>
          </cell>
          <cell r="H138">
            <v>10907.86</v>
          </cell>
          <cell r="I138">
            <v>524</v>
          </cell>
          <cell r="J138">
            <v>100.15</v>
          </cell>
          <cell r="K138">
            <v>109.25</v>
          </cell>
          <cell r="L138">
            <v>44.38</v>
          </cell>
        </row>
        <row r="139">
          <cell r="C139">
            <v>8113.74</v>
          </cell>
          <cell r="D139">
            <v>8065.63</v>
          </cell>
          <cell r="E139">
            <v>391</v>
          </cell>
          <cell r="F139">
            <v>13500</v>
          </cell>
          <cell r="G139">
            <v>10518.66</v>
          </cell>
          <cell r="H139">
            <v>10445.120000000001</v>
          </cell>
          <cell r="I139">
            <v>457</v>
          </cell>
          <cell r="J139">
            <v>113.22</v>
          </cell>
          <cell r="K139">
            <v>120.35</v>
          </cell>
          <cell r="L139">
            <v>31.57</v>
          </cell>
        </row>
        <row r="140">
          <cell r="C140">
            <v>10916.38</v>
          </cell>
          <cell r="D140">
            <v>10846.11</v>
          </cell>
          <cell r="E140">
            <v>554</v>
          </cell>
          <cell r="F140">
            <v>10900</v>
          </cell>
          <cell r="G140">
            <v>8181.63</v>
          </cell>
          <cell r="H140">
            <v>8093.71</v>
          </cell>
          <cell r="I140">
            <v>390</v>
          </cell>
          <cell r="J140">
            <v>97.87</v>
          </cell>
          <cell r="K140">
            <v>114.37</v>
          </cell>
          <cell r="L140">
            <v>31.87</v>
          </cell>
        </row>
        <row r="141">
          <cell r="C141">
            <v>10491.14</v>
          </cell>
          <cell r="D141">
            <v>10398.719999999999</v>
          </cell>
          <cell r="E141">
            <v>525</v>
          </cell>
          <cell r="F141">
            <v>10500</v>
          </cell>
          <cell r="G141">
            <v>8603.5499999999993</v>
          </cell>
          <cell r="H141">
            <v>8526.75</v>
          </cell>
          <cell r="I141">
            <v>402</v>
          </cell>
          <cell r="J141">
            <v>97.53</v>
          </cell>
          <cell r="K141">
            <v>114.33</v>
          </cell>
          <cell r="L141">
            <v>47.64</v>
          </cell>
        </row>
        <row r="142">
          <cell r="C142">
            <v>14010.5</v>
          </cell>
          <cell r="D142">
            <v>13902.51</v>
          </cell>
          <cell r="E142">
            <v>637</v>
          </cell>
          <cell r="F142">
            <v>14000</v>
          </cell>
          <cell r="G142">
            <v>13842.62</v>
          </cell>
          <cell r="H142">
            <v>13703.38</v>
          </cell>
          <cell r="I142">
            <v>552</v>
          </cell>
          <cell r="J142">
            <v>114.4</v>
          </cell>
          <cell r="K142">
            <v>123.44</v>
          </cell>
          <cell r="L142">
            <v>44.24</v>
          </cell>
        </row>
        <row r="143">
          <cell r="C143">
            <v>6604.72</v>
          </cell>
          <cell r="D143">
            <v>6553.95</v>
          </cell>
          <cell r="E143">
            <v>345</v>
          </cell>
          <cell r="F143">
            <v>6100</v>
          </cell>
          <cell r="G143">
            <v>5065.5</v>
          </cell>
          <cell r="H143">
            <v>5025.2700000000004</v>
          </cell>
          <cell r="I143">
            <v>273</v>
          </cell>
          <cell r="J143">
            <v>74.849999999999994</v>
          </cell>
          <cell r="K143">
            <v>82.36</v>
          </cell>
          <cell r="L143">
            <v>23.74</v>
          </cell>
        </row>
        <row r="144">
          <cell r="C144">
            <v>5949.5</v>
          </cell>
          <cell r="D144">
            <v>5913.74</v>
          </cell>
          <cell r="E144">
            <v>318</v>
          </cell>
          <cell r="F144">
            <v>6200</v>
          </cell>
          <cell r="G144">
            <v>6622.31</v>
          </cell>
          <cell r="H144">
            <v>6565.02</v>
          </cell>
          <cell r="I144">
            <v>329</v>
          </cell>
          <cell r="J144">
            <v>70.72</v>
          </cell>
          <cell r="K144">
            <v>94.41</v>
          </cell>
          <cell r="L144">
            <v>16.98</v>
          </cell>
        </row>
        <row r="145">
          <cell r="C145">
            <v>7907.2</v>
          </cell>
          <cell r="D145">
            <v>7821.97</v>
          </cell>
          <cell r="E145">
            <v>415</v>
          </cell>
          <cell r="F145">
            <v>7900</v>
          </cell>
          <cell r="G145">
            <v>6331.2</v>
          </cell>
          <cell r="H145">
            <v>6255.26</v>
          </cell>
          <cell r="I145">
            <v>328</v>
          </cell>
          <cell r="J145">
            <v>118.69</v>
          </cell>
          <cell r="K145">
            <v>136.35</v>
          </cell>
          <cell r="L145">
            <v>43.06</v>
          </cell>
        </row>
        <row r="146">
          <cell r="C146">
            <v>7408.1</v>
          </cell>
          <cell r="D146">
            <v>7346.72</v>
          </cell>
          <cell r="E146">
            <v>395</v>
          </cell>
          <cell r="F146">
            <v>7300</v>
          </cell>
          <cell r="G146">
            <v>6735.31</v>
          </cell>
          <cell r="H146">
            <v>6685.23</v>
          </cell>
          <cell r="I146">
            <v>340</v>
          </cell>
          <cell r="J146">
            <v>68.08</v>
          </cell>
          <cell r="K146">
            <v>83.26</v>
          </cell>
          <cell r="L146">
            <v>56.29</v>
          </cell>
        </row>
        <row r="147">
          <cell r="C147">
            <v>10577.67</v>
          </cell>
          <cell r="D147">
            <v>10492.44</v>
          </cell>
          <cell r="E147">
            <v>527</v>
          </cell>
          <cell r="F147">
            <v>10900</v>
          </cell>
          <cell r="G147">
            <v>10031.57</v>
          </cell>
          <cell r="H147">
            <v>9928.11</v>
          </cell>
          <cell r="I147">
            <v>457</v>
          </cell>
          <cell r="J147">
            <v>97.53</v>
          </cell>
          <cell r="K147">
            <v>128.26</v>
          </cell>
          <cell r="L147">
            <v>25.68</v>
          </cell>
        </row>
        <row r="148">
          <cell r="C148">
            <v>12514.43</v>
          </cell>
          <cell r="D148">
            <v>12411.61</v>
          </cell>
          <cell r="E148">
            <v>606</v>
          </cell>
          <cell r="F148">
            <v>11000</v>
          </cell>
          <cell r="G148">
            <v>9098.9699999999993</v>
          </cell>
          <cell r="H148">
            <v>9000.14</v>
          </cell>
          <cell r="I148">
            <v>445</v>
          </cell>
          <cell r="J148">
            <v>101.02</v>
          </cell>
          <cell r="K148">
            <v>119.11</v>
          </cell>
          <cell r="L148">
            <v>68.900000000000006</v>
          </cell>
        </row>
        <row r="149">
          <cell r="C149">
            <v>11040.16</v>
          </cell>
          <cell r="D149">
            <v>10949.76</v>
          </cell>
          <cell r="E149">
            <v>465</v>
          </cell>
          <cell r="F149">
            <v>11000</v>
          </cell>
          <cell r="G149">
            <v>11641.59</v>
          </cell>
          <cell r="H149">
            <v>11541.39</v>
          </cell>
          <cell r="I149">
            <v>537</v>
          </cell>
          <cell r="J149">
            <v>100.32</v>
          </cell>
          <cell r="K149">
            <v>117.56</v>
          </cell>
          <cell r="L149">
            <v>40.76</v>
          </cell>
        </row>
        <row r="150">
          <cell r="C150">
            <v>5682.72</v>
          </cell>
          <cell r="D150">
            <v>5647.61</v>
          </cell>
          <cell r="E150">
            <v>317</v>
          </cell>
          <cell r="F150">
            <v>13200</v>
          </cell>
          <cell r="G150">
            <v>11418.17</v>
          </cell>
          <cell r="H150">
            <v>11318.08</v>
          </cell>
          <cell r="I150">
            <v>516</v>
          </cell>
          <cell r="J150">
            <v>93.59</v>
          </cell>
          <cell r="K150">
            <v>117.37</v>
          </cell>
          <cell r="L150">
            <v>24.66</v>
          </cell>
        </row>
        <row r="151">
          <cell r="C151">
            <v>6986.42</v>
          </cell>
          <cell r="D151">
            <v>6927.21</v>
          </cell>
          <cell r="E151">
            <v>364</v>
          </cell>
          <cell r="F151">
            <v>7000</v>
          </cell>
          <cell r="G151">
            <v>5511.16</v>
          </cell>
          <cell r="H151">
            <v>5472.14</v>
          </cell>
          <cell r="I151">
            <v>293</v>
          </cell>
          <cell r="J151">
            <v>72.11</v>
          </cell>
          <cell r="K151">
            <v>80.510000000000005</v>
          </cell>
          <cell r="L151">
            <v>24.91</v>
          </cell>
        </row>
        <row r="152">
          <cell r="C152">
            <v>12361.06</v>
          </cell>
          <cell r="D152">
            <v>12250.48</v>
          </cell>
          <cell r="E152">
            <v>561</v>
          </cell>
          <cell r="F152">
            <v>8900</v>
          </cell>
          <cell r="G152">
            <v>7407.7</v>
          </cell>
          <cell r="H152">
            <v>7331.63</v>
          </cell>
          <cell r="I152">
            <v>356</v>
          </cell>
          <cell r="J152">
            <v>66.83</v>
          </cell>
          <cell r="K152">
            <v>83.27</v>
          </cell>
          <cell r="L152">
            <v>59.1</v>
          </cell>
        </row>
        <row r="153">
          <cell r="C153">
            <v>13142.5</v>
          </cell>
          <cell r="D153">
            <v>13022.13</v>
          </cell>
          <cell r="E153">
            <v>584</v>
          </cell>
          <cell r="F153">
            <v>7400</v>
          </cell>
          <cell r="G153">
            <v>7371.01</v>
          </cell>
          <cell r="H153">
            <v>7312.94</v>
          </cell>
          <cell r="I153">
            <v>344</v>
          </cell>
          <cell r="J153">
            <v>59.86</v>
          </cell>
          <cell r="K153">
            <v>83.4</v>
          </cell>
          <cell r="L153">
            <v>39.39</v>
          </cell>
        </row>
        <row r="154">
          <cell r="C154">
            <v>11767.78</v>
          </cell>
          <cell r="D154">
            <v>11674.69</v>
          </cell>
          <cell r="E154">
            <v>534</v>
          </cell>
          <cell r="F154">
            <v>11800</v>
          </cell>
          <cell r="G154">
            <v>10778.07</v>
          </cell>
          <cell r="H154">
            <v>10635.27</v>
          </cell>
          <cell r="I154">
            <v>478</v>
          </cell>
          <cell r="J154">
            <v>93.55</v>
          </cell>
          <cell r="K154">
            <v>115.35</v>
          </cell>
          <cell r="L154">
            <v>29.96</v>
          </cell>
        </row>
        <row r="155">
          <cell r="C155">
            <v>10553.29</v>
          </cell>
          <cell r="D155">
            <v>10472.66</v>
          </cell>
          <cell r="E155">
            <v>475</v>
          </cell>
          <cell r="F155">
            <v>10600</v>
          </cell>
          <cell r="G155">
            <v>9684.4</v>
          </cell>
          <cell r="H155">
            <v>9547.77</v>
          </cell>
          <cell r="I155">
            <v>438</v>
          </cell>
          <cell r="J155">
            <v>89.89</v>
          </cell>
          <cell r="K155">
            <v>98.46</v>
          </cell>
          <cell r="L155">
            <v>38.99</v>
          </cell>
        </row>
        <row r="156">
          <cell r="C156">
            <v>15836.92</v>
          </cell>
          <cell r="D156">
            <v>15734.78</v>
          </cell>
          <cell r="E156">
            <v>658</v>
          </cell>
          <cell r="F156">
            <v>14700</v>
          </cell>
          <cell r="G156">
            <v>11780.4</v>
          </cell>
          <cell r="H156">
            <v>11648.65</v>
          </cell>
          <cell r="I156">
            <v>474</v>
          </cell>
          <cell r="J156">
            <v>98.51</v>
          </cell>
          <cell r="K156">
            <v>114.11</v>
          </cell>
          <cell r="L156">
            <v>33.71</v>
          </cell>
        </row>
        <row r="157">
          <cell r="C157">
            <v>6292.79</v>
          </cell>
          <cell r="D157">
            <v>6251.15</v>
          </cell>
          <cell r="E157">
            <v>333</v>
          </cell>
          <cell r="F157">
            <v>6600</v>
          </cell>
          <cell r="G157">
            <v>6610.61</v>
          </cell>
          <cell r="H157">
            <v>6555.76</v>
          </cell>
          <cell r="I157">
            <v>320</v>
          </cell>
          <cell r="J157">
            <v>73.5</v>
          </cell>
          <cell r="K157">
            <v>89.36</v>
          </cell>
          <cell r="L157">
            <v>19.45</v>
          </cell>
        </row>
        <row r="158">
          <cell r="C158">
            <v>7795.8</v>
          </cell>
          <cell r="D158">
            <v>7719.87</v>
          </cell>
          <cell r="E158">
            <v>392</v>
          </cell>
          <cell r="F158">
            <v>8000</v>
          </cell>
          <cell r="G158">
            <v>7551.5</v>
          </cell>
          <cell r="H158">
            <v>7394.09</v>
          </cell>
          <cell r="I158">
            <v>360</v>
          </cell>
          <cell r="J158">
            <v>71.67</v>
          </cell>
          <cell r="K158">
            <v>88.07</v>
          </cell>
          <cell r="L158">
            <v>26.02</v>
          </cell>
        </row>
        <row r="159">
          <cell r="C159">
            <v>9380.1299999999992</v>
          </cell>
          <cell r="D159">
            <v>9294.8799999999992</v>
          </cell>
          <cell r="E159">
            <v>454</v>
          </cell>
          <cell r="F159">
            <v>9700</v>
          </cell>
          <cell r="G159">
            <v>8802.41</v>
          </cell>
          <cell r="H159">
            <v>8652.07</v>
          </cell>
          <cell r="I159">
            <v>454</v>
          </cell>
          <cell r="J159">
            <v>78.37</v>
          </cell>
          <cell r="K159">
            <v>102.27</v>
          </cell>
          <cell r="L159">
            <v>48.78</v>
          </cell>
        </row>
        <row r="160">
          <cell r="C160">
            <v>8862.66</v>
          </cell>
          <cell r="D160">
            <v>8819.5300000000007</v>
          </cell>
          <cell r="E160">
            <v>446</v>
          </cell>
          <cell r="F160">
            <v>8900</v>
          </cell>
          <cell r="G160">
            <v>7133.35</v>
          </cell>
          <cell r="H160">
            <v>7030.83</v>
          </cell>
          <cell r="I160">
            <v>346</v>
          </cell>
          <cell r="J160">
            <v>56.43</v>
          </cell>
          <cell r="K160">
            <v>80.099999999999994</v>
          </cell>
          <cell r="L160">
            <v>71.260000000000005</v>
          </cell>
        </row>
        <row r="161">
          <cell r="C161">
            <v>13277.46</v>
          </cell>
          <cell r="D161">
            <v>13161.64</v>
          </cell>
          <cell r="E161">
            <v>627</v>
          </cell>
          <cell r="F161">
            <v>13700</v>
          </cell>
          <cell r="G161">
            <v>12756.65</v>
          </cell>
          <cell r="H161">
            <v>12590.85</v>
          </cell>
          <cell r="I161">
            <v>562</v>
          </cell>
          <cell r="J161">
            <v>105.35</v>
          </cell>
          <cell r="K161">
            <v>121.1</v>
          </cell>
          <cell r="L161">
            <v>65.739999999999995</v>
          </cell>
        </row>
        <row r="162">
          <cell r="C162">
            <v>12187.9</v>
          </cell>
          <cell r="D162">
            <v>12076.59</v>
          </cell>
          <cell r="E162">
            <v>545</v>
          </cell>
          <cell r="F162">
            <v>12600</v>
          </cell>
          <cell r="G162">
            <v>11758.38</v>
          </cell>
          <cell r="H162">
            <v>11590.31</v>
          </cell>
          <cell r="I162">
            <v>525</v>
          </cell>
          <cell r="J162">
            <v>100.52</v>
          </cell>
          <cell r="K162">
            <v>118.09</v>
          </cell>
          <cell r="L162">
            <v>58.5</v>
          </cell>
        </row>
        <row r="163">
          <cell r="C163">
            <v>13569.64</v>
          </cell>
          <cell r="D163">
            <v>13456.39</v>
          </cell>
          <cell r="E163">
            <v>600</v>
          </cell>
          <cell r="F163">
            <v>14100</v>
          </cell>
          <cell r="G163">
            <v>13903.63</v>
          </cell>
          <cell r="H163">
            <v>13724.4</v>
          </cell>
          <cell r="I163">
            <v>578</v>
          </cell>
          <cell r="J163">
            <v>123.73</v>
          </cell>
          <cell r="K163">
            <v>140.38</v>
          </cell>
          <cell r="L163">
            <v>70.260000000000005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D367"/>
          <cell r="E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D368"/>
          <cell r="E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C369" t="str">
            <v/>
          </cell>
          <cell r="D369"/>
          <cell r="E369"/>
          <cell r="F369"/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87">
          <cell r="G387">
            <v>993.5</v>
          </cell>
          <cell r="H387">
            <v>865.41000000000008</v>
          </cell>
          <cell r="I387">
            <v>1125.2500000000002</v>
          </cell>
          <cell r="J387">
            <v>1006.13</v>
          </cell>
          <cell r="K387">
            <v>1004.14</v>
          </cell>
          <cell r="L387">
            <v>216.82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-131.02000000000001</v>
          </cell>
          <cell r="H388">
            <v>-7859.04</v>
          </cell>
          <cell r="I388">
            <v>-121.71</v>
          </cell>
          <cell r="J388">
            <v>-24.72999999999999</v>
          </cell>
          <cell r="K388">
            <v>-4311.6500000000005</v>
          </cell>
          <cell r="L388">
            <v>-100.03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33.900000000000006</v>
          </cell>
          <cell r="H389">
            <v>41.650000000000006</v>
          </cell>
          <cell r="I389">
            <v>23.05</v>
          </cell>
          <cell r="J389">
            <v>43.74</v>
          </cell>
          <cell r="K389">
            <v>45.349999999999994</v>
          </cell>
          <cell r="L389">
            <v>28.799999999999997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5"/>
    </sheetNames>
    <sheetDataSet>
      <sheetData sheetId="0">
        <row r="5">
          <cell r="C5">
            <v>18376</v>
          </cell>
        </row>
        <row r="6">
          <cell r="C6">
            <v>11136</v>
          </cell>
        </row>
        <row r="7">
          <cell r="C7">
            <v>11362</v>
          </cell>
        </row>
        <row r="8">
          <cell r="C8">
            <v>10272</v>
          </cell>
        </row>
        <row r="9">
          <cell r="C9">
            <v>10148</v>
          </cell>
        </row>
        <row r="10">
          <cell r="C10">
            <v>6009</v>
          </cell>
        </row>
        <row r="11">
          <cell r="C11">
            <v>6194</v>
          </cell>
        </row>
        <row r="12">
          <cell r="C12">
            <v>7995</v>
          </cell>
        </row>
        <row r="13">
          <cell r="C13">
            <v>6261</v>
          </cell>
        </row>
        <row r="14">
          <cell r="C14">
            <v>11230</v>
          </cell>
        </row>
        <row r="15">
          <cell r="C15">
            <v>12758</v>
          </cell>
        </row>
        <row r="16">
          <cell r="C16">
            <v>10869</v>
          </cell>
        </row>
        <row r="17">
          <cell r="C17">
            <v>6145</v>
          </cell>
        </row>
        <row r="18">
          <cell r="C18">
            <v>5543</v>
          </cell>
        </row>
        <row r="19">
          <cell r="C19">
            <v>8205</v>
          </cell>
        </row>
        <row r="20">
          <cell r="C20">
            <v>6474</v>
          </cell>
        </row>
        <row r="21">
          <cell r="C21">
            <v>11393</v>
          </cell>
        </row>
        <row r="22">
          <cell r="C22">
            <v>13806</v>
          </cell>
        </row>
        <row r="23">
          <cell r="C23">
            <v>10845</v>
          </cell>
        </row>
        <row r="24">
          <cell r="C24">
            <v>5097</v>
          </cell>
        </row>
        <row r="25">
          <cell r="C25">
            <v>6161</v>
          </cell>
        </row>
        <row r="26">
          <cell r="C26">
            <v>7535</v>
          </cell>
        </row>
        <row r="27">
          <cell r="C27">
            <v>6333</v>
          </cell>
        </row>
        <row r="28">
          <cell r="C28">
            <v>10747</v>
          </cell>
        </row>
        <row r="29">
          <cell r="C29">
            <v>11234</v>
          </cell>
        </row>
        <row r="30">
          <cell r="C30">
            <v>11400</v>
          </cell>
        </row>
        <row r="31">
          <cell r="C31">
            <v>5423</v>
          </cell>
        </row>
        <row r="32">
          <cell r="C32">
            <v>6290</v>
          </cell>
        </row>
        <row r="33">
          <cell r="C33">
            <v>8655</v>
          </cell>
        </row>
        <row r="34">
          <cell r="C34">
            <v>7480</v>
          </cell>
        </row>
        <row r="35">
          <cell r="C35">
            <v>12294</v>
          </cell>
        </row>
        <row r="36">
          <cell r="C36">
            <v>12496</v>
          </cell>
        </row>
        <row r="37">
          <cell r="C37">
            <v>9943</v>
          </cell>
        </row>
        <row r="38">
          <cell r="C38">
            <v>5647</v>
          </cell>
        </row>
        <row r="39">
          <cell r="C39">
            <v>7129</v>
          </cell>
        </row>
        <row r="40">
          <cell r="C40">
            <v>8398</v>
          </cell>
        </row>
        <row r="41">
          <cell r="C41">
            <v>7582</v>
          </cell>
        </row>
        <row r="42">
          <cell r="C42">
            <v>12292</v>
          </cell>
        </row>
        <row r="43">
          <cell r="C43">
            <v>13345</v>
          </cell>
        </row>
        <row r="44">
          <cell r="C44">
            <v>11579</v>
          </cell>
        </row>
        <row r="45">
          <cell r="C45">
            <v>5445</v>
          </cell>
        </row>
        <row r="46">
          <cell r="C46">
            <v>5835</v>
          </cell>
        </row>
        <row r="47">
          <cell r="C47">
            <v>9075</v>
          </cell>
        </row>
        <row r="48">
          <cell r="C48">
            <v>7227</v>
          </cell>
        </row>
        <row r="49">
          <cell r="C49">
            <v>14426</v>
          </cell>
        </row>
        <row r="50">
          <cell r="C50">
            <v>14200</v>
          </cell>
        </row>
        <row r="51">
          <cell r="C51">
            <v>11546</v>
          </cell>
        </row>
        <row r="52">
          <cell r="C52">
            <v>5675</v>
          </cell>
        </row>
        <row r="53">
          <cell r="C53">
            <v>6471</v>
          </cell>
        </row>
        <row r="54">
          <cell r="C54">
            <v>8360</v>
          </cell>
        </row>
        <row r="55">
          <cell r="C55">
            <v>7011</v>
          </cell>
        </row>
        <row r="56">
          <cell r="C56">
            <v>12906</v>
          </cell>
        </row>
        <row r="57">
          <cell r="C57">
            <v>11875</v>
          </cell>
        </row>
        <row r="58">
          <cell r="C58">
            <v>11441</v>
          </cell>
        </row>
        <row r="59">
          <cell r="C59">
            <v>8177</v>
          </cell>
        </row>
        <row r="60">
          <cell r="C60">
            <v>8344</v>
          </cell>
        </row>
        <row r="61">
          <cell r="C61">
            <v>9949</v>
          </cell>
        </row>
        <row r="62">
          <cell r="C62">
            <v>11034</v>
          </cell>
        </row>
        <row r="63">
          <cell r="C63">
            <v>13035</v>
          </cell>
        </row>
        <row r="64">
          <cell r="C64">
            <v>13458</v>
          </cell>
        </row>
        <row r="65">
          <cell r="C65">
            <v>12128</v>
          </cell>
        </row>
        <row r="66">
          <cell r="C66">
            <v>7979</v>
          </cell>
        </row>
        <row r="67">
          <cell r="C67">
            <v>9763</v>
          </cell>
        </row>
        <row r="68">
          <cell r="C68">
            <v>8735</v>
          </cell>
        </row>
        <row r="69">
          <cell r="C69">
            <v>8900</v>
          </cell>
        </row>
        <row r="70">
          <cell r="C70">
            <v>13375</v>
          </cell>
        </row>
        <row r="71">
          <cell r="C71">
            <v>12474</v>
          </cell>
        </row>
        <row r="72">
          <cell r="C72">
            <v>12445</v>
          </cell>
        </row>
        <row r="73">
          <cell r="C73">
            <v>5621</v>
          </cell>
        </row>
        <row r="74">
          <cell r="C74">
            <v>5330</v>
          </cell>
        </row>
        <row r="75">
          <cell r="C75">
            <v>8355</v>
          </cell>
        </row>
        <row r="76">
          <cell r="C76">
            <v>6420</v>
          </cell>
        </row>
        <row r="77">
          <cell r="C77">
            <v>10269</v>
          </cell>
        </row>
        <row r="78">
          <cell r="C78">
            <v>11895</v>
          </cell>
        </row>
        <row r="79">
          <cell r="C79">
            <v>10653</v>
          </cell>
        </row>
        <row r="80">
          <cell r="C80">
            <v>4976</v>
          </cell>
        </row>
        <row r="81">
          <cell r="C81">
            <v>5735</v>
          </cell>
        </row>
        <row r="82">
          <cell r="C82">
            <v>8365</v>
          </cell>
        </row>
        <row r="83">
          <cell r="C83">
            <v>6722</v>
          </cell>
        </row>
        <row r="84">
          <cell r="C84">
            <v>10663</v>
          </cell>
        </row>
        <row r="85">
          <cell r="C85">
            <v>12757</v>
          </cell>
        </row>
        <row r="86">
          <cell r="C86">
            <v>11523</v>
          </cell>
        </row>
        <row r="87">
          <cell r="C87">
            <v>5625</v>
          </cell>
        </row>
        <row r="88">
          <cell r="C88">
            <v>6517</v>
          </cell>
        </row>
        <row r="89">
          <cell r="C89">
            <v>8996</v>
          </cell>
        </row>
        <row r="90">
          <cell r="C90">
            <v>7882</v>
          </cell>
        </row>
        <row r="91">
          <cell r="C91">
            <v>13854</v>
          </cell>
        </row>
        <row r="92">
          <cell r="C92">
            <v>14748</v>
          </cell>
        </row>
        <row r="93">
          <cell r="C93">
            <v>13811</v>
          </cell>
        </row>
        <row r="94">
          <cell r="C94">
            <v>5825</v>
          </cell>
        </row>
        <row r="95">
          <cell r="C95">
            <v>8205</v>
          </cell>
        </row>
        <row r="96">
          <cell r="C96">
            <v>9963</v>
          </cell>
        </row>
        <row r="97">
          <cell r="C97">
            <v>7491</v>
          </cell>
        </row>
        <row r="98">
          <cell r="C98">
            <v>13464</v>
          </cell>
        </row>
        <row r="99">
          <cell r="C99">
            <v>13768</v>
          </cell>
        </row>
        <row r="100">
          <cell r="C100">
            <v>14001</v>
          </cell>
        </row>
        <row r="101">
          <cell r="C101">
            <v>6173</v>
          </cell>
        </row>
        <row r="102">
          <cell r="C102">
            <v>7588</v>
          </cell>
        </row>
        <row r="103">
          <cell r="C103">
            <v>9199</v>
          </cell>
        </row>
        <row r="104">
          <cell r="C104">
            <v>8902</v>
          </cell>
        </row>
        <row r="105">
          <cell r="C105">
            <v>11914</v>
          </cell>
        </row>
        <row r="106">
          <cell r="C106">
            <v>14425</v>
          </cell>
        </row>
        <row r="107">
          <cell r="C107">
            <v>12786</v>
          </cell>
        </row>
        <row r="108">
          <cell r="C108">
            <v>6291</v>
          </cell>
        </row>
        <row r="109">
          <cell r="C109">
            <v>6662</v>
          </cell>
        </row>
        <row r="110">
          <cell r="C110">
            <v>8751</v>
          </cell>
        </row>
        <row r="111">
          <cell r="C111">
            <v>6715</v>
          </cell>
        </row>
        <row r="112">
          <cell r="C112">
            <v>12781</v>
          </cell>
        </row>
        <row r="113">
          <cell r="C113">
            <v>12132</v>
          </cell>
        </row>
        <row r="114">
          <cell r="C114">
            <v>9418</v>
          </cell>
        </row>
        <row r="115">
          <cell r="C115">
            <v>12367</v>
          </cell>
        </row>
        <row r="116">
          <cell r="C116">
            <v>7551</v>
          </cell>
        </row>
        <row r="117">
          <cell r="C117">
            <v>7371</v>
          </cell>
        </row>
        <row r="118">
          <cell r="C118">
            <v>8834</v>
          </cell>
        </row>
        <row r="119">
          <cell r="C119">
            <v>11492</v>
          </cell>
        </row>
        <row r="120">
          <cell r="C120">
            <v>10273</v>
          </cell>
        </row>
        <row r="121">
          <cell r="C121">
            <v>11473</v>
          </cell>
        </row>
        <row r="122">
          <cell r="C122">
            <v>9193</v>
          </cell>
        </row>
        <row r="123">
          <cell r="C123">
            <v>7713</v>
          </cell>
        </row>
        <row r="124">
          <cell r="C124">
            <v>9534</v>
          </cell>
        </row>
        <row r="125">
          <cell r="C125">
            <v>13927</v>
          </cell>
        </row>
        <row r="126">
          <cell r="C126">
            <v>12149</v>
          </cell>
        </row>
        <row r="127">
          <cell r="C127">
            <v>9389</v>
          </cell>
        </row>
        <row r="128">
          <cell r="C128">
            <v>12006</v>
          </cell>
        </row>
        <row r="129">
          <cell r="C129">
            <v>6727</v>
          </cell>
        </row>
        <row r="130">
          <cell r="C130">
            <v>7010</v>
          </cell>
        </row>
        <row r="131">
          <cell r="C131">
            <v>11705</v>
          </cell>
        </row>
        <row r="132">
          <cell r="C132">
            <v>11615</v>
          </cell>
        </row>
        <row r="133">
          <cell r="C133">
            <v>10645</v>
          </cell>
        </row>
        <row r="134">
          <cell r="C134">
            <v>11798</v>
          </cell>
        </row>
        <row r="135">
          <cell r="C135">
            <v>12886</v>
          </cell>
        </row>
        <row r="136">
          <cell r="C136">
            <v>6840</v>
          </cell>
        </row>
        <row r="137">
          <cell r="C137">
            <v>8064</v>
          </cell>
        </row>
        <row r="138">
          <cell r="C138">
            <v>9067</v>
          </cell>
        </row>
        <row r="139">
          <cell r="C139">
            <v>7643</v>
          </cell>
        </row>
        <row r="140">
          <cell r="C140">
            <v>12332</v>
          </cell>
        </row>
        <row r="141">
          <cell r="C141">
            <v>12067</v>
          </cell>
        </row>
        <row r="142">
          <cell r="C142">
            <v>13795</v>
          </cell>
        </row>
        <row r="143">
          <cell r="C143">
            <v>6932</v>
          </cell>
        </row>
        <row r="144">
          <cell r="C144">
            <v>6811</v>
          </cell>
        </row>
        <row r="145">
          <cell r="C145">
            <v>8900</v>
          </cell>
        </row>
        <row r="146">
          <cell r="C146">
            <v>7518</v>
          </cell>
        </row>
        <row r="147">
          <cell r="C147">
            <v>11224</v>
          </cell>
        </row>
        <row r="148">
          <cell r="C148">
            <v>12175</v>
          </cell>
        </row>
        <row r="149">
          <cell r="C149">
            <v>11016</v>
          </cell>
        </row>
        <row r="150">
          <cell r="C150">
            <v>7083</v>
          </cell>
        </row>
        <row r="151">
          <cell r="C151">
            <v>7008</v>
          </cell>
        </row>
        <row r="152">
          <cell r="C152">
            <v>12237</v>
          </cell>
        </row>
        <row r="153">
          <cell r="C153">
            <v>10585</v>
          </cell>
        </row>
        <row r="154">
          <cell r="C154">
            <v>11187</v>
          </cell>
        </row>
        <row r="155">
          <cell r="C155">
            <v>10097</v>
          </cell>
        </row>
        <row r="156">
          <cell r="C156">
            <v>15051</v>
          </cell>
        </row>
        <row r="157">
          <cell r="C157">
            <v>7340</v>
          </cell>
        </row>
        <row r="158">
          <cell r="C158">
            <v>8261</v>
          </cell>
        </row>
        <row r="159">
          <cell r="C159">
            <v>9343</v>
          </cell>
        </row>
        <row r="160">
          <cell r="C160">
            <v>9490</v>
          </cell>
        </row>
        <row r="161">
          <cell r="C161">
            <v>15008</v>
          </cell>
        </row>
        <row r="162">
          <cell r="C162">
            <v>12511</v>
          </cell>
        </row>
        <row r="163">
          <cell r="C163">
            <v>14786</v>
          </cell>
        </row>
        <row r="164">
          <cell r="C164">
            <v>12269</v>
          </cell>
        </row>
        <row r="165">
          <cell r="C165">
            <v>7496</v>
          </cell>
        </row>
        <row r="166">
          <cell r="C166">
            <v>7291</v>
          </cell>
        </row>
        <row r="167">
          <cell r="C167">
            <v>9328</v>
          </cell>
        </row>
        <row r="168">
          <cell r="C168">
            <v>12790</v>
          </cell>
        </row>
        <row r="169">
          <cell r="C169">
            <v>10950</v>
          </cell>
        </row>
        <row r="170">
          <cell r="C170">
            <v>11805</v>
          </cell>
        </row>
        <row r="171">
          <cell r="C171">
            <v>7451</v>
          </cell>
        </row>
        <row r="172">
          <cell r="C172">
            <v>7247</v>
          </cell>
        </row>
        <row r="173">
          <cell r="C173">
            <v>9138</v>
          </cell>
        </row>
        <row r="174">
          <cell r="C174">
            <v>6744</v>
          </cell>
        </row>
        <row r="175">
          <cell r="C175">
            <v>10621</v>
          </cell>
        </row>
        <row r="176">
          <cell r="C176">
            <v>9160</v>
          </cell>
        </row>
        <row r="177">
          <cell r="C177">
            <v>13626</v>
          </cell>
        </row>
        <row r="178">
          <cell r="C178">
            <v>6709</v>
          </cell>
        </row>
        <row r="179">
          <cell r="C179">
            <v>8141</v>
          </cell>
        </row>
        <row r="180">
          <cell r="C180">
            <v>9924</v>
          </cell>
        </row>
        <row r="181">
          <cell r="C181">
            <v>9266</v>
          </cell>
        </row>
        <row r="182">
          <cell r="C182">
            <v>12691</v>
          </cell>
        </row>
        <row r="183">
          <cell r="C183">
            <v>12095</v>
          </cell>
        </row>
        <row r="184">
          <cell r="C184">
            <v>13500</v>
          </cell>
        </row>
        <row r="185">
          <cell r="C185">
            <v>8519</v>
          </cell>
        </row>
        <row r="186">
          <cell r="C186">
            <v>11351</v>
          </cell>
        </row>
        <row r="187">
          <cell r="C187">
            <v>11617</v>
          </cell>
        </row>
        <row r="188">
          <cell r="C188">
            <v>11090</v>
          </cell>
        </row>
        <row r="189">
          <cell r="C189">
            <v>15828</v>
          </cell>
        </row>
        <row r="190">
          <cell r="C190">
            <v>13830</v>
          </cell>
        </row>
        <row r="191">
          <cell r="C191">
            <v>14926</v>
          </cell>
        </row>
        <row r="192">
          <cell r="C192">
            <v>9539</v>
          </cell>
        </row>
        <row r="193">
          <cell r="C193">
            <v>9729</v>
          </cell>
        </row>
        <row r="194">
          <cell r="C194">
            <v>11143</v>
          </cell>
        </row>
        <row r="195">
          <cell r="C195">
            <v>10146</v>
          </cell>
        </row>
        <row r="196">
          <cell r="C196">
            <v>11643</v>
          </cell>
        </row>
        <row r="197">
          <cell r="C197">
            <v>11298</v>
          </cell>
        </row>
        <row r="198">
          <cell r="C198">
            <v>11471</v>
          </cell>
        </row>
        <row r="199">
          <cell r="C199">
            <v>15912</v>
          </cell>
        </row>
        <row r="200">
          <cell r="C200">
            <v>9798</v>
          </cell>
        </row>
        <row r="201">
          <cell r="C201">
            <v>8235</v>
          </cell>
        </row>
        <row r="202">
          <cell r="C202">
            <v>8476</v>
          </cell>
        </row>
        <row r="203">
          <cell r="C203">
            <v>11230</v>
          </cell>
        </row>
        <row r="204">
          <cell r="C204">
            <v>12539</v>
          </cell>
        </row>
        <row r="205">
          <cell r="C205">
            <v>13695</v>
          </cell>
        </row>
        <row r="206">
          <cell r="C206">
            <v>8985</v>
          </cell>
        </row>
        <row r="207">
          <cell r="C207">
            <v>8085</v>
          </cell>
        </row>
        <row r="208">
          <cell r="C208">
            <v>8572</v>
          </cell>
        </row>
        <row r="209">
          <cell r="C209">
            <v>9023</v>
          </cell>
        </row>
        <row r="210">
          <cell r="C210">
            <v>12214</v>
          </cell>
        </row>
        <row r="211">
          <cell r="C211">
            <v>11184</v>
          </cell>
        </row>
        <row r="212">
          <cell r="C212">
            <v>14025</v>
          </cell>
        </row>
        <row r="213">
          <cell r="C213">
            <v>9915</v>
          </cell>
        </row>
        <row r="214">
          <cell r="C214">
            <v>10715</v>
          </cell>
        </row>
        <row r="215">
          <cell r="C215">
            <v>9643</v>
          </cell>
        </row>
        <row r="216">
          <cell r="C216">
            <v>9519</v>
          </cell>
        </row>
        <row r="217">
          <cell r="C217">
            <v>12673</v>
          </cell>
        </row>
        <row r="218">
          <cell r="C218">
            <v>13673</v>
          </cell>
        </row>
        <row r="219">
          <cell r="C219">
            <v>14206</v>
          </cell>
        </row>
        <row r="220">
          <cell r="C220">
            <v>9163</v>
          </cell>
        </row>
        <row r="221">
          <cell r="C221">
            <v>9371</v>
          </cell>
        </row>
        <row r="222">
          <cell r="C222">
            <v>9576</v>
          </cell>
        </row>
        <row r="223">
          <cell r="C223">
            <v>10593</v>
          </cell>
        </row>
        <row r="224">
          <cell r="C224">
            <v>11136</v>
          </cell>
        </row>
        <row r="225">
          <cell r="C225">
            <v>11192</v>
          </cell>
        </row>
        <row r="226">
          <cell r="C226">
            <v>12033</v>
          </cell>
        </row>
        <row r="227">
          <cell r="C227">
            <v>11228</v>
          </cell>
        </row>
        <row r="228">
          <cell r="C228">
            <v>8890</v>
          </cell>
        </row>
        <row r="229">
          <cell r="C229">
            <v>11074</v>
          </cell>
        </row>
        <row r="230">
          <cell r="C230">
            <v>10863</v>
          </cell>
        </row>
        <row r="231">
          <cell r="C231">
            <v>10932</v>
          </cell>
        </row>
        <row r="232">
          <cell r="C232">
            <v>9839</v>
          </cell>
        </row>
        <row r="233">
          <cell r="C233">
            <v>13021</v>
          </cell>
        </row>
        <row r="234">
          <cell r="C234">
            <v>10058</v>
          </cell>
        </row>
        <row r="235">
          <cell r="C235">
            <v>9576</v>
          </cell>
        </row>
        <row r="236">
          <cell r="C236">
            <v>10845</v>
          </cell>
        </row>
        <row r="237">
          <cell r="C237">
            <v>9798</v>
          </cell>
        </row>
        <row r="238">
          <cell r="C238">
            <v>10583</v>
          </cell>
        </row>
        <row r="239">
          <cell r="C239">
            <v>10790</v>
          </cell>
        </row>
        <row r="240">
          <cell r="C240">
            <v>12611</v>
          </cell>
        </row>
        <row r="241">
          <cell r="C241">
            <v>9177</v>
          </cell>
        </row>
        <row r="242">
          <cell r="C242">
            <v>8350</v>
          </cell>
        </row>
        <row r="243">
          <cell r="C243">
            <v>9424</v>
          </cell>
        </row>
        <row r="244">
          <cell r="C244">
            <v>8624</v>
          </cell>
        </row>
        <row r="245">
          <cell r="C245">
            <v>11940</v>
          </cell>
        </row>
        <row r="246">
          <cell r="C246">
            <v>12724</v>
          </cell>
        </row>
        <row r="247">
          <cell r="C247">
            <v>14497</v>
          </cell>
        </row>
        <row r="248">
          <cell r="C248">
            <v>7515</v>
          </cell>
        </row>
        <row r="249">
          <cell r="C249">
            <v>8537</v>
          </cell>
        </row>
        <row r="250">
          <cell r="C250">
            <v>9971</v>
          </cell>
        </row>
        <row r="251">
          <cell r="C251">
            <v>7773</v>
          </cell>
        </row>
        <row r="252">
          <cell r="C252">
            <v>13008</v>
          </cell>
        </row>
        <row r="253">
          <cell r="C253">
            <v>13219</v>
          </cell>
        </row>
        <row r="254">
          <cell r="C254">
            <v>13166</v>
          </cell>
        </row>
        <row r="255">
          <cell r="C255">
            <v>6651</v>
          </cell>
        </row>
        <row r="256">
          <cell r="C256">
            <v>7311</v>
          </cell>
        </row>
        <row r="257">
          <cell r="C257">
            <v>8771</v>
          </cell>
        </row>
        <row r="258">
          <cell r="C258">
            <v>7449</v>
          </cell>
        </row>
        <row r="259">
          <cell r="C259">
            <v>11573</v>
          </cell>
        </row>
        <row r="260">
          <cell r="C260">
            <v>11808</v>
          </cell>
        </row>
        <row r="261">
          <cell r="C261">
            <v>13555</v>
          </cell>
        </row>
        <row r="262">
          <cell r="C262">
            <v>5616</v>
          </cell>
        </row>
        <row r="263">
          <cell r="C263">
            <v>6211</v>
          </cell>
        </row>
        <row r="264">
          <cell r="C264">
            <v>8367</v>
          </cell>
        </row>
        <row r="265">
          <cell r="C265">
            <v>6666</v>
          </cell>
        </row>
        <row r="266">
          <cell r="C266">
            <v>11166</v>
          </cell>
        </row>
        <row r="267">
          <cell r="C267">
            <v>11948</v>
          </cell>
        </row>
        <row r="268">
          <cell r="C268">
            <v>11002</v>
          </cell>
        </row>
        <row r="269">
          <cell r="C269">
            <v>6546</v>
          </cell>
        </row>
        <row r="270">
          <cell r="C270">
            <v>6581</v>
          </cell>
        </row>
        <row r="271">
          <cell r="C271">
            <v>7616</v>
          </cell>
        </row>
        <row r="272">
          <cell r="C272">
            <v>6607</v>
          </cell>
        </row>
        <row r="273">
          <cell r="C273">
            <v>11526</v>
          </cell>
        </row>
        <row r="274">
          <cell r="C274">
            <v>12001</v>
          </cell>
        </row>
        <row r="275">
          <cell r="C275">
            <v>12086</v>
          </cell>
        </row>
        <row r="276">
          <cell r="C276">
            <v>4970</v>
          </cell>
        </row>
        <row r="277">
          <cell r="C277">
            <v>6750</v>
          </cell>
        </row>
        <row r="278">
          <cell r="C278">
            <v>8798</v>
          </cell>
        </row>
        <row r="279">
          <cell r="C279">
            <v>7868</v>
          </cell>
        </row>
        <row r="280">
          <cell r="C280">
            <v>12103</v>
          </cell>
        </row>
        <row r="281">
          <cell r="C281">
            <v>12687</v>
          </cell>
        </row>
        <row r="282">
          <cell r="C282">
            <v>12649</v>
          </cell>
        </row>
        <row r="283">
          <cell r="C283">
            <v>6722</v>
          </cell>
        </row>
        <row r="284">
          <cell r="C284">
            <v>8566</v>
          </cell>
        </row>
        <row r="285">
          <cell r="C285">
            <v>9475</v>
          </cell>
        </row>
        <row r="286">
          <cell r="C286">
            <v>7472</v>
          </cell>
        </row>
        <row r="287">
          <cell r="C287">
            <v>12788</v>
          </cell>
        </row>
        <row r="288">
          <cell r="C288">
            <v>14159</v>
          </cell>
        </row>
        <row r="289">
          <cell r="C289">
            <v>15279</v>
          </cell>
        </row>
        <row r="290">
          <cell r="C290">
            <v>6277</v>
          </cell>
        </row>
        <row r="291">
          <cell r="C291">
            <v>6043</v>
          </cell>
        </row>
        <row r="292">
          <cell r="C292">
            <v>8811</v>
          </cell>
        </row>
        <row r="293">
          <cell r="C293">
            <v>6850</v>
          </cell>
        </row>
        <row r="294">
          <cell r="C294">
            <v>12056</v>
          </cell>
        </row>
        <row r="295">
          <cell r="C295">
            <v>11768</v>
          </cell>
        </row>
        <row r="296">
          <cell r="C296">
            <v>11992</v>
          </cell>
        </row>
        <row r="297">
          <cell r="C297">
            <v>7145</v>
          </cell>
        </row>
        <row r="298">
          <cell r="C298">
            <v>7819</v>
          </cell>
        </row>
        <row r="299">
          <cell r="C299">
            <v>8291</v>
          </cell>
        </row>
        <row r="300">
          <cell r="C300">
            <v>8758</v>
          </cell>
        </row>
        <row r="301">
          <cell r="C301">
            <v>12312</v>
          </cell>
        </row>
        <row r="302">
          <cell r="C302">
            <v>11660</v>
          </cell>
        </row>
        <row r="303">
          <cell r="C303">
            <v>12072</v>
          </cell>
        </row>
        <row r="304">
          <cell r="C304">
            <v>7385</v>
          </cell>
        </row>
        <row r="305">
          <cell r="C305">
            <v>7751</v>
          </cell>
        </row>
        <row r="306">
          <cell r="C306">
            <v>9191</v>
          </cell>
        </row>
        <row r="307">
          <cell r="C307">
            <v>9768</v>
          </cell>
        </row>
        <row r="308">
          <cell r="C308">
            <v>13328</v>
          </cell>
        </row>
        <row r="309">
          <cell r="C309">
            <v>12471</v>
          </cell>
        </row>
        <row r="310">
          <cell r="C310">
            <v>11826</v>
          </cell>
        </row>
        <row r="311">
          <cell r="C311">
            <v>5933</v>
          </cell>
        </row>
        <row r="312">
          <cell r="C312">
            <v>6449</v>
          </cell>
        </row>
        <row r="313">
          <cell r="C313">
            <v>9422</v>
          </cell>
        </row>
        <row r="314">
          <cell r="C314">
            <v>7248</v>
          </cell>
        </row>
        <row r="315">
          <cell r="C315">
            <v>11135</v>
          </cell>
        </row>
        <row r="316">
          <cell r="C316">
            <v>11608</v>
          </cell>
        </row>
        <row r="317">
          <cell r="C317">
            <v>12454</v>
          </cell>
        </row>
        <row r="318">
          <cell r="C318">
            <v>10515</v>
          </cell>
        </row>
        <row r="319">
          <cell r="C319">
            <v>11511</v>
          </cell>
        </row>
        <row r="320">
          <cell r="C320">
            <v>7993</v>
          </cell>
        </row>
        <row r="321">
          <cell r="C321">
            <v>6827</v>
          </cell>
        </row>
        <row r="322">
          <cell r="C322">
            <v>12071</v>
          </cell>
        </row>
        <row r="323">
          <cell r="C323">
            <v>11505</v>
          </cell>
        </row>
        <row r="324">
          <cell r="C324">
            <v>11324</v>
          </cell>
        </row>
        <row r="325">
          <cell r="C325">
            <v>4714</v>
          </cell>
        </row>
        <row r="326">
          <cell r="C326">
            <v>6003</v>
          </cell>
        </row>
        <row r="327">
          <cell r="C327">
            <v>8404</v>
          </cell>
        </row>
        <row r="328">
          <cell r="C328">
            <v>5554</v>
          </cell>
        </row>
        <row r="329">
          <cell r="C329">
            <v>9742</v>
          </cell>
        </row>
        <row r="330">
          <cell r="C330">
            <v>12841</v>
          </cell>
        </row>
        <row r="331">
          <cell r="C331">
            <v>10618</v>
          </cell>
        </row>
        <row r="332">
          <cell r="C332">
            <v>5232</v>
          </cell>
        </row>
        <row r="333">
          <cell r="C333">
            <v>5752</v>
          </cell>
        </row>
        <row r="334">
          <cell r="C334">
            <v>7013</v>
          </cell>
        </row>
        <row r="335">
          <cell r="C335">
            <v>7487</v>
          </cell>
        </row>
        <row r="336">
          <cell r="C336">
            <v>12171</v>
          </cell>
        </row>
        <row r="337">
          <cell r="C337">
            <v>13102</v>
          </cell>
        </row>
        <row r="338">
          <cell r="C338">
            <v>12266</v>
          </cell>
        </row>
        <row r="339">
          <cell r="C339">
            <v>6256</v>
          </cell>
        </row>
        <row r="340">
          <cell r="C340">
            <v>7330</v>
          </cell>
        </row>
        <row r="341">
          <cell r="C341">
            <v>9008</v>
          </cell>
        </row>
        <row r="342">
          <cell r="C342">
            <v>7259</v>
          </cell>
        </row>
        <row r="343">
          <cell r="C343">
            <v>11510</v>
          </cell>
        </row>
        <row r="344">
          <cell r="C344">
            <v>12845</v>
          </cell>
        </row>
        <row r="345">
          <cell r="C345">
            <v>12014</v>
          </cell>
        </row>
        <row r="346">
          <cell r="C346">
            <v>8112</v>
          </cell>
        </row>
        <row r="347">
          <cell r="C347">
            <v>6842</v>
          </cell>
        </row>
        <row r="348">
          <cell r="C348">
            <v>9884</v>
          </cell>
        </row>
        <row r="349">
          <cell r="C349">
            <v>7389</v>
          </cell>
        </row>
        <row r="350">
          <cell r="C350">
            <v>11474</v>
          </cell>
        </row>
        <row r="351">
          <cell r="C351">
            <v>14881</v>
          </cell>
        </row>
        <row r="352">
          <cell r="C352">
            <v>13826</v>
          </cell>
        </row>
        <row r="353">
          <cell r="C353">
            <v>6204</v>
          </cell>
        </row>
        <row r="354">
          <cell r="C354">
            <v>6453</v>
          </cell>
        </row>
        <row r="355">
          <cell r="C355">
            <v>9121</v>
          </cell>
        </row>
        <row r="356">
          <cell r="C356">
            <v>8317</v>
          </cell>
        </row>
        <row r="357">
          <cell r="C357">
            <v>12381</v>
          </cell>
        </row>
        <row r="358">
          <cell r="C358">
            <v>12519</v>
          </cell>
        </row>
        <row r="359">
          <cell r="C359">
            <v>12570</v>
          </cell>
        </row>
        <row r="360">
          <cell r="C360">
            <v>12018</v>
          </cell>
        </row>
        <row r="361">
          <cell r="C361">
            <v>11205</v>
          </cell>
        </row>
        <row r="362">
          <cell r="C362">
            <v>4560</v>
          </cell>
        </row>
        <row r="363">
          <cell r="C363">
            <v>0</v>
          </cell>
        </row>
        <row r="364">
          <cell r="C364">
            <v>11485</v>
          </cell>
        </row>
        <row r="365">
          <cell r="C365">
            <v>15393</v>
          </cell>
        </row>
        <row r="366">
          <cell r="C366">
            <v>12285</v>
          </cell>
        </row>
        <row r="367">
          <cell r="C367">
            <v>12549</v>
          </cell>
        </row>
        <row r="368">
          <cell r="C368">
            <v>10529</v>
          </cell>
        </row>
        <row r="369">
          <cell r="C369">
            <v>4922</v>
          </cell>
        </row>
        <row r="370">
          <cell r="C370">
            <v>19583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C6">
            <v>11136</v>
          </cell>
          <cell r="D6">
            <v>10967</v>
          </cell>
          <cell r="E6">
            <v>532</v>
          </cell>
          <cell r="F6">
            <v>19000</v>
          </cell>
          <cell r="G6">
            <v>19583</v>
          </cell>
          <cell r="H6">
            <v>19451</v>
          </cell>
          <cell r="I6">
            <v>776</v>
          </cell>
          <cell r="J6">
            <v>203</v>
          </cell>
          <cell r="K6">
            <v>227</v>
          </cell>
          <cell r="L6">
            <v>30</v>
          </cell>
        </row>
        <row r="7">
          <cell r="C7">
            <v>11362</v>
          </cell>
          <cell r="D7">
            <v>11188</v>
          </cell>
          <cell r="E7">
            <v>569</v>
          </cell>
          <cell r="F7">
            <v>11300</v>
          </cell>
          <cell r="G7">
            <v>13248</v>
          </cell>
          <cell r="H7">
            <v>13141</v>
          </cell>
          <cell r="I7">
            <v>575</v>
          </cell>
          <cell r="J7">
            <v>120</v>
          </cell>
          <cell r="K7">
            <v>129</v>
          </cell>
          <cell r="L7">
            <v>53</v>
          </cell>
        </row>
        <row r="8">
          <cell r="C8">
            <v>10272</v>
          </cell>
          <cell r="D8">
            <v>10085</v>
          </cell>
          <cell r="E8">
            <v>529</v>
          </cell>
          <cell r="F8">
            <v>10200</v>
          </cell>
          <cell r="G8">
            <v>11929</v>
          </cell>
          <cell r="H8">
            <v>11835</v>
          </cell>
          <cell r="I8">
            <v>550</v>
          </cell>
          <cell r="J8">
            <v>120</v>
          </cell>
          <cell r="K8">
            <v>138</v>
          </cell>
          <cell r="L8">
            <v>24</v>
          </cell>
        </row>
        <row r="9">
          <cell r="C9">
            <v>10148</v>
          </cell>
          <cell r="D9">
            <v>10009</v>
          </cell>
          <cell r="E9">
            <v>438</v>
          </cell>
          <cell r="F9">
            <v>10100</v>
          </cell>
          <cell r="G9">
            <v>10541</v>
          </cell>
          <cell r="H9">
            <v>10453</v>
          </cell>
          <cell r="I9">
            <v>444</v>
          </cell>
          <cell r="J9">
            <v>105</v>
          </cell>
          <cell r="K9">
            <v>123</v>
          </cell>
          <cell r="L9">
            <v>59</v>
          </cell>
        </row>
        <row r="10">
          <cell r="C10">
            <v>6009</v>
          </cell>
          <cell r="D10">
            <v>5931</v>
          </cell>
          <cell r="E10">
            <v>307</v>
          </cell>
          <cell r="F10">
            <v>6000</v>
          </cell>
          <cell r="G10">
            <v>6564</v>
          </cell>
          <cell r="H10">
            <v>6502</v>
          </cell>
          <cell r="I10">
            <v>337</v>
          </cell>
          <cell r="J10">
            <v>87</v>
          </cell>
          <cell r="K10">
            <v>95</v>
          </cell>
          <cell r="L10">
            <v>46</v>
          </cell>
        </row>
        <row r="11">
          <cell r="C11">
            <v>6194</v>
          </cell>
          <cell r="D11">
            <v>6123</v>
          </cell>
          <cell r="E11">
            <v>333</v>
          </cell>
          <cell r="F11">
            <v>6200</v>
          </cell>
          <cell r="G11">
            <v>5930</v>
          </cell>
          <cell r="H11">
            <v>5888</v>
          </cell>
          <cell r="I11">
            <v>301</v>
          </cell>
          <cell r="J11">
            <v>81</v>
          </cell>
          <cell r="K11">
            <v>90</v>
          </cell>
          <cell r="L11">
            <v>61</v>
          </cell>
        </row>
        <row r="12">
          <cell r="C12">
            <v>7995</v>
          </cell>
          <cell r="D12">
            <v>7876</v>
          </cell>
          <cell r="E12">
            <v>436</v>
          </cell>
          <cell r="F12">
            <v>7900</v>
          </cell>
          <cell r="G12">
            <v>8366</v>
          </cell>
          <cell r="H12">
            <v>8279</v>
          </cell>
          <cell r="I12">
            <v>398</v>
          </cell>
          <cell r="J12">
            <v>91</v>
          </cell>
          <cell r="K12">
            <v>109</v>
          </cell>
          <cell r="L12">
            <v>44</v>
          </cell>
        </row>
        <row r="13">
          <cell r="C13">
            <v>6261</v>
          </cell>
          <cell r="D13">
            <v>6196</v>
          </cell>
          <cell r="E13">
            <v>341</v>
          </cell>
          <cell r="F13">
            <v>6300</v>
          </cell>
          <cell r="G13">
            <v>5561</v>
          </cell>
          <cell r="H13">
            <v>5514</v>
          </cell>
          <cell r="I13">
            <v>282</v>
          </cell>
          <cell r="J13">
            <v>81</v>
          </cell>
          <cell r="K13">
            <v>106</v>
          </cell>
          <cell r="L13">
            <v>77</v>
          </cell>
        </row>
        <row r="14">
          <cell r="C14">
            <v>11230</v>
          </cell>
          <cell r="D14">
            <v>11072</v>
          </cell>
          <cell r="E14">
            <v>562</v>
          </cell>
          <cell r="F14">
            <v>11200</v>
          </cell>
          <cell r="G14">
            <v>10556</v>
          </cell>
          <cell r="H14">
            <v>10480</v>
          </cell>
          <cell r="I14">
            <v>529</v>
          </cell>
          <cell r="J14">
            <v>110</v>
          </cell>
          <cell r="K14">
            <v>118</v>
          </cell>
          <cell r="L14">
            <v>42</v>
          </cell>
        </row>
        <row r="15">
          <cell r="C15">
            <v>12758</v>
          </cell>
          <cell r="D15">
            <v>12607</v>
          </cell>
          <cell r="E15">
            <v>632</v>
          </cell>
          <cell r="F15">
            <v>12700</v>
          </cell>
          <cell r="G15">
            <v>10504</v>
          </cell>
          <cell r="H15">
            <v>10405</v>
          </cell>
          <cell r="I15">
            <v>480</v>
          </cell>
          <cell r="J15">
            <v>126</v>
          </cell>
          <cell r="K15">
            <v>135</v>
          </cell>
          <cell r="L15">
            <v>21</v>
          </cell>
        </row>
        <row r="16">
          <cell r="C16">
            <v>10869</v>
          </cell>
          <cell r="D16">
            <v>10783</v>
          </cell>
          <cell r="E16">
            <v>452</v>
          </cell>
          <cell r="F16">
            <v>10900</v>
          </cell>
          <cell r="G16">
            <v>10384</v>
          </cell>
          <cell r="H16">
            <v>10300</v>
          </cell>
          <cell r="I16">
            <v>424</v>
          </cell>
          <cell r="J16">
            <v>105</v>
          </cell>
          <cell r="K16">
            <v>112</v>
          </cell>
          <cell r="L16">
            <v>28</v>
          </cell>
        </row>
        <row r="17">
          <cell r="C17">
            <v>6145</v>
          </cell>
          <cell r="D17">
            <v>6096</v>
          </cell>
          <cell r="E17">
            <v>334</v>
          </cell>
          <cell r="F17">
            <v>6200</v>
          </cell>
          <cell r="G17">
            <v>4989</v>
          </cell>
          <cell r="H17">
            <v>4960</v>
          </cell>
          <cell r="I17">
            <v>259</v>
          </cell>
          <cell r="J17">
            <v>79</v>
          </cell>
          <cell r="K17">
            <v>96</v>
          </cell>
          <cell r="L17">
            <v>28</v>
          </cell>
        </row>
        <row r="18">
          <cell r="C18">
            <v>5543</v>
          </cell>
          <cell r="D18">
            <v>5498</v>
          </cell>
          <cell r="E18">
            <v>317</v>
          </cell>
          <cell r="F18">
            <v>5500</v>
          </cell>
          <cell r="G18">
            <v>6368</v>
          </cell>
          <cell r="H18">
            <v>6316</v>
          </cell>
          <cell r="I18">
            <v>338</v>
          </cell>
          <cell r="J18">
            <v>71</v>
          </cell>
          <cell r="K18">
            <v>87</v>
          </cell>
          <cell r="L18">
            <v>29</v>
          </cell>
        </row>
        <row r="19">
          <cell r="C19">
            <v>8205</v>
          </cell>
          <cell r="D19">
            <v>8132</v>
          </cell>
          <cell r="E19">
            <v>437</v>
          </cell>
          <cell r="F19">
            <v>8200</v>
          </cell>
          <cell r="G19">
            <v>8180</v>
          </cell>
          <cell r="H19">
            <v>8110</v>
          </cell>
          <cell r="I19">
            <v>416</v>
          </cell>
          <cell r="J19">
            <v>89</v>
          </cell>
          <cell r="K19">
            <v>105</v>
          </cell>
          <cell r="L19">
            <v>40</v>
          </cell>
        </row>
        <row r="20">
          <cell r="C20">
            <v>6474</v>
          </cell>
          <cell r="D20">
            <v>6421</v>
          </cell>
          <cell r="E20">
            <v>362</v>
          </cell>
          <cell r="F20">
            <v>6500</v>
          </cell>
          <cell r="G20">
            <v>7181</v>
          </cell>
          <cell r="H20">
            <v>7129</v>
          </cell>
          <cell r="I20">
            <v>379</v>
          </cell>
          <cell r="J20">
            <v>77</v>
          </cell>
          <cell r="K20">
            <v>93</v>
          </cell>
          <cell r="L20">
            <v>35</v>
          </cell>
        </row>
        <row r="21">
          <cell r="C21">
            <v>11393</v>
          </cell>
          <cell r="D21">
            <v>11310</v>
          </cell>
          <cell r="E21">
            <v>602</v>
          </cell>
          <cell r="F21">
            <v>11400</v>
          </cell>
          <cell r="G21">
            <v>11470</v>
          </cell>
          <cell r="H21">
            <v>11395</v>
          </cell>
          <cell r="I21">
            <v>565</v>
          </cell>
          <cell r="J21">
            <v>106</v>
          </cell>
          <cell r="K21">
            <v>123</v>
          </cell>
          <cell r="L21">
            <v>37</v>
          </cell>
        </row>
        <row r="22">
          <cell r="C22">
            <v>13806</v>
          </cell>
          <cell r="D22">
            <v>13638</v>
          </cell>
          <cell r="E22">
            <v>680</v>
          </cell>
          <cell r="F22">
            <v>13800</v>
          </cell>
          <cell r="G22">
            <v>13060</v>
          </cell>
          <cell r="H22">
            <v>12949</v>
          </cell>
          <cell r="I22">
            <v>612</v>
          </cell>
          <cell r="J22">
            <v>116</v>
          </cell>
          <cell r="K22">
            <v>134</v>
          </cell>
          <cell r="L22">
            <v>32</v>
          </cell>
        </row>
        <row r="23">
          <cell r="C23">
            <v>10845</v>
          </cell>
          <cell r="D23">
            <v>10772</v>
          </cell>
          <cell r="E23">
            <v>511</v>
          </cell>
          <cell r="F23">
            <v>10900</v>
          </cell>
          <cell r="G23">
            <v>10907</v>
          </cell>
          <cell r="H23">
            <v>10809</v>
          </cell>
          <cell r="I23">
            <v>472</v>
          </cell>
          <cell r="J23">
            <v>98</v>
          </cell>
          <cell r="K23">
            <v>114</v>
          </cell>
          <cell r="L23">
            <v>56</v>
          </cell>
        </row>
        <row r="24">
          <cell r="C24">
            <v>5097</v>
          </cell>
          <cell r="D24">
            <v>5054</v>
          </cell>
          <cell r="E24">
            <v>282</v>
          </cell>
          <cell r="F24">
            <v>5100</v>
          </cell>
          <cell r="G24">
            <v>5396</v>
          </cell>
          <cell r="H24">
            <v>5353</v>
          </cell>
          <cell r="I24">
            <v>281</v>
          </cell>
          <cell r="J24">
            <v>71</v>
          </cell>
          <cell r="K24">
            <v>80</v>
          </cell>
          <cell r="L24">
            <v>43</v>
          </cell>
        </row>
        <row r="25">
          <cell r="C25">
            <v>6161</v>
          </cell>
          <cell r="D25">
            <v>6115</v>
          </cell>
          <cell r="E25">
            <v>326</v>
          </cell>
          <cell r="F25">
            <v>6200</v>
          </cell>
          <cell r="G25">
            <v>6641</v>
          </cell>
          <cell r="H25">
            <v>6571</v>
          </cell>
          <cell r="I25">
            <v>345</v>
          </cell>
          <cell r="J25">
            <v>73</v>
          </cell>
          <cell r="K25">
            <v>81</v>
          </cell>
          <cell r="L25">
            <v>41</v>
          </cell>
        </row>
        <row r="26">
          <cell r="C26">
            <v>7535</v>
          </cell>
          <cell r="D26">
            <v>7451</v>
          </cell>
          <cell r="E26">
            <v>407</v>
          </cell>
          <cell r="F26">
            <v>7500</v>
          </cell>
          <cell r="G26">
            <v>8180</v>
          </cell>
          <cell r="H26">
            <v>8110</v>
          </cell>
          <cell r="I26">
            <v>402</v>
          </cell>
          <cell r="J26">
            <v>82</v>
          </cell>
          <cell r="K26">
            <v>90</v>
          </cell>
          <cell r="L26">
            <v>40</v>
          </cell>
        </row>
        <row r="27">
          <cell r="C27">
            <v>6333</v>
          </cell>
          <cell r="D27">
            <v>6303</v>
          </cell>
          <cell r="E27">
            <v>365</v>
          </cell>
          <cell r="F27">
            <v>6400</v>
          </cell>
          <cell r="G27">
            <v>5976</v>
          </cell>
          <cell r="H27">
            <v>5932</v>
          </cell>
          <cell r="I27">
            <v>312</v>
          </cell>
          <cell r="J27">
            <v>78</v>
          </cell>
          <cell r="K27">
            <v>95</v>
          </cell>
          <cell r="L27">
            <v>72</v>
          </cell>
        </row>
        <row r="28">
          <cell r="C28">
            <v>10747</v>
          </cell>
          <cell r="D28">
            <v>10668</v>
          </cell>
          <cell r="E28">
            <v>601</v>
          </cell>
          <cell r="F28">
            <v>10800</v>
          </cell>
          <cell r="G28">
            <v>11578</v>
          </cell>
          <cell r="H28">
            <v>11501</v>
          </cell>
          <cell r="I28">
            <v>600</v>
          </cell>
          <cell r="J28">
            <v>111</v>
          </cell>
          <cell r="K28">
            <v>119</v>
          </cell>
          <cell r="L28">
            <v>54</v>
          </cell>
        </row>
        <row r="29">
          <cell r="C29">
            <v>11234</v>
          </cell>
          <cell r="D29">
            <v>11133</v>
          </cell>
          <cell r="E29">
            <v>546</v>
          </cell>
          <cell r="F29">
            <v>11200</v>
          </cell>
          <cell r="G29">
            <v>12141</v>
          </cell>
          <cell r="H29">
            <v>12037</v>
          </cell>
          <cell r="I29">
            <v>561</v>
          </cell>
          <cell r="J29">
            <v>107</v>
          </cell>
          <cell r="K29">
            <v>116</v>
          </cell>
          <cell r="L29">
            <v>29</v>
          </cell>
        </row>
        <row r="30">
          <cell r="C30">
            <v>11400</v>
          </cell>
          <cell r="D30">
            <v>11321</v>
          </cell>
          <cell r="E30">
            <v>546</v>
          </cell>
          <cell r="F30">
            <v>11400</v>
          </cell>
          <cell r="G30">
            <v>10585</v>
          </cell>
          <cell r="H30">
            <v>10508</v>
          </cell>
          <cell r="I30">
            <v>444</v>
          </cell>
          <cell r="J30">
            <v>109</v>
          </cell>
          <cell r="K30">
            <v>125</v>
          </cell>
          <cell r="L30">
            <v>36</v>
          </cell>
        </row>
        <row r="31">
          <cell r="C31">
            <v>5423</v>
          </cell>
          <cell r="D31">
            <v>5393</v>
          </cell>
          <cell r="E31">
            <v>302</v>
          </cell>
          <cell r="F31">
            <v>5400</v>
          </cell>
          <cell r="G31">
            <v>5262</v>
          </cell>
          <cell r="H31">
            <v>5216</v>
          </cell>
          <cell r="I31">
            <v>276</v>
          </cell>
          <cell r="J31">
            <v>77</v>
          </cell>
          <cell r="K31">
            <v>85</v>
          </cell>
          <cell r="L31">
            <v>42</v>
          </cell>
        </row>
        <row r="32">
          <cell r="C32">
            <v>6290</v>
          </cell>
          <cell r="D32">
            <v>6242</v>
          </cell>
          <cell r="E32">
            <v>334</v>
          </cell>
          <cell r="F32">
            <v>6300</v>
          </cell>
          <cell r="G32">
            <v>6050</v>
          </cell>
          <cell r="H32">
            <v>6011</v>
          </cell>
          <cell r="I32">
            <v>300</v>
          </cell>
          <cell r="J32">
            <v>71</v>
          </cell>
          <cell r="K32">
            <v>79</v>
          </cell>
          <cell r="L32">
            <v>45</v>
          </cell>
        </row>
        <row r="33">
          <cell r="C33">
            <v>8655</v>
          </cell>
          <cell r="D33">
            <v>8556</v>
          </cell>
          <cell r="E33">
            <v>463</v>
          </cell>
          <cell r="F33">
            <v>8600</v>
          </cell>
          <cell r="G33">
            <v>8891</v>
          </cell>
          <cell r="H33">
            <v>8811</v>
          </cell>
          <cell r="I33">
            <v>410</v>
          </cell>
          <cell r="J33">
            <v>85</v>
          </cell>
          <cell r="K33">
            <v>102</v>
          </cell>
          <cell r="L33">
            <v>53</v>
          </cell>
        </row>
        <row r="34">
          <cell r="C34">
            <v>7480</v>
          </cell>
          <cell r="D34">
            <v>7417</v>
          </cell>
          <cell r="E34">
            <v>388</v>
          </cell>
          <cell r="F34">
            <v>7500</v>
          </cell>
          <cell r="G34">
            <v>7817</v>
          </cell>
          <cell r="H34">
            <v>7774</v>
          </cell>
          <cell r="I34">
            <v>428</v>
          </cell>
          <cell r="J34">
            <v>87</v>
          </cell>
          <cell r="K34">
            <v>95</v>
          </cell>
          <cell r="L34">
            <v>27</v>
          </cell>
        </row>
        <row r="35">
          <cell r="C35">
            <v>12294</v>
          </cell>
          <cell r="D35">
            <v>12224</v>
          </cell>
          <cell r="E35">
            <v>624</v>
          </cell>
          <cell r="F35">
            <v>12300</v>
          </cell>
          <cell r="G35">
            <v>10294</v>
          </cell>
          <cell r="H35">
            <v>10224</v>
          </cell>
          <cell r="I35">
            <v>504</v>
          </cell>
          <cell r="J35">
            <v>103</v>
          </cell>
          <cell r="K35">
            <v>121</v>
          </cell>
          <cell r="L35">
            <v>36</v>
          </cell>
        </row>
        <row r="36">
          <cell r="C36">
            <v>12496</v>
          </cell>
          <cell r="D36">
            <v>12394</v>
          </cell>
          <cell r="E36">
            <v>616</v>
          </cell>
          <cell r="F36">
            <v>12500</v>
          </cell>
          <cell r="G36">
            <v>13568</v>
          </cell>
          <cell r="H36">
            <v>13441</v>
          </cell>
          <cell r="I36">
            <v>629</v>
          </cell>
          <cell r="J36">
            <v>115</v>
          </cell>
          <cell r="K36">
            <v>132</v>
          </cell>
          <cell r="L36">
            <v>74</v>
          </cell>
        </row>
        <row r="37">
          <cell r="C37">
            <v>9943</v>
          </cell>
          <cell r="D37">
            <v>9875</v>
          </cell>
          <cell r="E37">
            <v>469</v>
          </cell>
          <cell r="F37">
            <v>10000</v>
          </cell>
          <cell r="G37">
            <v>11443</v>
          </cell>
          <cell r="H37">
            <v>11356</v>
          </cell>
          <cell r="I37">
            <v>491</v>
          </cell>
          <cell r="J37">
            <v>106</v>
          </cell>
          <cell r="K37">
            <v>122</v>
          </cell>
          <cell r="L37">
            <v>45</v>
          </cell>
        </row>
        <row r="38">
          <cell r="C38">
            <v>5647</v>
          </cell>
          <cell r="D38">
            <v>5618</v>
          </cell>
          <cell r="E38">
            <v>318</v>
          </cell>
          <cell r="F38">
            <v>5700</v>
          </cell>
          <cell r="G38">
            <v>6445</v>
          </cell>
          <cell r="H38">
            <v>6408</v>
          </cell>
          <cell r="I38">
            <v>348</v>
          </cell>
          <cell r="J38">
            <v>77</v>
          </cell>
          <cell r="K38">
            <v>85</v>
          </cell>
          <cell r="L38">
            <v>68</v>
          </cell>
        </row>
        <row r="39">
          <cell r="C39">
            <v>7129</v>
          </cell>
          <cell r="D39">
            <v>7077</v>
          </cell>
          <cell r="E39">
            <v>359</v>
          </cell>
          <cell r="F39">
            <v>7100</v>
          </cell>
          <cell r="G39">
            <v>6109</v>
          </cell>
          <cell r="H39">
            <v>6066</v>
          </cell>
          <cell r="I39">
            <v>313</v>
          </cell>
          <cell r="J39">
            <v>74</v>
          </cell>
          <cell r="K39">
            <v>82</v>
          </cell>
          <cell r="L39">
            <v>37</v>
          </cell>
        </row>
        <row r="40">
          <cell r="C40">
            <v>8398</v>
          </cell>
          <cell r="D40">
            <v>8313</v>
          </cell>
          <cell r="E40">
            <v>436</v>
          </cell>
          <cell r="F40">
            <v>8400</v>
          </cell>
          <cell r="G40">
            <v>8714</v>
          </cell>
          <cell r="H40">
            <v>8614</v>
          </cell>
          <cell r="I40">
            <v>475</v>
          </cell>
          <cell r="J40">
            <v>88</v>
          </cell>
          <cell r="K40">
            <v>104</v>
          </cell>
          <cell r="L40">
            <v>35</v>
          </cell>
        </row>
        <row r="41">
          <cell r="C41">
            <v>7582</v>
          </cell>
          <cell r="D41">
            <v>7537</v>
          </cell>
          <cell r="E41">
            <v>411</v>
          </cell>
          <cell r="F41">
            <v>7600</v>
          </cell>
          <cell r="G41">
            <v>6326</v>
          </cell>
          <cell r="H41">
            <v>6291</v>
          </cell>
          <cell r="I41">
            <v>326</v>
          </cell>
          <cell r="J41">
            <v>92</v>
          </cell>
          <cell r="K41">
            <v>109</v>
          </cell>
          <cell r="L41">
            <v>57</v>
          </cell>
        </row>
        <row r="42">
          <cell r="C42">
            <v>12292</v>
          </cell>
          <cell r="D42">
            <v>12214</v>
          </cell>
          <cell r="E42">
            <v>616</v>
          </cell>
          <cell r="F42">
            <v>12300</v>
          </cell>
          <cell r="G42">
            <v>12966</v>
          </cell>
          <cell r="H42">
            <v>12882</v>
          </cell>
          <cell r="I42">
            <v>629</v>
          </cell>
          <cell r="J42">
            <v>121</v>
          </cell>
          <cell r="K42">
            <v>138</v>
          </cell>
          <cell r="L42">
            <v>36</v>
          </cell>
        </row>
        <row r="43">
          <cell r="C43">
            <v>13345</v>
          </cell>
          <cell r="D43">
            <v>13217</v>
          </cell>
          <cell r="E43">
            <v>621</v>
          </cell>
          <cell r="F43">
            <v>13300</v>
          </cell>
          <cell r="G43">
            <v>12736</v>
          </cell>
          <cell r="H43">
            <v>12624</v>
          </cell>
          <cell r="I43">
            <v>589</v>
          </cell>
          <cell r="J43">
            <v>141</v>
          </cell>
          <cell r="K43">
            <v>158</v>
          </cell>
          <cell r="L43">
            <v>28</v>
          </cell>
        </row>
        <row r="44">
          <cell r="C44">
            <v>11579</v>
          </cell>
          <cell r="D44">
            <v>11495</v>
          </cell>
          <cell r="E44">
            <v>523</v>
          </cell>
          <cell r="F44">
            <v>11600</v>
          </cell>
          <cell r="G44">
            <v>12540</v>
          </cell>
          <cell r="H44">
            <v>12458</v>
          </cell>
          <cell r="I44">
            <v>563</v>
          </cell>
          <cell r="J44">
            <v>107</v>
          </cell>
          <cell r="K44">
            <v>115</v>
          </cell>
          <cell r="L44">
            <v>49</v>
          </cell>
        </row>
        <row r="45">
          <cell r="C45">
            <v>5445</v>
          </cell>
          <cell r="D45">
            <v>5410</v>
          </cell>
          <cell r="E45">
            <v>295</v>
          </cell>
          <cell r="F45">
            <v>5500</v>
          </cell>
          <cell r="G45">
            <v>7475</v>
          </cell>
          <cell r="H45">
            <v>7407</v>
          </cell>
          <cell r="I45">
            <v>416</v>
          </cell>
          <cell r="J45">
            <v>87</v>
          </cell>
          <cell r="K45">
            <v>97</v>
          </cell>
          <cell r="L45">
            <v>74</v>
          </cell>
        </row>
        <row r="46">
          <cell r="C46">
            <v>5835</v>
          </cell>
          <cell r="D46">
            <v>5795</v>
          </cell>
          <cell r="E46">
            <v>325</v>
          </cell>
          <cell r="F46">
            <v>5800</v>
          </cell>
          <cell r="G46">
            <v>7750</v>
          </cell>
          <cell r="H46">
            <v>7671</v>
          </cell>
          <cell r="I46">
            <v>431</v>
          </cell>
          <cell r="J46">
            <v>82</v>
          </cell>
          <cell r="K46">
            <v>90</v>
          </cell>
          <cell r="L46">
            <v>40</v>
          </cell>
        </row>
        <row r="47">
          <cell r="C47">
            <v>9075</v>
          </cell>
          <cell r="D47">
            <v>8986</v>
          </cell>
          <cell r="E47">
            <v>490</v>
          </cell>
          <cell r="F47">
            <v>9100</v>
          </cell>
          <cell r="G47">
            <v>8299</v>
          </cell>
          <cell r="H47">
            <v>8215</v>
          </cell>
          <cell r="I47">
            <v>412</v>
          </cell>
          <cell r="J47">
            <v>95</v>
          </cell>
          <cell r="K47">
            <v>102</v>
          </cell>
          <cell r="L47">
            <v>32</v>
          </cell>
        </row>
        <row r="48">
          <cell r="C48">
            <v>7227</v>
          </cell>
          <cell r="D48">
            <v>7185</v>
          </cell>
          <cell r="E48">
            <v>385</v>
          </cell>
          <cell r="F48">
            <v>7200</v>
          </cell>
          <cell r="G48">
            <v>8244</v>
          </cell>
          <cell r="H48">
            <v>8179</v>
          </cell>
          <cell r="I48">
            <v>399</v>
          </cell>
          <cell r="J48">
            <v>100</v>
          </cell>
          <cell r="K48">
            <v>118</v>
          </cell>
          <cell r="L48">
            <v>38</v>
          </cell>
        </row>
        <row r="49">
          <cell r="C49">
            <v>14426</v>
          </cell>
          <cell r="D49">
            <v>14346</v>
          </cell>
          <cell r="E49">
            <v>775</v>
          </cell>
          <cell r="F49">
            <v>14500</v>
          </cell>
          <cell r="G49">
            <v>11006</v>
          </cell>
          <cell r="H49">
            <v>10885</v>
          </cell>
          <cell r="I49">
            <v>542</v>
          </cell>
          <cell r="J49">
            <v>113</v>
          </cell>
          <cell r="K49">
            <v>129</v>
          </cell>
          <cell r="L49">
            <v>43</v>
          </cell>
        </row>
        <row r="50">
          <cell r="C50">
            <v>14200</v>
          </cell>
          <cell r="D50">
            <v>14072</v>
          </cell>
          <cell r="E50">
            <v>672</v>
          </cell>
          <cell r="F50">
            <v>14200</v>
          </cell>
          <cell r="G50">
            <v>14671</v>
          </cell>
          <cell r="H50">
            <v>14539</v>
          </cell>
          <cell r="I50">
            <v>660</v>
          </cell>
          <cell r="J50">
            <v>118</v>
          </cell>
          <cell r="K50">
            <v>135</v>
          </cell>
          <cell r="L50">
            <v>51</v>
          </cell>
        </row>
        <row r="51">
          <cell r="C51">
            <v>11546</v>
          </cell>
          <cell r="D51">
            <v>11471</v>
          </cell>
          <cell r="E51">
            <v>559</v>
          </cell>
          <cell r="F51">
            <v>11600</v>
          </cell>
          <cell r="G51">
            <v>11838</v>
          </cell>
          <cell r="H51">
            <v>11757</v>
          </cell>
          <cell r="I51">
            <v>541</v>
          </cell>
          <cell r="J51">
            <v>100</v>
          </cell>
          <cell r="K51">
            <v>115</v>
          </cell>
          <cell r="L51">
            <v>51</v>
          </cell>
        </row>
        <row r="52">
          <cell r="C52">
            <v>5675</v>
          </cell>
          <cell r="D52">
            <v>5637</v>
          </cell>
          <cell r="E52">
            <v>313</v>
          </cell>
          <cell r="F52">
            <v>5700</v>
          </cell>
          <cell r="G52">
            <v>7862</v>
          </cell>
          <cell r="H52">
            <v>7778</v>
          </cell>
          <cell r="I52">
            <v>391</v>
          </cell>
          <cell r="J52">
            <v>90</v>
          </cell>
          <cell r="K52">
            <v>117</v>
          </cell>
          <cell r="L52">
            <v>32</v>
          </cell>
        </row>
        <row r="53">
          <cell r="C53">
            <v>6471</v>
          </cell>
          <cell r="D53">
            <v>6419</v>
          </cell>
          <cell r="E53">
            <v>350</v>
          </cell>
          <cell r="F53">
            <v>6500</v>
          </cell>
          <cell r="G53">
            <v>8304</v>
          </cell>
          <cell r="H53">
            <v>8229</v>
          </cell>
          <cell r="I53">
            <v>437</v>
          </cell>
          <cell r="J53">
            <v>82</v>
          </cell>
          <cell r="K53">
            <v>98</v>
          </cell>
          <cell r="L53">
            <v>41</v>
          </cell>
        </row>
        <row r="54">
          <cell r="C54">
            <v>8360</v>
          </cell>
          <cell r="D54">
            <v>8251</v>
          </cell>
          <cell r="E54">
            <v>445</v>
          </cell>
          <cell r="F54">
            <v>8300</v>
          </cell>
          <cell r="G54">
            <v>7018</v>
          </cell>
          <cell r="H54">
            <v>6959</v>
          </cell>
          <cell r="I54">
            <v>357</v>
          </cell>
          <cell r="J54">
            <v>80</v>
          </cell>
          <cell r="K54">
            <v>95</v>
          </cell>
          <cell r="L54">
            <v>35</v>
          </cell>
        </row>
        <row r="55">
          <cell r="C55">
            <v>7011</v>
          </cell>
          <cell r="D55">
            <v>6971</v>
          </cell>
          <cell r="E55">
            <v>377</v>
          </cell>
          <cell r="F55">
            <v>7000</v>
          </cell>
          <cell r="G55">
            <v>8882</v>
          </cell>
          <cell r="H55">
            <v>8802</v>
          </cell>
          <cell r="I55">
            <v>425</v>
          </cell>
          <cell r="J55">
            <v>87</v>
          </cell>
          <cell r="K55">
            <v>103</v>
          </cell>
          <cell r="L55">
            <v>61</v>
          </cell>
        </row>
        <row r="56">
          <cell r="C56">
            <v>12906</v>
          </cell>
          <cell r="D56">
            <v>12819</v>
          </cell>
          <cell r="E56">
            <v>668</v>
          </cell>
          <cell r="F56">
            <v>12900</v>
          </cell>
          <cell r="G56">
            <v>12185</v>
          </cell>
          <cell r="H56">
            <v>12091</v>
          </cell>
          <cell r="I56">
            <v>572</v>
          </cell>
          <cell r="J56">
            <v>108</v>
          </cell>
          <cell r="K56">
            <v>126</v>
          </cell>
          <cell r="L56">
            <v>24</v>
          </cell>
        </row>
        <row r="57">
          <cell r="C57">
            <v>11875</v>
          </cell>
          <cell r="D57">
            <v>11775</v>
          </cell>
          <cell r="E57">
            <v>601</v>
          </cell>
          <cell r="F57">
            <v>11900</v>
          </cell>
          <cell r="G57">
            <v>13112</v>
          </cell>
          <cell r="H57">
            <v>12969</v>
          </cell>
          <cell r="I57">
            <v>587</v>
          </cell>
          <cell r="J57">
            <v>111</v>
          </cell>
          <cell r="K57">
            <v>129</v>
          </cell>
          <cell r="L57">
            <v>42</v>
          </cell>
        </row>
        <row r="58">
          <cell r="C58">
            <v>11441</v>
          </cell>
          <cell r="D58">
            <v>11356</v>
          </cell>
          <cell r="E58">
            <v>505</v>
          </cell>
          <cell r="F58">
            <v>11500</v>
          </cell>
          <cell r="G58">
            <v>10652</v>
          </cell>
          <cell r="H58">
            <v>10561</v>
          </cell>
          <cell r="I58">
            <v>457</v>
          </cell>
          <cell r="J58">
            <v>102</v>
          </cell>
          <cell r="K58">
            <v>120</v>
          </cell>
          <cell r="L58">
            <v>37</v>
          </cell>
        </row>
        <row r="59">
          <cell r="C59">
            <v>8177</v>
          </cell>
          <cell r="D59">
            <v>8113</v>
          </cell>
          <cell r="E59">
            <v>463</v>
          </cell>
          <cell r="F59">
            <v>8200</v>
          </cell>
          <cell r="G59">
            <v>4879</v>
          </cell>
          <cell r="H59">
            <v>4847</v>
          </cell>
          <cell r="I59">
            <v>268</v>
          </cell>
          <cell r="J59">
            <v>77</v>
          </cell>
          <cell r="K59">
            <v>85</v>
          </cell>
          <cell r="L59">
            <v>38</v>
          </cell>
        </row>
        <row r="60">
          <cell r="C60">
            <v>8344</v>
          </cell>
          <cell r="D60">
            <v>8260</v>
          </cell>
          <cell r="E60">
            <v>457</v>
          </cell>
          <cell r="F60">
            <v>8300</v>
          </cell>
          <cell r="G60">
            <v>5656</v>
          </cell>
          <cell r="H60">
            <v>5617</v>
          </cell>
          <cell r="I60">
            <v>311</v>
          </cell>
          <cell r="J60">
            <v>77</v>
          </cell>
          <cell r="K60">
            <v>85</v>
          </cell>
          <cell r="L60">
            <v>42</v>
          </cell>
        </row>
        <row r="61">
          <cell r="C61">
            <v>9949</v>
          </cell>
          <cell r="D61">
            <v>9862</v>
          </cell>
          <cell r="E61">
            <v>534</v>
          </cell>
          <cell r="F61">
            <v>9900</v>
          </cell>
          <cell r="G61">
            <v>7977</v>
          </cell>
          <cell r="H61">
            <v>7919</v>
          </cell>
          <cell r="I61">
            <v>416</v>
          </cell>
          <cell r="J61">
            <v>83</v>
          </cell>
          <cell r="K61">
            <v>101</v>
          </cell>
          <cell r="L61">
            <v>64</v>
          </cell>
        </row>
        <row r="62">
          <cell r="C62">
            <v>11034</v>
          </cell>
          <cell r="D62">
            <v>10940</v>
          </cell>
          <cell r="E62">
            <v>555</v>
          </cell>
          <cell r="F62">
            <v>11000</v>
          </cell>
          <cell r="G62">
            <v>7441</v>
          </cell>
          <cell r="H62">
            <v>7385</v>
          </cell>
          <cell r="I62">
            <v>364</v>
          </cell>
          <cell r="J62">
            <v>86</v>
          </cell>
          <cell r="K62">
            <v>104</v>
          </cell>
          <cell r="L62">
            <v>33</v>
          </cell>
        </row>
        <row r="63">
          <cell r="C63">
            <v>13035</v>
          </cell>
          <cell r="D63">
            <v>12935</v>
          </cell>
          <cell r="E63">
            <v>661</v>
          </cell>
          <cell r="F63">
            <v>13000</v>
          </cell>
          <cell r="G63">
            <v>12525</v>
          </cell>
          <cell r="H63">
            <v>12424</v>
          </cell>
          <cell r="I63">
            <v>574</v>
          </cell>
          <cell r="J63">
            <v>116</v>
          </cell>
          <cell r="K63">
            <v>125</v>
          </cell>
          <cell r="L63">
            <v>61</v>
          </cell>
        </row>
        <row r="64">
          <cell r="C64">
            <v>13458</v>
          </cell>
          <cell r="D64">
            <v>13337</v>
          </cell>
          <cell r="E64">
            <v>644</v>
          </cell>
          <cell r="F64">
            <v>13500</v>
          </cell>
          <cell r="G64">
            <v>14528</v>
          </cell>
          <cell r="H64">
            <v>14390</v>
          </cell>
          <cell r="I64">
            <v>654</v>
          </cell>
          <cell r="J64">
            <v>128</v>
          </cell>
          <cell r="K64">
            <v>146</v>
          </cell>
          <cell r="L64">
            <v>42</v>
          </cell>
        </row>
        <row r="65">
          <cell r="C65">
            <v>12128</v>
          </cell>
          <cell r="D65">
            <v>12055</v>
          </cell>
          <cell r="E65">
            <v>554</v>
          </cell>
          <cell r="F65">
            <v>12200</v>
          </cell>
          <cell r="G65">
            <v>12021</v>
          </cell>
          <cell r="H65">
            <v>11941</v>
          </cell>
          <cell r="I65">
            <v>504</v>
          </cell>
          <cell r="J65">
            <v>94</v>
          </cell>
          <cell r="K65">
            <v>111</v>
          </cell>
          <cell r="L65">
            <v>43</v>
          </cell>
        </row>
        <row r="66">
          <cell r="C66">
            <v>7979</v>
          </cell>
          <cell r="D66">
            <v>7905</v>
          </cell>
          <cell r="E66">
            <v>449</v>
          </cell>
          <cell r="F66">
            <v>8000</v>
          </cell>
          <cell r="G66">
            <v>5534</v>
          </cell>
          <cell r="H66">
            <v>5508</v>
          </cell>
          <cell r="I66">
            <v>289</v>
          </cell>
          <cell r="J66">
            <v>78</v>
          </cell>
          <cell r="K66">
            <v>86</v>
          </cell>
          <cell r="L66">
            <v>38</v>
          </cell>
        </row>
        <row r="67">
          <cell r="C67">
            <v>9763</v>
          </cell>
          <cell r="D67">
            <v>9691</v>
          </cell>
          <cell r="E67">
            <v>548</v>
          </cell>
          <cell r="F67">
            <v>9800</v>
          </cell>
          <cell r="G67">
            <v>6249</v>
          </cell>
          <cell r="H67">
            <v>6219</v>
          </cell>
          <cell r="I67">
            <v>321</v>
          </cell>
          <cell r="J67">
            <v>74</v>
          </cell>
          <cell r="K67">
            <v>81</v>
          </cell>
          <cell r="L67">
            <v>40</v>
          </cell>
        </row>
        <row r="68">
          <cell r="C68">
            <v>8735</v>
          </cell>
          <cell r="D68">
            <v>8658</v>
          </cell>
          <cell r="E68">
            <v>463</v>
          </cell>
          <cell r="F68">
            <v>8700</v>
          </cell>
          <cell r="G68">
            <v>8050</v>
          </cell>
          <cell r="H68">
            <v>7969</v>
          </cell>
          <cell r="I68">
            <v>409</v>
          </cell>
          <cell r="J68">
            <v>79</v>
          </cell>
          <cell r="K68">
            <v>95</v>
          </cell>
          <cell r="L68">
            <v>25</v>
          </cell>
        </row>
        <row r="69">
          <cell r="C69">
            <v>8900</v>
          </cell>
          <cell r="D69">
            <v>8836</v>
          </cell>
          <cell r="E69">
            <v>432</v>
          </cell>
          <cell r="F69">
            <v>8900</v>
          </cell>
          <cell r="G69">
            <v>7669</v>
          </cell>
          <cell r="H69">
            <v>7624</v>
          </cell>
          <cell r="I69">
            <v>369</v>
          </cell>
          <cell r="J69">
            <v>60</v>
          </cell>
          <cell r="K69">
            <v>85</v>
          </cell>
          <cell r="L69">
            <v>70</v>
          </cell>
        </row>
        <row r="70">
          <cell r="C70">
            <v>13375</v>
          </cell>
          <cell r="D70">
            <v>13274</v>
          </cell>
          <cell r="E70">
            <v>686</v>
          </cell>
          <cell r="F70">
            <v>13400</v>
          </cell>
          <cell r="G70">
            <v>11519</v>
          </cell>
          <cell r="H70">
            <v>11440</v>
          </cell>
          <cell r="I70">
            <v>595</v>
          </cell>
          <cell r="J70">
            <v>105</v>
          </cell>
          <cell r="K70">
            <v>114</v>
          </cell>
          <cell r="L70">
            <v>34</v>
          </cell>
        </row>
        <row r="71">
          <cell r="C71">
            <v>12474</v>
          </cell>
          <cell r="D71">
            <v>12359</v>
          </cell>
          <cell r="E71">
            <v>628</v>
          </cell>
          <cell r="F71">
            <v>12500</v>
          </cell>
          <cell r="G71">
            <v>13322</v>
          </cell>
          <cell r="H71">
            <v>13203</v>
          </cell>
          <cell r="I71">
            <v>641</v>
          </cell>
          <cell r="J71">
            <v>127</v>
          </cell>
          <cell r="K71">
            <v>144</v>
          </cell>
          <cell r="L71">
            <v>19</v>
          </cell>
        </row>
        <row r="72">
          <cell r="C72">
            <v>12445</v>
          </cell>
          <cell r="D72">
            <v>12369</v>
          </cell>
          <cell r="E72">
            <v>547</v>
          </cell>
          <cell r="F72">
            <v>12500</v>
          </cell>
          <cell r="G72">
            <v>13756</v>
          </cell>
          <cell r="H72">
            <v>13658</v>
          </cell>
          <cell r="I72">
            <v>609</v>
          </cell>
          <cell r="J72">
            <v>106</v>
          </cell>
          <cell r="K72">
            <v>114</v>
          </cell>
          <cell r="L72">
            <v>57</v>
          </cell>
        </row>
        <row r="73">
          <cell r="C73">
            <v>5621</v>
          </cell>
          <cell r="D73">
            <v>5596</v>
          </cell>
          <cell r="E73">
            <v>319</v>
          </cell>
          <cell r="F73">
            <v>5600</v>
          </cell>
          <cell r="G73">
            <v>5387</v>
          </cell>
          <cell r="H73">
            <v>5354</v>
          </cell>
          <cell r="I73">
            <v>285</v>
          </cell>
          <cell r="J73">
            <v>69</v>
          </cell>
          <cell r="K73">
            <v>77</v>
          </cell>
          <cell r="L73">
            <v>39</v>
          </cell>
        </row>
        <row r="74">
          <cell r="C74">
            <v>5330</v>
          </cell>
          <cell r="D74">
            <v>5294</v>
          </cell>
          <cell r="E74">
            <v>290</v>
          </cell>
          <cell r="F74">
            <v>5300</v>
          </cell>
          <cell r="G74">
            <v>6062</v>
          </cell>
          <cell r="H74">
            <v>6019</v>
          </cell>
          <cell r="I74">
            <v>292</v>
          </cell>
          <cell r="J74">
            <v>63</v>
          </cell>
          <cell r="K74">
            <v>71</v>
          </cell>
          <cell r="L74">
            <v>16</v>
          </cell>
        </row>
        <row r="75">
          <cell r="C75">
            <v>8355</v>
          </cell>
          <cell r="D75">
            <v>8268</v>
          </cell>
          <cell r="E75">
            <v>427</v>
          </cell>
          <cell r="F75">
            <v>8300</v>
          </cell>
          <cell r="G75">
            <v>8483</v>
          </cell>
          <cell r="H75">
            <v>8395</v>
          </cell>
          <cell r="I75">
            <v>387</v>
          </cell>
          <cell r="J75">
            <v>74</v>
          </cell>
          <cell r="K75">
            <v>91</v>
          </cell>
          <cell r="L75">
            <v>39</v>
          </cell>
        </row>
        <row r="76">
          <cell r="C76">
            <v>6420</v>
          </cell>
          <cell r="D76">
            <v>6385</v>
          </cell>
          <cell r="E76">
            <v>341</v>
          </cell>
          <cell r="F76">
            <v>6400</v>
          </cell>
          <cell r="G76">
            <v>6436</v>
          </cell>
          <cell r="H76">
            <v>6388</v>
          </cell>
          <cell r="I76">
            <v>313</v>
          </cell>
          <cell r="J76">
            <v>69</v>
          </cell>
          <cell r="K76">
            <v>77</v>
          </cell>
          <cell r="L76">
            <v>43</v>
          </cell>
        </row>
        <row r="77">
          <cell r="C77">
            <v>10269</v>
          </cell>
          <cell r="D77">
            <v>10198</v>
          </cell>
          <cell r="E77">
            <v>544</v>
          </cell>
          <cell r="F77">
            <v>10300</v>
          </cell>
          <cell r="G77">
            <v>12397</v>
          </cell>
          <cell r="H77">
            <v>12300</v>
          </cell>
          <cell r="I77">
            <v>607</v>
          </cell>
          <cell r="J77">
            <v>102</v>
          </cell>
          <cell r="K77">
            <v>120</v>
          </cell>
          <cell r="L77">
            <v>66</v>
          </cell>
        </row>
        <row r="78">
          <cell r="C78">
            <v>11895</v>
          </cell>
          <cell r="D78">
            <v>11797</v>
          </cell>
          <cell r="E78">
            <v>566</v>
          </cell>
          <cell r="F78">
            <v>11900</v>
          </cell>
          <cell r="G78">
            <v>14021</v>
          </cell>
          <cell r="H78">
            <v>13901</v>
          </cell>
          <cell r="I78">
            <v>635</v>
          </cell>
          <cell r="J78">
            <v>120</v>
          </cell>
          <cell r="K78">
            <v>129</v>
          </cell>
          <cell r="L78">
            <v>31</v>
          </cell>
        </row>
        <row r="79">
          <cell r="C79">
            <v>10653</v>
          </cell>
          <cell r="D79">
            <v>10582</v>
          </cell>
          <cell r="E79">
            <v>492</v>
          </cell>
          <cell r="F79">
            <v>10700</v>
          </cell>
          <cell r="G79">
            <v>12886</v>
          </cell>
          <cell r="H79">
            <v>12788</v>
          </cell>
          <cell r="I79">
            <v>543</v>
          </cell>
          <cell r="J79">
            <v>93</v>
          </cell>
          <cell r="K79">
            <v>103</v>
          </cell>
          <cell r="L79">
            <v>28</v>
          </cell>
        </row>
        <row r="80">
          <cell r="C80">
            <v>4976</v>
          </cell>
          <cell r="D80">
            <v>4946</v>
          </cell>
          <cell r="E80">
            <v>284</v>
          </cell>
          <cell r="F80">
            <v>5000</v>
          </cell>
          <cell r="G80">
            <v>5464</v>
          </cell>
          <cell r="H80">
            <v>5437</v>
          </cell>
          <cell r="I80">
            <v>279</v>
          </cell>
          <cell r="J80">
            <v>60</v>
          </cell>
          <cell r="K80">
            <v>68</v>
          </cell>
          <cell r="L80">
            <v>30</v>
          </cell>
        </row>
        <row r="81">
          <cell r="C81">
            <v>5735</v>
          </cell>
          <cell r="D81">
            <v>5704</v>
          </cell>
          <cell r="E81">
            <v>330</v>
          </cell>
          <cell r="F81">
            <v>5800</v>
          </cell>
          <cell r="G81">
            <v>6377</v>
          </cell>
          <cell r="H81">
            <v>6331</v>
          </cell>
          <cell r="I81">
            <v>316</v>
          </cell>
          <cell r="J81">
            <v>58</v>
          </cell>
          <cell r="K81">
            <v>66</v>
          </cell>
          <cell r="L81">
            <v>57</v>
          </cell>
        </row>
        <row r="82">
          <cell r="C82">
            <v>8365</v>
          </cell>
          <cell r="D82">
            <v>8285</v>
          </cell>
          <cell r="E82">
            <v>416</v>
          </cell>
          <cell r="F82">
            <v>8400</v>
          </cell>
          <cell r="G82">
            <v>7996</v>
          </cell>
          <cell r="H82">
            <v>7914</v>
          </cell>
          <cell r="I82">
            <v>407</v>
          </cell>
          <cell r="J82">
            <v>75</v>
          </cell>
          <cell r="K82">
            <v>92</v>
          </cell>
          <cell r="L82">
            <v>47</v>
          </cell>
        </row>
        <row r="83">
          <cell r="C83">
            <v>6722</v>
          </cell>
          <cell r="D83">
            <v>6681</v>
          </cell>
          <cell r="E83">
            <v>371</v>
          </cell>
          <cell r="F83">
            <v>6700</v>
          </cell>
          <cell r="G83">
            <v>6938</v>
          </cell>
          <cell r="H83">
            <v>6885</v>
          </cell>
          <cell r="I83">
            <v>336</v>
          </cell>
          <cell r="J83">
            <v>71</v>
          </cell>
          <cell r="K83">
            <v>92</v>
          </cell>
          <cell r="L83">
            <v>24</v>
          </cell>
        </row>
        <row r="84">
          <cell r="C84">
            <v>10663</v>
          </cell>
          <cell r="D84">
            <v>10594</v>
          </cell>
          <cell r="E84">
            <v>588</v>
          </cell>
          <cell r="F84">
            <v>10700</v>
          </cell>
          <cell r="G84">
            <v>12819</v>
          </cell>
          <cell r="H84">
            <v>12721</v>
          </cell>
          <cell r="I84">
            <v>639</v>
          </cell>
          <cell r="J84">
            <v>104</v>
          </cell>
          <cell r="K84">
            <v>112</v>
          </cell>
          <cell r="L84">
            <v>83</v>
          </cell>
        </row>
        <row r="85">
          <cell r="C85">
            <v>12757</v>
          </cell>
          <cell r="D85">
            <v>12656</v>
          </cell>
          <cell r="E85">
            <v>622</v>
          </cell>
          <cell r="F85">
            <v>12800</v>
          </cell>
          <cell r="G85">
            <v>11641</v>
          </cell>
          <cell r="H85">
            <v>11538</v>
          </cell>
          <cell r="I85">
            <v>622</v>
          </cell>
          <cell r="J85">
            <v>112</v>
          </cell>
          <cell r="K85">
            <v>129</v>
          </cell>
          <cell r="L85">
            <v>23</v>
          </cell>
        </row>
        <row r="86">
          <cell r="C86">
            <v>11523</v>
          </cell>
          <cell r="D86">
            <v>11431</v>
          </cell>
          <cell r="E86">
            <v>553</v>
          </cell>
          <cell r="F86">
            <v>11500</v>
          </cell>
          <cell r="G86">
            <v>12097</v>
          </cell>
          <cell r="H86">
            <v>12015</v>
          </cell>
          <cell r="I86">
            <v>479</v>
          </cell>
          <cell r="J86">
            <v>92</v>
          </cell>
          <cell r="K86">
            <v>109</v>
          </cell>
          <cell r="L86">
            <v>27</v>
          </cell>
        </row>
        <row r="87">
          <cell r="C87">
            <v>5625</v>
          </cell>
          <cell r="D87">
            <v>5585</v>
          </cell>
          <cell r="E87">
            <v>323</v>
          </cell>
          <cell r="F87">
            <v>5600</v>
          </cell>
          <cell r="G87">
            <v>5632</v>
          </cell>
          <cell r="H87">
            <v>5599</v>
          </cell>
          <cell r="I87">
            <v>309</v>
          </cell>
          <cell r="J87">
            <v>67</v>
          </cell>
          <cell r="K87">
            <v>83</v>
          </cell>
          <cell r="L87">
            <v>27</v>
          </cell>
        </row>
        <row r="88">
          <cell r="C88">
            <v>6517</v>
          </cell>
          <cell r="D88">
            <v>6358</v>
          </cell>
          <cell r="E88">
            <v>352</v>
          </cell>
          <cell r="F88">
            <v>6400</v>
          </cell>
          <cell r="G88">
            <v>7005</v>
          </cell>
          <cell r="H88">
            <v>6915</v>
          </cell>
          <cell r="I88">
            <v>355</v>
          </cell>
          <cell r="J88">
            <v>63</v>
          </cell>
          <cell r="K88">
            <v>80</v>
          </cell>
          <cell r="L88">
            <v>17</v>
          </cell>
        </row>
        <row r="89">
          <cell r="C89">
            <v>8996</v>
          </cell>
          <cell r="D89">
            <v>8774</v>
          </cell>
          <cell r="E89">
            <v>438</v>
          </cell>
          <cell r="F89">
            <v>8900</v>
          </cell>
          <cell r="G89">
            <v>9605</v>
          </cell>
          <cell r="H89">
            <v>9442</v>
          </cell>
          <cell r="I89">
            <v>485</v>
          </cell>
          <cell r="J89">
            <v>76</v>
          </cell>
          <cell r="K89">
            <v>92</v>
          </cell>
          <cell r="L89">
            <v>41</v>
          </cell>
        </row>
        <row r="90">
          <cell r="C90">
            <v>7882</v>
          </cell>
          <cell r="D90">
            <v>7737</v>
          </cell>
          <cell r="E90">
            <v>419</v>
          </cell>
          <cell r="F90">
            <v>7800</v>
          </cell>
          <cell r="G90">
            <v>6829</v>
          </cell>
          <cell r="H90">
            <v>6745</v>
          </cell>
          <cell r="I90">
            <v>330</v>
          </cell>
          <cell r="J90">
            <v>70</v>
          </cell>
          <cell r="K90">
            <v>85</v>
          </cell>
          <cell r="L90">
            <v>42</v>
          </cell>
        </row>
        <row r="91">
          <cell r="C91">
            <v>13854</v>
          </cell>
          <cell r="D91">
            <v>13590</v>
          </cell>
          <cell r="E91">
            <v>691</v>
          </cell>
          <cell r="F91">
            <v>13700</v>
          </cell>
          <cell r="G91">
            <v>12412</v>
          </cell>
          <cell r="H91">
            <v>12244</v>
          </cell>
          <cell r="I91">
            <v>620</v>
          </cell>
          <cell r="J91">
            <v>100</v>
          </cell>
          <cell r="K91">
            <v>118</v>
          </cell>
          <cell r="L91">
            <v>47</v>
          </cell>
        </row>
        <row r="92">
          <cell r="C92">
            <v>14748</v>
          </cell>
          <cell r="D92">
            <v>14413</v>
          </cell>
          <cell r="E92">
            <v>685</v>
          </cell>
          <cell r="F92">
            <v>14500</v>
          </cell>
          <cell r="G92">
            <v>14216</v>
          </cell>
          <cell r="H92">
            <v>13982</v>
          </cell>
          <cell r="I92">
            <v>676</v>
          </cell>
          <cell r="J92">
            <v>113</v>
          </cell>
          <cell r="K92">
            <v>131</v>
          </cell>
          <cell r="L92">
            <v>43</v>
          </cell>
        </row>
        <row r="93">
          <cell r="C93">
            <v>13811</v>
          </cell>
          <cell r="D93">
            <v>13568</v>
          </cell>
          <cell r="E93">
            <v>652</v>
          </cell>
          <cell r="F93">
            <v>13700</v>
          </cell>
          <cell r="G93">
            <v>13825</v>
          </cell>
          <cell r="H93">
            <v>13627</v>
          </cell>
          <cell r="I93">
            <v>533</v>
          </cell>
          <cell r="J93">
            <v>112</v>
          </cell>
          <cell r="K93">
            <v>130</v>
          </cell>
          <cell r="L93">
            <v>52</v>
          </cell>
        </row>
        <row r="94">
          <cell r="C94">
            <v>5825</v>
          </cell>
          <cell r="D94">
            <v>5741</v>
          </cell>
          <cell r="E94">
            <v>348</v>
          </cell>
          <cell r="F94">
            <v>5800</v>
          </cell>
          <cell r="G94">
            <v>6491</v>
          </cell>
          <cell r="H94">
            <v>6392</v>
          </cell>
          <cell r="I94">
            <v>313</v>
          </cell>
          <cell r="J94">
            <v>70</v>
          </cell>
          <cell r="K94">
            <v>78</v>
          </cell>
          <cell r="L94">
            <v>60</v>
          </cell>
        </row>
        <row r="95">
          <cell r="C95">
            <v>8205</v>
          </cell>
          <cell r="D95">
            <v>8099</v>
          </cell>
          <cell r="E95">
            <v>406</v>
          </cell>
          <cell r="F95">
            <v>8200</v>
          </cell>
          <cell r="G95">
            <v>9226</v>
          </cell>
          <cell r="H95">
            <v>9091</v>
          </cell>
          <cell r="I95">
            <v>465</v>
          </cell>
          <cell r="J95">
            <v>77</v>
          </cell>
          <cell r="K95">
            <v>86</v>
          </cell>
          <cell r="L95">
            <v>21</v>
          </cell>
        </row>
        <row r="96">
          <cell r="C96">
            <v>9963</v>
          </cell>
          <cell r="D96">
            <v>9865</v>
          </cell>
          <cell r="E96">
            <v>493</v>
          </cell>
          <cell r="F96">
            <v>9900</v>
          </cell>
          <cell r="G96">
            <v>8828</v>
          </cell>
          <cell r="H96">
            <v>8656</v>
          </cell>
          <cell r="I96">
            <v>425</v>
          </cell>
          <cell r="J96">
            <v>82</v>
          </cell>
          <cell r="K96">
            <v>90</v>
          </cell>
          <cell r="L96">
            <v>44</v>
          </cell>
        </row>
        <row r="97">
          <cell r="C97">
            <v>7491</v>
          </cell>
          <cell r="D97">
            <v>7443</v>
          </cell>
          <cell r="E97">
            <v>408</v>
          </cell>
          <cell r="F97">
            <v>7500</v>
          </cell>
          <cell r="G97">
            <v>7804</v>
          </cell>
          <cell r="H97">
            <v>7667</v>
          </cell>
          <cell r="I97">
            <v>365</v>
          </cell>
          <cell r="J97">
            <v>79</v>
          </cell>
          <cell r="K97">
            <v>96</v>
          </cell>
          <cell r="L97">
            <v>74</v>
          </cell>
        </row>
        <row r="98">
          <cell r="C98">
            <v>13464</v>
          </cell>
          <cell r="D98">
            <v>13375</v>
          </cell>
          <cell r="E98">
            <v>717</v>
          </cell>
          <cell r="F98">
            <v>13500</v>
          </cell>
          <cell r="G98">
            <v>13045</v>
          </cell>
          <cell r="H98">
            <v>12840</v>
          </cell>
          <cell r="I98">
            <v>606</v>
          </cell>
          <cell r="J98">
            <v>109</v>
          </cell>
          <cell r="K98">
            <v>127</v>
          </cell>
          <cell r="L98">
            <v>26</v>
          </cell>
        </row>
        <row r="99">
          <cell r="C99">
            <v>13768</v>
          </cell>
          <cell r="D99">
            <v>13661</v>
          </cell>
          <cell r="E99">
            <v>740</v>
          </cell>
          <cell r="F99">
            <v>13800</v>
          </cell>
          <cell r="G99">
            <v>13516</v>
          </cell>
          <cell r="H99">
            <v>13628</v>
          </cell>
          <cell r="I99">
            <v>636</v>
          </cell>
          <cell r="J99">
            <v>125</v>
          </cell>
          <cell r="K99">
            <v>143</v>
          </cell>
          <cell r="L99">
            <v>37</v>
          </cell>
        </row>
        <row r="100">
          <cell r="C100">
            <v>14001</v>
          </cell>
          <cell r="D100">
            <v>13891</v>
          </cell>
          <cell r="E100">
            <v>621</v>
          </cell>
          <cell r="F100">
            <v>14000</v>
          </cell>
          <cell r="G100">
            <v>8630</v>
          </cell>
          <cell r="H100">
            <v>8507</v>
          </cell>
          <cell r="I100">
            <v>433</v>
          </cell>
          <cell r="J100">
            <v>86</v>
          </cell>
          <cell r="K100">
            <v>104</v>
          </cell>
          <cell r="L100">
            <v>34</v>
          </cell>
        </row>
        <row r="101">
          <cell r="C101">
            <v>6173</v>
          </cell>
          <cell r="D101">
            <v>6127</v>
          </cell>
          <cell r="E101">
            <v>336</v>
          </cell>
          <cell r="F101">
            <v>10500</v>
          </cell>
          <cell r="G101">
            <v>11864</v>
          </cell>
          <cell r="H101">
            <v>11680</v>
          </cell>
          <cell r="I101">
            <v>536</v>
          </cell>
          <cell r="J101">
            <v>112</v>
          </cell>
          <cell r="K101">
            <v>121</v>
          </cell>
          <cell r="L101">
            <v>37</v>
          </cell>
        </row>
        <row r="102">
          <cell r="C102">
            <v>7588</v>
          </cell>
          <cell r="D102">
            <v>7512</v>
          </cell>
          <cell r="E102">
            <v>427</v>
          </cell>
          <cell r="F102">
            <v>7600</v>
          </cell>
          <cell r="G102">
            <v>7707</v>
          </cell>
          <cell r="H102">
            <v>7557</v>
          </cell>
          <cell r="I102">
            <v>400</v>
          </cell>
          <cell r="J102">
            <v>83</v>
          </cell>
          <cell r="K102">
            <v>101</v>
          </cell>
          <cell r="L102">
            <v>21</v>
          </cell>
        </row>
        <row r="103">
          <cell r="C103">
            <v>9199</v>
          </cell>
          <cell r="D103">
            <v>9114</v>
          </cell>
          <cell r="E103">
            <v>476</v>
          </cell>
          <cell r="F103">
            <v>9200</v>
          </cell>
          <cell r="G103">
            <v>8336</v>
          </cell>
          <cell r="H103">
            <v>8193</v>
          </cell>
          <cell r="I103">
            <v>415</v>
          </cell>
          <cell r="J103">
            <v>81</v>
          </cell>
          <cell r="K103">
            <v>89</v>
          </cell>
          <cell r="L103">
            <v>70</v>
          </cell>
        </row>
        <row r="104">
          <cell r="C104">
            <v>8902</v>
          </cell>
          <cell r="D104">
            <v>8844</v>
          </cell>
          <cell r="E104">
            <v>465</v>
          </cell>
          <cell r="F104">
            <v>8900</v>
          </cell>
          <cell r="G104">
            <v>8823</v>
          </cell>
          <cell r="H104">
            <v>8694</v>
          </cell>
          <cell r="I104">
            <v>447</v>
          </cell>
          <cell r="J104">
            <v>81</v>
          </cell>
          <cell r="K104">
            <v>90</v>
          </cell>
          <cell r="L104">
            <v>40</v>
          </cell>
        </row>
        <row r="105">
          <cell r="C105">
            <v>11914</v>
          </cell>
          <cell r="D105">
            <v>11831</v>
          </cell>
          <cell r="E105">
            <v>640</v>
          </cell>
          <cell r="F105">
            <v>11900</v>
          </cell>
          <cell r="G105">
            <v>10983</v>
          </cell>
          <cell r="H105">
            <v>10806</v>
          </cell>
          <cell r="I105">
            <v>534</v>
          </cell>
          <cell r="J105">
            <v>110</v>
          </cell>
          <cell r="K105">
            <v>119</v>
          </cell>
          <cell r="L105">
            <v>54</v>
          </cell>
        </row>
        <row r="106">
          <cell r="C106">
            <v>14425</v>
          </cell>
          <cell r="D106">
            <v>14310</v>
          </cell>
          <cell r="E106">
            <v>686</v>
          </cell>
          <cell r="F106">
            <v>14400</v>
          </cell>
          <cell r="G106">
            <v>10864</v>
          </cell>
          <cell r="H106">
            <v>10679</v>
          </cell>
          <cell r="I106">
            <v>546</v>
          </cell>
          <cell r="J106">
            <v>107</v>
          </cell>
          <cell r="K106">
            <v>115</v>
          </cell>
          <cell r="L106">
            <v>59</v>
          </cell>
        </row>
        <row r="107">
          <cell r="C107">
            <v>12786</v>
          </cell>
          <cell r="D107">
            <v>12697</v>
          </cell>
          <cell r="E107">
            <v>548</v>
          </cell>
          <cell r="F107">
            <v>12800</v>
          </cell>
          <cell r="G107">
            <v>13063</v>
          </cell>
          <cell r="H107">
            <v>12897</v>
          </cell>
          <cell r="I107">
            <v>521</v>
          </cell>
          <cell r="J107">
            <v>107</v>
          </cell>
          <cell r="K107">
            <v>115</v>
          </cell>
          <cell r="L107">
            <v>37</v>
          </cell>
        </row>
        <row r="108">
          <cell r="C108">
            <v>6291</v>
          </cell>
          <cell r="D108">
            <v>6264</v>
          </cell>
          <cell r="E108">
            <v>332</v>
          </cell>
          <cell r="F108">
            <v>6300</v>
          </cell>
          <cell r="G108">
            <v>6282</v>
          </cell>
          <cell r="H108">
            <v>6164</v>
          </cell>
          <cell r="I108">
            <v>322</v>
          </cell>
          <cell r="J108">
            <v>76</v>
          </cell>
          <cell r="K108">
            <v>85</v>
          </cell>
          <cell r="L108">
            <v>57</v>
          </cell>
        </row>
        <row r="109">
          <cell r="C109">
            <v>6662</v>
          </cell>
          <cell r="D109">
            <v>6613</v>
          </cell>
          <cell r="E109">
            <v>345</v>
          </cell>
          <cell r="F109">
            <v>6700</v>
          </cell>
          <cell r="G109">
            <v>6870</v>
          </cell>
          <cell r="H109">
            <v>6768</v>
          </cell>
          <cell r="I109">
            <v>338</v>
          </cell>
          <cell r="J109">
            <v>75</v>
          </cell>
          <cell r="K109">
            <v>93</v>
          </cell>
          <cell r="L109">
            <v>56</v>
          </cell>
        </row>
        <row r="110">
          <cell r="C110">
            <v>8751</v>
          </cell>
          <cell r="D110">
            <v>8663</v>
          </cell>
          <cell r="E110">
            <v>438</v>
          </cell>
          <cell r="F110">
            <v>8700</v>
          </cell>
          <cell r="G110">
            <v>9259</v>
          </cell>
          <cell r="H110">
            <v>9115</v>
          </cell>
          <cell r="I110">
            <v>447</v>
          </cell>
          <cell r="J110">
            <v>61</v>
          </cell>
          <cell r="K110">
            <v>76</v>
          </cell>
          <cell r="L110">
            <v>23</v>
          </cell>
        </row>
        <row r="111">
          <cell r="C111">
            <v>6715</v>
          </cell>
          <cell r="D111">
            <v>6668</v>
          </cell>
          <cell r="E111">
            <v>368</v>
          </cell>
          <cell r="F111">
            <v>6700</v>
          </cell>
          <cell r="G111">
            <v>9121</v>
          </cell>
          <cell r="H111">
            <v>8984</v>
          </cell>
          <cell r="I111">
            <v>450</v>
          </cell>
          <cell r="J111">
            <v>64</v>
          </cell>
          <cell r="K111">
            <v>82</v>
          </cell>
          <cell r="L111">
            <v>59</v>
          </cell>
        </row>
        <row r="112">
          <cell r="C112">
            <v>12781</v>
          </cell>
          <cell r="D112">
            <v>12698</v>
          </cell>
          <cell r="E112">
            <v>667</v>
          </cell>
          <cell r="F112">
            <v>12800</v>
          </cell>
          <cell r="G112">
            <v>12161</v>
          </cell>
          <cell r="H112">
            <v>11985</v>
          </cell>
          <cell r="I112">
            <v>562</v>
          </cell>
          <cell r="J112">
            <v>95</v>
          </cell>
          <cell r="K112">
            <v>113</v>
          </cell>
          <cell r="L112">
            <v>59</v>
          </cell>
        </row>
        <row r="113">
          <cell r="C113">
            <v>12132</v>
          </cell>
          <cell r="D113">
            <v>12022</v>
          </cell>
          <cell r="E113">
            <v>601</v>
          </cell>
          <cell r="F113">
            <v>12100</v>
          </cell>
          <cell r="G113">
            <v>11183</v>
          </cell>
          <cell r="H113">
            <v>11010</v>
          </cell>
          <cell r="I113">
            <v>575</v>
          </cell>
          <cell r="J113">
            <v>100</v>
          </cell>
          <cell r="K113">
            <v>109</v>
          </cell>
          <cell r="L113">
            <v>49</v>
          </cell>
        </row>
        <row r="114">
          <cell r="C114">
            <v>9418</v>
          </cell>
          <cell r="D114">
            <v>9355</v>
          </cell>
          <cell r="E114">
            <v>453</v>
          </cell>
          <cell r="F114">
            <v>9400</v>
          </cell>
          <cell r="G114">
            <v>11691</v>
          </cell>
          <cell r="H114">
            <v>11537</v>
          </cell>
          <cell r="I114">
            <v>506</v>
          </cell>
          <cell r="J114">
            <v>102</v>
          </cell>
          <cell r="K114">
            <v>111</v>
          </cell>
          <cell r="L114">
            <v>56</v>
          </cell>
        </row>
        <row r="115">
          <cell r="C115">
            <v>12367</v>
          </cell>
          <cell r="D115">
            <v>12287</v>
          </cell>
          <cell r="E115">
            <v>575</v>
          </cell>
          <cell r="F115">
            <v>12400</v>
          </cell>
          <cell r="G115">
            <v>6009</v>
          </cell>
          <cell r="H115">
            <v>5941</v>
          </cell>
          <cell r="I115">
            <v>315</v>
          </cell>
          <cell r="J115">
            <v>81</v>
          </cell>
          <cell r="K115">
            <v>89</v>
          </cell>
          <cell r="L115">
            <v>35</v>
          </cell>
        </row>
        <row r="116">
          <cell r="C116">
            <v>7551</v>
          </cell>
          <cell r="D116">
            <v>7489</v>
          </cell>
          <cell r="E116">
            <v>432</v>
          </cell>
          <cell r="F116">
            <v>7600</v>
          </cell>
          <cell r="G116">
            <v>6154</v>
          </cell>
          <cell r="H116">
            <v>6105</v>
          </cell>
          <cell r="I116">
            <v>320</v>
          </cell>
          <cell r="J116">
            <v>68</v>
          </cell>
          <cell r="K116">
            <v>77</v>
          </cell>
          <cell r="L116">
            <v>35</v>
          </cell>
        </row>
        <row r="117">
          <cell r="C117">
            <v>7371</v>
          </cell>
          <cell r="D117">
            <v>7294</v>
          </cell>
          <cell r="E117">
            <v>396</v>
          </cell>
          <cell r="F117">
            <v>7400</v>
          </cell>
          <cell r="G117">
            <v>8094</v>
          </cell>
          <cell r="H117">
            <v>7998</v>
          </cell>
          <cell r="I117">
            <v>397</v>
          </cell>
          <cell r="J117">
            <v>74</v>
          </cell>
          <cell r="K117">
            <v>82</v>
          </cell>
          <cell r="L117">
            <v>63</v>
          </cell>
        </row>
        <row r="118">
          <cell r="C118">
            <v>8834</v>
          </cell>
          <cell r="D118">
            <v>8754</v>
          </cell>
          <cell r="E118">
            <v>476</v>
          </cell>
          <cell r="F118">
            <v>8800</v>
          </cell>
          <cell r="G118">
            <v>6582</v>
          </cell>
          <cell r="H118">
            <v>6529</v>
          </cell>
          <cell r="I118">
            <v>329</v>
          </cell>
          <cell r="J118">
            <v>70</v>
          </cell>
          <cell r="K118">
            <v>78</v>
          </cell>
          <cell r="L118">
            <v>42</v>
          </cell>
        </row>
        <row r="119">
          <cell r="C119">
            <v>11492</v>
          </cell>
          <cell r="D119">
            <v>11402</v>
          </cell>
          <cell r="E119">
            <v>601</v>
          </cell>
          <cell r="F119">
            <v>11500</v>
          </cell>
          <cell r="G119">
            <v>11460</v>
          </cell>
          <cell r="H119">
            <v>11330</v>
          </cell>
          <cell r="I119">
            <v>581</v>
          </cell>
          <cell r="J119">
            <v>90</v>
          </cell>
          <cell r="K119">
            <v>98</v>
          </cell>
          <cell r="L119">
            <v>49</v>
          </cell>
        </row>
        <row r="120">
          <cell r="C120">
            <v>10273</v>
          </cell>
          <cell r="D120">
            <v>10195</v>
          </cell>
          <cell r="E120">
            <v>544</v>
          </cell>
          <cell r="F120">
            <v>10300</v>
          </cell>
          <cell r="G120">
            <v>11195</v>
          </cell>
          <cell r="H120">
            <v>11040</v>
          </cell>
          <cell r="I120">
            <v>540</v>
          </cell>
          <cell r="J120">
            <v>97</v>
          </cell>
          <cell r="K120">
            <v>113</v>
          </cell>
          <cell r="L120">
            <v>42</v>
          </cell>
        </row>
        <row r="121">
          <cell r="C121">
            <v>11473</v>
          </cell>
          <cell r="D121">
            <v>11393</v>
          </cell>
          <cell r="E121">
            <v>535</v>
          </cell>
          <cell r="F121">
            <v>11500</v>
          </cell>
          <cell r="G121">
            <v>9790</v>
          </cell>
          <cell r="H121">
            <v>9689</v>
          </cell>
          <cell r="I121">
            <v>436</v>
          </cell>
          <cell r="J121">
            <v>100</v>
          </cell>
          <cell r="K121">
            <v>108</v>
          </cell>
          <cell r="L121">
            <v>47</v>
          </cell>
        </row>
        <row r="122">
          <cell r="C122">
            <v>9193</v>
          </cell>
          <cell r="D122">
            <v>9103</v>
          </cell>
          <cell r="E122">
            <v>452</v>
          </cell>
          <cell r="F122">
            <v>9200</v>
          </cell>
          <cell r="G122">
            <v>5764</v>
          </cell>
          <cell r="H122">
            <v>5726</v>
          </cell>
          <cell r="I122">
            <v>331</v>
          </cell>
          <cell r="J122">
            <v>71</v>
          </cell>
          <cell r="K122">
            <v>79</v>
          </cell>
          <cell r="L122">
            <v>35</v>
          </cell>
        </row>
        <row r="123">
          <cell r="C123">
            <v>7713</v>
          </cell>
          <cell r="D123">
            <v>7642</v>
          </cell>
          <cell r="E123">
            <v>435</v>
          </cell>
          <cell r="F123">
            <v>7700</v>
          </cell>
          <cell r="G123">
            <v>7249</v>
          </cell>
          <cell r="H123">
            <v>7196</v>
          </cell>
          <cell r="I123">
            <v>337</v>
          </cell>
          <cell r="J123">
            <v>73</v>
          </cell>
          <cell r="K123">
            <v>81</v>
          </cell>
          <cell r="L123">
            <v>33</v>
          </cell>
        </row>
        <row r="124">
          <cell r="C124">
            <v>9534</v>
          </cell>
          <cell r="D124">
            <v>9429</v>
          </cell>
          <cell r="E124">
            <v>496</v>
          </cell>
          <cell r="F124">
            <v>9500</v>
          </cell>
          <cell r="G124">
            <v>9353</v>
          </cell>
          <cell r="H124">
            <v>9244</v>
          </cell>
          <cell r="I124">
            <v>473</v>
          </cell>
          <cell r="J124">
            <v>80</v>
          </cell>
          <cell r="K124">
            <v>98</v>
          </cell>
          <cell r="L124">
            <v>36</v>
          </cell>
        </row>
        <row r="125">
          <cell r="C125">
            <v>13927</v>
          </cell>
          <cell r="D125">
            <v>13838</v>
          </cell>
          <cell r="E125">
            <v>672</v>
          </cell>
          <cell r="F125">
            <v>14000</v>
          </cell>
          <cell r="G125">
            <v>11536</v>
          </cell>
          <cell r="H125">
            <v>11247</v>
          </cell>
          <cell r="I125">
            <v>549</v>
          </cell>
          <cell r="J125">
            <v>96</v>
          </cell>
          <cell r="K125">
            <v>105</v>
          </cell>
          <cell r="L125">
            <v>62</v>
          </cell>
        </row>
        <row r="126">
          <cell r="C126">
            <v>12149</v>
          </cell>
          <cell r="D126">
            <v>12051</v>
          </cell>
          <cell r="E126">
            <v>598</v>
          </cell>
          <cell r="F126">
            <v>12200</v>
          </cell>
          <cell r="G126">
            <v>13521</v>
          </cell>
          <cell r="H126">
            <v>13414</v>
          </cell>
          <cell r="I126">
            <v>629</v>
          </cell>
          <cell r="J126">
            <v>220</v>
          </cell>
          <cell r="K126">
            <v>254</v>
          </cell>
          <cell r="L126">
            <v>72</v>
          </cell>
        </row>
        <row r="127">
          <cell r="C127">
            <v>9389</v>
          </cell>
          <cell r="D127">
            <v>9310</v>
          </cell>
          <cell r="E127">
            <v>487</v>
          </cell>
          <cell r="F127">
            <v>9400</v>
          </cell>
          <cell r="G127">
            <v>11085</v>
          </cell>
          <cell r="H127">
            <v>10981</v>
          </cell>
          <cell r="I127">
            <v>502</v>
          </cell>
          <cell r="J127">
            <v>111</v>
          </cell>
          <cell r="K127">
            <v>127</v>
          </cell>
          <cell r="L127">
            <v>27</v>
          </cell>
        </row>
        <row r="128">
          <cell r="C128">
            <v>12006</v>
          </cell>
          <cell r="D128">
            <v>11913</v>
          </cell>
          <cell r="E128">
            <v>530</v>
          </cell>
          <cell r="F128">
            <v>12000</v>
          </cell>
          <cell r="G128">
            <v>11972</v>
          </cell>
          <cell r="H128">
            <v>11879</v>
          </cell>
          <cell r="I128">
            <v>478</v>
          </cell>
          <cell r="J128">
            <v>94</v>
          </cell>
          <cell r="K128">
            <v>111</v>
          </cell>
          <cell r="L128">
            <v>36</v>
          </cell>
        </row>
        <row r="129">
          <cell r="C129">
            <v>6727</v>
          </cell>
          <cell r="D129">
            <v>6677</v>
          </cell>
          <cell r="E129">
            <v>359</v>
          </cell>
          <cell r="F129">
            <v>6700</v>
          </cell>
          <cell r="G129">
            <v>6856</v>
          </cell>
          <cell r="H129">
            <v>6829</v>
          </cell>
          <cell r="I129">
            <v>350</v>
          </cell>
          <cell r="J129">
            <v>73</v>
          </cell>
          <cell r="K129">
            <v>81</v>
          </cell>
          <cell r="L129">
            <v>45</v>
          </cell>
        </row>
        <row r="130">
          <cell r="C130">
            <v>7010</v>
          </cell>
          <cell r="D130">
            <v>6962</v>
          </cell>
          <cell r="E130">
            <v>369</v>
          </cell>
          <cell r="F130">
            <v>7000</v>
          </cell>
          <cell r="G130">
            <v>6322</v>
          </cell>
          <cell r="H130">
            <v>6273</v>
          </cell>
          <cell r="I130">
            <v>321</v>
          </cell>
          <cell r="J130">
            <v>68</v>
          </cell>
          <cell r="K130">
            <v>76</v>
          </cell>
          <cell r="L130">
            <v>39</v>
          </cell>
        </row>
        <row r="131">
          <cell r="C131">
            <v>11705</v>
          </cell>
          <cell r="D131">
            <v>11618</v>
          </cell>
          <cell r="E131">
            <v>581</v>
          </cell>
          <cell r="F131">
            <v>11700</v>
          </cell>
          <cell r="G131">
            <v>9742</v>
          </cell>
          <cell r="H131">
            <v>9637</v>
          </cell>
          <cell r="I131">
            <v>471</v>
          </cell>
          <cell r="J131">
            <v>97</v>
          </cell>
          <cell r="K131">
            <v>105</v>
          </cell>
          <cell r="L131">
            <v>49</v>
          </cell>
        </row>
        <row r="132">
          <cell r="C132">
            <v>11615</v>
          </cell>
          <cell r="D132">
            <v>11520</v>
          </cell>
          <cell r="E132">
            <v>574</v>
          </cell>
          <cell r="F132">
            <v>11600</v>
          </cell>
          <cell r="G132">
            <v>11941</v>
          </cell>
          <cell r="H132">
            <v>11835</v>
          </cell>
          <cell r="I132">
            <v>604</v>
          </cell>
          <cell r="J132">
            <v>108</v>
          </cell>
          <cell r="K132">
            <v>126</v>
          </cell>
          <cell r="L132">
            <v>49</v>
          </cell>
        </row>
        <row r="133">
          <cell r="C133">
            <v>10645</v>
          </cell>
          <cell r="D133">
            <v>10587</v>
          </cell>
          <cell r="E133">
            <v>592</v>
          </cell>
          <cell r="F133">
            <v>10800</v>
          </cell>
          <cell r="G133">
            <v>10918</v>
          </cell>
          <cell r="H133">
            <v>10772</v>
          </cell>
          <cell r="I133">
            <v>539</v>
          </cell>
          <cell r="J133">
            <v>119</v>
          </cell>
          <cell r="K133">
            <v>127</v>
          </cell>
          <cell r="L133">
            <v>27</v>
          </cell>
        </row>
        <row r="134">
          <cell r="C134">
            <v>11798</v>
          </cell>
          <cell r="D134">
            <v>11700</v>
          </cell>
          <cell r="E134">
            <v>555</v>
          </cell>
          <cell r="F134">
            <v>11800</v>
          </cell>
          <cell r="G134">
            <v>9950</v>
          </cell>
          <cell r="H134">
            <v>9840</v>
          </cell>
          <cell r="I134">
            <v>532</v>
          </cell>
          <cell r="J134">
            <v>99</v>
          </cell>
          <cell r="K134">
            <v>116</v>
          </cell>
          <cell r="L134">
            <v>29</v>
          </cell>
        </row>
        <row r="135">
          <cell r="C135">
            <v>12886</v>
          </cell>
          <cell r="D135">
            <v>12783</v>
          </cell>
          <cell r="E135">
            <v>576</v>
          </cell>
          <cell r="F135">
            <v>12900</v>
          </cell>
          <cell r="G135">
            <v>13593</v>
          </cell>
          <cell r="H135">
            <v>13396</v>
          </cell>
          <cell r="I135">
            <v>513</v>
          </cell>
          <cell r="J135">
            <v>101</v>
          </cell>
          <cell r="K135">
            <v>109</v>
          </cell>
          <cell r="L135">
            <v>82</v>
          </cell>
        </row>
        <row r="136">
          <cell r="C136">
            <v>6840</v>
          </cell>
          <cell r="D136">
            <v>6798</v>
          </cell>
          <cell r="E136">
            <v>356</v>
          </cell>
          <cell r="F136">
            <v>6900</v>
          </cell>
          <cell r="G136">
            <v>5621</v>
          </cell>
          <cell r="H136">
            <v>5580</v>
          </cell>
          <cell r="I136">
            <v>314</v>
          </cell>
          <cell r="J136">
            <v>74</v>
          </cell>
          <cell r="K136">
            <v>82</v>
          </cell>
          <cell r="L136">
            <v>41</v>
          </cell>
        </row>
        <row r="137">
          <cell r="C137">
            <v>8064</v>
          </cell>
          <cell r="D137">
            <v>8019</v>
          </cell>
          <cell r="E137">
            <v>443</v>
          </cell>
          <cell r="F137">
            <v>8100</v>
          </cell>
          <cell r="G137">
            <v>7096</v>
          </cell>
          <cell r="H137">
            <v>7023</v>
          </cell>
          <cell r="I137">
            <v>360</v>
          </cell>
          <cell r="J137">
            <v>82</v>
          </cell>
          <cell r="K137">
            <v>99</v>
          </cell>
          <cell r="L137">
            <v>41</v>
          </cell>
        </row>
        <row r="138">
          <cell r="C138">
            <v>9067</v>
          </cell>
          <cell r="D138">
            <v>8985</v>
          </cell>
          <cell r="E138">
            <v>473</v>
          </cell>
          <cell r="F138">
            <v>9100</v>
          </cell>
          <cell r="G138">
            <v>10886</v>
          </cell>
          <cell r="H138">
            <v>10757</v>
          </cell>
          <cell r="I138">
            <v>530</v>
          </cell>
          <cell r="J138">
            <v>91</v>
          </cell>
          <cell r="K138">
            <v>102</v>
          </cell>
          <cell r="L138">
            <v>56</v>
          </cell>
        </row>
        <row r="139">
          <cell r="C139">
            <v>7643</v>
          </cell>
          <cell r="D139">
            <v>7595</v>
          </cell>
          <cell r="E139">
            <v>434</v>
          </cell>
          <cell r="F139">
            <v>13000</v>
          </cell>
          <cell r="G139">
            <v>10954</v>
          </cell>
          <cell r="H139">
            <v>10837</v>
          </cell>
          <cell r="I139">
            <v>508</v>
          </cell>
          <cell r="J139">
            <v>98</v>
          </cell>
          <cell r="K139">
            <v>106</v>
          </cell>
          <cell r="L139">
            <v>37</v>
          </cell>
        </row>
        <row r="140">
          <cell r="C140">
            <v>12332</v>
          </cell>
          <cell r="D140">
            <v>12266</v>
          </cell>
          <cell r="E140">
            <v>648</v>
          </cell>
          <cell r="F140">
            <v>12400</v>
          </cell>
          <cell r="G140">
            <v>10470</v>
          </cell>
          <cell r="H140">
            <v>10324</v>
          </cell>
          <cell r="I140">
            <v>507</v>
          </cell>
          <cell r="J140">
            <v>130</v>
          </cell>
          <cell r="K140">
            <v>138</v>
          </cell>
          <cell r="L140">
            <v>41</v>
          </cell>
        </row>
        <row r="141">
          <cell r="C141">
            <v>12067</v>
          </cell>
          <cell r="D141">
            <v>11985</v>
          </cell>
          <cell r="E141">
            <v>600</v>
          </cell>
          <cell r="F141">
            <v>12100</v>
          </cell>
          <cell r="G141">
            <v>10535</v>
          </cell>
          <cell r="H141">
            <v>10394</v>
          </cell>
          <cell r="I141">
            <v>495</v>
          </cell>
          <cell r="J141">
            <v>120</v>
          </cell>
          <cell r="K141">
            <v>128</v>
          </cell>
          <cell r="L141">
            <v>30</v>
          </cell>
        </row>
        <row r="142">
          <cell r="C142">
            <v>13795</v>
          </cell>
          <cell r="D142">
            <v>13713</v>
          </cell>
          <cell r="E142">
            <v>649</v>
          </cell>
          <cell r="F142">
            <v>13800</v>
          </cell>
          <cell r="G142">
            <v>11917</v>
          </cell>
          <cell r="H142">
            <v>11805</v>
          </cell>
          <cell r="I142">
            <v>510</v>
          </cell>
          <cell r="J142">
            <v>115</v>
          </cell>
          <cell r="K142">
            <v>125</v>
          </cell>
          <cell r="L142">
            <v>39</v>
          </cell>
        </row>
        <row r="143">
          <cell r="C143">
            <v>6932</v>
          </cell>
          <cell r="D143">
            <v>6902</v>
          </cell>
          <cell r="E143">
            <v>358</v>
          </cell>
          <cell r="F143">
            <v>7000</v>
          </cell>
          <cell r="G143">
            <v>5702</v>
          </cell>
          <cell r="H143">
            <v>5660</v>
          </cell>
          <cell r="I143">
            <v>320</v>
          </cell>
          <cell r="J143">
            <v>78</v>
          </cell>
          <cell r="K143">
            <v>87</v>
          </cell>
          <cell r="L143">
            <v>18</v>
          </cell>
        </row>
        <row r="144">
          <cell r="C144">
            <v>6811</v>
          </cell>
          <cell r="D144">
            <v>6772</v>
          </cell>
          <cell r="E144">
            <v>362</v>
          </cell>
          <cell r="F144">
            <v>6800</v>
          </cell>
          <cell r="G144">
            <v>5963</v>
          </cell>
          <cell r="H144">
            <v>5914</v>
          </cell>
          <cell r="I144">
            <v>322</v>
          </cell>
          <cell r="J144">
            <v>70</v>
          </cell>
          <cell r="K144">
            <v>78</v>
          </cell>
          <cell r="L144">
            <v>67</v>
          </cell>
        </row>
        <row r="145">
          <cell r="C145">
            <v>8900</v>
          </cell>
          <cell r="D145">
            <v>8824</v>
          </cell>
          <cell r="E145">
            <v>476</v>
          </cell>
          <cell r="F145">
            <v>8900</v>
          </cell>
          <cell r="G145">
            <v>7785</v>
          </cell>
          <cell r="H145">
            <v>7706</v>
          </cell>
          <cell r="I145">
            <v>417</v>
          </cell>
          <cell r="J145">
            <v>82</v>
          </cell>
          <cell r="K145">
            <v>90</v>
          </cell>
          <cell r="L145">
            <v>49</v>
          </cell>
        </row>
        <row r="146">
          <cell r="C146">
            <v>7518</v>
          </cell>
          <cell r="D146">
            <v>7476</v>
          </cell>
          <cell r="E146">
            <v>396</v>
          </cell>
          <cell r="F146">
            <v>7500</v>
          </cell>
          <cell r="G146">
            <v>6243</v>
          </cell>
          <cell r="H146">
            <v>6189</v>
          </cell>
          <cell r="I146">
            <v>348</v>
          </cell>
          <cell r="J146">
            <v>88</v>
          </cell>
          <cell r="K146">
            <v>96</v>
          </cell>
          <cell r="L146">
            <v>30</v>
          </cell>
        </row>
        <row r="147">
          <cell r="C147">
            <v>11224</v>
          </cell>
          <cell r="D147">
            <v>11137</v>
          </cell>
          <cell r="E147">
            <v>632</v>
          </cell>
          <cell r="F147">
            <v>11200</v>
          </cell>
          <cell r="G147">
            <v>10740</v>
          </cell>
          <cell r="H147">
            <v>10640</v>
          </cell>
          <cell r="I147">
            <v>602</v>
          </cell>
          <cell r="J147">
            <v>112</v>
          </cell>
          <cell r="K147">
            <v>121</v>
          </cell>
          <cell r="L147">
            <v>146</v>
          </cell>
        </row>
        <row r="148">
          <cell r="C148">
            <v>12175</v>
          </cell>
          <cell r="D148">
            <v>12082</v>
          </cell>
          <cell r="E148">
            <v>611</v>
          </cell>
          <cell r="F148">
            <v>12200</v>
          </cell>
          <cell r="G148">
            <v>9298</v>
          </cell>
          <cell r="H148">
            <v>9184</v>
          </cell>
          <cell r="I148">
            <v>496</v>
          </cell>
          <cell r="J148">
            <v>112</v>
          </cell>
          <cell r="K148">
            <v>120</v>
          </cell>
          <cell r="L148">
            <v>46</v>
          </cell>
        </row>
        <row r="149">
          <cell r="C149">
            <v>11016</v>
          </cell>
          <cell r="D149">
            <v>10923</v>
          </cell>
          <cell r="E149">
            <v>472</v>
          </cell>
          <cell r="F149">
            <v>11000</v>
          </cell>
          <cell r="G149">
            <v>11731</v>
          </cell>
          <cell r="H149">
            <v>11629</v>
          </cell>
          <cell r="I149">
            <v>575</v>
          </cell>
          <cell r="J149">
            <v>106</v>
          </cell>
          <cell r="K149">
            <v>114</v>
          </cell>
          <cell r="L149">
            <v>49</v>
          </cell>
        </row>
        <row r="150">
          <cell r="C150">
            <v>7083</v>
          </cell>
          <cell r="D150">
            <v>7045</v>
          </cell>
          <cell r="E150">
            <v>374</v>
          </cell>
          <cell r="F150">
            <v>12100</v>
          </cell>
          <cell r="G150">
            <v>12092</v>
          </cell>
          <cell r="H150">
            <v>11967</v>
          </cell>
          <cell r="I150">
            <v>573</v>
          </cell>
          <cell r="J150">
            <v>106</v>
          </cell>
          <cell r="K150">
            <v>114</v>
          </cell>
          <cell r="L150">
            <v>49</v>
          </cell>
        </row>
        <row r="151">
          <cell r="C151">
            <v>7008</v>
          </cell>
          <cell r="D151">
            <v>6965</v>
          </cell>
          <cell r="E151">
            <v>368</v>
          </cell>
          <cell r="F151">
            <v>7000</v>
          </cell>
          <cell r="G151">
            <v>5894</v>
          </cell>
          <cell r="H151">
            <v>5841</v>
          </cell>
          <cell r="I151">
            <v>340</v>
          </cell>
          <cell r="J151">
            <v>72</v>
          </cell>
          <cell r="K151">
            <v>80</v>
          </cell>
          <cell r="L151">
            <v>39</v>
          </cell>
        </row>
        <row r="152">
          <cell r="C152">
            <v>12237</v>
          </cell>
          <cell r="D152">
            <v>12143</v>
          </cell>
          <cell r="E152">
            <v>611</v>
          </cell>
          <cell r="F152">
            <v>12300</v>
          </cell>
          <cell r="G152">
            <v>8152</v>
          </cell>
          <cell r="H152">
            <v>8079</v>
          </cell>
          <cell r="I152">
            <v>431</v>
          </cell>
          <cell r="J152">
            <v>88</v>
          </cell>
          <cell r="K152">
            <v>96</v>
          </cell>
          <cell r="L152">
            <v>97</v>
          </cell>
        </row>
        <row r="153">
          <cell r="C153">
            <v>10585</v>
          </cell>
          <cell r="D153">
            <v>10517</v>
          </cell>
          <cell r="E153">
            <v>492</v>
          </cell>
          <cell r="F153">
            <v>4400</v>
          </cell>
          <cell r="G153">
            <v>7659</v>
          </cell>
          <cell r="H153">
            <v>7604</v>
          </cell>
          <cell r="I153">
            <v>381</v>
          </cell>
          <cell r="J153">
            <v>82</v>
          </cell>
          <cell r="K153">
            <v>90</v>
          </cell>
          <cell r="L153">
            <v>58</v>
          </cell>
        </row>
        <row r="154">
          <cell r="C154">
            <v>11187</v>
          </cell>
          <cell r="D154">
            <v>11102</v>
          </cell>
          <cell r="E154">
            <v>598</v>
          </cell>
          <cell r="F154">
            <v>11200</v>
          </cell>
          <cell r="G154">
            <v>10708</v>
          </cell>
          <cell r="H154">
            <v>10627</v>
          </cell>
          <cell r="I154">
            <v>556</v>
          </cell>
          <cell r="J154">
            <v>104</v>
          </cell>
          <cell r="K154">
            <v>113</v>
          </cell>
          <cell r="L154">
            <v>34</v>
          </cell>
        </row>
        <row r="155">
          <cell r="C155">
            <v>10097</v>
          </cell>
          <cell r="D155">
            <v>10019</v>
          </cell>
          <cell r="E155">
            <v>520</v>
          </cell>
          <cell r="F155">
            <v>10100</v>
          </cell>
          <cell r="G155">
            <v>9902</v>
          </cell>
          <cell r="H155">
            <v>9815</v>
          </cell>
          <cell r="I155">
            <v>473</v>
          </cell>
          <cell r="J155">
            <v>101</v>
          </cell>
          <cell r="K155">
            <v>109</v>
          </cell>
          <cell r="L155">
            <v>7</v>
          </cell>
        </row>
        <row r="156">
          <cell r="C156">
            <v>15051</v>
          </cell>
          <cell r="D156">
            <v>14955</v>
          </cell>
          <cell r="E156">
            <v>659</v>
          </cell>
          <cell r="F156">
            <v>15100</v>
          </cell>
          <cell r="G156">
            <v>11847</v>
          </cell>
          <cell r="H156">
            <v>11735</v>
          </cell>
          <cell r="I156">
            <v>511</v>
          </cell>
          <cell r="J156">
            <v>106</v>
          </cell>
          <cell r="K156">
            <v>123</v>
          </cell>
          <cell r="L156">
            <v>56</v>
          </cell>
        </row>
        <row r="157">
          <cell r="C157">
            <v>7340</v>
          </cell>
          <cell r="D157">
            <v>7301</v>
          </cell>
          <cell r="E157">
            <v>385</v>
          </cell>
          <cell r="F157">
            <v>7400</v>
          </cell>
          <cell r="G157">
            <v>6230</v>
          </cell>
          <cell r="H157">
            <v>6192</v>
          </cell>
          <cell r="I157">
            <v>338</v>
          </cell>
          <cell r="J157">
            <v>71</v>
          </cell>
          <cell r="K157">
            <v>79</v>
          </cell>
          <cell r="L157">
            <v>18</v>
          </cell>
        </row>
        <row r="158">
          <cell r="C158">
            <v>8261</v>
          </cell>
          <cell r="D158">
            <v>8194</v>
          </cell>
          <cell r="E158">
            <v>461</v>
          </cell>
          <cell r="F158">
            <v>8300</v>
          </cell>
          <cell r="G158">
            <v>8306</v>
          </cell>
          <cell r="H158">
            <v>8185</v>
          </cell>
          <cell r="I158">
            <v>431</v>
          </cell>
          <cell r="J158">
            <v>80</v>
          </cell>
          <cell r="K158">
            <v>88</v>
          </cell>
          <cell r="L158">
            <v>18</v>
          </cell>
        </row>
        <row r="159">
          <cell r="C159">
            <v>9343</v>
          </cell>
          <cell r="D159">
            <v>9267</v>
          </cell>
          <cell r="E159">
            <v>470</v>
          </cell>
          <cell r="F159">
            <v>9400</v>
          </cell>
          <cell r="G159">
            <v>9973</v>
          </cell>
          <cell r="H159">
            <v>9808</v>
          </cell>
          <cell r="I159">
            <v>483</v>
          </cell>
          <cell r="J159">
            <v>90</v>
          </cell>
          <cell r="K159">
            <v>108</v>
          </cell>
          <cell r="L159">
            <v>40</v>
          </cell>
        </row>
        <row r="160">
          <cell r="C160">
            <v>9490</v>
          </cell>
          <cell r="D160">
            <v>9418</v>
          </cell>
          <cell r="E160">
            <v>502</v>
          </cell>
          <cell r="F160">
            <v>9500</v>
          </cell>
          <cell r="G160">
            <v>6749</v>
          </cell>
          <cell r="H160">
            <v>6680</v>
          </cell>
          <cell r="I160">
            <v>337</v>
          </cell>
          <cell r="J160">
            <v>73</v>
          </cell>
          <cell r="K160">
            <v>82</v>
          </cell>
          <cell r="L160">
            <v>81</v>
          </cell>
        </row>
        <row r="161">
          <cell r="C161">
            <v>15008</v>
          </cell>
          <cell r="D161">
            <v>14906</v>
          </cell>
          <cell r="E161">
            <v>765</v>
          </cell>
          <cell r="F161">
            <v>15000</v>
          </cell>
          <cell r="G161">
            <v>12125</v>
          </cell>
          <cell r="H161">
            <v>11966</v>
          </cell>
          <cell r="I161">
            <v>627</v>
          </cell>
          <cell r="J161">
            <v>110</v>
          </cell>
          <cell r="K161">
            <v>118</v>
          </cell>
          <cell r="L161">
            <v>48</v>
          </cell>
        </row>
        <row r="162">
          <cell r="C162">
            <v>12511</v>
          </cell>
          <cell r="D162">
            <v>12391</v>
          </cell>
          <cell r="E162">
            <v>617</v>
          </cell>
          <cell r="F162">
            <v>12500</v>
          </cell>
          <cell r="G162">
            <v>11988</v>
          </cell>
          <cell r="H162">
            <v>11820</v>
          </cell>
          <cell r="I162">
            <v>604</v>
          </cell>
          <cell r="J162">
            <v>113</v>
          </cell>
          <cell r="K162">
            <v>131</v>
          </cell>
          <cell r="L162">
            <v>33</v>
          </cell>
        </row>
        <row r="163">
          <cell r="C163">
            <v>14786</v>
          </cell>
          <cell r="D163">
            <v>14672</v>
          </cell>
          <cell r="E163">
            <v>667</v>
          </cell>
          <cell r="F163">
            <v>14800</v>
          </cell>
          <cell r="G163">
            <v>12484</v>
          </cell>
          <cell r="H163">
            <v>12361</v>
          </cell>
          <cell r="I163">
            <v>553</v>
          </cell>
          <cell r="J163">
            <v>100</v>
          </cell>
          <cell r="K163">
            <v>117</v>
          </cell>
          <cell r="L163">
            <v>26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87">
          <cell r="G387">
            <v>899</v>
          </cell>
          <cell r="H387">
            <v>888</v>
          </cell>
          <cell r="I387">
            <v>984</v>
          </cell>
          <cell r="J387">
            <v>934</v>
          </cell>
          <cell r="K387">
            <v>917</v>
          </cell>
          <cell r="L387">
            <v>229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32</v>
          </cell>
          <cell r="H388">
            <v>1</v>
          </cell>
          <cell r="I388">
            <v>19</v>
          </cell>
          <cell r="J388">
            <v>-10</v>
          </cell>
          <cell r="K388">
            <v>40</v>
          </cell>
          <cell r="L388">
            <v>10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51.28</v>
          </cell>
          <cell r="H389">
            <v>42.480000000000004</v>
          </cell>
          <cell r="I389">
            <v>59.260000000000005</v>
          </cell>
          <cell r="J389">
            <v>25.990000000000002</v>
          </cell>
          <cell r="K389">
            <v>2</v>
          </cell>
          <cell r="L389">
            <v>9.1999999999999993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5"/>
    </sheetNames>
    <sheetDataSet>
      <sheetData sheetId="0">
        <row r="5">
          <cell r="C5">
            <v>15335.08</v>
          </cell>
        </row>
        <row r="6">
          <cell r="C6">
            <v>9582.7800000000007</v>
          </cell>
          <cell r="D6">
            <v>9399.57</v>
          </cell>
        </row>
        <row r="7">
          <cell r="C7">
            <v>11435.78</v>
          </cell>
        </row>
        <row r="8">
          <cell r="C8">
            <v>12307.55</v>
          </cell>
        </row>
        <row r="9">
          <cell r="C9">
            <v>9879.16</v>
          </cell>
        </row>
        <row r="10">
          <cell r="C10">
            <v>5302.21</v>
          </cell>
        </row>
        <row r="11">
          <cell r="C11">
            <v>6769.74</v>
          </cell>
        </row>
        <row r="12">
          <cell r="C12">
            <v>8281.4500000000007</v>
          </cell>
        </row>
        <row r="13">
          <cell r="C13">
            <v>6429.94</v>
          </cell>
        </row>
        <row r="14">
          <cell r="C14">
            <v>10864.07</v>
          </cell>
        </row>
        <row r="15">
          <cell r="C15">
            <v>11945.13</v>
          </cell>
        </row>
        <row r="16">
          <cell r="C16">
            <v>10635.44</v>
          </cell>
        </row>
        <row r="17">
          <cell r="C17">
            <v>6029.71</v>
          </cell>
        </row>
        <row r="18">
          <cell r="C18">
            <v>6169.68</v>
          </cell>
        </row>
        <row r="19">
          <cell r="C19">
            <v>8195.2999999999993</v>
          </cell>
        </row>
        <row r="20">
          <cell r="C20">
            <v>7224.17</v>
          </cell>
        </row>
        <row r="21">
          <cell r="C21">
            <v>10323.469999999999</v>
          </cell>
        </row>
        <row r="22">
          <cell r="C22">
            <v>12320.46</v>
          </cell>
        </row>
        <row r="23">
          <cell r="C23">
            <v>11132.38</v>
          </cell>
        </row>
        <row r="24">
          <cell r="C24">
            <v>5789.86</v>
          </cell>
        </row>
        <row r="25">
          <cell r="C25">
            <v>5843.16</v>
          </cell>
        </row>
        <row r="26">
          <cell r="C26">
            <v>7717.26</v>
          </cell>
        </row>
        <row r="27">
          <cell r="C27">
            <v>6640.46</v>
          </cell>
        </row>
        <row r="28">
          <cell r="C28">
            <v>11496.11</v>
          </cell>
        </row>
        <row r="29">
          <cell r="C29">
            <v>14702.26</v>
          </cell>
        </row>
        <row r="30">
          <cell r="C30">
            <v>11386.37</v>
          </cell>
        </row>
        <row r="31">
          <cell r="C31">
            <v>5463.7</v>
          </cell>
        </row>
        <row r="32">
          <cell r="C32">
            <v>6025.45</v>
          </cell>
        </row>
        <row r="33">
          <cell r="C33">
            <v>7717.07</v>
          </cell>
        </row>
        <row r="34">
          <cell r="C34">
            <v>6808.7</v>
          </cell>
        </row>
        <row r="35">
          <cell r="C35">
            <v>11683.98</v>
          </cell>
        </row>
        <row r="36">
          <cell r="C36">
            <v>17098.43</v>
          </cell>
        </row>
        <row r="37">
          <cell r="C37">
            <v>10544.19</v>
          </cell>
        </row>
        <row r="38">
          <cell r="C38">
            <v>6278.28</v>
          </cell>
        </row>
        <row r="39">
          <cell r="C39">
            <v>7074.4</v>
          </cell>
        </row>
        <row r="40">
          <cell r="C40">
            <v>8531.3700000000008</v>
          </cell>
        </row>
        <row r="41">
          <cell r="C41">
            <v>6934.39</v>
          </cell>
        </row>
        <row r="42">
          <cell r="C42">
            <v>11215.39</v>
          </cell>
        </row>
        <row r="43">
          <cell r="C43">
            <v>16556.04</v>
          </cell>
        </row>
        <row r="44">
          <cell r="C44">
            <v>11527.63</v>
          </cell>
        </row>
        <row r="45">
          <cell r="C45">
            <v>5843.91</v>
          </cell>
        </row>
        <row r="46">
          <cell r="C46">
            <v>6436.8</v>
          </cell>
        </row>
        <row r="47">
          <cell r="C47">
            <v>8841.94</v>
          </cell>
        </row>
        <row r="48">
          <cell r="C48">
            <v>7328.86</v>
          </cell>
        </row>
        <row r="49">
          <cell r="C49">
            <v>11499.25</v>
          </cell>
        </row>
        <row r="50">
          <cell r="C50">
            <v>17397.169999999998</v>
          </cell>
        </row>
        <row r="51">
          <cell r="C51">
            <v>12504.61</v>
          </cell>
        </row>
        <row r="52">
          <cell r="C52">
            <v>5489.1</v>
          </cell>
        </row>
        <row r="53">
          <cell r="C53">
            <v>6607.48</v>
          </cell>
        </row>
        <row r="54">
          <cell r="C54">
            <v>7472.61</v>
          </cell>
        </row>
        <row r="55">
          <cell r="C55">
            <v>7091.17</v>
          </cell>
        </row>
        <row r="56">
          <cell r="C56">
            <v>13567.05</v>
          </cell>
        </row>
        <row r="57">
          <cell r="C57">
            <v>17304.310000000001</v>
          </cell>
        </row>
        <row r="58">
          <cell r="C58">
            <v>10960.02</v>
          </cell>
        </row>
        <row r="59">
          <cell r="C59">
            <v>7131.21</v>
          </cell>
        </row>
        <row r="60">
          <cell r="C60">
            <v>6269.3</v>
          </cell>
        </row>
        <row r="61">
          <cell r="C61">
            <v>8385.94</v>
          </cell>
        </row>
        <row r="62">
          <cell r="C62">
            <v>8107.57</v>
          </cell>
        </row>
        <row r="63">
          <cell r="C63">
            <v>13849.14</v>
          </cell>
        </row>
        <row r="64">
          <cell r="C64">
            <v>16182.41</v>
          </cell>
        </row>
        <row r="65">
          <cell r="C65">
            <v>14394.02</v>
          </cell>
        </row>
        <row r="66">
          <cell r="C66">
            <v>7461.15</v>
          </cell>
        </row>
        <row r="67">
          <cell r="C67">
            <v>7371.62</v>
          </cell>
        </row>
        <row r="68">
          <cell r="C68">
            <v>8229.3700000000008</v>
          </cell>
        </row>
        <row r="69">
          <cell r="C69">
            <v>8289.7800000000007</v>
          </cell>
        </row>
        <row r="70">
          <cell r="C70">
            <v>12646.66</v>
          </cell>
        </row>
        <row r="71">
          <cell r="C71">
            <v>14114.59</v>
          </cell>
        </row>
        <row r="72">
          <cell r="C72">
            <v>11412.44</v>
          </cell>
        </row>
        <row r="73">
          <cell r="C73">
            <v>5484.73</v>
          </cell>
        </row>
        <row r="74">
          <cell r="C74">
            <v>5988.27</v>
          </cell>
        </row>
        <row r="75">
          <cell r="C75">
            <v>6772.02</v>
          </cell>
        </row>
        <row r="76">
          <cell r="C76">
            <v>6738.99</v>
          </cell>
        </row>
        <row r="77">
          <cell r="C77">
            <v>10963.39</v>
          </cell>
        </row>
        <row r="78">
          <cell r="C78">
            <v>12186.22</v>
          </cell>
        </row>
        <row r="79">
          <cell r="C79">
            <v>10325.040000000001</v>
          </cell>
        </row>
        <row r="80">
          <cell r="C80">
            <v>5519.42</v>
          </cell>
        </row>
        <row r="81">
          <cell r="C81">
            <v>6528.81</v>
          </cell>
        </row>
        <row r="82">
          <cell r="C82">
            <v>8090.3</v>
          </cell>
        </row>
        <row r="83">
          <cell r="C83">
            <v>6928.06</v>
          </cell>
        </row>
        <row r="84">
          <cell r="C84">
            <v>10721.72</v>
          </cell>
        </row>
        <row r="85">
          <cell r="C85">
            <v>10493.5</v>
          </cell>
        </row>
        <row r="86">
          <cell r="C86">
            <v>12437.88</v>
          </cell>
        </row>
        <row r="87">
          <cell r="C87">
            <v>5644.8</v>
          </cell>
        </row>
        <row r="88">
          <cell r="C88">
            <v>6040.81</v>
          </cell>
        </row>
        <row r="89">
          <cell r="C89">
            <v>8898.33</v>
          </cell>
        </row>
        <row r="90">
          <cell r="C90">
            <v>6787.83</v>
          </cell>
        </row>
        <row r="91">
          <cell r="C91">
            <v>10584.45</v>
          </cell>
        </row>
        <row r="92">
          <cell r="C92">
            <v>11048.07</v>
          </cell>
        </row>
        <row r="93">
          <cell r="C93">
            <v>12547.08</v>
          </cell>
        </row>
        <row r="94">
          <cell r="C94">
            <v>6381.67</v>
          </cell>
        </row>
        <row r="95">
          <cell r="C95">
            <v>7830.27</v>
          </cell>
        </row>
        <row r="96">
          <cell r="C96">
            <v>9508.02</v>
          </cell>
        </row>
        <row r="97">
          <cell r="C97">
            <v>8202.74</v>
          </cell>
        </row>
        <row r="98">
          <cell r="C98">
            <v>12459.36</v>
          </cell>
        </row>
        <row r="99">
          <cell r="C99">
            <v>12178.37</v>
          </cell>
        </row>
        <row r="100">
          <cell r="C100">
            <v>10999.52</v>
          </cell>
        </row>
        <row r="101">
          <cell r="C101">
            <v>6573.74</v>
          </cell>
        </row>
        <row r="102">
          <cell r="C102">
            <v>6538.92</v>
          </cell>
        </row>
        <row r="103">
          <cell r="C103">
            <v>8404.41</v>
          </cell>
        </row>
        <row r="104">
          <cell r="C104">
            <v>7017.45</v>
          </cell>
        </row>
        <row r="105">
          <cell r="C105">
            <v>12561.76</v>
          </cell>
        </row>
        <row r="106">
          <cell r="C106">
            <v>12541.48</v>
          </cell>
        </row>
        <row r="107">
          <cell r="C107">
            <v>12810.7</v>
          </cell>
        </row>
        <row r="108">
          <cell r="C108">
            <v>6231.8</v>
          </cell>
        </row>
        <row r="109">
          <cell r="C109">
            <v>7097.33</v>
          </cell>
        </row>
        <row r="110">
          <cell r="C110">
            <v>8220.2199999999993</v>
          </cell>
        </row>
        <row r="111">
          <cell r="C111">
            <v>8069.74</v>
          </cell>
        </row>
        <row r="112">
          <cell r="C112">
            <v>10764.94</v>
          </cell>
        </row>
        <row r="113">
          <cell r="C113">
            <v>11176.45</v>
          </cell>
        </row>
        <row r="114">
          <cell r="C114">
            <v>8692.27</v>
          </cell>
        </row>
        <row r="115">
          <cell r="C115">
            <v>10049.06</v>
          </cell>
        </row>
        <row r="116">
          <cell r="C116">
            <v>7468.81</v>
          </cell>
        </row>
        <row r="117">
          <cell r="C117">
            <v>6944.13</v>
          </cell>
        </row>
        <row r="118">
          <cell r="C118">
            <v>8591.5400000000009</v>
          </cell>
        </row>
        <row r="119">
          <cell r="C119">
            <v>10350.33</v>
          </cell>
        </row>
        <row r="120">
          <cell r="C120">
            <v>9326.31</v>
          </cell>
        </row>
        <row r="121">
          <cell r="C121">
            <v>11986.85</v>
          </cell>
        </row>
        <row r="122">
          <cell r="C122">
            <v>6554.79</v>
          </cell>
        </row>
        <row r="123">
          <cell r="C123">
            <v>7276.89</v>
          </cell>
        </row>
        <row r="124">
          <cell r="C124">
            <v>8715.41</v>
          </cell>
        </row>
        <row r="125">
          <cell r="C125">
            <v>13404.83</v>
          </cell>
        </row>
        <row r="126">
          <cell r="C126">
            <v>9180.7000000000007</v>
          </cell>
        </row>
        <row r="127">
          <cell r="C127">
            <v>9290.24</v>
          </cell>
        </row>
        <row r="128">
          <cell r="C128">
            <v>10983.44</v>
          </cell>
        </row>
        <row r="129">
          <cell r="C129">
            <v>5960.77</v>
          </cell>
        </row>
        <row r="130">
          <cell r="C130">
            <v>6783.59</v>
          </cell>
        </row>
        <row r="131">
          <cell r="C131">
            <v>9459.85</v>
          </cell>
        </row>
        <row r="132">
          <cell r="C132">
            <v>9439.09</v>
          </cell>
        </row>
        <row r="133">
          <cell r="C133">
            <v>8258.57</v>
          </cell>
        </row>
        <row r="134">
          <cell r="C134">
            <v>8706.59</v>
          </cell>
        </row>
        <row r="135">
          <cell r="C135">
            <v>9967.56</v>
          </cell>
        </row>
        <row r="136">
          <cell r="C136">
            <v>6165.59</v>
          </cell>
        </row>
        <row r="137">
          <cell r="C137">
            <v>7011.27</v>
          </cell>
        </row>
        <row r="138">
          <cell r="C138">
            <v>8511.9500000000007</v>
          </cell>
        </row>
        <row r="139">
          <cell r="C139">
            <v>6766.95</v>
          </cell>
        </row>
        <row r="140">
          <cell r="C140">
            <v>10766.93</v>
          </cell>
        </row>
        <row r="141">
          <cell r="C141">
            <v>11085.93</v>
          </cell>
        </row>
        <row r="142">
          <cell r="C142">
            <v>10740.46</v>
          </cell>
        </row>
        <row r="143">
          <cell r="C143">
            <v>5507.69</v>
          </cell>
        </row>
        <row r="144">
          <cell r="C144">
            <v>7497.3</v>
          </cell>
        </row>
        <row r="145">
          <cell r="C145">
            <v>8602.66</v>
          </cell>
        </row>
        <row r="146">
          <cell r="C146">
            <v>6893.72</v>
          </cell>
        </row>
        <row r="147">
          <cell r="C147">
            <v>11466.09</v>
          </cell>
        </row>
        <row r="148">
          <cell r="C148">
            <v>11087.32</v>
          </cell>
        </row>
        <row r="149">
          <cell r="C149">
            <v>9946.9599999999991</v>
          </cell>
        </row>
        <row r="150">
          <cell r="C150">
            <v>5539.16</v>
          </cell>
        </row>
        <row r="151">
          <cell r="C151">
            <v>6388.07</v>
          </cell>
        </row>
        <row r="152">
          <cell r="C152">
            <v>9960.1</v>
          </cell>
        </row>
        <row r="153">
          <cell r="C153">
            <v>10586.23</v>
          </cell>
        </row>
        <row r="154">
          <cell r="C154">
            <v>7851.25</v>
          </cell>
        </row>
        <row r="155">
          <cell r="C155">
            <v>8502.51</v>
          </cell>
        </row>
        <row r="156">
          <cell r="C156">
            <v>13439.5</v>
          </cell>
        </row>
        <row r="157">
          <cell r="C157">
            <v>7085.34</v>
          </cell>
        </row>
        <row r="158">
          <cell r="C158">
            <v>7003.09</v>
          </cell>
        </row>
        <row r="159">
          <cell r="C159">
            <v>8367.66</v>
          </cell>
        </row>
        <row r="160">
          <cell r="C160">
            <v>8390.48</v>
          </cell>
        </row>
        <row r="161">
          <cell r="C161">
            <v>10943.55</v>
          </cell>
        </row>
        <row r="162">
          <cell r="C162">
            <v>9475.9500000000007</v>
          </cell>
        </row>
        <row r="163">
          <cell r="C163">
            <v>11498.68</v>
          </cell>
        </row>
        <row r="164">
          <cell r="C164">
            <v>9369.6</v>
          </cell>
        </row>
        <row r="165">
          <cell r="C165">
            <v>6312.12</v>
          </cell>
        </row>
        <row r="166">
          <cell r="C166">
            <v>7163.08</v>
          </cell>
        </row>
        <row r="167">
          <cell r="C167">
            <v>7870.05</v>
          </cell>
        </row>
        <row r="168">
          <cell r="C168">
            <v>10346.35</v>
          </cell>
        </row>
        <row r="169">
          <cell r="C169">
            <v>8364.58</v>
          </cell>
        </row>
        <row r="170">
          <cell r="C170">
            <v>12152.65</v>
          </cell>
        </row>
        <row r="171">
          <cell r="C171">
            <v>5925.75</v>
          </cell>
        </row>
        <row r="172">
          <cell r="C172">
            <v>6900.65</v>
          </cell>
        </row>
        <row r="173">
          <cell r="C173">
            <v>8566</v>
          </cell>
        </row>
        <row r="174">
          <cell r="C174">
            <v>7623.44</v>
          </cell>
        </row>
        <row r="175">
          <cell r="C175">
            <v>9709.5</v>
          </cell>
        </row>
        <row r="176">
          <cell r="C176">
            <v>8434.43</v>
          </cell>
        </row>
        <row r="177">
          <cell r="C177">
            <v>12235.86</v>
          </cell>
        </row>
        <row r="178">
          <cell r="C178">
            <v>7156.07</v>
          </cell>
        </row>
        <row r="179">
          <cell r="C179">
            <v>7405.56</v>
          </cell>
        </row>
        <row r="180">
          <cell r="C180">
            <v>7468.15</v>
          </cell>
        </row>
        <row r="181">
          <cell r="C181">
            <v>9186.6</v>
          </cell>
        </row>
        <row r="182">
          <cell r="C182">
            <v>12185.16</v>
          </cell>
        </row>
        <row r="183">
          <cell r="C183">
            <v>9300.98</v>
          </cell>
        </row>
        <row r="184">
          <cell r="C184">
            <v>12370.65</v>
          </cell>
        </row>
        <row r="185">
          <cell r="C185">
            <v>8177.27</v>
          </cell>
        </row>
        <row r="186">
          <cell r="C186">
            <v>9814.65</v>
          </cell>
        </row>
        <row r="187">
          <cell r="C187">
            <v>11138.43</v>
          </cell>
        </row>
        <row r="188">
          <cell r="C188">
            <v>10088.68</v>
          </cell>
        </row>
        <row r="189">
          <cell r="C189">
            <v>11817.8</v>
          </cell>
        </row>
        <row r="190">
          <cell r="C190">
            <v>10578.62</v>
          </cell>
        </row>
        <row r="191">
          <cell r="C191">
            <v>14478.3</v>
          </cell>
        </row>
        <row r="192">
          <cell r="C192">
            <v>9047.9500000000007</v>
          </cell>
        </row>
        <row r="193">
          <cell r="C193">
            <v>8404.4699999999993</v>
          </cell>
        </row>
        <row r="194">
          <cell r="C194">
            <v>9210.19</v>
          </cell>
        </row>
        <row r="195">
          <cell r="C195">
            <v>9063.5400000000009</v>
          </cell>
        </row>
        <row r="196">
          <cell r="C196">
            <v>10487.9</v>
          </cell>
        </row>
        <row r="197">
          <cell r="C197">
            <v>8857.83</v>
          </cell>
        </row>
        <row r="198">
          <cell r="C198">
            <v>11550.78</v>
          </cell>
        </row>
        <row r="199">
          <cell r="C199">
            <v>11936.62</v>
          </cell>
        </row>
        <row r="200">
          <cell r="C200">
            <v>7484.65</v>
          </cell>
        </row>
        <row r="201">
          <cell r="C201">
            <v>8300</v>
          </cell>
        </row>
        <row r="202">
          <cell r="C202">
            <v>8000</v>
          </cell>
        </row>
        <row r="203">
          <cell r="C203">
            <v>10382.83</v>
          </cell>
        </row>
        <row r="204">
          <cell r="C204">
            <v>9090.65</v>
          </cell>
        </row>
        <row r="205">
          <cell r="C205">
            <v>12607.97</v>
          </cell>
        </row>
        <row r="206">
          <cell r="C206">
            <v>7589.38</v>
          </cell>
        </row>
        <row r="207">
          <cell r="C207">
            <v>8024</v>
          </cell>
        </row>
        <row r="208">
          <cell r="C208">
            <v>9002.27</v>
          </cell>
        </row>
        <row r="209">
          <cell r="C209">
            <v>9446.86</v>
          </cell>
        </row>
        <row r="210">
          <cell r="C210">
            <v>10813.74</v>
          </cell>
        </row>
        <row r="211">
          <cell r="C211">
            <v>9920</v>
          </cell>
        </row>
        <row r="212">
          <cell r="C212">
            <v>12331.11</v>
          </cell>
        </row>
        <row r="213">
          <cell r="C213">
            <v>7266.58</v>
          </cell>
        </row>
        <row r="214">
          <cell r="C214">
            <v>8191.16</v>
          </cell>
        </row>
        <row r="215">
          <cell r="C215">
            <v>9860.17</v>
          </cell>
        </row>
        <row r="216">
          <cell r="C216">
            <v>9333.16</v>
          </cell>
        </row>
        <row r="217">
          <cell r="C217">
            <v>11505.72</v>
          </cell>
        </row>
        <row r="218">
          <cell r="C218">
            <v>12432</v>
          </cell>
        </row>
        <row r="219">
          <cell r="C219">
            <v>11849.71</v>
          </cell>
        </row>
        <row r="220">
          <cell r="C220">
            <v>8863.84</v>
          </cell>
        </row>
        <row r="221">
          <cell r="C221">
            <v>7752.43</v>
          </cell>
        </row>
        <row r="222">
          <cell r="C222">
            <v>7517.85</v>
          </cell>
        </row>
        <row r="223">
          <cell r="C223">
            <v>9365.09</v>
          </cell>
        </row>
        <row r="224">
          <cell r="C224">
            <v>10920.92</v>
          </cell>
        </row>
        <row r="225">
          <cell r="C225">
            <v>9656.7000000000007</v>
          </cell>
        </row>
        <row r="226">
          <cell r="C226">
            <v>11808.19</v>
          </cell>
        </row>
        <row r="227">
          <cell r="C227">
            <v>8477.61</v>
          </cell>
        </row>
        <row r="228">
          <cell r="C228">
            <v>7552.94</v>
          </cell>
        </row>
        <row r="229">
          <cell r="C229">
            <v>8119.74</v>
          </cell>
        </row>
        <row r="230">
          <cell r="C230">
            <v>9680.0499999999993</v>
          </cell>
        </row>
        <row r="231">
          <cell r="C231">
            <v>10209.08</v>
          </cell>
        </row>
        <row r="232">
          <cell r="C232">
            <v>9395.2999999999993</v>
          </cell>
        </row>
        <row r="233">
          <cell r="C233">
            <v>13326.12</v>
          </cell>
        </row>
        <row r="234">
          <cell r="C234">
            <v>8663.84</v>
          </cell>
        </row>
        <row r="235">
          <cell r="C235">
            <v>7990.11</v>
          </cell>
        </row>
        <row r="236">
          <cell r="C236">
            <v>8626.58</v>
          </cell>
        </row>
        <row r="237">
          <cell r="C237">
            <v>7919.37</v>
          </cell>
        </row>
        <row r="238">
          <cell r="C238">
            <v>11958.73</v>
          </cell>
        </row>
        <row r="239">
          <cell r="C239">
            <v>9864.0499999999993</v>
          </cell>
        </row>
        <row r="240">
          <cell r="C240">
            <v>12088.24</v>
          </cell>
        </row>
        <row r="241">
          <cell r="C241">
            <v>7770.66</v>
          </cell>
        </row>
        <row r="242">
          <cell r="C242">
            <v>8230.9</v>
          </cell>
        </row>
        <row r="243">
          <cell r="C243">
            <v>9408.73</v>
          </cell>
        </row>
        <row r="244">
          <cell r="C244">
            <v>8933.32</v>
          </cell>
        </row>
        <row r="245">
          <cell r="C245">
            <v>11758.49</v>
          </cell>
        </row>
        <row r="246">
          <cell r="C246">
            <v>9719.17</v>
          </cell>
        </row>
        <row r="247">
          <cell r="C247">
            <v>11581.5</v>
          </cell>
        </row>
        <row r="248">
          <cell r="C248">
            <v>7502.27</v>
          </cell>
        </row>
        <row r="249">
          <cell r="C249">
            <v>6333.22</v>
          </cell>
        </row>
        <row r="250">
          <cell r="C250">
            <v>8474.23</v>
          </cell>
        </row>
        <row r="251">
          <cell r="C251">
            <v>5609.53</v>
          </cell>
        </row>
        <row r="252">
          <cell r="C252">
            <v>13020.246999999999</v>
          </cell>
        </row>
        <row r="253">
          <cell r="C253">
            <v>10602</v>
          </cell>
        </row>
        <row r="254">
          <cell r="C254">
            <v>13711.61</v>
          </cell>
        </row>
        <row r="255">
          <cell r="C255">
            <v>6943.2</v>
          </cell>
        </row>
        <row r="256">
          <cell r="C256">
            <v>7092.15</v>
          </cell>
        </row>
        <row r="257">
          <cell r="C257">
            <v>8801.1</v>
          </cell>
        </row>
        <row r="258">
          <cell r="C258">
            <v>7479.73</v>
          </cell>
        </row>
        <row r="259">
          <cell r="C259">
            <v>11499.81</v>
          </cell>
        </row>
        <row r="260">
          <cell r="C260">
            <v>10326.69</v>
          </cell>
        </row>
        <row r="261">
          <cell r="C261">
            <v>11349.11</v>
          </cell>
        </row>
        <row r="262">
          <cell r="C262">
            <v>5632.62</v>
          </cell>
        </row>
        <row r="263">
          <cell r="C263">
            <v>6266.62</v>
          </cell>
        </row>
        <row r="264">
          <cell r="C264">
            <v>8274.0400000000009</v>
          </cell>
        </row>
        <row r="265">
          <cell r="C265">
            <v>6509.66</v>
          </cell>
        </row>
        <row r="266">
          <cell r="C266">
            <v>10349.49</v>
          </cell>
        </row>
        <row r="267">
          <cell r="C267">
            <v>9590.17</v>
          </cell>
        </row>
        <row r="268">
          <cell r="C268">
            <v>11133.57</v>
          </cell>
        </row>
        <row r="269">
          <cell r="C269">
            <v>4480.62</v>
          </cell>
        </row>
        <row r="270">
          <cell r="C270">
            <v>5933.73</v>
          </cell>
        </row>
        <row r="271">
          <cell r="C271">
            <v>7862.25</v>
          </cell>
        </row>
        <row r="272">
          <cell r="C272">
            <v>7401.72</v>
          </cell>
        </row>
        <row r="273">
          <cell r="C273">
            <v>10891.3</v>
          </cell>
        </row>
        <row r="274">
          <cell r="C274">
            <v>10380.049999999999</v>
          </cell>
        </row>
        <row r="275">
          <cell r="C275">
            <v>10982.48</v>
          </cell>
        </row>
        <row r="276">
          <cell r="C276">
            <v>6690.02</v>
          </cell>
        </row>
        <row r="277">
          <cell r="C277">
            <v>6628.06</v>
          </cell>
        </row>
        <row r="278">
          <cell r="C278">
            <v>8890.27</v>
          </cell>
        </row>
        <row r="279">
          <cell r="C279">
            <v>8112.33</v>
          </cell>
        </row>
        <row r="280">
          <cell r="C280">
            <v>10926.12</v>
          </cell>
        </row>
        <row r="281">
          <cell r="C281">
            <v>10347.17</v>
          </cell>
        </row>
        <row r="282">
          <cell r="C282">
            <v>12340.7</v>
          </cell>
        </row>
        <row r="283">
          <cell r="C283">
            <v>6036.63</v>
          </cell>
        </row>
        <row r="284">
          <cell r="C284">
            <v>7086.87</v>
          </cell>
        </row>
        <row r="285">
          <cell r="C285">
            <v>8502.7199999999993</v>
          </cell>
        </row>
        <row r="286">
          <cell r="C286">
            <v>8113.17</v>
          </cell>
        </row>
        <row r="287">
          <cell r="C287">
            <v>12086.03</v>
          </cell>
        </row>
        <row r="288">
          <cell r="C288">
            <v>11788.03</v>
          </cell>
        </row>
        <row r="289">
          <cell r="C289">
            <v>12117.86</v>
          </cell>
        </row>
        <row r="290">
          <cell r="C290">
            <v>6040.66</v>
          </cell>
        </row>
        <row r="291">
          <cell r="C291">
            <v>6855.31</v>
          </cell>
        </row>
        <row r="292">
          <cell r="C292">
            <v>8434.2199999999993</v>
          </cell>
        </row>
        <row r="293">
          <cell r="C293">
            <v>7164.62</v>
          </cell>
        </row>
        <row r="294">
          <cell r="C294">
            <v>11929.16</v>
          </cell>
        </row>
        <row r="295">
          <cell r="C295">
            <v>10246.02</v>
          </cell>
        </row>
        <row r="296">
          <cell r="C296">
            <v>11088.78</v>
          </cell>
        </row>
        <row r="297">
          <cell r="C297">
            <v>6390.98</v>
          </cell>
        </row>
        <row r="298">
          <cell r="C298">
            <v>6363.71</v>
          </cell>
        </row>
        <row r="299">
          <cell r="C299">
            <v>7990.42</v>
          </cell>
        </row>
        <row r="300">
          <cell r="C300">
            <v>8234.93</v>
          </cell>
        </row>
        <row r="301">
          <cell r="C301">
            <v>10761.41</v>
          </cell>
        </row>
        <row r="302">
          <cell r="C302">
            <v>8249.5300000000007</v>
          </cell>
        </row>
        <row r="303">
          <cell r="C303">
            <v>9840.5300000000007</v>
          </cell>
        </row>
        <row r="304">
          <cell r="C304">
            <v>7544.94</v>
          </cell>
        </row>
        <row r="305">
          <cell r="C305">
            <v>7109.58</v>
          </cell>
        </row>
        <row r="306">
          <cell r="C306">
            <v>7898.21</v>
          </cell>
        </row>
        <row r="307">
          <cell r="C307">
            <v>8396.3700000000008</v>
          </cell>
        </row>
        <row r="308">
          <cell r="C308">
            <v>12018.87</v>
          </cell>
        </row>
        <row r="309">
          <cell r="C309">
            <v>11780.51</v>
          </cell>
        </row>
        <row r="310">
          <cell r="C310">
            <v>10468.68</v>
          </cell>
        </row>
        <row r="311">
          <cell r="C311">
            <v>5258.04</v>
          </cell>
        </row>
        <row r="312">
          <cell r="C312">
            <v>5832.76</v>
          </cell>
        </row>
        <row r="313">
          <cell r="C313">
            <v>9204.1299999999992</v>
          </cell>
        </row>
        <row r="314">
          <cell r="C314">
            <v>8095.99</v>
          </cell>
        </row>
        <row r="315">
          <cell r="C315">
            <v>11821.16</v>
          </cell>
        </row>
        <row r="316">
          <cell r="C316">
            <v>10957.97</v>
          </cell>
        </row>
        <row r="317">
          <cell r="C317">
            <v>9749.9699999999993</v>
          </cell>
        </row>
        <row r="318">
          <cell r="C318">
            <v>8112.18</v>
          </cell>
        </row>
        <row r="319">
          <cell r="C319">
            <v>9420.31</v>
          </cell>
        </row>
        <row r="320">
          <cell r="C320">
            <v>6624.78</v>
          </cell>
        </row>
        <row r="321">
          <cell r="C321">
            <v>5777.91</v>
          </cell>
        </row>
        <row r="322">
          <cell r="C322">
            <v>9613.2000000000007</v>
          </cell>
        </row>
        <row r="323">
          <cell r="C323">
            <v>9980.32</v>
          </cell>
        </row>
        <row r="324">
          <cell r="C324">
            <v>10150.719999999999</v>
          </cell>
        </row>
        <row r="325">
          <cell r="C325">
            <v>5799.92</v>
          </cell>
        </row>
        <row r="326">
          <cell r="C326">
            <v>5976.2</v>
          </cell>
        </row>
        <row r="327">
          <cell r="C327">
            <v>7164.73</v>
          </cell>
        </row>
        <row r="328">
          <cell r="C328">
            <v>6078.49</v>
          </cell>
        </row>
        <row r="329">
          <cell r="C329">
            <v>9084.66</v>
          </cell>
        </row>
        <row r="330">
          <cell r="C330">
            <v>10708.47</v>
          </cell>
        </row>
        <row r="331">
          <cell r="C331">
            <v>9605.52</v>
          </cell>
        </row>
        <row r="332">
          <cell r="C332">
            <v>5282.57</v>
          </cell>
        </row>
        <row r="333">
          <cell r="C333">
            <v>6610.75</v>
          </cell>
        </row>
        <row r="334">
          <cell r="C334">
            <v>8701.98</v>
          </cell>
        </row>
        <row r="335">
          <cell r="C335">
            <v>7160.34</v>
          </cell>
        </row>
        <row r="336">
          <cell r="C336">
            <v>12677.56</v>
          </cell>
        </row>
        <row r="337">
          <cell r="C337">
            <v>12822.23</v>
          </cell>
        </row>
        <row r="338">
          <cell r="C338">
            <v>8730.9</v>
          </cell>
        </row>
        <row r="339">
          <cell r="C339">
            <v>4987.0600000000004</v>
          </cell>
        </row>
        <row r="340">
          <cell r="C340">
            <v>5861.75</v>
          </cell>
        </row>
        <row r="341">
          <cell r="C341">
            <v>8323.0300000000007</v>
          </cell>
        </row>
        <row r="342">
          <cell r="C342">
            <v>8631.2999999999993</v>
          </cell>
        </row>
        <row r="343">
          <cell r="C343">
            <v>11493.04</v>
          </cell>
        </row>
        <row r="344">
          <cell r="C344">
            <v>11907.53</v>
          </cell>
        </row>
        <row r="345">
          <cell r="C345">
            <v>10529.37</v>
          </cell>
        </row>
        <row r="346">
          <cell r="C346">
            <v>5809.61</v>
          </cell>
        </row>
        <row r="347">
          <cell r="C347">
            <v>7247.84</v>
          </cell>
        </row>
        <row r="348">
          <cell r="C348">
            <v>9340.7199999999993</v>
          </cell>
        </row>
        <row r="349">
          <cell r="C349">
            <v>7939.95</v>
          </cell>
        </row>
        <row r="350">
          <cell r="C350">
            <v>12587.38</v>
          </cell>
        </row>
        <row r="351">
          <cell r="C351">
            <v>11521.78</v>
          </cell>
        </row>
        <row r="352">
          <cell r="C352">
            <v>12398.72</v>
          </cell>
        </row>
        <row r="353">
          <cell r="C353">
            <v>6112.64</v>
          </cell>
        </row>
        <row r="354">
          <cell r="C354">
            <v>7063.55</v>
          </cell>
        </row>
        <row r="355">
          <cell r="C355">
            <v>10267.370000000001</v>
          </cell>
        </row>
        <row r="356">
          <cell r="C356">
            <v>7273.93</v>
          </cell>
        </row>
        <row r="357">
          <cell r="C357">
            <v>12888.75</v>
          </cell>
        </row>
        <row r="358">
          <cell r="C358">
            <v>11823.28</v>
          </cell>
        </row>
        <row r="359">
          <cell r="C359">
            <v>10625.01</v>
          </cell>
        </row>
        <row r="360">
          <cell r="C360">
            <v>8460</v>
          </cell>
        </row>
        <row r="361">
          <cell r="C361">
            <v>8103.76</v>
          </cell>
        </row>
        <row r="362">
          <cell r="C362">
            <v>3935.29</v>
          </cell>
        </row>
        <row r="363">
          <cell r="C363">
            <v>0</v>
          </cell>
        </row>
        <row r="364">
          <cell r="C364">
            <v>11061.4</v>
          </cell>
        </row>
        <row r="365">
          <cell r="C365">
            <v>11630.3</v>
          </cell>
        </row>
        <row r="366">
          <cell r="C366">
            <v>11585.03</v>
          </cell>
        </row>
        <row r="367">
          <cell r="C367">
            <v>8797.7000000000007</v>
          </cell>
        </row>
        <row r="368">
          <cell r="C368">
            <v>9487.5499999999993</v>
          </cell>
        </row>
        <row r="369">
          <cell r="C369">
            <v>0</v>
          </cell>
        </row>
        <row r="370">
          <cell r="C370">
            <v>0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E6">
            <v>449</v>
          </cell>
          <cell r="F6">
            <v>16300</v>
          </cell>
          <cell r="G6">
            <v>16210.24</v>
          </cell>
          <cell r="H6">
            <v>16127.02</v>
          </cell>
          <cell r="I6">
            <v>706</v>
          </cell>
          <cell r="J6">
            <v>115.22</v>
          </cell>
          <cell r="K6">
            <v>132.43</v>
          </cell>
          <cell r="L6">
            <v>34.549999999999997</v>
          </cell>
        </row>
        <row r="7">
          <cell r="C7">
            <v>11435.78</v>
          </cell>
          <cell r="D7">
            <v>11271.96</v>
          </cell>
          <cell r="E7">
            <v>542</v>
          </cell>
          <cell r="F7">
            <v>11400</v>
          </cell>
          <cell r="G7">
            <v>14022.72</v>
          </cell>
          <cell r="H7">
            <v>13890.71</v>
          </cell>
          <cell r="I7">
            <v>602</v>
          </cell>
          <cell r="J7">
            <v>104.51</v>
          </cell>
          <cell r="K7">
            <v>113.04</v>
          </cell>
          <cell r="L7">
            <v>30.06</v>
          </cell>
        </row>
        <row r="8">
          <cell r="C8">
            <v>12307.55</v>
          </cell>
          <cell r="D8">
            <v>12088.62</v>
          </cell>
          <cell r="E8">
            <v>531</v>
          </cell>
          <cell r="F8">
            <v>12200</v>
          </cell>
          <cell r="G8">
            <v>12303.98</v>
          </cell>
          <cell r="H8">
            <v>12176.63</v>
          </cell>
          <cell r="I8">
            <v>504</v>
          </cell>
          <cell r="J8">
            <v>103.48</v>
          </cell>
          <cell r="K8">
            <v>111.53</v>
          </cell>
          <cell r="L8">
            <v>19.38</v>
          </cell>
        </row>
        <row r="9">
          <cell r="C9">
            <v>9879.16</v>
          </cell>
          <cell r="D9">
            <v>9740.11</v>
          </cell>
          <cell r="E9">
            <v>433</v>
          </cell>
          <cell r="F9">
            <v>9800</v>
          </cell>
          <cell r="G9">
            <v>9984.2199999999993</v>
          </cell>
          <cell r="H9">
            <v>9921.1200000000008</v>
          </cell>
          <cell r="I9">
            <v>432</v>
          </cell>
          <cell r="J9">
            <v>111.21</v>
          </cell>
          <cell r="K9">
            <v>119.22</v>
          </cell>
          <cell r="L9">
            <v>21.75</v>
          </cell>
        </row>
        <row r="10">
          <cell r="C10">
            <v>5302.21</v>
          </cell>
          <cell r="D10">
            <v>5232.0200000000004</v>
          </cell>
          <cell r="E10">
            <v>306</v>
          </cell>
          <cell r="F10">
            <v>5300</v>
          </cell>
          <cell r="G10">
            <v>5993.22</v>
          </cell>
          <cell r="H10">
            <v>5955.46</v>
          </cell>
          <cell r="I10">
            <v>320</v>
          </cell>
          <cell r="J10">
            <v>71.739999999999995</v>
          </cell>
          <cell r="K10">
            <v>88.5</v>
          </cell>
          <cell r="L10">
            <v>29.24</v>
          </cell>
        </row>
        <row r="11">
          <cell r="C11">
            <v>6769.74</v>
          </cell>
          <cell r="D11">
            <v>6707.3</v>
          </cell>
          <cell r="E11">
            <v>350</v>
          </cell>
          <cell r="F11">
            <v>6800</v>
          </cell>
          <cell r="G11">
            <v>5952.81</v>
          </cell>
          <cell r="H11">
            <v>5918.98</v>
          </cell>
          <cell r="I11">
            <v>303</v>
          </cell>
          <cell r="J11">
            <v>73.680000000000007</v>
          </cell>
          <cell r="K11">
            <v>90.19</v>
          </cell>
          <cell r="L11">
            <v>13.78</v>
          </cell>
        </row>
        <row r="12">
          <cell r="C12">
            <v>8281.4500000000007</v>
          </cell>
          <cell r="D12">
            <v>8160.18</v>
          </cell>
          <cell r="E12">
            <v>434</v>
          </cell>
          <cell r="F12">
            <v>8200</v>
          </cell>
          <cell r="G12">
            <v>7748.91</v>
          </cell>
          <cell r="H12">
            <v>7693.02</v>
          </cell>
          <cell r="I12">
            <v>429</v>
          </cell>
          <cell r="J12">
            <v>83.11</v>
          </cell>
          <cell r="K12">
            <v>100.52</v>
          </cell>
          <cell r="L12">
            <v>31.82</v>
          </cell>
        </row>
        <row r="13">
          <cell r="C13">
            <v>6429.94</v>
          </cell>
          <cell r="D13">
            <v>6385.47</v>
          </cell>
          <cell r="E13">
            <v>336</v>
          </cell>
          <cell r="F13">
            <v>6400</v>
          </cell>
          <cell r="G13">
            <v>5521.53</v>
          </cell>
          <cell r="H13">
            <v>5494.23</v>
          </cell>
          <cell r="I13">
            <v>301</v>
          </cell>
          <cell r="J13">
            <v>68.599999999999994</v>
          </cell>
          <cell r="K13">
            <v>76.069999999999993</v>
          </cell>
          <cell r="L13">
            <v>35.4</v>
          </cell>
        </row>
        <row r="14">
          <cell r="C14">
            <v>10864.07</v>
          </cell>
          <cell r="D14">
            <v>10783.67</v>
          </cell>
          <cell r="E14">
            <v>550</v>
          </cell>
          <cell r="F14">
            <v>10900</v>
          </cell>
          <cell r="G14">
            <v>11012.5</v>
          </cell>
          <cell r="H14">
            <v>10944.87</v>
          </cell>
          <cell r="I14">
            <v>529</v>
          </cell>
          <cell r="J14">
            <v>104.4</v>
          </cell>
          <cell r="K14">
            <v>120.43</v>
          </cell>
          <cell r="L14">
            <v>23.4</v>
          </cell>
        </row>
        <row r="15">
          <cell r="C15">
            <v>11945.13</v>
          </cell>
          <cell r="D15">
            <v>11822.35</v>
          </cell>
          <cell r="E15">
            <v>566</v>
          </cell>
          <cell r="F15">
            <v>11900</v>
          </cell>
          <cell r="G15">
            <v>12010.72</v>
          </cell>
          <cell r="H15">
            <v>11925.46</v>
          </cell>
          <cell r="I15">
            <v>525</v>
          </cell>
          <cell r="J15">
            <v>113.05</v>
          </cell>
          <cell r="K15">
            <v>121.37</v>
          </cell>
          <cell r="L15">
            <v>25.87</v>
          </cell>
        </row>
        <row r="16">
          <cell r="C16">
            <v>10635.44</v>
          </cell>
          <cell r="D16">
            <v>10567.14</v>
          </cell>
          <cell r="E16">
            <v>496</v>
          </cell>
          <cell r="F16">
            <v>10700</v>
          </cell>
          <cell r="G16">
            <v>10141.23</v>
          </cell>
          <cell r="H16">
            <v>10057.25</v>
          </cell>
          <cell r="I16">
            <v>436</v>
          </cell>
          <cell r="J16">
            <v>103.8</v>
          </cell>
          <cell r="K16">
            <v>112.05</v>
          </cell>
          <cell r="L16">
            <v>65.069999999999993</v>
          </cell>
        </row>
        <row r="17">
          <cell r="C17">
            <v>6029.71</v>
          </cell>
          <cell r="D17">
            <v>5989.37</v>
          </cell>
          <cell r="E17">
            <v>342</v>
          </cell>
          <cell r="F17">
            <v>6000</v>
          </cell>
          <cell r="G17">
            <v>5523.31</v>
          </cell>
          <cell r="H17">
            <v>5492.78</v>
          </cell>
          <cell r="I17">
            <v>300</v>
          </cell>
          <cell r="J17">
            <v>68.92</v>
          </cell>
          <cell r="K17">
            <v>78.19</v>
          </cell>
          <cell r="L17">
            <v>53.14</v>
          </cell>
        </row>
        <row r="18">
          <cell r="C18">
            <v>6169.68</v>
          </cell>
          <cell r="D18">
            <v>6126.71</v>
          </cell>
          <cell r="E18">
            <v>348</v>
          </cell>
          <cell r="F18">
            <v>6200</v>
          </cell>
          <cell r="G18">
            <v>7211.01</v>
          </cell>
          <cell r="H18">
            <v>7167.45</v>
          </cell>
          <cell r="I18">
            <v>337</v>
          </cell>
          <cell r="J18">
            <v>76.81</v>
          </cell>
          <cell r="K18">
            <v>93.46</v>
          </cell>
          <cell r="L18">
            <v>48.36</v>
          </cell>
        </row>
        <row r="19">
          <cell r="C19">
            <v>8195.2999999999993</v>
          </cell>
          <cell r="D19">
            <v>8112.69</v>
          </cell>
          <cell r="E19">
            <v>435</v>
          </cell>
          <cell r="F19">
            <v>8200</v>
          </cell>
          <cell r="G19">
            <v>7437.99</v>
          </cell>
          <cell r="H19">
            <v>7367.69</v>
          </cell>
          <cell r="I19">
            <v>380</v>
          </cell>
          <cell r="J19">
            <v>75.069999999999993</v>
          </cell>
          <cell r="K19">
            <v>83.53</v>
          </cell>
          <cell r="L19">
            <v>12.83</v>
          </cell>
        </row>
        <row r="20">
          <cell r="C20">
            <v>7224.17</v>
          </cell>
          <cell r="D20">
            <v>7185.79</v>
          </cell>
          <cell r="E20">
            <v>408</v>
          </cell>
          <cell r="F20">
            <v>7300</v>
          </cell>
          <cell r="G20">
            <v>7450.57</v>
          </cell>
          <cell r="H20">
            <v>7400.46</v>
          </cell>
          <cell r="I20">
            <v>384</v>
          </cell>
          <cell r="J20">
            <v>71.22</v>
          </cell>
          <cell r="K20">
            <v>88.39</v>
          </cell>
          <cell r="L20">
            <v>27.15</v>
          </cell>
        </row>
        <row r="21">
          <cell r="C21">
            <v>10323.469999999999</v>
          </cell>
          <cell r="D21">
            <v>10242.83</v>
          </cell>
          <cell r="E21">
            <v>568</v>
          </cell>
          <cell r="F21">
            <v>10300</v>
          </cell>
          <cell r="G21">
            <v>12146.8</v>
          </cell>
          <cell r="H21">
            <v>12082.4</v>
          </cell>
          <cell r="I21">
            <v>584</v>
          </cell>
          <cell r="J21">
            <v>122.55</v>
          </cell>
          <cell r="K21">
            <v>131.57</v>
          </cell>
          <cell r="L21">
            <v>28.08</v>
          </cell>
        </row>
        <row r="22">
          <cell r="C22">
            <v>12320.46</v>
          </cell>
          <cell r="D22">
            <v>12190.96</v>
          </cell>
          <cell r="E22">
            <v>572</v>
          </cell>
          <cell r="F22">
            <v>12300</v>
          </cell>
          <cell r="G22">
            <v>11842.37</v>
          </cell>
          <cell r="H22">
            <v>11750.58</v>
          </cell>
          <cell r="I22">
            <v>562</v>
          </cell>
          <cell r="J22">
            <v>127.01</v>
          </cell>
          <cell r="K22">
            <v>143.27000000000001</v>
          </cell>
          <cell r="L22">
            <v>39.64</v>
          </cell>
        </row>
        <row r="23">
          <cell r="C23">
            <v>11132.38</v>
          </cell>
          <cell r="D23">
            <v>11040.09</v>
          </cell>
          <cell r="E23">
            <v>513</v>
          </cell>
          <cell r="F23">
            <v>11100</v>
          </cell>
          <cell r="G23">
            <v>10991.71</v>
          </cell>
          <cell r="H23">
            <v>10905.8</v>
          </cell>
          <cell r="I23">
            <v>500</v>
          </cell>
          <cell r="J23">
            <v>105.08</v>
          </cell>
          <cell r="K23">
            <v>121.34</v>
          </cell>
          <cell r="L23">
            <v>22.37</v>
          </cell>
        </row>
        <row r="24">
          <cell r="C24">
            <v>5789.86</v>
          </cell>
          <cell r="D24">
            <v>5763.24</v>
          </cell>
          <cell r="E24">
            <v>321</v>
          </cell>
          <cell r="F24">
            <v>5800</v>
          </cell>
          <cell r="G24">
            <v>5808.23</v>
          </cell>
          <cell r="H24">
            <v>5776.33</v>
          </cell>
          <cell r="I24">
            <v>341</v>
          </cell>
          <cell r="J24">
            <v>80.44</v>
          </cell>
          <cell r="K24">
            <v>89.03</v>
          </cell>
          <cell r="L24">
            <v>39.24</v>
          </cell>
        </row>
        <row r="25">
          <cell r="C25">
            <v>5843.16</v>
          </cell>
          <cell r="D25">
            <v>5704.15</v>
          </cell>
          <cell r="E25">
            <v>311</v>
          </cell>
          <cell r="F25">
            <v>6000</v>
          </cell>
          <cell r="G25">
            <v>5782.99</v>
          </cell>
          <cell r="H25">
            <v>5730.4</v>
          </cell>
          <cell r="I25">
            <v>320</v>
          </cell>
          <cell r="J25">
            <v>79.97</v>
          </cell>
          <cell r="K25">
            <v>88.48</v>
          </cell>
          <cell r="L25">
            <v>25.6</v>
          </cell>
        </row>
        <row r="26">
          <cell r="C26">
            <v>7717.26</v>
          </cell>
          <cell r="D26">
            <v>7454.77</v>
          </cell>
          <cell r="E26">
            <v>401</v>
          </cell>
          <cell r="F26">
            <v>7500</v>
          </cell>
          <cell r="G26">
            <v>8066.29</v>
          </cell>
          <cell r="H26">
            <v>8001.22</v>
          </cell>
          <cell r="I26">
            <v>412</v>
          </cell>
          <cell r="J26">
            <v>71.42</v>
          </cell>
          <cell r="K26">
            <v>89.33</v>
          </cell>
          <cell r="L26">
            <v>32.15</v>
          </cell>
        </row>
        <row r="27">
          <cell r="C27">
            <v>6640.46</v>
          </cell>
          <cell r="D27">
            <v>6612.5</v>
          </cell>
          <cell r="E27">
            <v>389</v>
          </cell>
          <cell r="F27">
            <v>6700</v>
          </cell>
          <cell r="G27">
            <v>6823.99</v>
          </cell>
          <cell r="H27">
            <v>6786.92</v>
          </cell>
          <cell r="I27">
            <v>359</v>
          </cell>
          <cell r="J27">
            <v>79.44</v>
          </cell>
          <cell r="K27">
            <v>95.12</v>
          </cell>
          <cell r="L27">
            <v>30.32</v>
          </cell>
        </row>
        <row r="28">
          <cell r="C28">
            <v>11496.11</v>
          </cell>
          <cell r="D28">
            <v>11421.88</v>
          </cell>
          <cell r="E28">
            <v>589</v>
          </cell>
          <cell r="F28">
            <v>11500</v>
          </cell>
          <cell r="G28">
            <v>10433.33</v>
          </cell>
          <cell r="H28">
            <v>10363.74</v>
          </cell>
          <cell r="I28">
            <v>480</v>
          </cell>
          <cell r="J28">
            <v>127.41</v>
          </cell>
          <cell r="K28">
            <v>142.69</v>
          </cell>
          <cell r="L28">
            <v>18.559999999999999</v>
          </cell>
        </row>
        <row r="29">
          <cell r="C29">
            <v>14702.26</v>
          </cell>
          <cell r="D29">
            <v>14576.02</v>
          </cell>
          <cell r="E29">
            <v>703</v>
          </cell>
          <cell r="F29">
            <v>14700</v>
          </cell>
          <cell r="G29">
            <v>14584</v>
          </cell>
          <cell r="H29">
            <v>14477.94</v>
          </cell>
          <cell r="I29">
            <v>643</v>
          </cell>
          <cell r="J29">
            <v>124.09</v>
          </cell>
          <cell r="K29">
            <v>139.78</v>
          </cell>
          <cell r="L29">
            <v>29.03</v>
          </cell>
        </row>
        <row r="30">
          <cell r="C30">
            <v>11386.37</v>
          </cell>
          <cell r="D30">
            <v>10990</v>
          </cell>
          <cell r="E30">
            <v>522</v>
          </cell>
          <cell r="F30">
            <v>11100</v>
          </cell>
          <cell r="G30">
            <v>9721.49</v>
          </cell>
          <cell r="H30">
            <v>9657.73</v>
          </cell>
          <cell r="I30">
            <v>441</v>
          </cell>
          <cell r="J30">
            <v>114.42</v>
          </cell>
          <cell r="K30">
            <v>129.74</v>
          </cell>
          <cell r="L30">
            <v>12.02</v>
          </cell>
        </row>
        <row r="31">
          <cell r="C31">
            <v>5463.7</v>
          </cell>
          <cell r="D31">
            <v>5437.68</v>
          </cell>
          <cell r="E31">
            <v>313</v>
          </cell>
          <cell r="F31">
            <v>5500</v>
          </cell>
          <cell r="G31">
            <v>5584.21</v>
          </cell>
          <cell r="H31">
            <v>5556.91</v>
          </cell>
          <cell r="I31">
            <v>292</v>
          </cell>
          <cell r="J31">
            <v>69.67</v>
          </cell>
          <cell r="K31">
            <v>86.03</v>
          </cell>
          <cell r="L31">
            <v>23.07</v>
          </cell>
        </row>
        <row r="32">
          <cell r="C32">
            <v>6025.45</v>
          </cell>
          <cell r="D32">
            <v>5989.03</v>
          </cell>
          <cell r="E32">
            <v>339</v>
          </cell>
          <cell r="F32">
            <v>6000</v>
          </cell>
          <cell r="G32">
            <v>5689.15</v>
          </cell>
          <cell r="H32">
            <v>5663.12</v>
          </cell>
          <cell r="I32">
            <v>304</v>
          </cell>
          <cell r="J32">
            <v>75.819999999999993</v>
          </cell>
          <cell r="K32">
            <v>84.33</v>
          </cell>
          <cell r="L32">
            <v>32.409999999999997</v>
          </cell>
        </row>
        <row r="33">
          <cell r="C33">
            <v>7717.07</v>
          </cell>
          <cell r="D33">
            <v>7643.56</v>
          </cell>
          <cell r="E33">
            <v>420</v>
          </cell>
          <cell r="F33">
            <v>7700</v>
          </cell>
          <cell r="G33">
            <v>7925.24</v>
          </cell>
          <cell r="H33">
            <v>7858.8</v>
          </cell>
          <cell r="I33">
            <v>394</v>
          </cell>
          <cell r="J33">
            <v>79.31</v>
          </cell>
          <cell r="K33">
            <v>88.53</v>
          </cell>
          <cell r="L33">
            <v>25.46</v>
          </cell>
        </row>
        <row r="34">
          <cell r="C34">
            <v>6808.7</v>
          </cell>
          <cell r="D34">
            <v>6573.58</v>
          </cell>
          <cell r="E34">
            <v>376</v>
          </cell>
          <cell r="F34">
            <v>6600</v>
          </cell>
          <cell r="G34">
            <v>6686.6</v>
          </cell>
          <cell r="H34">
            <v>6657.34</v>
          </cell>
          <cell r="I34">
            <v>334</v>
          </cell>
          <cell r="J34">
            <v>68.709999999999994</v>
          </cell>
          <cell r="K34">
            <v>83.41</v>
          </cell>
          <cell r="L34">
            <v>22.09</v>
          </cell>
        </row>
        <row r="35">
          <cell r="C35">
            <v>11683.98</v>
          </cell>
          <cell r="D35">
            <v>11413.74</v>
          </cell>
          <cell r="E35">
            <v>589</v>
          </cell>
          <cell r="F35">
            <v>11500</v>
          </cell>
          <cell r="G35">
            <v>12213.52</v>
          </cell>
          <cell r="H35">
            <v>12129.56</v>
          </cell>
          <cell r="I35">
            <v>579</v>
          </cell>
          <cell r="J35">
            <v>115.82</v>
          </cell>
          <cell r="K35">
            <v>132.38</v>
          </cell>
          <cell r="L35">
            <v>25.96</v>
          </cell>
        </row>
        <row r="36">
          <cell r="C36">
            <v>17098.43</v>
          </cell>
          <cell r="D36">
            <v>16961.29</v>
          </cell>
          <cell r="E36">
            <v>873</v>
          </cell>
          <cell r="F36">
            <v>17100</v>
          </cell>
          <cell r="G36">
            <v>16216.42</v>
          </cell>
          <cell r="H36">
            <v>16097.97</v>
          </cell>
          <cell r="I36">
            <v>763</v>
          </cell>
          <cell r="J36">
            <v>141.07</v>
          </cell>
          <cell r="K36">
            <v>158.15</v>
          </cell>
          <cell r="L36">
            <v>21.13</v>
          </cell>
        </row>
        <row r="37">
          <cell r="C37">
            <v>10544.19</v>
          </cell>
          <cell r="D37">
            <v>10464.24</v>
          </cell>
          <cell r="E37">
            <v>510</v>
          </cell>
          <cell r="F37">
            <v>10600</v>
          </cell>
          <cell r="G37">
            <v>10878.2</v>
          </cell>
          <cell r="H37">
            <v>10792.98</v>
          </cell>
          <cell r="I37">
            <v>454</v>
          </cell>
          <cell r="J37">
            <v>109.63</v>
          </cell>
          <cell r="K37">
            <v>117.08</v>
          </cell>
          <cell r="L37">
            <v>25.39</v>
          </cell>
        </row>
        <row r="38">
          <cell r="C38">
            <v>6278.28</v>
          </cell>
          <cell r="D38">
            <v>6250.96</v>
          </cell>
          <cell r="E38">
            <v>338</v>
          </cell>
          <cell r="F38">
            <v>6300</v>
          </cell>
          <cell r="G38">
            <v>6599.28</v>
          </cell>
          <cell r="H38">
            <v>6557.62</v>
          </cell>
          <cell r="I38">
            <v>347</v>
          </cell>
          <cell r="J38">
            <v>64.48</v>
          </cell>
          <cell r="K38">
            <v>81.09</v>
          </cell>
          <cell r="L38">
            <v>37.07</v>
          </cell>
        </row>
        <row r="39">
          <cell r="C39">
            <v>7074.4</v>
          </cell>
          <cell r="D39">
            <v>7026.23</v>
          </cell>
          <cell r="E39">
            <v>390</v>
          </cell>
          <cell r="F39">
            <v>7100</v>
          </cell>
          <cell r="G39">
            <v>5679.84</v>
          </cell>
          <cell r="H39">
            <v>5647.3</v>
          </cell>
          <cell r="I39">
            <v>311</v>
          </cell>
          <cell r="J39">
            <v>71.59</v>
          </cell>
          <cell r="K39">
            <v>88.31</v>
          </cell>
          <cell r="L39">
            <v>23.18</v>
          </cell>
        </row>
        <row r="40">
          <cell r="C40">
            <v>8531.3700000000008</v>
          </cell>
          <cell r="D40">
            <v>8462.4</v>
          </cell>
          <cell r="E40">
            <v>450</v>
          </cell>
          <cell r="F40">
            <v>8500</v>
          </cell>
          <cell r="G40">
            <v>8400.25</v>
          </cell>
          <cell r="H40">
            <v>8337.15</v>
          </cell>
          <cell r="I40">
            <v>439</v>
          </cell>
          <cell r="J40">
            <v>81.52</v>
          </cell>
          <cell r="K40">
            <v>97.39</v>
          </cell>
          <cell r="L40">
            <v>26.71</v>
          </cell>
        </row>
        <row r="41">
          <cell r="C41">
            <v>6934.39</v>
          </cell>
          <cell r="D41">
            <v>6892.12</v>
          </cell>
          <cell r="E41">
            <v>408</v>
          </cell>
          <cell r="F41">
            <v>7000</v>
          </cell>
          <cell r="G41">
            <v>7558.08</v>
          </cell>
          <cell r="H41">
            <v>7521.65</v>
          </cell>
          <cell r="I41">
            <v>368</v>
          </cell>
          <cell r="J41">
            <v>80.08</v>
          </cell>
          <cell r="K41">
            <v>88.1</v>
          </cell>
          <cell r="L41">
            <v>16.12</v>
          </cell>
        </row>
        <row r="42">
          <cell r="C42">
            <v>11215.39</v>
          </cell>
          <cell r="D42">
            <v>11146.42</v>
          </cell>
          <cell r="E42">
            <v>577</v>
          </cell>
          <cell r="F42">
            <v>11300</v>
          </cell>
          <cell r="G42">
            <v>12225.59</v>
          </cell>
          <cell r="H42">
            <v>12140.32</v>
          </cell>
          <cell r="I42">
            <v>586</v>
          </cell>
          <cell r="J42">
            <v>109.43</v>
          </cell>
          <cell r="K42">
            <v>126.18</v>
          </cell>
          <cell r="L42">
            <v>25.3</v>
          </cell>
        </row>
        <row r="43">
          <cell r="C43">
            <v>16556.04</v>
          </cell>
          <cell r="D43">
            <v>16447.48</v>
          </cell>
          <cell r="E43">
            <v>737</v>
          </cell>
          <cell r="F43">
            <v>16600</v>
          </cell>
          <cell r="G43">
            <v>14911.68</v>
          </cell>
          <cell r="H43">
            <v>14765.24</v>
          </cell>
          <cell r="I43">
            <v>674</v>
          </cell>
          <cell r="J43">
            <v>140.33000000000001</v>
          </cell>
          <cell r="K43">
            <v>157.5</v>
          </cell>
          <cell r="L43">
            <v>39.83</v>
          </cell>
        </row>
        <row r="44">
          <cell r="C44">
            <v>11527.63</v>
          </cell>
          <cell r="D44">
            <v>11527.63</v>
          </cell>
          <cell r="E44">
            <v>553</v>
          </cell>
          <cell r="F44">
            <v>11600</v>
          </cell>
          <cell r="G44">
            <v>13950.32</v>
          </cell>
          <cell r="H44">
            <v>13857.3</v>
          </cell>
          <cell r="I44">
            <v>664</v>
          </cell>
          <cell r="J44">
            <v>106.56</v>
          </cell>
          <cell r="K44">
            <v>122.54</v>
          </cell>
          <cell r="L44">
            <v>15.16</v>
          </cell>
        </row>
        <row r="45">
          <cell r="C45">
            <v>5843.91</v>
          </cell>
          <cell r="D45">
            <v>5815.27</v>
          </cell>
          <cell r="E45">
            <v>328</v>
          </cell>
          <cell r="F45">
            <v>5900</v>
          </cell>
          <cell r="G45">
            <v>6620.01</v>
          </cell>
          <cell r="H45">
            <v>6557.55</v>
          </cell>
          <cell r="I45">
            <v>352</v>
          </cell>
          <cell r="J45">
            <v>69.86</v>
          </cell>
          <cell r="K45">
            <v>86.48</v>
          </cell>
          <cell r="L45">
            <v>15.7</v>
          </cell>
        </row>
        <row r="46">
          <cell r="C46">
            <v>6436.8</v>
          </cell>
          <cell r="D46">
            <v>6386.73</v>
          </cell>
          <cell r="E46">
            <v>356</v>
          </cell>
          <cell r="F46">
            <v>6400</v>
          </cell>
          <cell r="G46">
            <v>7159.11</v>
          </cell>
          <cell r="H46">
            <v>7106.43</v>
          </cell>
          <cell r="I46">
            <v>378</v>
          </cell>
          <cell r="J46">
            <v>83.18</v>
          </cell>
          <cell r="K46">
            <v>91.59</v>
          </cell>
          <cell r="L46">
            <v>30.23</v>
          </cell>
        </row>
        <row r="47">
          <cell r="C47">
            <v>8841.94</v>
          </cell>
          <cell r="D47">
            <v>8778.17</v>
          </cell>
          <cell r="E47">
            <v>480</v>
          </cell>
          <cell r="F47">
            <v>8900</v>
          </cell>
          <cell r="G47">
            <v>7217.89</v>
          </cell>
          <cell r="H47">
            <v>7169.78</v>
          </cell>
          <cell r="I47">
            <v>342</v>
          </cell>
          <cell r="J47">
            <v>87.19</v>
          </cell>
          <cell r="K47">
            <v>96.32</v>
          </cell>
          <cell r="L47">
            <v>28.13</v>
          </cell>
        </row>
        <row r="48">
          <cell r="C48">
            <v>7328.86</v>
          </cell>
          <cell r="D48">
            <v>7296.34</v>
          </cell>
          <cell r="E48">
            <v>405</v>
          </cell>
          <cell r="F48">
            <v>7400</v>
          </cell>
          <cell r="G48">
            <v>7955.92</v>
          </cell>
          <cell r="H48">
            <v>7892.14</v>
          </cell>
          <cell r="I48">
            <v>403</v>
          </cell>
          <cell r="J48">
            <v>86.07</v>
          </cell>
          <cell r="K48">
            <v>101.11</v>
          </cell>
          <cell r="L48">
            <v>56.65</v>
          </cell>
        </row>
        <row r="49">
          <cell r="C49">
            <v>11499.25</v>
          </cell>
          <cell r="D49">
            <v>11411.43</v>
          </cell>
          <cell r="E49">
            <v>541</v>
          </cell>
          <cell r="F49">
            <v>11500</v>
          </cell>
          <cell r="G49">
            <v>14114.37</v>
          </cell>
          <cell r="H49">
            <v>13979.58</v>
          </cell>
          <cell r="I49">
            <v>607</v>
          </cell>
          <cell r="J49">
            <v>115.66</v>
          </cell>
          <cell r="K49">
            <v>132.16</v>
          </cell>
          <cell r="L49">
            <v>32.4</v>
          </cell>
        </row>
        <row r="50">
          <cell r="C50">
            <v>17397.169999999998</v>
          </cell>
          <cell r="D50">
            <v>17198.12</v>
          </cell>
          <cell r="E50">
            <v>723</v>
          </cell>
          <cell r="F50">
            <v>17300</v>
          </cell>
          <cell r="G50">
            <v>16510.349999999999</v>
          </cell>
          <cell r="H50">
            <v>16315.11</v>
          </cell>
          <cell r="I50">
            <v>706</v>
          </cell>
          <cell r="J50">
            <v>150.63999999999999</v>
          </cell>
          <cell r="K50">
            <v>168.1</v>
          </cell>
          <cell r="L50">
            <v>32.4</v>
          </cell>
        </row>
        <row r="51">
          <cell r="C51">
            <v>12504.61</v>
          </cell>
          <cell r="D51">
            <v>12396.62</v>
          </cell>
          <cell r="E51">
            <v>591</v>
          </cell>
          <cell r="F51">
            <v>12500</v>
          </cell>
          <cell r="G51">
            <v>11152.78</v>
          </cell>
          <cell r="H51">
            <v>11070.12</v>
          </cell>
          <cell r="I51">
            <v>541</v>
          </cell>
          <cell r="J51">
            <v>115.02</v>
          </cell>
          <cell r="K51">
            <v>115.02</v>
          </cell>
          <cell r="L51">
            <v>23.44</v>
          </cell>
        </row>
        <row r="52">
          <cell r="C52">
            <v>5489.1</v>
          </cell>
          <cell r="D52">
            <v>5451.38</v>
          </cell>
          <cell r="E52">
            <v>303</v>
          </cell>
          <cell r="F52">
            <v>5500</v>
          </cell>
          <cell r="G52">
            <v>6917.77</v>
          </cell>
          <cell r="H52">
            <v>6872.89</v>
          </cell>
          <cell r="I52">
            <v>335</v>
          </cell>
          <cell r="J52">
            <v>86.77</v>
          </cell>
          <cell r="K52">
            <v>95.07</v>
          </cell>
          <cell r="L52">
            <v>48.89</v>
          </cell>
        </row>
        <row r="53">
          <cell r="C53">
            <v>6607.48</v>
          </cell>
          <cell r="D53">
            <v>6568.45</v>
          </cell>
          <cell r="E53">
            <v>363</v>
          </cell>
          <cell r="F53">
            <v>6600</v>
          </cell>
          <cell r="G53">
            <v>7551.49</v>
          </cell>
          <cell r="H53">
            <v>7484.5</v>
          </cell>
          <cell r="I53">
            <v>376</v>
          </cell>
          <cell r="J53">
            <v>88.59</v>
          </cell>
          <cell r="K53">
            <v>105.14</v>
          </cell>
          <cell r="L53">
            <v>16.84</v>
          </cell>
        </row>
        <row r="54">
          <cell r="C54">
            <v>7472.61</v>
          </cell>
          <cell r="D54">
            <v>7418.6</v>
          </cell>
          <cell r="E54">
            <v>420</v>
          </cell>
          <cell r="F54">
            <v>7500</v>
          </cell>
          <cell r="G54">
            <v>6983.62</v>
          </cell>
          <cell r="H54">
            <v>6926.39</v>
          </cell>
          <cell r="I54">
            <v>368</v>
          </cell>
          <cell r="J54">
            <v>79.900000000000006</v>
          </cell>
          <cell r="K54">
            <v>95.44</v>
          </cell>
          <cell r="L54">
            <v>26.9</v>
          </cell>
        </row>
        <row r="55">
          <cell r="C55">
            <v>7091.17</v>
          </cell>
          <cell r="D55">
            <v>7059.31</v>
          </cell>
          <cell r="E55">
            <v>374</v>
          </cell>
          <cell r="F55">
            <v>7100</v>
          </cell>
          <cell r="G55">
            <v>7028.36</v>
          </cell>
          <cell r="H55">
            <v>6972.34</v>
          </cell>
          <cell r="I55">
            <v>369</v>
          </cell>
          <cell r="J55">
            <v>78.84</v>
          </cell>
          <cell r="K55">
            <v>95.52</v>
          </cell>
          <cell r="L55">
            <v>32.270000000000003</v>
          </cell>
        </row>
        <row r="56">
          <cell r="C56">
            <v>13567.05</v>
          </cell>
          <cell r="D56">
            <v>13465.45</v>
          </cell>
          <cell r="E56">
            <v>644</v>
          </cell>
          <cell r="F56">
            <v>13600</v>
          </cell>
          <cell r="G56">
            <v>12983.66</v>
          </cell>
          <cell r="H56">
            <v>12889.91</v>
          </cell>
          <cell r="I56">
            <v>544</v>
          </cell>
          <cell r="J56">
            <v>118.63</v>
          </cell>
          <cell r="K56">
            <v>126.14</v>
          </cell>
          <cell r="L56">
            <v>46.06</v>
          </cell>
        </row>
        <row r="57">
          <cell r="C57">
            <v>17304.310000000001</v>
          </cell>
          <cell r="D57">
            <v>17120.21</v>
          </cell>
          <cell r="E57">
            <v>697</v>
          </cell>
          <cell r="F57">
            <v>17300</v>
          </cell>
          <cell r="G57">
            <v>18432.78</v>
          </cell>
          <cell r="H57">
            <v>18235.61</v>
          </cell>
          <cell r="I57">
            <v>728</v>
          </cell>
          <cell r="J57">
            <v>138</v>
          </cell>
          <cell r="K57">
            <v>155.22999999999999</v>
          </cell>
          <cell r="L57">
            <v>39.479999999999997</v>
          </cell>
        </row>
        <row r="58">
          <cell r="C58">
            <v>10960.02</v>
          </cell>
          <cell r="D58">
            <v>10890.38</v>
          </cell>
          <cell r="E58">
            <v>492</v>
          </cell>
          <cell r="F58">
            <v>11000</v>
          </cell>
          <cell r="G58">
            <v>10630.57</v>
          </cell>
          <cell r="H58">
            <v>10542.08</v>
          </cell>
          <cell r="I58">
            <v>474</v>
          </cell>
          <cell r="J58">
            <v>90.34</v>
          </cell>
          <cell r="K58">
            <v>106.27</v>
          </cell>
          <cell r="L58">
            <v>26.94</v>
          </cell>
        </row>
        <row r="59">
          <cell r="C59">
            <v>7131.21</v>
          </cell>
          <cell r="D59">
            <v>7090.82</v>
          </cell>
          <cell r="E59">
            <v>370</v>
          </cell>
          <cell r="F59">
            <v>7200</v>
          </cell>
          <cell r="G59">
            <v>5197.1499999999996</v>
          </cell>
          <cell r="H59">
            <v>5171.7700000000004</v>
          </cell>
          <cell r="I59">
            <v>277</v>
          </cell>
          <cell r="J59">
            <v>73.95</v>
          </cell>
          <cell r="K59">
            <v>83.17</v>
          </cell>
          <cell r="L59">
            <v>27.38</v>
          </cell>
        </row>
        <row r="60">
          <cell r="C60">
            <v>6269.3</v>
          </cell>
          <cell r="D60">
            <v>6226.37</v>
          </cell>
          <cell r="E60">
            <v>336</v>
          </cell>
          <cell r="F60">
            <v>6300</v>
          </cell>
          <cell r="G60">
            <v>5248.19</v>
          </cell>
          <cell r="H60">
            <v>5216.33</v>
          </cell>
          <cell r="I60">
            <v>301</v>
          </cell>
          <cell r="J60">
            <v>86</v>
          </cell>
          <cell r="K60">
            <v>102.53</v>
          </cell>
          <cell r="L60">
            <v>50.82</v>
          </cell>
        </row>
        <row r="61">
          <cell r="C61">
            <v>8385.94</v>
          </cell>
          <cell r="D61">
            <v>8315.01</v>
          </cell>
          <cell r="E61">
            <v>415</v>
          </cell>
          <cell r="F61">
            <v>8400</v>
          </cell>
          <cell r="G61">
            <v>8262.09</v>
          </cell>
          <cell r="H61">
            <v>8185.92</v>
          </cell>
          <cell r="I61">
            <v>430</v>
          </cell>
          <cell r="J61">
            <v>89.49</v>
          </cell>
          <cell r="K61">
            <v>107.02</v>
          </cell>
          <cell r="L61">
            <v>17.02</v>
          </cell>
        </row>
        <row r="62">
          <cell r="C62">
            <v>8107.57</v>
          </cell>
          <cell r="D62">
            <v>8047.03</v>
          </cell>
          <cell r="E62">
            <v>423</v>
          </cell>
          <cell r="F62">
            <v>8100</v>
          </cell>
          <cell r="G62">
            <v>7479.9</v>
          </cell>
          <cell r="H62">
            <v>7442.19</v>
          </cell>
          <cell r="I62">
            <v>407</v>
          </cell>
          <cell r="J62">
            <v>88.22</v>
          </cell>
          <cell r="K62">
            <v>96.59</v>
          </cell>
          <cell r="L62">
            <v>22.4</v>
          </cell>
        </row>
        <row r="63">
          <cell r="C63">
            <v>13849.14</v>
          </cell>
          <cell r="D63">
            <v>13740.48</v>
          </cell>
          <cell r="E63">
            <v>636</v>
          </cell>
          <cell r="F63">
            <v>13900</v>
          </cell>
          <cell r="G63">
            <v>14023.76</v>
          </cell>
          <cell r="H63">
            <v>13915.8</v>
          </cell>
          <cell r="I63">
            <v>641</v>
          </cell>
          <cell r="J63">
            <v>125.39</v>
          </cell>
          <cell r="K63">
            <v>142.08000000000001</v>
          </cell>
          <cell r="L63">
            <v>44.05</v>
          </cell>
        </row>
        <row r="64">
          <cell r="C64">
            <v>16182.41</v>
          </cell>
          <cell r="D64">
            <v>16024.95</v>
          </cell>
          <cell r="E64">
            <v>675</v>
          </cell>
          <cell r="F64">
            <v>16200</v>
          </cell>
          <cell r="G64">
            <v>13873.75</v>
          </cell>
          <cell r="H64">
            <v>13726.01</v>
          </cell>
          <cell r="I64">
            <v>604</v>
          </cell>
          <cell r="J64">
            <v>149.07</v>
          </cell>
          <cell r="K64">
            <v>166.13</v>
          </cell>
          <cell r="L64">
            <v>51.07</v>
          </cell>
        </row>
        <row r="65">
          <cell r="C65">
            <v>14394.02</v>
          </cell>
          <cell r="D65">
            <v>14299.72</v>
          </cell>
          <cell r="E65">
            <v>625</v>
          </cell>
          <cell r="F65">
            <v>14000</v>
          </cell>
          <cell r="G65">
            <v>12284.63</v>
          </cell>
          <cell r="H65">
            <v>12193.63</v>
          </cell>
          <cell r="I65">
            <v>565</v>
          </cell>
          <cell r="J65">
            <v>109.36</v>
          </cell>
          <cell r="K65">
            <v>124.52</v>
          </cell>
          <cell r="L65">
            <v>18.47</v>
          </cell>
        </row>
        <row r="66">
          <cell r="C66">
            <v>7461.15</v>
          </cell>
          <cell r="D66">
            <v>7416.97</v>
          </cell>
          <cell r="E66">
            <v>399</v>
          </cell>
          <cell r="F66">
            <v>7150</v>
          </cell>
          <cell r="G66">
            <v>6287.22</v>
          </cell>
          <cell r="H66">
            <v>6250.24</v>
          </cell>
          <cell r="I66">
            <v>341</v>
          </cell>
          <cell r="J66">
            <v>75.760000000000005</v>
          </cell>
          <cell r="K66">
            <v>92.24</v>
          </cell>
          <cell r="L66">
            <v>36.93</v>
          </cell>
        </row>
        <row r="67">
          <cell r="C67">
            <v>7371.62</v>
          </cell>
          <cell r="D67">
            <v>7313.81</v>
          </cell>
          <cell r="E67">
            <v>374</v>
          </cell>
          <cell r="F67">
            <v>7000</v>
          </cell>
          <cell r="G67">
            <v>6680.94</v>
          </cell>
          <cell r="H67">
            <v>6636.02</v>
          </cell>
          <cell r="I67">
            <v>340</v>
          </cell>
          <cell r="J67">
            <v>78.819999999999993</v>
          </cell>
          <cell r="K67">
            <v>95.17</v>
          </cell>
          <cell r="L67">
            <v>24.65</v>
          </cell>
        </row>
        <row r="68">
          <cell r="C68">
            <v>8229.3700000000008</v>
          </cell>
          <cell r="D68">
            <v>8164.33</v>
          </cell>
          <cell r="E68">
            <v>426</v>
          </cell>
          <cell r="F68">
            <v>8200</v>
          </cell>
          <cell r="G68">
            <v>8036.36</v>
          </cell>
          <cell r="H68">
            <v>7964.13</v>
          </cell>
          <cell r="I68">
            <v>425</v>
          </cell>
          <cell r="J68">
            <v>88.39</v>
          </cell>
          <cell r="K68">
            <v>104.14</v>
          </cell>
          <cell r="L68">
            <v>34.33</v>
          </cell>
        </row>
        <row r="69">
          <cell r="C69">
            <v>8289.7800000000007</v>
          </cell>
          <cell r="D69">
            <v>8239.01</v>
          </cell>
          <cell r="E69">
            <v>415</v>
          </cell>
          <cell r="F69">
            <v>7800</v>
          </cell>
          <cell r="G69">
            <v>6512.59</v>
          </cell>
          <cell r="H69">
            <v>6476.83</v>
          </cell>
          <cell r="I69">
            <v>342</v>
          </cell>
          <cell r="J69">
            <v>76.25</v>
          </cell>
          <cell r="K69">
            <v>91.16</v>
          </cell>
          <cell r="L69">
            <v>32.06</v>
          </cell>
        </row>
        <row r="70">
          <cell r="C70">
            <v>12646.66</v>
          </cell>
          <cell r="D70">
            <v>12537.39</v>
          </cell>
          <cell r="E70">
            <v>618</v>
          </cell>
          <cell r="F70">
            <v>11900</v>
          </cell>
          <cell r="G70">
            <v>13053.58</v>
          </cell>
          <cell r="H70">
            <v>12960.56</v>
          </cell>
          <cell r="I70">
            <v>602</v>
          </cell>
          <cell r="J70">
            <v>104.94</v>
          </cell>
          <cell r="K70">
            <v>121.54</v>
          </cell>
          <cell r="L70">
            <v>45.15</v>
          </cell>
        </row>
        <row r="71">
          <cell r="C71">
            <v>14114.59</v>
          </cell>
          <cell r="D71">
            <v>14003.23</v>
          </cell>
          <cell r="E71">
            <v>629</v>
          </cell>
          <cell r="F71">
            <v>14100</v>
          </cell>
          <cell r="G71">
            <v>13852.39</v>
          </cell>
          <cell r="H71">
            <v>13709.96</v>
          </cell>
          <cell r="I71">
            <v>659</v>
          </cell>
          <cell r="J71">
            <v>133.09</v>
          </cell>
          <cell r="K71">
            <v>150.4</v>
          </cell>
          <cell r="L71">
            <v>34.68</v>
          </cell>
        </row>
        <row r="72">
          <cell r="C72">
            <v>11412.44</v>
          </cell>
          <cell r="D72">
            <v>11331.14</v>
          </cell>
          <cell r="E72">
            <v>537</v>
          </cell>
          <cell r="F72">
            <v>11400</v>
          </cell>
          <cell r="G72">
            <v>12805.89</v>
          </cell>
          <cell r="H72">
            <v>12702.46</v>
          </cell>
          <cell r="I72">
            <v>572</v>
          </cell>
          <cell r="J72">
            <v>94.66</v>
          </cell>
          <cell r="K72">
            <v>111.08</v>
          </cell>
          <cell r="L72">
            <v>18.600000000000001</v>
          </cell>
        </row>
        <row r="73">
          <cell r="C73">
            <v>5484.73</v>
          </cell>
          <cell r="D73">
            <v>5458.04</v>
          </cell>
          <cell r="E73">
            <v>308</v>
          </cell>
          <cell r="F73">
            <v>5500</v>
          </cell>
          <cell r="G73">
            <v>5866.36</v>
          </cell>
          <cell r="H73">
            <v>5840.34</v>
          </cell>
          <cell r="I73">
            <v>313</v>
          </cell>
          <cell r="J73">
            <v>78.91</v>
          </cell>
          <cell r="K73">
            <v>86.36</v>
          </cell>
          <cell r="L73">
            <v>47.05</v>
          </cell>
        </row>
        <row r="74">
          <cell r="C74">
            <v>5988.27</v>
          </cell>
          <cell r="D74">
            <v>5949.85</v>
          </cell>
          <cell r="E74">
            <v>327</v>
          </cell>
          <cell r="F74">
            <v>6000</v>
          </cell>
          <cell r="G74">
            <v>6257.27</v>
          </cell>
          <cell r="H74">
            <v>6220.85</v>
          </cell>
          <cell r="I74">
            <v>332</v>
          </cell>
          <cell r="J74">
            <v>75.33</v>
          </cell>
          <cell r="K74">
            <v>91.16</v>
          </cell>
          <cell r="L74">
            <v>41.47</v>
          </cell>
        </row>
        <row r="75">
          <cell r="C75">
            <v>6772.02</v>
          </cell>
          <cell r="D75">
            <v>6733.66</v>
          </cell>
          <cell r="E75">
            <v>343</v>
          </cell>
          <cell r="F75">
            <v>6800</v>
          </cell>
          <cell r="G75">
            <v>7896.89</v>
          </cell>
          <cell r="H75">
            <v>7836.63</v>
          </cell>
          <cell r="I75">
            <v>421</v>
          </cell>
          <cell r="J75">
            <v>93.01</v>
          </cell>
          <cell r="K75">
            <v>109.27</v>
          </cell>
          <cell r="L75">
            <v>31.47</v>
          </cell>
        </row>
        <row r="76">
          <cell r="C76">
            <v>6738.99</v>
          </cell>
          <cell r="D76">
            <v>6698.64</v>
          </cell>
          <cell r="E76">
            <v>371</v>
          </cell>
          <cell r="F76">
            <v>6800</v>
          </cell>
          <cell r="G76">
            <v>5758.55</v>
          </cell>
          <cell r="H76">
            <v>5731.13</v>
          </cell>
          <cell r="I76">
            <v>300</v>
          </cell>
          <cell r="J76">
            <v>81.12</v>
          </cell>
          <cell r="K76">
            <v>88.55</v>
          </cell>
          <cell r="L76">
            <v>28.98</v>
          </cell>
        </row>
        <row r="77">
          <cell r="C77">
            <v>10963.39</v>
          </cell>
          <cell r="D77">
            <v>10904.18</v>
          </cell>
          <cell r="E77">
            <v>543</v>
          </cell>
          <cell r="F77">
            <v>11000</v>
          </cell>
          <cell r="G77">
            <v>11632.26</v>
          </cell>
          <cell r="H77">
            <v>11542.35</v>
          </cell>
          <cell r="I77">
            <v>563</v>
          </cell>
          <cell r="J77">
            <v>114</v>
          </cell>
          <cell r="K77">
            <v>130.16999999999999</v>
          </cell>
          <cell r="L77">
            <v>27.67</v>
          </cell>
        </row>
        <row r="78">
          <cell r="C78">
            <v>12186.22</v>
          </cell>
          <cell r="D78">
            <v>12078.85</v>
          </cell>
          <cell r="E78">
            <v>578</v>
          </cell>
          <cell r="F78">
            <v>11500</v>
          </cell>
          <cell r="G78">
            <v>11808.72</v>
          </cell>
          <cell r="H78">
            <v>11709.1</v>
          </cell>
          <cell r="I78">
            <v>519</v>
          </cell>
          <cell r="J78">
            <v>111.01</v>
          </cell>
          <cell r="K78">
            <v>128.57</v>
          </cell>
          <cell r="L78">
            <v>24.1</v>
          </cell>
        </row>
        <row r="79">
          <cell r="C79">
            <v>10325.040000000001</v>
          </cell>
          <cell r="D79">
            <v>10262.549999999999</v>
          </cell>
          <cell r="E79">
            <v>460</v>
          </cell>
          <cell r="F79">
            <v>10300</v>
          </cell>
          <cell r="G79">
            <v>10709.76</v>
          </cell>
          <cell r="H79">
            <v>10631.69</v>
          </cell>
          <cell r="I79">
            <v>478</v>
          </cell>
          <cell r="J79">
            <v>99.26</v>
          </cell>
          <cell r="K79">
            <v>114.28</v>
          </cell>
          <cell r="L79">
            <v>67.47</v>
          </cell>
        </row>
        <row r="80">
          <cell r="C80">
            <v>5519.42</v>
          </cell>
          <cell r="D80">
            <v>5490.8</v>
          </cell>
          <cell r="E80">
            <v>338</v>
          </cell>
          <cell r="F80">
            <v>5500</v>
          </cell>
          <cell r="G80">
            <v>5507.91</v>
          </cell>
          <cell r="H80">
            <v>5483.18</v>
          </cell>
          <cell r="I80">
            <v>296</v>
          </cell>
          <cell r="J80">
            <v>76.42</v>
          </cell>
          <cell r="K80">
            <v>92.48</v>
          </cell>
          <cell r="L80">
            <v>29.38</v>
          </cell>
        </row>
        <row r="81">
          <cell r="C81">
            <v>6528.81</v>
          </cell>
          <cell r="D81">
            <v>6493.63</v>
          </cell>
          <cell r="E81">
            <v>336</v>
          </cell>
          <cell r="F81">
            <v>6600</v>
          </cell>
          <cell r="G81">
            <v>6555.87</v>
          </cell>
          <cell r="H81">
            <v>6515.83</v>
          </cell>
          <cell r="I81">
            <v>323</v>
          </cell>
          <cell r="J81">
            <v>79.849999999999994</v>
          </cell>
          <cell r="K81">
            <v>95.12</v>
          </cell>
          <cell r="L81">
            <v>26.43</v>
          </cell>
        </row>
        <row r="82">
          <cell r="C82">
            <v>8090.3</v>
          </cell>
          <cell r="D82">
            <v>8026.47</v>
          </cell>
          <cell r="E82">
            <v>433</v>
          </cell>
          <cell r="F82">
            <v>8100</v>
          </cell>
          <cell r="G82">
            <v>8081.71</v>
          </cell>
          <cell r="H82">
            <v>8012.13</v>
          </cell>
          <cell r="I82">
            <v>388</v>
          </cell>
          <cell r="J82">
            <v>83.81</v>
          </cell>
          <cell r="K82">
            <v>99.27</v>
          </cell>
          <cell r="L82">
            <v>77.2</v>
          </cell>
        </row>
        <row r="83">
          <cell r="C83">
            <v>6928.06</v>
          </cell>
          <cell r="D83">
            <v>6898.73</v>
          </cell>
          <cell r="E83">
            <v>403</v>
          </cell>
          <cell r="F83">
            <v>7000</v>
          </cell>
          <cell r="G83">
            <v>6338.71</v>
          </cell>
          <cell r="H83">
            <v>6315.96</v>
          </cell>
          <cell r="I83">
            <v>343</v>
          </cell>
          <cell r="J83">
            <v>77.75</v>
          </cell>
          <cell r="K83">
            <v>85.26</v>
          </cell>
          <cell r="L83">
            <v>20.87</v>
          </cell>
        </row>
        <row r="84">
          <cell r="C84">
            <v>10721.72</v>
          </cell>
          <cell r="D84">
            <v>10663.14</v>
          </cell>
          <cell r="E84">
            <v>549</v>
          </cell>
          <cell r="F84">
            <v>10800</v>
          </cell>
          <cell r="G84">
            <v>11192.24</v>
          </cell>
          <cell r="H84">
            <v>11119.92</v>
          </cell>
          <cell r="I84">
            <v>546</v>
          </cell>
          <cell r="J84">
            <v>120.92</v>
          </cell>
          <cell r="K84">
            <v>129.06</v>
          </cell>
          <cell r="L84">
            <v>31.63</v>
          </cell>
        </row>
        <row r="85">
          <cell r="C85">
            <v>10493.5</v>
          </cell>
          <cell r="D85">
            <v>10392.68</v>
          </cell>
          <cell r="E85">
            <v>530</v>
          </cell>
          <cell r="F85">
            <v>10500</v>
          </cell>
          <cell r="G85">
            <v>12131.17</v>
          </cell>
          <cell r="H85">
            <v>12006.23</v>
          </cell>
          <cell r="I85">
            <v>570</v>
          </cell>
          <cell r="J85">
            <v>115.48</v>
          </cell>
          <cell r="K85">
            <v>131.16999999999999</v>
          </cell>
          <cell r="L85">
            <v>18.510000000000002</v>
          </cell>
        </row>
        <row r="86">
          <cell r="C86">
            <v>12437.88</v>
          </cell>
          <cell r="D86">
            <v>12344.86</v>
          </cell>
          <cell r="E86">
            <v>590</v>
          </cell>
          <cell r="F86">
            <v>12400</v>
          </cell>
          <cell r="G86">
            <v>11017.68</v>
          </cell>
          <cell r="H86">
            <v>10953.77</v>
          </cell>
          <cell r="I86">
            <v>449</v>
          </cell>
          <cell r="J86">
            <v>104.42</v>
          </cell>
          <cell r="K86">
            <v>112.42</v>
          </cell>
          <cell r="L86">
            <v>36.53</v>
          </cell>
        </row>
        <row r="87">
          <cell r="C87">
            <v>5644.8</v>
          </cell>
          <cell r="D87">
            <v>5610.34</v>
          </cell>
          <cell r="E87">
            <v>316</v>
          </cell>
          <cell r="F87">
            <v>5700</v>
          </cell>
          <cell r="G87">
            <v>5492.29</v>
          </cell>
          <cell r="H87">
            <v>5463.64</v>
          </cell>
          <cell r="I87">
            <v>319</v>
          </cell>
          <cell r="J87">
            <v>82.52</v>
          </cell>
          <cell r="K87">
            <v>102.27</v>
          </cell>
          <cell r="L87">
            <v>31.38</v>
          </cell>
        </row>
        <row r="88">
          <cell r="C88">
            <v>6040.81</v>
          </cell>
          <cell r="D88">
            <v>5940.52</v>
          </cell>
          <cell r="E88">
            <v>334</v>
          </cell>
          <cell r="F88">
            <v>6000</v>
          </cell>
          <cell r="G88">
            <v>5853.47</v>
          </cell>
          <cell r="H88">
            <v>5772.78</v>
          </cell>
          <cell r="I88">
            <v>290</v>
          </cell>
          <cell r="J88">
            <v>81.93</v>
          </cell>
          <cell r="K88">
            <v>97.43</v>
          </cell>
          <cell r="L88">
            <v>41.18</v>
          </cell>
        </row>
        <row r="89">
          <cell r="C89">
            <v>8898.33</v>
          </cell>
          <cell r="D89">
            <v>8745.44</v>
          </cell>
          <cell r="E89">
            <v>463</v>
          </cell>
          <cell r="F89">
            <v>8350</v>
          </cell>
          <cell r="G89">
            <v>8200.02</v>
          </cell>
          <cell r="H89">
            <v>8083.71</v>
          </cell>
          <cell r="I89">
            <v>412</v>
          </cell>
          <cell r="J89">
            <v>79.08</v>
          </cell>
          <cell r="K89">
            <v>94.58</v>
          </cell>
          <cell r="L89">
            <v>28.26</v>
          </cell>
        </row>
        <row r="90">
          <cell r="C90">
            <v>6787.83</v>
          </cell>
          <cell r="D90">
            <v>6661.7</v>
          </cell>
          <cell r="E90">
            <v>365</v>
          </cell>
          <cell r="F90">
            <v>6700</v>
          </cell>
          <cell r="G90">
            <v>8660.56</v>
          </cell>
          <cell r="H90">
            <v>8561.57</v>
          </cell>
          <cell r="I90">
            <v>386</v>
          </cell>
          <cell r="J90">
            <v>69.23</v>
          </cell>
          <cell r="K90">
            <v>85.42</v>
          </cell>
          <cell r="L90">
            <v>44.75</v>
          </cell>
        </row>
        <row r="91">
          <cell r="C91">
            <v>10584.45</v>
          </cell>
          <cell r="D91">
            <v>10423.92</v>
          </cell>
          <cell r="E91">
            <v>535</v>
          </cell>
          <cell r="F91">
            <v>10500</v>
          </cell>
          <cell r="G91">
            <v>11209.21</v>
          </cell>
          <cell r="H91">
            <v>11056.38</v>
          </cell>
          <cell r="I91">
            <v>524</v>
          </cell>
          <cell r="J91">
            <v>134.84</v>
          </cell>
          <cell r="K91">
            <v>152.41</v>
          </cell>
          <cell r="L91">
            <v>56.71</v>
          </cell>
        </row>
        <row r="92">
          <cell r="C92">
            <v>11048.07</v>
          </cell>
          <cell r="D92">
            <v>10822.98</v>
          </cell>
          <cell r="E92">
            <v>550</v>
          </cell>
          <cell r="F92">
            <v>10900</v>
          </cell>
          <cell r="G92">
            <v>13059.17</v>
          </cell>
          <cell r="H92">
            <v>12848.87</v>
          </cell>
          <cell r="I92">
            <v>568</v>
          </cell>
          <cell r="J92">
            <v>129.37</v>
          </cell>
          <cell r="K92">
            <v>145.57</v>
          </cell>
          <cell r="L92">
            <v>459.3</v>
          </cell>
        </row>
        <row r="93">
          <cell r="C93">
            <v>12547.08</v>
          </cell>
          <cell r="D93">
            <v>12373.46</v>
          </cell>
          <cell r="E93">
            <v>595</v>
          </cell>
          <cell r="F93">
            <v>11900</v>
          </cell>
          <cell r="G93">
            <v>12995.32</v>
          </cell>
          <cell r="H93">
            <v>12836.2</v>
          </cell>
          <cell r="I93">
            <v>538</v>
          </cell>
          <cell r="J93">
            <v>118.17</v>
          </cell>
          <cell r="K93">
            <v>134.47999999999999</v>
          </cell>
          <cell r="L93">
            <v>39.729999999999997</v>
          </cell>
        </row>
        <row r="94">
          <cell r="C94">
            <v>6381.67</v>
          </cell>
          <cell r="D94">
            <v>6307.8</v>
          </cell>
          <cell r="E94">
            <v>362</v>
          </cell>
          <cell r="F94">
            <v>6400</v>
          </cell>
          <cell r="G94">
            <v>7320</v>
          </cell>
          <cell r="H94">
            <v>7225.27</v>
          </cell>
          <cell r="I94">
            <v>363</v>
          </cell>
          <cell r="J94">
            <v>85.05</v>
          </cell>
          <cell r="K94">
            <v>101.22</v>
          </cell>
          <cell r="L94">
            <v>48.76</v>
          </cell>
        </row>
        <row r="95">
          <cell r="C95">
            <v>7830.27</v>
          </cell>
          <cell r="D95">
            <v>7690.29</v>
          </cell>
          <cell r="E95">
            <v>423</v>
          </cell>
          <cell r="F95">
            <v>6500</v>
          </cell>
          <cell r="G95">
            <v>6884.25</v>
          </cell>
          <cell r="H95">
            <v>6790.3</v>
          </cell>
          <cell r="I95">
            <v>334</v>
          </cell>
          <cell r="J95">
            <v>71.260000000000005</v>
          </cell>
          <cell r="K95">
            <v>87.04</v>
          </cell>
          <cell r="L95">
            <v>31.99</v>
          </cell>
        </row>
        <row r="96">
          <cell r="C96">
            <v>9508.02</v>
          </cell>
          <cell r="D96">
            <v>9356.7900000000009</v>
          </cell>
          <cell r="E96">
            <v>474</v>
          </cell>
          <cell r="F96">
            <v>9400</v>
          </cell>
          <cell r="G96">
            <v>8837.7999999999993</v>
          </cell>
          <cell r="H96">
            <v>8695.92</v>
          </cell>
          <cell r="I96">
            <v>410</v>
          </cell>
          <cell r="J96">
            <v>78.95</v>
          </cell>
          <cell r="K96">
            <v>95.41</v>
          </cell>
          <cell r="L96">
            <v>22.59</v>
          </cell>
        </row>
        <row r="97">
          <cell r="C97">
            <v>8202.74</v>
          </cell>
          <cell r="D97">
            <v>8077.41</v>
          </cell>
          <cell r="E97">
            <v>467</v>
          </cell>
          <cell r="F97">
            <v>7000</v>
          </cell>
          <cell r="G97">
            <v>7393.84</v>
          </cell>
          <cell r="H97">
            <v>7299.23</v>
          </cell>
          <cell r="I97">
            <v>365</v>
          </cell>
          <cell r="J97">
            <v>67.28</v>
          </cell>
          <cell r="K97">
            <v>74.459999999999994</v>
          </cell>
          <cell r="L97">
            <v>20.68</v>
          </cell>
        </row>
        <row r="98">
          <cell r="C98">
            <v>12459.36</v>
          </cell>
          <cell r="D98">
            <v>12288.98</v>
          </cell>
          <cell r="E98">
            <v>602</v>
          </cell>
          <cell r="F98">
            <v>12400</v>
          </cell>
          <cell r="G98">
            <v>12050.87</v>
          </cell>
          <cell r="H98">
            <v>11858.48</v>
          </cell>
          <cell r="I98">
            <v>575</v>
          </cell>
          <cell r="J98">
            <v>107.5</v>
          </cell>
          <cell r="K98">
            <v>124.14</v>
          </cell>
          <cell r="L98">
            <v>30.22</v>
          </cell>
        </row>
        <row r="99">
          <cell r="C99">
            <v>12178.37</v>
          </cell>
          <cell r="D99">
            <v>11962.8</v>
          </cell>
          <cell r="E99">
            <v>554</v>
          </cell>
          <cell r="F99">
            <v>12100</v>
          </cell>
          <cell r="G99">
            <v>11700.64</v>
          </cell>
          <cell r="H99">
            <v>11512.6</v>
          </cell>
          <cell r="I99">
            <v>529</v>
          </cell>
          <cell r="J99">
            <v>109.23</v>
          </cell>
          <cell r="K99">
            <v>125.31</v>
          </cell>
          <cell r="L99">
            <v>27.66</v>
          </cell>
        </row>
        <row r="100">
          <cell r="C100">
            <v>10999.52</v>
          </cell>
          <cell r="D100">
            <v>10961.13</v>
          </cell>
          <cell r="E100">
            <v>539</v>
          </cell>
          <cell r="F100">
            <v>9900</v>
          </cell>
          <cell r="G100">
            <v>9380.42</v>
          </cell>
          <cell r="H100">
            <v>9244.75</v>
          </cell>
          <cell r="I100">
            <v>421</v>
          </cell>
          <cell r="J100">
            <v>89.65</v>
          </cell>
          <cell r="K100">
            <v>106.38</v>
          </cell>
          <cell r="L100">
            <v>56.98</v>
          </cell>
        </row>
        <row r="101">
          <cell r="C101">
            <v>6573.74</v>
          </cell>
          <cell r="D101">
            <v>6539.12</v>
          </cell>
          <cell r="E101">
            <v>350</v>
          </cell>
          <cell r="F101">
            <v>11700</v>
          </cell>
          <cell r="G101">
            <v>10846.73</v>
          </cell>
          <cell r="H101">
            <v>10692.51</v>
          </cell>
          <cell r="I101">
            <v>487</v>
          </cell>
          <cell r="J101">
            <v>109.23</v>
          </cell>
          <cell r="K101">
            <v>126.53</v>
          </cell>
          <cell r="L101">
            <v>93.43</v>
          </cell>
        </row>
        <row r="102">
          <cell r="C102">
            <v>6538.92</v>
          </cell>
          <cell r="D102">
            <v>6494.02</v>
          </cell>
          <cell r="E102">
            <v>353</v>
          </cell>
          <cell r="F102">
            <v>7400</v>
          </cell>
          <cell r="G102">
            <v>6797.76</v>
          </cell>
          <cell r="H102">
            <v>6695.38</v>
          </cell>
          <cell r="I102">
            <v>373</v>
          </cell>
          <cell r="J102">
            <v>97.57</v>
          </cell>
          <cell r="K102">
            <v>115.09</v>
          </cell>
          <cell r="L102">
            <v>35.61</v>
          </cell>
        </row>
        <row r="103">
          <cell r="C103">
            <v>8404.41</v>
          </cell>
          <cell r="D103">
            <v>8329.66</v>
          </cell>
          <cell r="E103">
            <v>433</v>
          </cell>
          <cell r="F103">
            <v>8400</v>
          </cell>
          <cell r="G103">
            <v>8584.7800000000007</v>
          </cell>
          <cell r="H103">
            <v>8451.57</v>
          </cell>
          <cell r="I103">
            <v>411</v>
          </cell>
          <cell r="J103">
            <v>74.81</v>
          </cell>
          <cell r="K103">
            <v>90.49</v>
          </cell>
          <cell r="L103">
            <v>31.95</v>
          </cell>
        </row>
        <row r="104">
          <cell r="C104">
            <v>7017.45</v>
          </cell>
          <cell r="D104">
            <v>6953.7</v>
          </cell>
          <cell r="E104">
            <v>396</v>
          </cell>
          <cell r="F104">
            <v>7000</v>
          </cell>
          <cell r="G104">
            <v>7285.3</v>
          </cell>
          <cell r="H104">
            <v>7175.79</v>
          </cell>
          <cell r="I104">
            <v>382</v>
          </cell>
          <cell r="J104">
            <v>80.900000000000006</v>
          </cell>
          <cell r="K104">
            <v>89.06</v>
          </cell>
          <cell r="L104">
            <v>26.77</v>
          </cell>
        </row>
        <row r="105">
          <cell r="C105">
            <v>12561.76</v>
          </cell>
          <cell r="D105">
            <v>12488.87</v>
          </cell>
          <cell r="E105">
            <v>611</v>
          </cell>
          <cell r="F105">
            <v>11500</v>
          </cell>
          <cell r="G105">
            <v>10382.23</v>
          </cell>
          <cell r="H105">
            <v>10235.67</v>
          </cell>
          <cell r="I105">
            <v>498</v>
          </cell>
          <cell r="J105">
            <v>120.59</v>
          </cell>
          <cell r="K105">
            <v>137.19</v>
          </cell>
          <cell r="L105">
            <v>14.1</v>
          </cell>
        </row>
        <row r="106">
          <cell r="C106">
            <v>12541.48</v>
          </cell>
          <cell r="D106">
            <v>12434.14</v>
          </cell>
          <cell r="E106">
            <v>557</v>
          </cell>
          <cell r="F106">
            <v>10100</v>
          </cell>
          <cell r="G106">
            <v>9330.27</v>
          </cell>
          <cell r="H106">
            <v>9165.49</v>
          </cell>
          <cell r="I106">
            <v>464</v>
          </cell>
          <cell r="J106">
            <v>111.19</v>
          </cell>
          <cell r="K106">
            <v>127.55</v>
          </cell>
          <cell r="L106">
            <v>33.25</v>
          </cell>
        </row>
        <row r="107">
          <cell r="C107">
            <v>12810.7</v>
          </cell>
          <cell r="D107">
            <v>12740.46</v>
          </cell>
          <cell r="E107">
            <v>581</v>
          </cell>
          <cell r="F107">
            <v>12900</v>
          </cell>
          <cell r="G107">
            <v>9123.4</v>
          </cell>
          <cell r="H107">
            <v>8991.1299999999992</v>
          </cell>
          <cell r="I107">
            <v>403</v>
          </cell>
          <cell r="J107">
            <v>106.16</v>
          </cell>
          <cell r="K107">
            <v>114.57</v>
          </cell>
          <cell r="L107">
            <v>55.24</v>
          </cell>
        </row>
        <row r="108">
          <cell r="C108">
            <v>6231.8</v>
          </cell>
          <cell r="D108">
            <v>6207.1</v>
          </cell>
          <cell r="E108">
            <v>345</v>
          </cell>
          <cell r="F108">
            <v>6300</v>
          </cell>
          <cell r="G108">
            <v>5807.85</v>
          </cell>
          <cell r="H108">
            <v>5757.05</v>
          </cell>
          <cell r="I108">
            <v>279</v>
          </cell>
          <cell r="J108">
            <v>86.56</v>
          </cell>
          <cell r="K108">
            <v>103.11</v>
          </cell>
          <cell r="L108">
            <v>33.32</v>
          </cell>
        </row>
        <row r="109">
          <cell r="C109">
            <v>7097.33</v>
          </cell>
          <cell r="D109">
            <v>7036.79</v>
          </cell>
          <cell r="E109">
            <v>361</v>
          </cell>
          <cell r="F109">
            <v>7100</v>
          </cell>
          <cell r="G109">
            <v>6781.51</v>
          </cell>
          <cell r="H109">
            <v>6687.05</v>
          </cell>
          <cell r="I109">
            <v>331</v>
          </cell>
          <cell r="J109">
            <v>62.12</v>
          </cell>
          <cell r="K109">
            <v>78.41</v>
          </cell>
          <cell r="L109">
            <v>17.52</v>
          </cell>
        </row>
        <row r="110">
          <cell r="C110">
            <v>8220.2199999999993</v>
          </cell>
          <cell r="D110">
            <v>8161.7</v>
          </cell>
          <cell r="E110">
            <v>456</v>
          </cell>
          <cell r="F110">
            <v>8600</v>
          </cell>
          <cell r="G110">
            <v>8238.73</v>
          </cell>
          <cell r="H110">
            <v>8132.93</v>
          </cell>
          <cell r="I110">
            <v>429</v>
          </cell>
          <cell r="J110">
            <v>75.349999999999994</v>
          </cell>
          <cell r="K110">
            <v>91.23</v>
          </cell>
          <cell r="L110">
            <v>35.61</v>
          </cell>
        </row>
        <row r="111">
          <cell r="C111">
            <v>8069.74</v>
          </cell>
          <cell r="D111">
            <v>8019.58</v>
          </cell>
          <cell r="E111">
            <v>419</v>
          </cell>
          <cell r="F111">
            <v>8200</v>
          </cell>
          <cell r="G111">
            <v>7385.63</v>
          </cell>
          <cell r="H111">
            <v>7292.62</v>
          </cell>
          <cell r="I111">
            <v>397</v>
          </cell>
          <cell r="J111">
            <v>80.28</v>
          </cell>
          <cell r="K111">
            <v>88.39</v>
          </cell>
          <cell r="L111">
            <v>20.86</v>
          </cell>
        </row>
        <row r="112">
          <cell r="C112">
            <v>10764.94</v>
          </cell>
          <cell r="D112">
            <v>10688.06</v>
          </cell>
          <cell r="E112">
            <v>530</v>
          </cell>
          <cell r="F112">
            <v>10800</v>
          </cell>
          <cell r="G112">
            <v>10952.88</v>
          </cell>
          <cell r="H112">
            <v>10802.3</v>
          </cell>
          <cell r="I112">
            <v>529</v>
          </cell>
          <cell r="J112">
            <v>110.66</v>
          </cell>
          <cell r="K112">
            <v>127.33</v>
          </cell>
          <cell r="L112">
            <v>35.71</v>
          </cell>
        </row>
        <row r="113">
          <cell r="C113">
            <v>11176.45</v>
          </cell>
          <cell r="D113">
            <v>11063.09</v>
          </cell>
          <cell r="E113">
            <v>579</v>
          </cell>
          <cell r="F113">
            <v>10800</v>
          </cell>
          <cell r="G113">
            <v>9692.09</v>
          </cell>
          <cell r="H113">
            <v>9514.44</v>
          </cell>
          <cell r="I113">
            <v>445</v>
          </cell>
          <cell r="J113">
            <v>111.04</v>
          </cell>
          <cell r="K113">
            <v>126.56</v>
          </cell>
          <cell r="L113">
            <v>31.5</v>
          </cell>
        </row>
        <row r="114">
          <cell r="C114">
            <v>8692.27</v>
          </cell>
          <cell r="D114">
            <v>8620.6</v>
          </cell>
          <cell r="E114">
            <v>422</v>
          </cell>
          <cell r="F114">
            <v>11700</v>
          </cell>
          <cell r="G114">
            <v>11796.98</v>
          </cell>
          <cell r="H114">
            <v>11650.26</v>
          </cell>
          <cell r="I114">
            <v>506</v>
          </cell>
          <cell r="J114">
            <v>105.15</v>
          </cell>
          <cell r="K114">
            <v>122.56</v>
          </cell>
          <cell r="L114">
            <v>70.37</v>
          </cell>
        </row>
        <row r="115">
          <cell r="C115">
            <v>10049.06</v>
          </cell>
          <cell r="D115">
            <v>9987.15</v>
          </cell>
          <cell r="E115">
            <v>460</v>
          </cell>
          <cell r="F115">
            <v>6000</v>
          </cell>
          <cell r="G115">
            <v>5786.46</v>
          </cell>
          <cell r="H115">
            <v>5725.33</v>
          </cell>
          <cell r="I115">
            <v>328</v>
          </cell>
          <cell r="J115">
            <v>74.08</v>
          </cell>
          <cell r="K115">
            <v>91.43</v>
          </cell>
          <cell r="L115">
            <v>43.45</v>
          </cell>
        </row>
        <row r="116">
          <cell r="C116">
            <v>7468.81</v>
          </cell>
          <cell r="D116">
            <v>7409.55</v>
          </cell>
          <cell r="E116">
            <v>417</v>
          </cell>
          <cell r="F116">
            <v>7500</v>
          </cell>
          <cell r="G116">
            <v>6131.3</v>
          </cell>
          <cell r="H116">
            <v>6061.26</v>
          </cell>
          <cell r="I116">
            <v>316</v>
          </cell>
          <cell r="J116">
            <v>85.39</v>
          </cell>
          <cell r="K116">
            <v>101.06</v>
          </cell>
          <cell r="L116">
            <v>44.22</v>
          </cell>
        </row>
        <row r="117">
          <cell r="C117">
            <v>6944.13</v>
          </cell>
          <cell r="D117">
            <v>6889.42</v>
          </cell>
          <cell r="E117">
            <v>357</v>
          </cell>
          <cell r="F117">
            <v>8000</v>
          </cell>
          <cell r="G117">
            <v>7593.43</v>
          </cell>
          <cell r="H117">
            <v>7488.82</v>
          </cell>
          <cell r="I117">
            <v>377</v>
          </cell>
          <cell r="J117">
            <v>89.95</v>
          </cell>
          <cell r="K117">
            <v>98.48</v>
          </cell>
          <cell r="L117">
            <v>27.57</v>
          </cell>
        </row>
        <row r="118">
          <cell r="C118">
            <v>8591.5400000000009</v>
          </cell>
          <cell r="D118">
            <v>8540.7800000000007</v>
          </cell>
          <cell r="E118">
            <v>427</v>
          </cell>
          <cell r="F118">
            <v>8600</v>
          </cell>
          <cell r="G118">
            <v>7155.45</v>
          </cell>
          <cell r="H118">
            <v>7073.32</v>
          </cell>
          <cell r="I118">
            <v>377</v>
          </cell>
          <cell r="J118">
            <v>86.15</v>
          </cell>
          <cell r="K118">
            <v>94.33</v>
          </cell>
          <cell r="L118">
            <v>16.22</v>
          </cell>
        </row>
        <row r="119">
          <cell r="C119">
            <v>10350.33</v>
          </cell>
          <cell r="D119">
            <v>10288.450000000001</v>
          </cell>
          <cell r="E119">
            <v>528</v>
          </cell>
          <cell r="F119">
            <v>11000</v>
          </cell>
          <cell r="G119">
            <v>10088.24</v>
          </cell>
          <cell r="H119">
            <v>9938.98</v>
          </cell>
          <cell r="I119">
            <v>477</v>
          </cell>
          <cell r="J119">
            <v>117.02</v>
          </cell>
          <cell r="K119">
            <v>133.09</v>
          </cell>
          <cell r="L119">
            <v>40.65</v>
          </cell>
        </row>
        <row r="120">
          <cell r="C120">
            <v>9326.31</v>
          </cell>
          <cell r="D120">
            <v>9255.86</v>
          </cell>
          <cell r="E120">
            <v>442</v>
          </cell>
          <cell r="F120">
            <v>11200</v>
          </cell>
          <cell r="G120">
            <v>9293.2000000000007</v>
          </cell>
          <cell r="H120">
            <v>9158.61</v>
          </cell>
          <cell r="I120">
            <v>439</v>
          </cell>
          <cell r="J120">
            <v>120.06</v>
          </cell>
          <cell r="K120">
            <v>136.46</v>
          </cell>
          <cell r="L120">
            <v>37.659999999999997</v>
          </cell>
        </row>
        <row r="121">
          <cell r="C121">
            <v>11986.85</v>
          </cell>
          <cell r="D121">
            <v>11923.07</v>
          </cell>
          <cell r="E121">
            <v>516</v>
          </cell>
          <cell r="F121">
            <v>12000</v>
          </cell>
          <cell r="G121">
            <v>11616.9</v>
          </cell>
          <cell r="H121">
            <v>11493.56</v>
          </cell>
          <cell r="I121">
            <v>512</v>
          </cell>
          <cell r="J121">
            <v>108.84</v>
          </cell>
          <cell r="K121">
            <v>125.17</v>
          </cell>
          <cell r="L121">
            <v>43.22</v>
          </cell>
        </row>
        <row r="122">
          <cell r="C122">
            <v>6554.79</v>
          </cell>
          <cell r="D122">
            <v>6506</v>
          </cell>
          <cell r="E122">
            <v>356</v>
          </cell>
          <cell r="F122">
            <v>6600</v>
          </cell>
          <cell r="G122">
            <v>5942.27</v>
          </cell>
          <cell r="H122">
            <v>5881.68</v>
          </cell>
          <cell r="I122">
            <v>322</v>
          </cell>
          <cell r="J122">
            <v>74.569999999999993</v>
          </cell>
          <cell r="K122">
            <v>91.05</v>
          </cell>
          <cell r="L122">
            <v>27.74</v>
          </cell>
        </row>
        <row r="123">
          <cell r="C123">
            <v>7276.89</v>
          </cell>
          <cell r="D123">
            <v>7221.49</v>
          </cell>
          <cell r="E123">
            <v>375</v>
          </cell>
          <cell r="F123">
            <v>7000</v>
          </cell>
          <cell r="G123">
            <v>6765.75</v>
          </cell>
          <cell r="H123">
            <v>6684.74</v>
          </cell>
          <cell r="I123">
            <v>342</v>
          </cell>
          <cell r="J123">
            <v>62.85</v>
          </cell>
          <cell r="K123">
            <v>79.239999999999995</v>
          </cell>
          <cell r="L123">
            <v>44.75</v>
          </cell>
        </row>
        <row r="124">
          <cell r="C124">
            <v>8715.41</v>
          </cell>
          <cell r="D124">
            <v>8662.0300000000007</v>
          </cell>
          <cell r="E124">
            <v>424</v>
          </cell>
          <cell r="F124">
            <v>8700</v>
          </cell>
          <cell r="G124">
            <v>8672</v>
          </cell>
          <cell r="H124">
            <v>8539.57</v>
          </cell>
          <cell r="I124">
            <v>423</v>
          </cell>
          <cell r="J124">
            <v>87.56</v>
          </cell>
          <cell r="K124">
            <v>102.5</v>
          </cell>
          <cell r="L124">
            <v>38.17</v>
          </cell>
        </row>
        <row r="125">
          <cell r="C125">
            <v>13404.83</v>
          </cell>
          <cell r="D125">
            <v>13291.58</v>
          </cell>
          <cell r="E125">
            <v>616</v>
          </cell>
          <cell r="F125">
            <v>9000</v>
          </cell>
          <cell r="G125">
            <v>10250.950000000001</v>
          </cell>
          <cell r="H125">
            <v>10124.74</v>
          </cell>
          <cell r="I125">
            <v>518</v>
          </cell>
          <cell r="J125">
            <v>81.319999999999993</v>
          </cell>
          <cell r="K125">
            <v>98.09</v>
          </cell>
          <cell r="L125">
            <v>26.15</v>
          </cell>
        </row>
        <row r="126">
          <cell r="C126">
            <v>9180.7000000000007</v>
          </cell>
          <cell r="D126">
            <v>9116.2900000000009</v>
          </cell>
          <cell r="E126">
            <v>456</v>
          </cell>
          <cell r="F126">
            <v>12700</v>
          </cell>
          <cell r="G126">
            <v>13660.39</v>
          </cell>
          <cell r="H126">
            <v>13485.22</v>
          </cell>
          <cell r="I126">
            <v>671</v>
          </cell>
          <cell r="J126">
            <v>109.97</v>
          </cell>
          <cell r="K126">
            <v>126.43</v>
          </cell>
          <cell r="L126">
            <v>26.93</v>
          </cell>
        </row>
        <row r="127">
          <cell r="C127">
            <v>9290.24</v>
          </cell>
          <cell r="D127">
            <v>9227.15</v>
          </cell>
          <cell r="E127">
            <v>451</v>
          </cell>
          <cell r="F127">
            <v>9200</v>
          </cell>
          <cell r="G127">
            <v>9767.8799999999992</v>
          </cell>
          <cell r="H127">
            <v>9630.26</v>
          </cell>
          <cell r="I127">
            <v>452</v>
          </cell>
          <cell r="J127">
            <v>92.66</v>
          </cell>
          <cell r="K127">
            <v>108.18</v>
          </cell>
          <cell r="L127">
            <v>27.95</v>
          </cell>
        </row>
        <row r="128">
          <cell r="C128">
            <v>10983.44</v>
          </cell>
          <cell r="D128">
            <v>10893.65</v>
          </cell>
          <cell r="E128">
            <v>477</v>
          </cell>
          <cell r="F128">
            <v>10800</v>
          </cell>
          <cell r="G128">
            <v>12091.88</v>
          </cell>
          <cell r="H128">
            <v>11964.98</v>
          </cell>
          <cell r="I128">
            <v>556</v>
          </cell>
          <cell r="J128">
            <v>99.98</v>
          </cell>
          <cell r="K128">
            <v>116.22</v>
          </cell>
          <cell r="L128">
            <v>19.079999999999998</v>
          </cell>
        </row>
        <row r="129">
          <cell r="C129">
            <v>5960.77</v>
          </cell>
          <cell r="D129">
            <v>5933.41</v>
          </cell>
          <cell r="E129">
            <v>337</v>
          </cell>
          <cell r="F129">
            <v>6000</v>
          </cell>
          <cell r="G129">
            <v>5648.54</v>
          </cell>
          <cell r="H129">
            <v>5605.02</v>
          </cell>
          <cell r="I129">
            <v>303</v>
          </cell>
          <cell r="J129">
            <v>76.739999999999995</v>
          </cell>
          <cell r="K129">
            <v>93.26</v>
          </cell>
          <cell r="L129">
            <v>34.200000000000003</v>
          </cell>
        </row>
        <row r="130">
          <cell r="C130">
            <v>6783.59</v>
          </cell>
          <cell r="D130">
            <v>6754.97</v>
          </cell>
          <cell r="E130">
            <v>331</v>
          </cell>
          <cell r="F130">
            <v>6700</v>
          </cell>
          <cell r="G130">
            <v>6623.68</v>
          </cell>
          <cell r="H130">
            <v>6533.52</v>
          </cell>
          <cell r="I130">
            <v>337</v>
          </cell>
          <cell r="J130">
            <v>79.14</v>
          </cell>
          <cell r="K130">
            <v>96.19</v>
          </cell>
          <cell r="L130">
            <v>46.29</v>
          </cell>
        </row>
        <row r="131">
          <cell r="C131">
            <v>9459.85</v>
          </cell>
          <cell r="D131">
            <v>9387.65</v>
          </cell>
          <cell r="E131">
            <v>443</v>
          </cell>
          <cell r="F131">
            <v>9100</v>
          </cell>
          <cell r="G131">
            <v>8341.83</v>
          </cell>
          <cell r="H131">
            <v>8237.1299999999992</v>
          </cell>
          <cell r="I131">
            <v>407</v>
          </cell>
          <cell r="J131">
            <v>86.9</v>
          </cell>
          <cell r="K131">
            <v>103.06</v>
          </cell>
          <cell r="L131">
            <v>16.47</v>
          </cell>
        </row>
        <row r="132">
          <cell r="C132">
            <v>9439.09</v>
          </cell>
          <cell r="D132">
            <v>9367.5300000000007</v>
          </cell>
          <cell r="E132">
            <v>435</v>
          </cell>
          <cell r="F132">
            <v>8700</v>
          </cell>
          <cell r="G132">
            <v>9588.83</v>
          </cell>
          <cell r="H132">
            <v>9491.39</v>
          </cell>
          <cell r="I132">
            <v>473</v>
          </cell>
          <cell r="J132">
            <v>73.11</v>
          </cell>
          <cell r="K132">
            <v>89.51</v>
          </cell>
          <cell r="L132">
            <v>50.76</v>
          </cell>
        </row>
        <row r="133">
          <cell r="C133">
            <v>8258.57</v>
          </cell>
          <cell r="D133">
            <v>8212.42</v>
          </cell>
          <cell r="E133">
            <v>436</v>
          </cell>
          <cell r="F133">
            <v>12500</v>
          </cell>
          <cell r="G133">
            <v>9801.5300000000007</v>
          </cell>
          <cell r="H133">
            <v>9699.3799999999992</v>
          </cell>
          <cell r="I133">
            <v>442</v>
          </cell>
          <cell r="J133">
            <v>126.88</v>
          </cell>
          <cell r="K133">
            <v>134.38</v>
          </cell>
          <cell r="L133">
            <v>17.98</v>
          </cell>
        </row>
        <row r="134">
          <cell r="C134">
            <v>8706.59</v>
          </cell>
          <cell r="D134">
            <v>8657.7800000000007</v>
          </cell>
          <cell r="E134">
            <v>437</v>
          </cell>
          <cell r="F134">
            <v>8700</v>
          </cell>
          <cell r="G134">
            <v>9136.15</v>
          </cell>
          <cell r="H134">
            <v>9033.26</v>
          </cell>
          <cell r="I134">
            <v>396</v>
          </cell>
          <cell r="J134">
            <v>91.18</v>
          </cell>
          <cell r="K134">
            <v>112.11</v>
          </cell>
          <cell r="L134">
            <v>27.28</v>
          </cell>
        </row>
        <row r="135">
          <cell r="C135">
            <v>9967.56</v>
          </cell>
          <cell r="D135">
            <v>9898.58</v>
          </cell>
          <cell r="E135">
            <v>458</v>
          </cell>
          <cell r="F135">
            <v>10000</v>
          </cell>
          <cell r="G135">
            <v>11972.2</v>
          </cell>
          <cell r="H135">
            <v>11846.07</v>
          </cell>
          <cell r="I135">
            <v>536</v>
          </cell>
          <cell r="J135">
            <v>96.83</v>
          </cell>
          <cell r="K135">
            <v>113.48</v>
          </cell>
          <cell r="L135">
            <v>25.53</v>
          </cell>
        </row>
        <row r="136">
          <cell r="C136">
            <v>6165.59</v>
          </cell>
          <cell r="D136">
            <v>6122.03</v>
          </cell>
          <cell r="E136">
            <v>348</v>
          </cell>
          <cell r="F136">
            <v>6000</v>
          </cell>
          <cell r="G136">
            <v>5604.08</v>
          </cell>
          <cell r="H136">
            <v>5560.02</v>
          </cell>
          <cell r="I136">
            <v>303</v>
          </cell>
          <cell r="J136">
            <v>55.55</v>
          </cell>
          <cell r="K136">
            <v>73.83</v>
          </cell>
          <cell r="L136">
            <v>27.32</v>
          </cell>
        </row>
        <row r="137">
          <cell r="C137">
            <v>7011.27</v>
          </cell>
          <cell r="D137">
            <v>6962.49</v>
          </cell>
          <cell r="E137">
            <v>395</v>
          </cell>
          <cell r="F137">
            <v>6700</v>
          </cell>
          <cell r="G137">
            <v>6590.67</v>
          </cell>
          <cell r="H137">
            <v>6534.42</v>
          </cell>
          <cell r="I137">
            <v>342</v>
          </cell>
          <cell r="J137">
            <v>65.58</v>
          </cell>
          <cell r="K137">
            <v>82.51</v>
          </cell>
          <cell r="L137">
            <v>24.49</v>
          </cell>
        </row>
        <row r="138">
          <cell r="C138">
            <v>8511.9500000000007</v>
          </cell>
          <cell r="D138">
            <v>8453.32</v>
          </cell>
          <cell r="E138">
            <v>458</v>
          </cell>
          <cell r="F138">
            <v>9200</v>
          </cell>
          <cell r="G138">
            <v>10441.74</v>
          </cell>
          <cell r="H138">
            <v>10308.83</v>
          </cell>
          <cell r="I138">
            <v>530</v>
          </cell>
          <cell r="J138">
            <v>86.79</v>
          </cell>
          <cell r="K138">
            <v>104.54</v>
          </cell>
          <cell r="L138">
            <v>27.68</v>
          </cell>
        </row>
        <row r="139">
          <cell r="C139">
            <v>6766.95</v>
          </cell>
          <cell r="D139">
            <v>6727.28</v>
          </cell>
          <cell r="E139">
            <v>356</v>
          </cell>
          <cell r="F139">
            <v>10100</v>
          </cell>
          <cell r="G139">
            <v>7326.35</v>
          </cell>
          <cell r="H139">
            <v>7247.23</v>
          </cell>
          <cell r="I139">
            <v>316</v>
          </cell>
          <cell r="J139">
            <v>62.85</v>
          </cell>
          <cell r="K139">
            <v>77.42</v>
          </cell>
          <cell r="L139">
            <v>27.29</v>
          </cell>
        </row>
        <row r="140">
          <cell r="C140">
            <v>10766.93</v>
          </cell>
          <cell r="D140">
            <v>10696.05</v>
          </cell>
          <cell r="E140">
            <v>589</v>
          </cell>
          <cell r="F140">
            <v>10500</v>
          </cell>
          <cell r="G140">
            <v>7411.87</v>
          </cell>
          <cell r="H140">
            <v>7310.59</v>
          </cell>
          <cell r="I140">
            <v>355</v>
          </cell>
          <cell r="J140">
            <v>92.9</v>
          </cell>
          <cell r="K140">
            <v>109.34</v>
          </cell>
          <cell r="L140">
            <v>14.9</v>
          </cell>
        </row>
        <row r="141">
          <cell r="C141">
            <v>11085.93</v>
          </cell>
          <cell r="D141">
            <v>10993.49</v>
          </cell>
          <cell r="E141">
            <v>511</v>
          </cell>
          <cell r="F141">
            <v>10000</v>
          </cell>
          <cell r="G141">
            <v>8146.5</v>
          </cell>
          <cell r="H141">
            <v>8053.78</v>
          </cell>
          <cell r="I141">
            <v>376</v>
          </cell>
          <cell r="J141">
            <v>85.39</v>
          </cell>
          <cell r="K141">
            <v>102.03</v>
          </cell>
          <cell r="L141">
            <v>30.13</v>
          </cell>
        </row>
        <row r="142">
          <cell r="C142">
            <v>10740.46</v>
          </cell>
          <cell r="D142">
            <v>10677.92</v>
          </cell>
          <cell r="E142">
            <v>473</v>
          </cell>
          <cell r="F142">
            <v>10500</v>
          </cell>
          <cell r="G142">
            <v>11016.93</v>
          </cell>
          <cell r="H142">
            <v>10913.35</v>
          </cell>
          <cell r="I142">
            <v>483</v>
          </cell>
          <cell r="J142">
            <v>100.45</v>
          </cell>
          <cell r="K142">
            <v>116.11</v>
          </cell>
          <cell r="L142">
            <v>35.72</v>
          </cell>
        </row>
        <row r="143">
          <cell r="C143">
            <v>5507.69</v>
          </cell>
          <cell r="D143">
            <v>5486.89</v>
          </cell>
          <cell r="E143">
            <v>305</v>
          </cell>
          <cell r="F143">
            <v>5400</v>
          </cell>
          <cell r="G143">
            <v>5459.31</v>
          </cell>
          <cell r="H143">
            <v>5422.67</v>
          </cell>
          <cell r="I143">
            <v>294</v>
          </cell>
          <cell r="J143">
            <v>74.010000000000005</v>
          </cell>
          <cell r="K143">
            <v>90.37</v>
          </cell>
          <cell r="L143">
            <v>19.96</v>
          </cell>
        </row>
        <row r="144">
          <cell r="C144">
            <v>7497.3</v>
          </cell>
          <cell r="D144">
            <v>7444.61</v>
          </cell>
          <cell r="E144">
            <v>394</v>
          </cell>
          <cell r="F144">
            <v>6400</v>
          </cell>
          <cell r="G144">
            <v>6839.98</v>
          </cell>
          <cell r="H144">
            <v>6784</v>
          </cell>
          <cell r="I144">
            <v>364</v>
          </cell>
          <cell r="J144">
            <v>83.4</v>
          </cell>
          <cell r="K144">
            <v>99.14</v>
          </cell>
          <cell r="L144">
            <v>5.87</v>
          </cell>
        </row>
        <row r="145">
          <cell r="C145">
            <v>8602.66</v>
          </cell>
          <cell r="D145">
            <v>8546.14</v>
          </cell>
          <cell r="E145">
            <v>457</v>
          </cell>
          <cell r="F145">
            <v>8300</v>
          </cell>
          <cell r="G145">
            <v>7302.07</v>
          </cell>
          <cell r="H145">
            <v>7242.17</v>
          </cell>
          <cell r="I145">
            <v>388</v>
          </cell>
          <cell r="J145">
            <v>81.17</v>
          </cell>
          <cell r="K145">
            <v>98.37</v>
          </cell>
          <cell r="L145">
            <v>29.02</v>
          </cell>
        </row>
        <row r="146">
          <cell r="C146">
            <v>6893.72</v>
          </cell>
          <cell r="D146">
            <v>6855.97</v>
          </cell>
          <cell r="E146">
            <v>371</v>
          </cell>
          <cell r="F146">
            <v>6600</v>
          </cell>
          <cell r="G146">
            <v>6816.2</v>
          </cell>
          <cell r="H146">
            <v>6770.65</v>
          </cell>
          <cell r="I146">
            <v>370</v>
          </cell>
          <cell r="J146">
            <v>73.2</v>
          </cell>
          <cell r="K146">
            <v>89.39</v>
          </cell>
          <cell r="L146">
            <v>42.56</v>
          </cell>
        </row>
        <row r="147">
          <cell r="C147">
            <v>11466.09</v>
          </cell>
          <cell r="D147">
            <v>11397.76</v>
          </cell>
          <cell r="E147">
            <v>609</v>
          </cell>
          <cell r="F147">
            <v>11000</v>
          </cell>
          <cell r="G147">
            <v>9467.7800000000007</v>
          </cell>
          <cell r="H147">
            <v>9393.7800000000007</v>
          </cell>
          <cell r="I147">
            <v>498</v>
          </cell>
          <cell r="J147">
            <v>106.45</v>
          </cell>
          <cell r="K147">
            <v>122.48</v>
          </cell>
          <cell r="L147">
            <v>10.39</v>
          </cell>
        </row>
        <row r="148">
          <cell r="C148">
            <v>11087.32</v>
          </cell>
          <cell r="D148">
            <v>10998.16</v>
          </cell>
          <cell r="E148">
            <v>519</v>
          </cell>
          <cell r="F148">
            <v>10400</v>
          </cell>
          <cell r="G148">
            <v>9724.7099999999991</v>
          </cell>
          <cell r="H148">
            <v>9614.5400000000009</v>
          </cell>
          <cell r="I148">
            <v>480</v>
          </cell>
          <cell r="J148">
            <v>102.31</v>
          </cell>
          <cell r="K148">
            <v>86</v>
          </cell>
          <cell r="L148">
            <v>14.9</v>
          </cell>
        </row>
        <row r="149">
          <cell r="C149">
            <v>9946.9599999999991</v>
          </cell>
          <cell r="D149">
            <v>9882.5499999999993</v>
          </cell>
          <cell r="E149">
            <v>445</v>
          </cell>
          <cell r="F149">
            <v>11300</v>
          </cell>
          <cell r="G149">
            <v>10506.11</v>
          </cell>
          <cell r="H149">
            <v>10412.44</v>
          </cell>
          <cell r="I149">
            <v>504</v>
          </cell>
          <cell r="J149">
            <v>91.75</v>
          </cell>
          <cell r="K149">
            <v>108.34</v>
          </cell>
          <cell r="L149">
            <v>34.69</v>
          </cell>
        </row>
        <row r="150">
          <cell r="C150">
            <v>5539.16</v>
          </cell>
          <cell r="D150">
            <v>5515.1</v>
          </cell>
          <cell r="E150">
            <v>325</v>
          </cell>
          <cell r="F150">
            <v>9200</v>
          </cell>
          <cell r="G150">
            <v>9342.1200000000008</v>
          </cell>
          <cell r="H150">
            <v>9258.81</v>
          </cell>
          <cell r="I150">
            <v>434</v>
          </cell>
          <cell r="J150">
            <v>87.15</v>
          </cell>
          <cell r="K150">
            <v>103.56</v>
          </cell>
          <cell r="L150">
            <v>30.59</v>
          </cell>
        </row>
        <row r="151">
          <cell r="C151">
            <v>6388.07</v>
          </cell>
          <cell r="D151">
            <v>6348.34</v>
          </cell>
          <cell r="E151">
            <v>347</v>
          </cell>
          <cell r="F151">
            <v>6200</v>
          </cell>
          <cell r="G151">
            <v>6334.04</v>
          </cell>
          <cell r="H151">
            <v>6290.44</v>
          </cell>
          <cell r="I151">
            <v>369</v>
          </cell>
          <cell r="J151">
            <v>79.14</v>
          </cell>
          <cell r="K151">
            <v>96.19</v>
          </cell>
          <cell r="L151">
            <v>27.02</v>
          </cell>
        </row>
        <row r="152">
          <cell r="C152">
            <v>9960.1</v>
          </cell>
          <cell r="D152">
            <v>9847.42</v>
          </cell>
          <cell r="E152">
            <v>484</v>
          </cell>
          <cell r="F152">
            <v>9600</v>
          </cell>
          <cell r="G152">
            <v>7640.97</v>
          </cell>
          <cell r="H152">
            <v>7574.62</v>
          </cell>
          <cell r="I152">
            <v>398</v>
          </cell>
          <cell r="J152">
            <v>76.69</v>
          </cell>
          <cell r="K152">
            <v>93.48</v>
          </cell>
          <cell r="L152">
            <v>40.31</v>
          </cell>
        </row>
        <row r="153">
          <cell r="C153">
            <v>10586.23</v>
          </cell>
          <cell r="D153">
            <v>10504.92</v>
          </cell>
          <cell r="E153">
            <v>482</v>
          </cell>
          <cell r="F153">
            <v>6500</v>
          </cell>
          <cell r="G153">
            <v>6572.31</v>
          </cell>
          <cell r="H153">
            <v>6526.06</v>
          </cell>
          <cell r="I153">
            <v>341</v>
          </cell>
          <cell r="J153">
            <v>76.47</v>
          </cell>
          <cell r="K153">
            <v>91.42</v>
          </cell>
          <cell r="L153">
            <v>22.84</v>
          </cell>
        </row>
        <row r="154">
          <cell r="C154">
            <v>7851.25</v>
          </cell>
          <cell r="D154">
            <v>7788.74</v>
          </cell>
          <cell r="E154">
            <v>385</v>
          </cell>
          <cell r="F154">
            <v>8700</v>
          </cell>
          <cell r="G154">
            <v>10381.89</v>
          </cell>
          <cell r="H154">
            <v>10287.74</v>
          </cell>
          <cell r="I154">
            <v>552</v>
          </cell>
          <cell r="J154">
            <v>103.31</v>
          </cell>
          <cell r="K154">
            <v>119.2</v>
          </cell>
          <cell r="L154">
            <v>43.97</v>
          </cell>
        </row>
        <row r="155">
          <cell r="C155">
            <v>8502.51</v>
          </cell>
          <cell r="D155">
            <v>8421.7999999999993</v>
          </cell>
          <cell r="E155">
            <v>397</v>
          </cell>
          <cell r="F155">
            <v>8500</v>
          </cell>
          <cell r="G155">
            <v>9278.73</v>
          </cell>
          <cell r="H155">
            <v>9190.26</v>
          </cell>
          <cell r="I155">
            <v>470</v>
          </cell>
          <cell r="J155">
            <v>86.26</v>
          </cell>
          <cell r="K155">
            <v>102.49</v>
          </cell>
          <cell r="L155">
            <v>18.78</v>
          </cell>
        </row>
        <row r="156">
          <cell r="C156">
            <v>13439.5</v>
          </cell>
          <cell r="D156">
            <v>13340.61</v>
          </cell>
          <cell r="E156">
            <v>607</v>
          </cell>
          <cell r="F156">
            <v>12500</v>
          </cell>
          <cell r="G156">
            <v>10650.32</v>
          </cell>
          <cell r="H156">
            <v>10564</v>
          </cell>
          <cell r="I156">
            <v>446</v>
          </cell>
          <cell r="J156">
            <v>92.28</v>
          </cell>
          <cell r="K156">
            <v>109.55</v>
          </cell>
          <cell r="L156">
            <v>45.38</v>
          </cell>
        </row>
        <row r="157">
          <cell r="C157">
            <v>7085.34</v>
          </cell>
          <cell r="D157">
            <v>7052.17</v>
          </cell>
          <cell r="E157">
            <v>371</v>
          </cell>
          <cell r="F157">
            <v>7100</v>
          </cell>
          <cell r="G157">
            <v>7269.85</v>
          </cell>
          <cell r="H157">
            <v>7224.27</v>
          </cell>
          <cell r="I157">
            <v>372</v>
          </cell>
          <cell r="J157">
            <v>82.96</v>
          </cell>
          <cell r="K157">
            <v>98.58</v>
          </cell>
          <cell r="L157">
            <v>27.78</v>
          </cell>
        </row>
        <row r="158">
          <cell r="C158">
            <v>7003.09</v>
          </cell>
          <cell r="D158">
            <v>6953.61</v>
          </cell>
          <cell r="E158">
            <v>385</v>
          </cell>
          <cell r="F158">
            <v>7000</v>
          </cell>
          <cell r="G158">
            <v>7052.37</v>
          </cell>
          <cell r="H158">
            <v>6999.72</v>
          </cell>
          <cell r="I158">
            <v>346</v>
          </cell>
          <cell r="J158">
            <v>75.87</v>
          </cell>
          <cell r="K158">
            <v>84.33</v>
          </cell>
          <cell r="L158">
            <v>38.39</v>
          </cell>
        </row>
        <row r="159">
          <cell r="C159">
            <v>8367.66</v>
          </cell>
          <cell r="D159">
            <v>8292.2099999999991</v>
          </cell>
          <cell r="E159">
            <v>426</v>
          </cell>
          <cell r="F159">
            <v>8400</v>
          </cell>
          <cell r="G159">
            <v>9304.18</v>
          </cell>
          <cell r="H159">
            <v>9191.59</v>
          </cell>
          <cell r="I159">
            <v>435</v>
          </cell>
          <cell r="J159">
            <v>89.78</v>
          </cell>
          <cell r="K159">
            <v>105.34</v>
          </cell>
          <cell r="L159">
            <v>29.54</v>
          </cell>
        </row>
        <row r="160">
          <cell r="C160">
            <v>8390.48</v>
          </cell>
          <cell r="D160">
            <v>8345.59</v>
          </cell>
          <cell r="E160">
            <v>451</v>
          </cell>
          <cell r="F160">
            <v>8400</v>
          </cell>
          <cell r="G160">
            <v>8062.9</v>
          </cell>
          <cell r="H160">
            <v>7985.96</v>
          </cell>
          <cell r="I160">
            <v>407</v>
          </cell>
          <cell r="J160">
            <v>80.900000000000006</v>
          </cell>
          <cell r="K160">
            <v>96.08</v>
          </cell>
          <cell r="L160">
            <v>33.840000000000003</v>
          </cell>
        </row>
        <row r="161">
          <cell r="C161">
            <v>10943.55</v>
          </cell>
          <cell r="D161">
            <v>10855.71</v>
          </cell>
          <cell r="E161">
            <v>529</v>
          </cell>
          <cell r="F161">
            <v>10900</v>
          </cell>
          <cell r="G161">
            <v>11291.67</v>
          </cell>
          <cell r="H161">
            <v>11125</v>
          </cell>
          <cell r="I161">
            <v>531</v>
          </cell>
          <cell r="J161">
            <v>117.79</v>
          </cell>
          <cell r="K161">
            <v>125.32</v>
          </cell>
          <cell r="L161">
            <v>41.51</v>
          </cell>
        </row>
        <row r="162">
          <cell r="C162">
            <v>9475.9500000000007</v>
          </cell>
          <cell r="D162">
            <v>9400.4500000000007</v>
          </cell>
          <cell r="E162">
            <v>433</v>
          </cell>
          <cell r="F162">
            <v>9500</v>
          </cell>
          <cell r="G162">
            <v>10550.46</v>
          </cell>
          <cell r="H162">
            <v>10419.370000000001</v>
          </cell>
          <cell r="I162">
            <v>464</v>
          </cell>
          <cell r="J162">
            <v>105.82</v>
          </cell>
          <cell r="K162">
            <v>120.36</v>
          </cell>
          <cell r="L162">
            <v>33.44</v>
          </cell>
        </row>
        <row r="163">
          <cell r="C163">
            <v>11498.68</v>
          </cell>
          <cell r="D163">
            <v>11411.57</v>
          </cell>
          <cell r="E163">
            <v>546</v>
          </cell>
          <cell r="F163">
            <v>11500</v>
          </cell>
          <cell r="G163">
            <v>13403.47</v>
          </cell>
          <cell r="H163">
            <v>13217.94</v>
          </cell>
          <cell r="I163">
            <v>635</v>
          </cell>
          <cell r="J163">
            <v>105.76</v>
          </cell>
          <cell r="K163">
            <v>122.01</v>
          </cell>
          <cell r="L163">
            <v>44.57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87">
          <cell r="G387">
            <v>533.21999999999991</v>
          </cell>
          <cell r="H387">
            <v>469.21</v>
          </cell>
          <cell r="I387">
            <v>663.78</v>
          </cell>
          <cell r="J387">
            <v>522.66999999999996</v>
          </cell>
          <cell r="K387">
            <v>601.79999999999995</v>
          </cell>
          <cell r="L387">
            <v>106.27000000000001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-6.2899999999999974</v>
          </cell>
          <cell r="H388">
            <v>-65.38000000000001</v>
          </cell>
          <cell r="I388">
            <v>-60.960000000000008</v>
          </cell>
          <cell r="J388">
            <v>-5.57</v>
          </cell>
          <cell r="K388">
            <v>53.110000000000007</v>
          </cell>
          <cell r="L388">
            <v>40.809999999999995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26.23</v>
          </cell>
          <cell r="H389">
            <v>25.099999999999998</v>
          </cell>
          <cell r="I389">
            <v>41.66</v>
          </cell>
          <cell r="J389">
            <v>38.799999999999997</v>
          </cell>
          <cell r="K389">
            <v>79.69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025-2026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2025"/>
    </sheetNames>
    <sheetDataSet>
      <sheetData sheetId="0">
        <row r="5">
          <cell r="C5">
            <v>0</v>
          </cell>
        </row>
        <row r="6">
          <cell r="C6">
            <v>0</v>
          </cell>
        </row>
        <row r="7">
          <cell r="C7">
            <v>12839.55</v>
          </cell>
        </row>
        <row r="8">
          <cell r="C8">
            <v>10022.68</v>
          </cell>
        </row>
        <row r="9">
          <cell r="C9">
            <v>9475.9599999999991</v>
          </cell>
        </row>
        <row r="10">
          <cell r="C10">
            <v>6023.78</v>
          </cell>
        </row>
        <row r="11">
          <cell r="C11">
            <v>7687.29</v>
          </cell>
        </row>
        <row r="12">
          <cell r="C12">
            <v>8072.02</v>
          </cell>
        </row>
        <row r="13">
          <cell r="C13">
            <v>6736.44</v>
          </cell>
        </row>
        <row r="14">
          <cell r="C14">
            <v>11628.79</v>
          </cell>
        </row>
        <row r="15">
          <cell r="C15">
            <v>10936.76</v>
          </cell>
        </row>
        <row r="16">
          <cell r="C16">
            <v>10609.82</v>
          </cell>
        </row>
        <row r="17">
          <cell r="C17">
            <v>4953.32</v>
          </cell>
        </row>
        <row r="18">
          <cell r="C18">
            <v>5811.36</v>
          </cell>
        </row>
        <row r="19">
          <cell r="C19">
            <v>6914.48</v>
          </cell>
        </row>
        <row r="20">
          <cell r="C20">
            <v>6677.52</v>
          </cell>
        </row>
        <row r="21">
          <cell r="C21">
            <v>9842.73</v>
          </cell>
        </row>
        <row r="22">
          <cell r="C22">
            <v>11066.09</v>
          </cell>
        </row>
        <row r="23">
          <cell r="C23">
            <v>10097.530000000001</v>
          </cell>
        </row>
        <row r="24">
          <cell r="C24">
            <v>5007.1499999999996</v>
          </cell>
        </row>
        <row r="25">
          <cell r="C25">
            <v>5415.08</v>
          </cell>
        </row>
        <row r="26">
          <cell r="C26">
            <v>7307.85</v>
          </cell>
        </row>
        <row r="27">
          <cell r="C27">
            <v>5095.41</v>
          </cell>
        </row>
        <row r="28">
          <cell r="C28">
            <v>9856.76</v>
          </cell>
        </row>
        <row r="29">
          <cell r="C29">
            <v>9807.58</v>
          </cell>
        </row>
        <row r="30">
          <cell r="C30">
            <v>8471.93</v>
          </cell>
        </row>
        <row r="31">
          <cell r="C31">
            <v>4808.07</v>
          </cell>
        </row>
        <row r="32">
          <cell r="C32">
            <v>5540.29</v>
          </cell>
        </row>
        <row r="33">
          <cell r="C33">
            <v>6638.42</v>
          </cell>
        </row>
        <row r="34">
          <cell r="C34">
            <v>6512.83</v>
          </cell>
        </row>
        <row r="35">
          <cell r="C35">
            <v>9878.69</v>
          </cell>
        </row>
        <row r="36">
          <cell r="C36">
            <v>10171.48</v>
          </cell>
        </row>
        <row r="37">
          <cell r="C37">
            <v>9002.02</v>
          </cell>
        </row>
        <row r="38">
          <cell r="C38">
            <v>5278.3</v>
          </cell>
        </row>
        <row r="39">
          <cell r="C39">
            <v>6621.37</v>
          </cell>
        </row>
        <row r="40">
          <cell r="C40">
            <v>7130.36</v>
          </cell>
        </row>
        <row r="41">
          <cell r="C41">
            <v>6847.76</v>
          </cell>
        </row>
        <row r="42">
          <cell r="C42">
            <v>10002.799999999999</v>
          </cell>
        </row>
        <row r="43">
          <cell r="C43">
            <v>9794.51</v>
          </cell>
        </row>
        <row r="44">
          <cell r="C44">
            <v>8801.08</v>
          </cell>
        </row>
        <row r="45">
          <cell r="C45">
            <v>4994.68</v>
          </cell>
        </row>
        <row r="46">
          <cell r="C46">
            <v>6942.4</v>
          </cell>
        </row>
        <row r="47">
          <cell r="C47">
            <v>8019.71</v>
          </cell>
        </row>
        <row r="48">
          <cell r="C48">
            <v>7294.99</v>
          </cell>
        </row>
        <row r="49">
          <cell r="C49">
            <v>12804.41</v>
          </cell>
        </row>
        <row r="50">
          <cell r="C50">
            <v>11235.73</v>
          </cell>
        </row>
        <row r="51">
          <cell r="C51">
            <v>10251.629999999999</v>
          </cell>
        </row>
        <row r="52">
          <cell r="C52">
            <v>5192.24</v>
          </cell>
        </row>
        <row r="53">
          <cell r="C53">
            <v>6920.9</v>
          </cell>
        </row>
        <row r="54">
          <cell r="C54">
            <v>7965.52</v>
          </cell>
        </row>
        <row r="55">
          <cell r="C55">
            <v>5782.78</v>
          </cell>
        </row>
        <row r="56">
          <cell r="C56">
            <v>10620.61</v>
          </cell>
        </row>
        <row r="57">
          <cell r="C57">
            <v>10030.07</v>
          </cell>
        </row>
        <row r="58">
          <cell r="C58">
            <v>8767.44</v>
          </cell>
        </row>
        <row r="59">
          <cell r="C59">
            <v>5990.71</v>
          </cell>
        </row>
        <row r="60">
          <cell r="C60">
            <v>7114.14</v>
          </cell>
        </row>
        <row r="61">
          <cell r="C61">
            <v>6519.04</v>
          </cell>
        </row>
        <row r="62">
          <cell r="C62">
            <v>8451.15</v>
          </cell>
        </row>
        <row r="63">
          <cell r="C63">
            <v>10800.06</v>
          </cell>
        </row>
        <row r="64">
          <cell r="C64">
            <v>9292.85</v>
          </cell>
        </row>
        <row r="65">
          <cell r="C65">
            <v>10109.26</v>
          </cell>
        </row>
        <row r="66">
          <cell r="C66">
            <v>6241.38</v>
          </cell>
        </row>
        <row r="67">
          <cell r="C67">
            <v>6386.65</v>
          </cell>
        </row>
        <row r="68">
          <cell r="C68">
            <v>7552.34</v>
          </cell>
        </row>
        <row r="69">
          <cell r="C69">
            <v>7269.29</v>
          </cell>
        </row>
        <row r="70">
          <cell r="C70">
            <v>9805.7199999999993</v>
          </cell>
        </row>
        <row r="71">
          <cell r="C71">
            <v>9397.75</v>
          </cell>
        </row>
        <row r="72">
          <cell r="C72">
            <v>10403.58</v>
          </cell>
        </row>
        <row r="73">
          <cell r="C73">
            <v>4803.4799999999996</v>
          </cell>
        </row>
        <row r="74">
          <cell r="C74">
            <v>6887.12</v>
          </cell>
        </row>
        <row r="75">
          <cell r="C75">
            <v>6459.41</v>
          </cell>
        </row>
        <row r="76">
          <cell r="C76">
            <v>6969.82</v>
          </cell>
        </row>
        <row r="77">
          <cell r="C77">
            <v>9313.99</v>
          </cell>
        </row>
        <row r="78">
          <cell r="C78">
            <v>8855.6299999999992</v>
          </cell>
        </row>
        <row r="79">
          <cell r="C79">
            <v>9651.69</v>
          </cell>
        </row>
        <row r="80">
          <cell r="C80">
            <v>4588.6000000000004</v>
          </cell>
        </row>
        <row r="81">
          <cell r="C81">
            <v>5645.54</v>
          </cell>
        </row>
        <row r="82">
          <cell r="C82">
            <v>6933.86</v>
          </cell>
        </row>
        <row r="83">
          <cell r="C83">
            <v>6003.56</v>
          </cell>
        </row>
        <row r="84">
          <cell r="C84">
            <v>9498.5</v>
          </cell>
        </row>
        <row r="85">
          <cell r="C85">
            <v>9462.4</v>
          </cell>
        </row>
        <row r="86">
          <cell r="C86">
            <v>10198.9</v>
          </cell>
        </row>
        <row r="87">
          <cell r="C87">
            <v>4638.3100000000004</v>
          </cell>
        </row>
        <row r="88">
          <cell r="C88">
            <v>6045.89</v>
          </cell>
        </row>
        <row r="89">
          <cell r="C89">
            <v>7373.88</v>
          </cell>
        </row>
        <row r="90">
          <cell r="C90">
            <v>5879.64</v>
          </cell>
        </row>
        <row r="91">
          <cell r="C91">
            <v>10549.5</v>
          </cell>
        </row>
        <row r="92">
          <cell r="C92">
            <v>9503.0499999999993</v>
          </cell>
        </row>
        <row r="93">
          <cell r="C93">
            <v>11130.86</v>
          </cell>
        </row>
        <row r="94">
          <cell r="C94">
            <v>5859.26</v>
          </cell>
        </row>
        <row r="95">
          <cell r="C95">
            <v>7505.46</v>
          </cell>
        </row>
        <row r="96">
          <cell r="C96">
            <v>8602.2999999999993</v>
          </cell>
        </row>
        <row r="97">
          <cell r="C97">
            <v>7576.36</v>
          </cell>
        </row>
        <row r="98">
          <cell r="C98">
            <v>9969.7900000000009</v>
          </cell>
        </row>
        <row r="99">
          <cell r="C99">
            <v>11268.31</v>
          </cell>
        </row>
        <row r="100">
          <cell r="C100">
            <v>10616.85</v>
          </cell>
        </row>
        <row r="101">
          <cell r="C101">
            <v>5528.88</v>
          </cell>
        </row>
        <row r="102">
          <cell r="C102">
            <v>7273.31</v>
          </cell>
        </row>
        <row r="103">
          <cell r="C103">
            <v>8035.96</v>
          </cell>
        </row>
        <row r="104">
          <cell r="C104">
            <v>7371.8</v>
          </cell>
        </row>
        <row r="105">
          <cell r="C105">
            <v>9629.31</v>
          </cell>
        </row>
        <row r="106">
          <cell r="C106">
            <v>12072.4</v>
          </cell>
        </row>
        <row r="107">
          <cell r="C107">
            <v>10890.23</v>
          </cell>
        </row>
        <row r="108">
          <cell r="C108">
            <v>5486.6</v>
          </cell>
        </row>
        <row r="109">
          <cell r="C109">
            <v>6461.58</v>
          </cell>
        </row>
        <row r="110">
          <cell r="C110">
            <v>6937.84</v>
          </cell>
        </row>
        <row r="111">
          <cell r="C111">
            <v>6516.21</v>
          </cell>
        </row>
        <row r="112">
          <cell r="C112">
            <v>10631.68</v>
          </cell>
        </row>
        <row r="113">
          <cell r="C113">
            <v>9223.9699999999993</v>
          </cell>
        </row>
        <row r="114">
          <cell r="C114">
            <v>10056.92</v>
          </cell>
        </row>
        <row r="115">
          <cell r="C115">
            <v>8477.5400000000009</v>
          </cell>
        </row>
        <row r="116">
          <cell r="C116">
            <v>6186.32</v>
          </cell>
        </row>
        <row r="117">
          <cell r="C117">
            <v>6192.92</v>
          </cell>
        </row>
        <row r="118">
          <cell r="C118">
            <v>6978.16</v>
          </cell>
        </row>
        <row r="119">
          <cell r="C119">
            <v>8584.31</v>
          </cell>
        </row>
        <row r="120">
          <cell r="C120">
            <v>7934.56</v>
          </cell>
        </row>
        <row r="121">
          <cell r="C121">
            <v>9668.65</v>
          </cell>
        </row>
        <row r="122">
          <cell r="C122">
            <v>6130.36</v>
          </cell>
        </row>
        <row r="123">
          <cell r="C123">
            <v>6720.61</v>
          </cell>
        </row>
        <row r="124">
          <cell r="C124">
            <v>9039.7099999999991</v>
          </cell>
        </row>
        <row r="125">
          <cell r="C125">
            <v>11689.33</v>
          </cell>
        </row>
        <row r="126">
          <cell r="C126">
            <v>8790.31</v>
          </cell>
        </row>
        <row r="127">
          <cell r="C127">
            <v>7858.45</v>
          </cell>
        </row>
        <row r="128">
          <cell r="C128">
            <v>9373.1299999999992</v>
          </cell>
        </row>
        <row r="129">
          <cell r="C129">
            <v>5001.5200000000004</v>
          </cell>
        </row>
        <row r="130">
          <cell r="C130">
            <v>6185.85</v>
          </cell>
        </row>
        <row r="131">
          <cell r="C131">
            <v>9220.2900000000009</v>
          </cell>
        </row>
        <row r="132">
          <cell r="C132">
            <v>8758.67</v>
          </cell>
        </row>
        <row r="133">
          <cell r="C133">
            <v>9405.08</v>
          </cell>
        </row>
        <row r="134">
          <cell r="C134">
            <v>8321.18</v>
          </cell>
        </row>
        <row r="135">
          <cell r="C135">
            <v>9926.24</v>
          </cell>
        </row>
        <row r="136">
          <cell r="C136">
            <v>5186.58</v>
          </cell>
        </row>
        <row r="137">
          <cell r="C137">
            <v>6489.78</v>
          </cell>
        </row>
        <row r="138">
          <cell r="C138">
            <v>7020.36</v>
          </cell>
        </row>
        <row r="139">
          <cell r="C139">
            <v>6834.66</v>
          </cell>
        </row>
        <row r="140">
          <cell r="C140">
            <v>9238.86</v>
          </cell>
        </row>
        <row r="141">
          <cell r="C141">
            <v>8342.16</v>
          </cell>
        </row>
        <row r="142">
          <cell r="C142">
            <v>9790.7000000000007</v>
          </cell>
        </row>
        <row r="143">
          <cell r="C143">
            <v>5110.8599999999997</v>
          </cell>
        </row>
        <row r="144">
          <cell r="C144">
            <v>7016.77</v>
          </cell>
        </row>
        <row r="145">
          <cell r="C145">
            <v>7203.81</v>
          </cell>
        </row>
        <row r="146">
          <cell r="C146">
            <v>7006.53</v>
          </cell>
        </row>
        <row r="147">
          <cell r="C147">
            <v>9519.01</v>
          </cell>
        </row>
        <row r="148">
          <cell r="C148">
            <v>9666.2999999999993</v>
          </cell>
        </row>
        <row r="149">
          <cell r="C149">
            <v>8922.9699999999993</v>
          </cell>
        </row>
        <row r="150">
          <cell r="C150">
            <v>4933.4399999999996</v>
          </cell>
        </row>
        <row r="151">
          <cell r="C151">
            <v>7500.96</v>
          </cell>
        </row>
        <row r="152">
          <cell r="C152">
            <v>10005.049999999999</v>
          </cell>
        </row>
        <row r="153">
          <cell r="C153">
            <v>8461.44</v>
          </cell>
        </row>
        <row r="154">
          <cell r="C154">
            <v>8462.0400000000009</v>
          </cell>
        </row>
        <row r="155">
          <cell r="C155">
            <v>6915.5</v>
          </cell>
        </row>
        <row r="156">
          <cell r="C156">
            <v>12566.2</v>
          </cell>
        </row>
        <row r="157">
          <cell r="C157">
            <v>6038.2</v>
          </cell>
        </row>
        <row r="158">
          <cell r="C158">
            <v>6813.9</v>
          </cell>
        </row>
        <row r="159">
          <cell r="C159">
            <v>7232.69</v>
          </cell>
        </row>
        <row r="160">
          <cell r="C160">
            <v>6650.39</v>
          </cell>
        </row>
        <row r="161">
          <cell r="C161">
            <v>10654.18</v>
          </cell>
        </row>
        <row r="162">
          <cell r="C162">
            <v>8740.07</v>
          </cell>
        </row>
        <row r="163">
          <cell r="C163">
            <v>10445.030000000001</v>
          </cell>
        </row>
        <row r="164">
          <cell r="C164">
            <v>9937.67</v>
          </cell>
        </row>
        <row r="165">
          <cell r="C165">
            <v>5403.78</v>
          </cell>
        </row>
        <row r="166">
          <cell r="C166">
            <v>7010.78</v>
          </cell>
        </row>
        <row r="167">
          <cell r="C167">
            <v>6309.04</v>
          </cell>
        </row>
        <row r="168">
          <cell r="C168">
            <v>8967.2099999999991</v>
          </cell>
        </row>
        <row r="169">
          <cell r="C169">
            <v>8748.1299999999992</v>
          </cell>
        </row>
        <row r="170">
          <cell r="C170">
            <v>10338.02</v>
          </cell>
        </row>
        <row r="171">
          <cell r="C171">
            <v>5647.61</v>
          </cell>
        </row>
        <row r="172">
          <cell r="C172">
            <v>5975.47</v>
          </cell>
        </row>
        <row r="173">
          <cell r="C173">
            <v>7533.49</v>
          </cell>
        </row>
        <row r="174">
          <cell r="C174">
            <v>6842.02</v>
          </cell>
        </row>
        <row r="175">
          <cell r="C175">
            <v>8062.05</v>
          </cell>
        </row>
        <row r="176">
          <cell r="C176">
            <v>9173.44</v>
          </cell>
        </row>
        <row r="177">
          <cell r="C177">
            <v>11741.7</v>
          </cell>
        </row>
        <row r="178">
          <cell r="C178">
            <v>5456.03</v>
          </cell>
        </row>
        <row r="179">
          <cell r="C179">
            <v>6167.08</v>
          </cell>
        </row>
        <row r="180">
          <cell r="C180">
            <v>7748.95</v>
          </cell>
        </row>
        <row r="181">
          <cell r="C181">
            <v>8127.16</v>
          </cell>
        </row>
        <row r="182">
          <cell r="C182">
            <v>8284.18</v>
          </cell>
        </row>
        <row r="183">
          <cell r="C183">
            <v>8823.52</v>
          </cell>
        </row>
        <row r="184">
          <cell r="C184">
            <v>11289</v>
          </cell>
        </row>
        <row r="185">
          <cell r="C185">
            <v>6540.76</v>
          </cell>
        </row>
        <row r="186">
          <cell r="C186">
            <v>9023.23</v>
          </cell>
        </row>
        <row r="187">
          <cell r="C187">
            <v>9326.49</v>
          </cell>
        </row>
        <row r="188">
          <cell r="C188">
            <v>9230.09</v>
          </cell>
        </row>
        <row r="189">
          <cell r="C189">
            <v>10776.38</v>
          </cell>
        </row>
        <row r="190">
          <cell r="C190">
            <v>10112.93</v>
          </cell>
        </row>
        <row r="191">
          <cell r="C191">
            <v>12873.09</v>
          </cell>
        </row>
        <row r="192">
          <cell r="C192">
            <v>8255.01</v>
          </cell>
        </row>
        <row r="193">
          <cell r="C193">
            <v>7485.35</v>
          </cell>
        </row>
        <row r="194">
          <cell r="C194">
            <v>8886.23</v>
          </cell>
        </row>
        <row r="195">
          <cell r="C195">
            <v>8846.84</v>
          </cell>
        </row>
        <row r="196">
          <cell r="C196">
            <v>12541.9</v>
          </cell>
        </row>
        <row r="197">
          <cell r="C197">
            <v>9916.42</v>
          </cell>
        </row>
        <row r="198">
          <cell r="C198">
            <v>12084.71</v>
          </cell>
        </row>
        <row r="199">
          <cell r="C199">
            <v>11182.77</v>
          </cell>
        </row>
        <row r="200">
          <cell r="C200">
            <v>7405.66</v>
          </cell>
        </row>
        <row r="201">
          <cell r="C201">
            <v>6633.81</v>
          </cell>
        </row>
        <row r="202">
          <cell r="C202">
            <v>7452.23</v>
          </cell>
        </row>
        <row r="203">
          <cell r="C203">
            <v>9092.58</v>
          </cell>
        </row>
        <row r="204">
          <cell r="C204">
            <v>8295.9599999999991</v>
          </cell>
        </row>
        <row r="205">
          <cell r="C205">
            <v>9525.77</v>
          </cell>
        </row>
        <row r="206">
          <cell r="C206">
            <v>7423.56</v>
          </cell>
        </row>
        <row r="207">
          <cell r="C207">
            <v>6595.32</v>
          </cell>
        </row>
        <row r="208">
          <cell r="C208">
            <v>7020.71</v>
          </cell>
        </row>
        <row r="209">
          <cell r="C209">
            <v>7266.59</v>
          </cell>
        </row>
        <row r="210">
          <cell r="C210">
            <v>9642.14</v>
          </cell>
        </row>
        <row r="211">
          <cell r="C211">
            <v>7956.08</v>
          </cell>
        </row>
        <row r="212">
          <cell r="C212">
            <v>10165.32</v>
          </cell>
        </row>
        <row r="213">
          <cell r="C213">
            <v>6746.92</v>
          </cell>
        </row>
        <row r="214">
          <cell r="C214">
            <v>6990.24</v>
          </cell>
        </row>
        <row r="215">
          <cell r="C215">
            <v>6399.93</v>
          </cell>
        </row>
        <row r="216">
          <cell r="C216">
            <v>7408.36</v>
          </cell>
        </row>
        <row r="217">
          <cell r="C217">
            <v>8759.08</v>
          </cell>
        </row>
        <row r="218">
          <cell r="C218">
            <v>9915.44</v>
          </cell>
        </row>
        <row r="219">
          <cell r="C219">
            <v>9976.08</v>
          </cell>
        </row>
        <row r="220">
          <cell r="C220">
            <v>6419.17</v>
          </cell>
        </row>
        <row r="221">
          <cell r="C221">
            <v>6769.4</v>
          </cell>
        </row>
        <row r="222">
          <cell r="C222">
            <v>7361.45</v>
          </cell>
        </row>
        <row r="223">
          <cell r="C223">
            <v>6945.08</v>
          </cell>
        </row>
        <row r="224">
          <cell r="C224">
            <v>8157.3</v>
          </cell>
        </row>
        <row r="225">
          <cell r="C225">
            <v>8048.39</v>
          </cell>
        </row>
        <row r="226">
          <cell r="C226">
            <v>9475.77</v>
          </cell>
        </row>
        <row r="227">
          <cell r="C227">
            <v>6463.49</v>
          </cell>
        </row>
        <row r="228">
          <cell r="C228">
            <v>6230.86</v>
          </cell>
        </row>
        <row r="229">
          <cell r="C229">
            <v>7057.7</v>
          </cell>
        </row>
        <row r="230">
          <cell r="C230">
            <v>9669.2199999999993</v>
          </cell>
        </row>
        <row r="231">
          <cell r="C231">
            <v>9277.77</v>
          </cell>
        </row>
        <row r="232">
          <cell r="C232">
            <v>7531.41</v>
          </cell>
        </row>
        <row r="233">
          <cell r="C233">
            <v>9978.32</v>
          </cell>
        </row>
        <row r="234">
          <cell r="C234">
            <v>7431</v>
          </cell>
        </row>
        <row r="235">
          <cell r="C235">
            <v>7374.02</v>
          </cell>
        </row>
        <row r="236">
          <cell r="C236">
            <v>7505.17</v>
          </cell>
        </row>
        <row r="237">
          <cell r="C237">
            <v>6883.63</v>
          </cell>
        </row>
        <row r="238">
          <cell r="C238">
            <v>7373.4</v>
          </cell>
        </row>
        <row r="239">
          <cell r="C239">
            <v>7517.81</v>
          </cell>
        </row>
        <row r="240">
          <cell r="C240">
            <v>10863.11</v>
          </cell>
        </row>
        <row r="241">
          <cell r="C241">
            <v>7360.49</v>
          </cell>
        </row>
        <row r="242">
          <cell r="C242">
            <v>6957.25</v>
          </cell>
        </row>
        <row r="243">
          <cell r="C243">
            <v>7991.11</v>
          </cell>
        </row>
        <row r="244">
          <cell r="C244">
            <v>8858.25</v>
          </cell>
        </row>
        <row r="245">
          <cell r="C245">
            <v>9501.16</v>
          </cell>
        </row>
        <row r="246">
          <cell r="C246">
            <v>8048.81</v>
          </cell>
        </row>
        <row r="247">
          <cell r="C247">
            <v>11706.33</v>
          </cell>
        </row>
        <row r="248">
          <cell r="C248">
            <v>7347.43</v>
          </cell>
        </row>
        <row r="249">
          <cell r="C249">
            <v>6543.68</v>
          </cell>
        </row>
        <row r="250">
          <cell r="C250">
            <v>7011.12</v>
          </cell>
        </row>
        <row r="251">
          <cell r="C251">
            <v>7415.04</v>
          </cell>
        </row>
        <row r="252">
          <cell r="C252">
            <v>11011.51</v>
          </cell>
        </row>
        <row r="253">
          <cell r="C253">
            <v>9588.59</v>
          </cell>
        </row>
        <row r="254">
          <cell r="C254">
            <v>11026.35</v>
          </cell>
        </row>
        <row r="255">
          <cell r="C255">
            <v>5611.39</v>
          </cell>
        </row>
        <row r="256">
          <cell r="C256">
            <v>6033.15</v>
          </cell>
        </row>
        <row r="257">
          <cell r="C257">
            <v>8064.77</v>
          </cell>
        </row>
        <row r="258">
          <cell r="C258">
            <v>6772.44</v>
          </cell>
        </row>
        <row r="259">
          <cell r="C259">
            <v>10593.26</v>
          </cell>
        </row>
        <row r="260">
          <cell r="C260">
            <v>9020.84</v>
          </cell>
        </row>
        <row r="261">
          <cell r="C261">
            <v>10910.64</v>
          </cell>
        </row>
        <row r="262">
          <cell r="C262">
            <v>4994.42</v>
          </cell>
        </row>
        <row r="263">
          <cell r="C263">
            <v>5417.76</v>
          </cell>
        </row>
        <row r="264">
          <cell r="C264">
            <v>7689.51</v>
          </cell>
        </row>
        <row r="265">
          <cell r="C265">
            <v>7287</v>
          </cell>
        </row>
        <row r="266">
          <cell r="C266">
            <v>9012.0400000000009</v>
          </cell>
        </row>
        <row r="267">
          <cell r="C267">
            <v>9281.2099999999991</v>
          </cell>
        </row>
        <row r="268">
          <cell r="C268">
            <v>10165.42</v>
          </cell>
        </row>
        <row r="269">
          <cell r="C269">
            <v>5164.1400000000003</v>
          </cell>
        </row>
        <row r="270">
          <cell r="C270">
            <v>5556.85</v>
          </cell>
        </row>
        <row r="271">
          <cell r="C271">
            <v>7404.37</v>
          </cell>
        </row>
        <row r="272">
          <cell r="C272">
            <v>6574.55</v>
          </cell>
        </row>
        <row r="273">
          <cell r="C273">
            <v>10866.92</v>
          </cell>
        </row>
        <row r="274">
          <cell r="C274">
            <v>8552.33</v>
          </cell>
        </row>
        <row r="275">
          <cell r="C275">
            <v>9935.33</v>
          </cell>
        </row>
        <row r="276">
          <cell r="C276">
            <v>5570.54</v>
          </cell>
        </row>
        <row r="277">
          <cell r="C277">
            <v>6452.9</v>
          </cell>
        </row>
        <row r="278">
          <cell r="C278">
            <v>8751.4599999999991</v>
          </cell>
        </row>
        <row r="279">
          <cell r="C279">
            <v>7638.38</v>
          </cell>
        </row>
        <row r="280">
          <cell r="C280">
            <v>10909.37</v>
          </cell>
        </row>
        <row r="281">
          <cell r="C281">
            <v>11446.21</v>
          </cell>
        </row>
        <row r="282">
          <cell r="C282">
            <v>12171.3</v>
          </cell>
        </row>
        <row r="283">
          <cell r="C283">
            <v>5676.3</v>
          </cell>
        </row>
        <row r="284">
          <cell r="C284">
            <v>6270.41</v>
          </cell>
        </row>
        <row r="285">
          <cell r="C285">
            <v>8507.4500000000007</v>
          </cell>
        </row>
        <row r="286">
          <cell r="C286">
            <v>7412.33</v>
          </cell>
        </row>
        <row r="287">
          <cell r="C287">
            <v>10301.9</v>
          </cell>
        </row>
        <row r="288">
          <cell r="C288">
            <v>10231.07</v>
          </cell>
        </row>
        <row r="289">
          <cell r="C289">
            <v>10675.42</v>
          </cell>
        </row>
        <row r="290">
          <cell r="C290">
            <v>6282.11</v>
          </cell>
        </row>
        <row r="291">
          <cell r="C291">
            <v>6665.72</v>
          </cell>
        </row>
        <row r="292">
          <cell r="C292">
            <v>8160.77</v>
          </cell>
        </row>
        <row r="293">
          <cell r="C293">
            <v>6835.29</v>
          </cell>
        </row>
        <row r="294">
          <cell r="C294">
            <v>11000.13</v>
          </cell>
        </row>
        <row r="295">
          <cell r="C295">
            <v>7871.6</v>
          </cell>
        </row>
        <row r="296">
          <cell r="C296">
            <v>10568.01</v>
          </cell>
        </row>
        <row r="297">
          <cell r="C297">
            <v>5839</v>
          </cell>
        </row>
        <row r="298">
          <cell r="C298">
            <v>6230</v>
          </cell>
        </row>
        <row r="299">
          <cell r="C299">
            <v>6560</v>
          </cell>
        </row>
        <row r="300">
          <cell r="C300">
            <v>7366</v>
          </cell>
        </row>
        <row r="301">
          <cell r="C301">
            <v>9646</v>
          </cell>
        </row>
        <row r="302">
          <cell r="C302">
            <v>8496</v>
          </cell>
        </row>
        <row r="303">
          <cell r="C303">
            <v>10064</v>
          </cell>
        </row>
        <row r="304">
          <cell r="C304">
            <v>6551</v>
          </cell>
        </row>
        <row r="305">
          <cell r="C305">
            <v>6819</v>
          </cell>
        </row>
        <row r="306">
          <cell r="C306">
            <v>7705</v>
          </cell>
        </row>
        <row r="307">
          <cell r="C307">
            <v>8450</v>
          </cell>
        </row>
        <row r="308">
          <cell r="C308">
            <v>10920</v>
          </cell>
        </row>
        <row r="309">
          <cell r="C309">
            <v>8745</v>
          </cell>
        </row>
        <row r="310">
          <cell r="C310">
            <v>9684</v>
          </cell>
        </row>
        <row r="311">
          <cell r="C311">
            <v>5231</v>
          </cell>
        </row>
        <row r="312">
          <cell r="C312">
            <v>6224</v>
          </cell>
        </row>
        <row r="313">
          <cell r="C313">
            <v>7647</v>
          </cell>
        </row>
        <row r="314">
          <cell r="C314">
            <v>7003</v>
          </cell>
        </row>
        <row r="315">
          <cell r="C315">
            <v>10423</v>
          </cell>
        </row>
        <row r="316">
          <cell r="C316">
            <v>9043</v>
          </cell>
        </row>
        <row r="317">
          <cell r="C317">
            <v>10037</v>
          </cell>
        </row>
        <row r="318">
          <cell r="C318">
            <v>7157</v>
          </cell>
        </row>
        <row r="319">
          <cell r="C319">
            <v>7671</v>
          </cell>
        </row>
        <row r="320">
          <cell r="C320">
            <v>6561</v>
          </cell>
        </row>
        <row r="321">
          <cell r="C321">
            <v>6031</v>
          </cell>
        </row>
        <row r="322">
          <cell r="C322">
            <v>9021</v>
          </cell>
        </row>
        <row r="323">
          <cell r="C323">
            <v>9882</v>
          </cell>
        </row>
        <row r="324">
          <cell r="C324">
            <v>9024</v>
          </cell>
        </row>
        <row r="325">
          <cell r="C325">
            <v>4896</v>
          </cell>
        </row>
        <row r="326">
          <cell r="C326">
            <v>6137</v>
          </cell>
        </row>
        <row r="327">
          <cell r="C327">
            <v>7173</v>
          </cell>
        </row>
        <row r="328">
          <cell r="C328">
            <v>5887</v>
          </cell>
        </row>
        <row r="329">
          <cell r="C329">
            <v>8687</v>
          </cell>
        </row>
        <row r="330">
          <cell r="C330">
            <v>8252</v>
          </cell>
        </row>
        <row r="331">
          <cell r="C331">
            <v>8932</v>
          </cell>
        </row>
        <row r="332">
          <cell r="C332">
            <v>5742</v>
          </cell>
        </row>
        <row r="333">
          <cell r="C333">
            <v>5840</v>
          </cell>
        </row>
        <row r="334">
          <cell r="C334">
            <v>6707</v>
          </cell>
        </row>
        <row r="335">
          <cell r="C335">
            <v>7350</v>
          </cell>
        </row>
        <row r="336">
          <cell r="C336">
            <v>10450</v>
          </cell>
        </row>
        <row r="337">
          <cell r="C337">
            <v>9205</v>
          </cell>
        </row>
        <row r="338">
          <cell r="C338">
            <v>9837</v>
          </cell>
        </row>
        <row r="339">
          <cell r="C339">
            <v>5381</v>
          </cell>
        </row>
        <row r="340">
          <cell r="C340">
            <v>6707</v>
          </cell>
        </row>
        <row r="341">
          <cell r="C341">
            <v>7296</v>
          </cell>
        </row>
        <row r="342">
          <cell r="C342">
            <v>7639</v>
          </cell>
        </row>
        <row r="343">
          <cell r="C343">
            <v>9646</v>
          </cell>
        </row>
        <row r="344">
          <cell r="C344">
            <v>9975</v>
          </cell>
        </row>
        <row r="345">
          <cell r="C345">
            <v>10199</v>
          </cell>
        </row>
        <row r="346">
          <cell r="C346">
            <v>5795</v>
          </cell>
        </row>
        <row r="347">
          <cell r="C347">
            <v>6248</v>
          </cell>
        </row>
        <row r="348">
          <cell r="C348">
            <v>8175</v>
          </cell>
        </row>
        <row r="349">
          <cell r="C349">
            <v>8060</v>
          </cell>
        </row>
        <row r="350">
          <cell r="C350">
            <v>11939</v>
          </cell>
        </row>
        <row r="351">
          <cell r="C351">
            <v>10496</v>
          </cell>
        </row>
        <row r="352">
          <cell r="C352">
            <v>9754</v>
          </cell>
        </row>
        <row r="353">
          <cell r="C353">
            <v>6173</v>
          </cell>
        </row>
        <row r="354">
          <cell r="C354">
            <v>6678</v>
          </cell>
        </row>
        <row r="355">
          <cell r="C355">
            <v>7353</v>
          </cell>
        </row>
        <row r="356">
          <cell r="C356">
            <v>7713</v>
          </cell>
        </row>
        <row r="357">
          <cell r="C357">
            <v>6934</v>
          </cell>
        </row>
        <row r="358">
          <cell r="C358">
            <v>9752</v>
          </cell>
        </row>
        <row r="359">
          <cell r="C359">
            <v>10274</v>
          </cell>
        </row>
        <row r="360">
          <cell r="C360">
            <v>8313</v>
          </cell>
        </row>
        <row r="361">
          <cell r="C361">
            <v>7792</v>
          </cell>
        </row>
        <row r="362">
          <cell r="C362">
            <v>4439</v>
          </cell>
        </row>
        <row r="363">
          <cell r="C363">
            <v>0</v>
          </cell>
        </row>
        <row r="364">
          <cell r="C364">
            <v>8699</v>
          </cell>
        </row>
        <row r="365">
          <cell r="C365">
            <v>11120</v>
          </cell>
        </row>
        <row r="366">
          <cell r="C366">
            <v>9837</v>
          </cell>
        </row>
        <row r="367">
          <cell r="C367">
            <v>9126</v>
          </cell>
        </row>
        <row r="368">
          <cell r="C368">
            <v>10146</v>
          </cell>
        </row>
        <row r="369">
          <cell r="C369">
            <v>4511</v>
          </cell>
        </row>
        <row r="370">
          <cell r="C370">
            <v>15507</v>
          </cell>
        </row>
        <row r="371">
          <cell r="C371"/>
        </row>
        <row r="372">
          <cell r="C37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C6">
            <v>0</v>
          </cell>
          <cell r="D6">
            <v>0</v>
          </cell>
          <cell r="E6">
            <v>0</v>
          </cell>
          <cell r="F6">
            <v>15000</v>
          </cell>
          <cell r="G6">
            <v>15507.19</v>
          </cell>
          <cell r="H6">
            <v>15328.09</v>
          </cell>
          <cell r="I6">
            <v>637</v>
          </cell>
          <cell r="J6">
            <v>106.51</v>
          </cell>
          <cell r="K6">
            <v>123.78</v>
          </cell>
          <cell r="L6">
            <v>105.23</v>
          </cell>
        </row>
        <row r="7">
          <cell r="C7">
            <v>12839.55</v>
          </cell>
          <cell r="D7">
            <v>12697.63</v>
          </cell>
          <cell r="E7">
            <v>650</v>
          </cell>
          <cell r="F7">
            <v>13100</v>
          </cell>
          <cell r="G7">
            <v>10629.32</v>
          </cell>
          <cell r="H7">
            <v>10515.37</v>
          </cell>
          <cell r="I7">
            <v>468</v>
          </cell>
          <cell r="J7">
            <v>100.37</v>
          </cell>
          <cell r="K7">
            <v>127.8</v>
          </cell>
          <cell r="L7">
            <v>47.79</v>
          </cell>
        </row>
        <row r="8">
          <cell r="C8">
            <v>10022.68</v>
          </cell>
          <cell r="D8">
            <v>9909.85</v>
          </cell>
          <cell r="E8">
            <v>482</v>
          </cell>
          <cell r="F8">
            <v>10200</v>
          </cell>
          <cell r="G8">
            <v>8947.16</v>
          </cell>
          <cell r="H8">
            <v>8859.1</v>
          </cell>
          <cell r="I8">
            <v>405</v>
          </cell>
          <cell r="J8">
            <v>72.3</v>
          </cell>
          <cell r="K8">
            <v>88.75</v>
          </cell>
          <cell r="L8">
            <v>37.840000000000003</v>
          </cell>
        </row>
        <row r="9">
          <cell r="C9">
            <v>9475.9599999999991</v>
          </cell>
          <cell r="D9">
            <v>9395.2900000000009</v>
          </cell>
          <cell r="E9">
            <v>458</v>
          </cell>
          <cell r="F9">
            <v>9700</v>
          </cell>
          <cell r="G9">
            <v>10097.65</v>
          </cell>
          <cell r="H9">
            <v>9980.39</v>
          </cell>
          <cell r="I9">
            <v>404</v>
          </cell>
          <cell r="J9">
            <v>70.569999999999993</v>
          </cell>
          <cell r="K9">
            <v>97.57</v>
          </cell>
          <cell r="L9">
            <v>44.58</v>
          </cell>
        </row>
        <row r="10">
          <cell r="C10">
            <v>6023.78</v>
          </cell>
          <cell r="D10">
            <v>5987.36</v>
          </cell>
          <cell r="E10">
            <v>386</v>
          </cell>
          <cell r="F10">
            <v>6200</v>
          </cell>
          <cell r="G10">
            <v>5464.49</v>
          </cell>
          <cell r="H10">
            <v>5431.45</v>
          </cell>
          <cell r="I10">
            <v>331</v>
          </cell>
          <cell r="J10">
            <v>70.430000000000007</v>
          </cell>
          <cell r="K10">
            <v>96.17</v>
          </cell>
          <cell r="L10">
            <v>37.99</v>
          </cell>
        </row>
        <row r="11">
          <cell r="C11">
            <v>7687.29</v>
          </cell>
          <cell r="D11">
            <v>7632.71</v>
          </cell>
          <cell r="E11">
            <v>466</v>
          </cell>
          <cell r="F11">
            <v>7900</v>
          </cell>
          <cell r="G11">
            <v>6465.05</v>
          </cell>
          <cell r="H11">
            <v>6412.49</v>
          </cell>
          <cell r="I11">
            <v>363</v>
          </cell>
          <cell r="J11">
            <v>84.88</v>
          </cell>
          <cell r="K11">
            <v>101.28</v>
          </cell>
          <cell r="L11">
            <v>50.68</v>
          </cell>
        </row>
        <row r="12">
          <cell r="C12">
            <v>8072.02</v>
          </cell>
          <cell r="D12">
            <v>7980.44</v>
          </cell>
          <cell r="E12">
            <v>487</v>
          </cell>
          <cell r="F12">
            <v>8200</v>
          </cell>
          <cell r="G12">
            <v>6671.58</v>
          </cell>
          <cell r="H12">
            <v>6602.82</v>
          </cell>
          <cell r="I12">
            <v>356</v>
          </cell>
          <cell r="J12">
            <v>86.7</v>
          </cell>
          <cell r="K12">
            <v>104.03</v>
          </cell>
          <cell r="L12">
            <v>41.22</v>
          </cell>
        </row>
        <row r="13">
          <cell r="C13">
            <v>6736.44</v>
          </cell>
          <cell r="D13">
            <v>6698.72</v>
          </cell>
          <cell r="E13">
            <v>432</v>
          </cell>
          <cell r="F13">
            <v>6900</v>
          </cell>
          <cell r="G13">
            <v>6028.94</v>
          </cell>
          <cell r="H13">
            <v>5970.51</v>
          </cell>
          <cell r="I13">
            <v>360</v>
          </cell>
          <cell r="J13">
            <v>82.41</v>
          </cell>
          <cell r="K13">
            <v>98.33</v>
          </cell>
          <cell r="L13">
            <v>72.25</v>
          </cell>
        </row>
        <row r="14">
          <cell r="C14">
            <v>11628.79</v>
          </cell>
          <cell r="D14">
            <v>11546.23</v>
          </cell>
          <cell r="E14">
            <v>640</v>
          </cell>
          <cell r="F14">
            <v>10900</v>
          </cell>
          <cell r="G14">
            <v>9684.3799999999992</v>
          </cell>
          <cell r="H14">
            <v>9599.4</v>
          </cell>
          <cell r="I14">
            <v>515</v>
          </cell>
          <cell r="J14">
            <v>102.06</v>
          </cell>
          <cell r="K14">
            <v>118.52</v>
          </cell>
          <cell r="L14">
            <v>39.72</v>
          </cell>
        </row>
        <row r="15">
          <cell r="C15">
            <v>10936.76</v>
          </cell>
          <cell r="D15">
            <v>10808.8</v>
          </cell>
          <cell r="E15">
            <v>549</v>
          </cell>
          <cell r="F15">
            <v>10200</v>
          </cell>
          <cell r="G15">
            <v>9838.2099999999991</v>
          </cell>
          <cell r="H15">
            <v>9731.25</v>
          </cell>
          <cell r="I15">
            <v>498</v>
          </cell>
          <cell r="J15">
            <v>91.1</v>
          </cell>
          <cell r="K15">
            <v>118.52</v>
          </cell>
          <cell r="L15">
            <v>51.27</v>
          </cell>
        </row>
        <row r="16">
          <cell r="C16">
            <v>10609.82</v>
          </cell>
          <cell r="D16">
            <v>10501.26</v>
          </cell>
          <cell r="E16">
            <v>470</v>
          </cell>
          <cell r="F16">
            <v>9900</v>
          </cell>
          <cell r="G16">
            <v>9076.24</v>
          </cell>
          <cell r="H16">
            <v>8986.4</v>
          </cell>
          <cell r="I16">
            <v>391</v>
          </cell>
          <cell r="J16">
            <v>86.11</v>
          </cell>
          <cell r="K16">
            <v>103.35</v>
          </cell>
          <cell r="L16">
            <v>63.37</v>
          </cell>
        </row>
        <row r="17">
          <cell r="C17">
            <v>4953.32</v>
          </cell>
          <cell r="D17">
            <v>4921.49</v>
          </cell>
          <cell r="E17">
            <v>338</v>
          </cell>
          <cell r="F17">
            <v>5100</v>
          </cell>
          <cell r="G17">
            <v>5188.7</v>
          </cell>
          <cell r="H17">
            <v>5131.0600000000004</v>
          </cell>
          <cell r="I17">
            <v>297</v>
          </cell>
          <cell r="J17">
            <v>66.540000000000006</v>
          </cell>
          <cell r="K17">
            <v>83.91</v>
          </cell>
          <cell r="L17">
            <v>52.25</v>
          </cell>
        </row>
        <row r="18">
          <cell r="C18">
            <v>5811.36</v>
          </cell>
          <cell r="D18">
            <v>5781.45</v>
          </cell>
          <cell r="E18">
            <v>360</v>
          </cell>
          <cell r="F18">
            <v>6000</v>
          </cell>
          <cell r="G18">
            <v>6391.44</v>
          </cell>
          <cell r="H18">
            <v>6342.15</v>
          </cell>
          <cell r="I18">
            <v>387</v>
          </cell>
          <cell r="J18">
            <v>67.88</v>
          </cell>
          <cell r="K18">
            <v>85.35</v>
          </cell>
          <cell r="L18">
            <v>31.19</v>
          </cell>
        </row>
        <row r="19">
          <cell r="C19">
            <v>6914.48</v>
          </cell>
          <cell r="D19">
            <v>6828.61</v>
          </cell>
          <cell r="E19">
            <v>411</v>
          </cell>
          <cell r="F19">
            <v>7000</v>
          </cell>
          <cell r="G19">
            <v>7035.78</v>
          </cell>
          <cell r="H19">
            <v>6948.61</v>
          </cell>
          <cell r="I19">
            <v>385</v>
          </cell>
          <cell r="J19">
            <v>78.069999999999993</v>
          </cell>
          <cell r="K19">
            <v>94.92</v>
          </cell>
          <cell r="L19">
            <v>61.2</v>
          </cell>
        </row>
        <row r="20">
          <cell r="C20">
            <v>6677.52</v>
          </cell>
          <cell r="D20">
            <v>6629.52</v>
          </cell>
          <cell r="E20">
            <v>443</v>
          </cell>
          <cell r="F20">
            <v>6800</v>
          </cell>
          <cell r="G20">
            <v>6477.41</v>
          </cell>
          <cell r="H20">
            <v>6416.37</v>
          </cell>
          <cell r="I20">
            <v>375</v>
          </cell>
          <cell r="J20">
            <v>79.61</v>
          </cell>
          <cell r="K20">
            <v>95.5</v>
          </cell>
          <cell r="L20">
            <v>36.35</v>
          </cell>
        </row>
        <row r="21">
          <cell r="C21">
            <v>9842.73</v>
          </cell>
          <cell r="D21">
            <v>9769.86</v>
          </cell>
          <cell r="E21">
            <v>577</v>
          </cell>
          <cell r="F21">
            <v>9200</v>
          </cell>
          <cell r="G21">
            <v>10029.469999999999</v>
          </cell>
          <cell r="H21">
            <v>9886.17</v>
          </cell>
          <cell r="I21">
            <v>524</v>
          </cell>
          <cell r="J21">
            <v>103.14</v>
          </cell>
          <cell r="K21">
            <v>120.27</v>
          </cell>
          <cell r="L21">
            <v>57.48</v>
          </cell>
        </row>
        <row r="22">
          <cell r="C22">
            <v>11066.09</v>
          </cell>
          <cell r="D22">
            <v>10962.79</v>
          </cell>
          <cell r="E22">
            <v>519</v>
          </cell>
          <cell r="F22">
            <v>10400</v>
          </cell>
          <cell r="G22">
            <v>9995.5300000000007</v>
          </cell>
          <cell r="H22">
            <v>9873.3799999999992</v>
          </cell>
          <cell r="I22">
            <v>454</v>
          </cell>
          <cell r="J22">
            <v>85.14</v>
          </cell>
          <cell r="K22">
            <v>103.17</v>
          </cell>
          <cell r="L22">
            <v>67.87</v>
          </cell>
        </row>
        <row r="23">
          <cell r="C23">
            <v>10097.530000000001</v>
          </cell>
          <cell r="D23">
            <v>10018.14</v>
          </cell>
          <cell r="E23">
            <v>448</v>
          </cell>
          <cell r="F23">
            <v>9500</v>
          </cell>
          <cell r="G23">
            <v>10297.08</v>
          </cell>
          <cell r="H23">
            <v>10161.93</v>
          </cell>
          <cell r="I23">
            <v>424</v>
          </cell>
          <cell r="J23">
            <v>82.67</v>
          </cell>
          <cell r="K23">
            <v>99.87</v>
          </cell>
          <cell r="L23">
            <v>67.599999999999994</v>
          </cell>
        </row>
        <row r="24">
          <cell r="C24">
            <v>5007.1499999999996</v>
          </cell>
          <cell r="D24">
            <v>4974.6000000000004</v>
          </cell>
          <cell r="E24">
            <v>309</v>
          </cell>
          <cell r="F24">
            <v>5100</v>
          </cell>
          <cell r="G24">
            <v>4632.37</v>
          </cell>
          <cell r="H24">
            <v>4575.28</v>
          </cell>
          <cell r="I24">
            <v>291</v>
          </cell>
          <cell r="J24">
            <v>64.569999999999993</v>
          </cell>
          <cell r="K24">
            <v>80.849999999999994</v>
          </cell>
          <cell r="L24">
            <v>43.86</v>
          </cell>
        </row>
        <row r="25">
          <cell r="C25">
            <v>5415.08</v>
          </cell>
          <cell r="D25">
            <v>5366.42</v>
          </cell>
          <cell r="E25">
            <v>337</v>
          </cell>
          <cell r="F25">
            <v>5500</v>
          </cell>
          <cell r="G25">
            <v>6141.17</v>
          </cell>
          <cell r="H25">
            <v>6087.64</v>
          </cell>
          <cell r="I25">
            <v>339</v>
          </cell>
          <cell r="J25">
            <v>76.08</v>
          </cell>
          <cell r="K25">
            <v>92.45</v>
          </cell>
          <cell r="L25">
            <v>49.65</v>
          </cell>
        </row>
        <row r="26">
          <cell r="C26">
            <v>7307.85</v>
          </cell>
          <cell r="D26">
            <v>7225.89</v>
          </cell>
          <cell r="E26">
            <v>429</v>
          </cell>
          <cell r="F26">
            <v>7400</v>
          </cell>
          <cell r="G26">
            <v>7778.2</v>
          </cell>
          <cell r="H26">
            <v>7701.21</v>
          </cell>
          <cell r="I26">
            <v>431</v>
          </cell>
          <cell r="J26">
            <v>115.45</v>
          </cell>
          <cell r="K26">
            <v>131.47999999999999</v>
          </cell>
          <cell r="L26">
            <v>37.299999999999997</v>
          </cell>
        </row>
        <row r="27">
          <cell r="C27">
            <v>5095.41</v>
          </cell>
          <cell r="D27">
            <v>5065.5</v>
          </cell>
          <cell r="E27">
            <v>335</v>
          </cell>
          <cell r="F27">
            <v>5200</v>
          </cell>
          <cell r="G27">
            <v>5810</v>
          </cell>
          <cell r="H27">
            <v>5741.61</v>
          </cell>
          <cell r="I27">
            <v>345</v>
          </cell>
          <cell r="J27">
            <v>83.67</v>
          </cell>
          <cell r="K27">
            <v>99.52</v>
          </cell>
          <cell r="L27">
            <v>55.87</v>
          </cell>
        </row>
        <row r="28">
          <cell r="C28">
            <v>9856.76</v>
          </cell>
          <cell r="D28">
            <v>9785.15</v>
          </cell>
          <cell r="E28">
            <v>560</v>
          </cell>
          <cell r="F28">
            <v>10100</v>
          </cell>
          <cell r="G28">
            <v>8972.08</v>
          </cell>
          <cell r="H28">
            <v>8906.6</v>
          </cell>
          <cell r="I28">
            <v>472</v>
          </cell>
          <cell r="J28">
            <v>102.48</v>
          </cell>
          <cell r="K28">
            <v>120.78</v>
          </cell>
          <cell r="L28">
            <v>44.1</v>
          </cell>
        </row>
        <row r="29">
          <cell r="C29">
            <v>9807.58</v>
          </cell>
          <cell r="D29">
            <v>9695.06</v>
          </cell>
          <cell r="E29">
            <v>521</v>
          </cell>
          <cell r="F29">
            <v>10000</v>
          </cell>
          <cell r="G29">
            <v>11278.69</v>
          </cell>
          <cell r="H29">
            <v>11186.75</v>
          </cell>
          <cell r="I29">
            <v>495</v>
          </cell>
          <cell r="J29">
            <v>91.03</v>
          </cell>
          <cell r="K29">
            <v>117.85</v>
          </cell>
          <cell r="L29">
            <v>34.07</v>
          </cell>
        </row>
        <row r="30">
          <cell r="C30">
            <v>8471.93</v>
          </cell>
          <cell r="D30">
            <v>8409.43</v>
          </cell>
          <cell r="E30">
            <v>397</v>
          </cell>
          <cell r="F30">
            <v>8700</v>
          </cell>
          <cell r="G30">
            <v>9128.39</v>
          </cell>
          <cell r="H30">
            <v>9032.0300000000007</v>
          </cell>
          <cell r="I30">
            <v>398</v>
          </cell>
          <cell r="J30">
            <v>102.07</v>
          </cell>
          <cell r="K30">
            <v>118.72</v>
          </cell>
          <cell r="L30">
            <v>58.78</v>
          </cell>
        </row>
        <row r="31">
          <cell r="C31">
            <v>4808.07</v>
          </cell>
          <cell r="D31">
            <v>4784.04</v>
          </cell>
          <cell r="E31">
            <v>302</v>
          </cell>
          <cell r="F31">
            <v>4900</v>
          </cell>
          <cell r="G31">
            <v>4798.84</v>
          </cell>
          <cell r="H31">
            <v>4745.9799999999996</v>
          </cell>
          <cell r="I31">
            <v>296</v>
          </cell>
          <cell r="J31">
            <v>74.94</v>
          </cell>
          <cell r="K31">
            <v>91.72</v>
          </cell>
          <cell r="L31">
            <v>50.66</v>
          </cell>
        </row>
        <row r="32">
          <cell r="C32">
            <v>5540.29</v>
          </cell>
          <cell r="D32">
            <v>5505.9</v>
          </cell>
          <cell r="E32">
            <v>341</v>
          </cell>
          <cell r="F32">
            <v>5700</v>
          </cell>
          <cell r="G32">
            <v>5548.98</v>
          </cell>
          <cell r="H32">
            <v>5498.27</v>
          </cell>
          <cell r="I32">
            <v>327</v>
          </cell>
          <cell r="J32">
            <v>85.66</v>
          </cell>
          <cell r="K32">
            <v>101.55</v>
          </cell>
          <cell r="L32">
            <v>43.5</v>
          </cell>
        </row>
        <row r="33">
          <cell r="C33">
            <v>6638.42</v>
          </cell>
          <cell r="D33">
            <v>6557.59</v>
          </cell>
          <cell r="E33">
            <v>372</v>
          </cell>
          <cell r="F33">
            <v>6800</v>
          </cell>
          <cell r="G33">
            <v>6631.56</v>
          </cell>
          <cell r="H33">
            <v>6552.01</v>
          </cell>
          <cell r="I33">
            <v>342</v>
          </cell>
          <cell r="J33">
            <v>100.37</v>
          </cell>
          <cell r="K33">
            <v>117.77</v>
          </cell>
          <cell r="L33">
            <v>38.11</v>
          </cell>
        </row>
        <row r="34">
          <cell r="C34">
            <v>6512.83</v>
          </cell>
          <cell r="D34">
            <v>6470.64</v>
          </cell>
          <cell r="E34">
            <v>394</v>
          </cell>
          <cell r="F34">
            <v>6700</v>
          </cell>
          <cell r="G34">
            <v>6215.07</v>
          </cell>
          <cell r="H34">
            <v>6147.27</v>
          </cell>
          <cell r="I34">
            <v>360</v>
          </cell>
          <cell r="J34">
            <v>85.92</v>
          </cell>
          <cell r="K34">
            <v>94.87</v>
          </cell>
          <cell r="L34">
            <v>94.22</v>
          </cell>
        </row>
        <row r="35">
          <cell r="C35">
            <v>9878.69</v>
          </cell>
          <cell r="D35">
            <v>9803.31</v>
          </cell>
          <cell r="E35">
            <v>583</v>
          </cell>
          <cell r="F35">
            <v>10100</v>
          </cell>
          <cell r="G35">
            <v>10554.22</v>
          </cell>
          <cell r="H35">
            <v>10421.82</v>
          </cell>
          <cell r="I35">
            <v>548</v>
          </cell>
          <cell r="J35">
            <v>95.97</v>
          </cell>
          <cell r="K35">
            <v>104.47</v>
          </cell>
          <cell r="L35">
            <v>47.59</v>
          </cell>
        </row>
        <row r="36">
          <cell r="C36">
            <v>10171.48</v>
          </cell>
          <cell r="D36">
            <v>10100.530000000001</v>
          </cell>
          <cell r="E36">
            <v>523</v>
          </cell>
          <cell r="F36">
            <v>10400</v>
          </cell>
          <cell r="G36">
            <v>12100.47</v>
          </cell>
          <cell r="H36">
            <v>11960.28</v>
          </cell>
          <cell r="I36">
            <v>564</v>
          </cell>
          <cell r="J36">
            <v>92.1</v>
          </cell>
          <cell r="K36">
            <v>119.2</v>
          </cell>
          <cell r="L36">
            <v>36.56</v>
          </cell>
        </row>
        <row r="37">
          <cell r="C37">
            <v>9002.02</v>
          </cell>
          <cell r="D37">
            <v>8918.0300000000007</v>
          </cell>
          <cell r="E37">
            <v>434</v>
          </cell>
          <cell r="F37">
            <v>9200</v>
          </cell>
          <cell r="G37">
            <v>9100.2099999999991</v>
          </cell>
          <cell r="H37">
            <v>8976.0400000000009</v>
          </cell>
          <cell r="I37">
            <v>385</v>
          </cell>
          <cell r="J37">
            <v>99.13</v>
          </cell>
          <cell r="K37">
            <v>115.8</v>
          </cell>
          <cell r="L37">
            <v>25</v>
          </cell>
        </row>
        <row r="38">
          <cell r="C38">
            <v>5278.3</v>
          </cell>
          <cell r="D38">
            <v>5245.76</v>
          </cell>
          <cell r="E38">
            <v>336</v>
          </cell>
          <cell r="F38">
            <v>5400</v>
          </cell>
          <cell r="G38">
            <v>4537.37</v>
          </cell>
          <cell r="H38">
            <v>4488.3999999999996</v>
          </cell>
          <cell r="I38">
            <v>287</v>
          </cell>
          <cell r="J38">
            <v>78.459999999999994</v>
          </cell>
          <cell r="K38">
            <v>95.28</v>
          </cell>
          <cell r="L38">
            <v>28.44</v>
          </cell>
        </row>
        <row r="39">
          <cell r="C39">
            <v>6621.37</v>
          </cell>
          <cell r="D39">
            <v>6569.99</v>
          </cell>
          <cell r="E39">
            <v>413</v>
          </cell>
          <cell r="F39">
            <v>6800</v>
          </cell>
          <cell r="G39">
            <v>6305.49</v>
          </cell>
          <cell r="H39">
            <v>6215.73</v>
          </cell>
          <cell r="I39">
            <v>460</v>
          </cell>
          <cell r="J39">
            <v>75.12</v>
          </cell>
          <cell r="K39">
            <v>83.2</v>
          </cell>
          <cell r="L39">
            <v>30.92</v>
          </cell>
        </row>
        <row r="40">
          <cell r="C40">
            <v>7130.36</v>
          </cell>
          <cell r="D40">
            <v>7037.35</v>
          </cell>
          <cell r="E40">
            <v>424</v>
          </cell>
          <cell r="F40">
            <v>7200</v>
          </cell>
          <cell r="G40">
            <v>7544.27</v>
          </cell>
          <cell r="H40">
            <v>7458.85</v>
          </cell>
          <cell r="I40">
            <v>395</v>
          </cell>
          <cell r="J40">
            <v>74.63</v>
          </cell>
          <cell r="K40">
            <v>107.5</v>
          </cell>
          <cell r="L40">
            <v>56.45</v>
          </cell>
        </row>
        <row r="41">
          <cell r="C41">
            <v>6847.76</v>
          </cell>
          <cell r="D41">
            <v>6808.7</v>
          </cell>
          <cell r="E41">
            <v>429</v>
          </cell>
          <cell r="F41">
            <v>7000</v>
          </cell>
          <cell r="G41">
            <v>6993.34</v>
          </cell>
          <cell r="H41">
            <v>6915.36</v>
          </cell>
          <cell r="I41">
            <v>411</v>
          </cell>
          <cell r="J41">
            <v>93.45</v>
          </cell>
          <cell r="K41">
            <v>109.65</v>
          </cell>
          <cell r="L41">
            <v>55.04</v>
          </cell>
        </row>
        <row r="42">
          <cell r="C42">
            <v>10002.799999999999</v>
          </cell>
          <cell r="D42">
            <v>9923.01</v>
          </cell>
          <cell r="E42">
            <v>537</v>
          </cell>
          <cell r="F42">
            <v>10200</v>
          </cell>
          <cell r="G42">
            <v>11067.1</v>
          </cell>
          <cell r="H42">
            <v>10897.09</v>
          </cell>
          <cell r="I42">
            <v>572</v>
          </cell>
          <cell r="J42">
            <v>113.58</v>
          </cell>
          <cell r="K42">
            <v>130.87</v>
          </cell>
          <cell r="L42">
            <v>55.23</v>
          </cell>
        </row>
        <row r="43">
          <cell r="C43">
            <v>9794.51</v>
          </cell>
          <cell r="D43">
            <v>9659.06</v>
          </cell>
          <cell r="E43">
            <v>464</v>
          </cell>
          <cell r="F43">
            <v>10600</v>
          </cell>
          <cell r="G43">
            <v>10295.35</v>
          </cell>
          <cell r="H43">
            <v>10165.11</v>
          </cell>
          <cell r="I43">
            <v>490</v>
          </cell>
          <cell r="J43">
            <v>126.5</v>
          </cell>
          <cell r="K43">
            <v>144.22999999999999</v>
          </cell>
          <cell r="L43">
            <v>39.42</v>
          </cell>
        </row>
        <row r="44">
          <cell r="C44">
            <v>8801.08</v>
          </cell>
          <cell r="D44">
            <v>8666.31</v>
          </cell>
          <cell r="E44">
            <v>413</v>
          </cell>
          <cell r="F44">
            <v>9600</v>
          </cell>
          <cell r="G44">
            <v>10207.65</v>
          </cell>
          <cell r="H44">
            <v>10048.57</v>
          </cell>
          <cell r="I44">
            <v>487</v>
          </cell>
          <cell r="J44">
            <v>113.58</v>
          </cell>
          <cell r="K44">
            <v>129.88</v>
          </cell>
          <cell r="L44">
            <v>49.25</v>
          </cell>
        </row>
        <row r="45">
          <cell r="C45">
            <v>4994.68</v>
          </cell>
          <cell r="D45">
            <v>4962.58</v>
          </cell>
          <cell r="E45">
            <v>320</v>
          </cell>
          <cell r="F45">
            <v>5900</v>
          </cell>
          <cell r="G45">
            <v>5631.15</v>
          </cell>
          <cell r="H45">
            <v>5562.02</v>
          </cell>
          <cell r="I45">
            <v>310</v>
          </cell>
          <cell r="J45">
            <v>69.22</v>
          </cell>
          <cell r="K45">
            <v>85.92</v>
          </cell>
          <cell r="L45">
            <v>41.49</v>
          </cell>
        </row>
        <row r="46">
          <cell r="C46">
            <v>6942.4</v>
          </cell>
          <cell r="D46">
            <v>6855.42</v>
          </cell>
          <cell r="E46">
            <v>430</v>
          </cell>
          <cell r="F46">
            <v>7900</v>
          </cell>
          <cell r="G46">
            <v>6815.57</v>
          </cell>
          <cell r="H46">
            <v>6696.2</v>
          </cell>
          <cell r="I46">
            <v>356</v>
          </cell>
          <cell r="J46">
            <v>77.3</v>
          </cell>
          <cell r="K46">
            <v>92.85</v>
          </cell>
          <cell r="L46">
            <v>54.89</v>
          </cell>
        </row>
        <row r="47">
          <cell r="C47">
            <v>8019.71</v>
          </cell>
          <cell r="D47">
            <v>7934.47</v>
          </cell>
          <cell r="E47">
            <v>431</v>
          </cell>
          <cell r="F47">
            <v>7900</v>
          </cell>
          <cell r="G47">
            <v>7017.7</v>
          </cell>
          <cell r="H47">
            <v>6900.1</v>
          </cell>
          <cell r="I47">
            <v>346</v>
          </cell>
          <cell r="J47">
            <v>93.42</v>
          </cell>
          <cell r="K47">
            <v>118.7</v>
          </cell>
          <cell r="L47">
            <v>40.44</v>
          </cell>
        </row>
        <row r="48">
          <cell r="C48">
            <v>7294.99</v>
          </cell>
          <cell r="D48">
            <v>7236.14</v>
          </cell>
          <cell r="E48">
            <v>428</v>
          </cell>
          <cell r="F48">
            <v>7600</v>
          </cell>
          <cell r="G48">
            <v>7605.28</v>
          </cell>
          <cell r="H48">
            <v>7528.95</v>
          </cell>
          <cell r="I48">
            <v>385</v>
          </cell>
          <cell r="J48">
            <v>87.46</v>
          </cell>
          <cell r="K48">
            <v>103.48</v>
          </cell>
          <cell r="L48">
            <v>96.59</v>
          </cell>
        </row>
        <row r="49">
          <cell r="C49">
            <v>12804.41</v>
          </cell>
          <cell r="D49">
            <v>12689.2</v>
          </cell>
          <cell r="E49">
            <v>670</v>
          </cell>
          <cell r="F49">
            <v>12700</v>
          </cell>
          <cell r="G49">
            <v>10471.01</v>
          </cell>
          <cell r="H49">
            <v>10346.4</v>
          </cell>
          <cell r="I49">
            <v>491</v>
          </cell>
          <cell r="J49">
            <v>110.38000000000001</v>
          </cell>
          <cell r="K49">
            <v>136.28</v>
          </cell>
          <cell r="L49">
            <v>69.53</v>
          </cell>
        </row>
        <row r="50">
          <cell r="C50">
            <v>11235.73</v>
          </cell>
          <cell r="D50">
            <v>11107.39</v>
          </cell>
          <cell r="E50">
            <v>514</v>
          </cell>
          <cell r="F50">
            <v>11100</v>
          </cell>
          <cell r="G50">
            <v>10107.58</v>
          </cell>
          <cell r="H50">
            <v>9958.2900000000009</v>
          </cell>
          <cell r="I50">
            <v>486</v>
          </cell>
          <cell r="J50">
            <v>117.39999999999998</v>
          </cell>
          <cell r="K50">
            <v>134.63999999999999</v>
          </cell>
          <cell r="L50">
            <v>59.29</v>
          </cell>
        </row>
        <row r="51">
          <cell r="C51">
            <v>10251.629999999999</v>
          </cell>
          <cell r="D51">
            <v>10126.67</v>
          </cell>
          <cell r="E51">
            <v>456</v>
          </cell>
          <cell r="F51">
            <v>10100</v>
          </cell>
          <cell r="G51">
            <v>9203.69</v>
          </cell>
          <cell r="H51">
            <v>9070.1</v>
          </cell>
          <cell r="I51">
            <v>384</v>
          </cell>
          <cell r="J51">
            <v>101.74</v>
          </cell>
          <cell r="K51">
            <v>118.02</v>
          </cell>
          <cell r="L51">
            <v>60.990000000000009</v>
          </cell>
        </row>
        <row r="52">
          <cell r="C52">
            <v>5192.24</v>
          </cell>
          <cell r="D52">
            <v>5133.5</v>
          </cell>
          <cell r="E52">
            <v>326</v>
          </cell>
          <cell r="F52">
            <v>6100</v>
          </cell>
          <cell r="G52">
            <v>5377.4</v>
          </cell>
          <cell r="H52">
            <v>5303.08</v>
          </cell>
          <cell r="I52">
            <v>316</v>
          </cell>
          <cell r="J52">
            <v>60.16</v>
          </cell>
          <cell r="K52">
            <v>76.2</v>
          </cell>
          <cell r="L52">
            <v>26.05</v>
          </cell>
        </row>
        <row r="53">
          <cell r="C53">
            <v>6920.9</v>
          </cell>
          <cell r="D53">
            <v>6866.71</v>
          </cell>
          <cell r="E53">
            <v>407</v>
          </cell>
          <cell r="F53">
            <v>8200</v>
          </cell>
          <cell r="G53">
            <v>7312.55</v>
          </cell>
          <cell r="H53">
            <v>7239.68</v>
          </cell>
          <cell r="I53">
            <v>364</v>
          </cell>
          <cell r="J53">
            <v>69.61</v>
          </cell>
          <cell r="K53">
            <v>85.93</v>
          </cell>
          <cell r="L53">
            <v>44.8</v>
          </cell>
        </row>
        <row r="54">
          <cell r="C54">
            <v>7965.52</v>
          </cell>
          <cell r="D54">
            <v>7851.74</v>
          </cell>
          <cell r="E54">
            <v>443</v>
          </cell>
          <cell r="F54">
            <v>7800</v>
          </cell>
          <cell r="G54">
            <v>6678.85</v>
          </cell>
          <cell r="H54">
            <v>6608.26</v>
          </cell>
          <cell r="I54">
            <v>350</v>
          </cell>
          <cell r="J54">
            <v>73.73</v>
          </cell>
          <cell r="K54">
            <v>107.93</v>
          </cell>
          <cell r="L54">
            <v>27.75</v>
          </cell>
        </row>
        <row r="55">
          <cell r="C55">
            <v>5782.78</v>
          </cell>
          <cell r="D55">
            <v>5713.7</v>
          </cell>
          <cell r="E55">
            <v>365</v>
          </cell>
          <cell r="F55">
            <v>7400</v>
          </cell>
          <cell r="G55">
            <v>7202.65</v>
          </cell>
          <cell r="H55">
            <v>7100.88</v>
          </cell>
          <cell r="I55">
            <v>397</v>
          </cell>
          <cell r="J55">
            <v>70.63</v>
          </cell>
          <cell r="K55">
            <v>94.93</v>
          </cell>
          <cell r="L55">
            <v>43.04</v>
          </cell>
        </row>
        <row r="56">
          <cell r="C56">
            <v>10620.61</v>
          </cell>
          <cell r="D56">
            <v>10532.94</v>
          </cell>
          <cell r="E56">
            <v>588</v>
          </cell>
          <cell r="F56">
            <v>12500</v>
          </cell>
          <cell r="G56">
            <v>8729.25</v>
          </cell>
          <cell r="H56">
            <v>8633.69</v>
          </cell>
          <cell r="I56">
            <v>417</v>
          </cell>
          <cell r="J56">
            <v>97.42</v>
          </cell>
          <cell r="K56">
            <v>121.22</v>
          </cell>
          <cell r="L56">
            <v>63.26</v>
          </cell>
        </row>
        <row r="57">
          <cell r="C57">
            <v>10030.07</v>
          </cell>
          <cell r="D57">
            <v>9924.4599999999991</v>
          </cell>
          <cell r="E57">
            <v>510</v>
          </cell>
          <cell r="F57">
            <v>11800</v>
          </cell>
          <cell r="G57">
            <v>10328.280000000001</v>
          </cell>
          <cell r="H57">
            <v>10228.33</v>
          </cell>
          <cell r="I57">
            <v>436</v>
          </cell>
          <cell r="J57">
            <v>100.49</v>
          </cell>
          <cell r="K57">
            <v>116.92</v>
          </cell>
          <cell r="L57">
            <v>71.319999999999993</v>
          </cell>
        </row>
        <row r="58">
          <cell r="C58">
            <v>8767.44</v>
          </cell>
          <cell r="D58">
            <v>8661.89</v>
          </cell>
          <cell r="E58">
            <v>445</v>
          </cell>
          <cell r="F58">
            <v>10800</v>
          </cell>
          <cell r="G58">
            <v>9219.94</v>
          </cell>
          <cell r="H58">
            <v>9117.3700000000008</v>
          </cell>
          <cell r="I58">
            <v>403</v>
          </cell>
          <cell r="J58">
            <v>87.96</v>
          </cell>
          <cell r="K58">
            <v>104.85</v>
          </cell>
          <cell r="L58">
            <v>40.11</v>
          </cell>
        </row>
        <row r="59">
          <cell r="C59">
            <v>5990.71</v>
          </cell>
          <cell r="D59">
            <v>5921.85</v>
          </cell>
          <cell r="E59">
            <v>338</v>
          </cell>
          <cell r="F59">
            <v>5700</v>
          </cell>
          <cell r="G59">
            <v>4609.72</v>
          </cell>
          <cell r="H59">
            <v>4563.3500000000004</v>
          </cell>
          <cell r="I59">
            <v>312</v>
          </cell>
          <cell r="J59">
            <v>62.23</v>
          </cell>
          <cell r="K59">
            <v>96.32</v>
          </cell>
          <cell r="L59">
            <v>34.58</v>
          </cell>
        </row>
        <row r="60">
          <cell r="C60">
            <v>7114.14</v>
          </cell>
          <cell r="D60">
            <v>7035</v>
          </cell>
          <cell r="E60">
            <v>379</v>
          </cell>
          <cell r="F60">
            <v>6700</v>
          </cell>
          <cell r="G60">
            <v>5899.19</v>
          </cell>
          <cell r="H60">
            <v>5817.1</v>
          </cell>
          <cell r="I60">
            <v>321</v>
          </cell>
          <cell r="J60">
            <v>70.83</v>
          </cell>
          <cell r="K60">
            <v>95.13</v>
          </cell>
          <cell r="L60">
            <v>39.25</v>
          </cell>
        </row>
        <row r="61">
          <cell r="C61">
            <v>6519.04</v>
          </cell>
          <cell r="D61">
            <v>6441.66</v>
          </cell>
          <cell r="E61">
            <v>347</v>
          </cell>
          <cell r="F61">
            <v>6200</v>
          </cell>
          <cell r="G61">
            <v>6647.91</v>
          </cell>
          <cell r="H61">
            <v>6559.74</v>
          </cell>
          <cell r="I61">
            <v>356</v>
          </cell>
          <cell r="J61">
            <v>76.39</v>
          </cell>
          <cell r="K61">
            <v>100.5</v>
          </cell>
          <cell r="L61">
            <v>29.41</v>
          </cell>
        </row>
        <row r="62">
          <cell r="C62">
            <v>8451.15</v>
          </cell>
          <cell r="D62">
            <v>8373.33</v>
          </cell>
          <cell r="E62">
            <v>464</v>
          </cell>
          <cell r="F62">
            <v>8000</v>
          </cell>
          <cell r="G62">
            <v>6173.38</v>
          </cell>
          <cell r="H62">
            <v>6101.81</v>
          </cell>
          <cell r="I62">
            <v>333</v>
          </cell>
          <cell r="J62">
            <v>70.3</v>
          </cell>
          <cell r="K62">
            <v>86.02</v>
          </cell>
          <cell r="L62">
            <v>49.22</v>
          </cell>
        </row>
        <row r="63">
          <cell r="C63">
            <v>10800.06</v>
          </cell>
          <cell r="D63">
            <v>10654.98</v>
          </cell>
          <cell r="E63">
            <v>528</v>
          </cell>
          <cell r="F63">
            <v>10200</v>
          </cell>
          <cell r="G63">
            <v>9556.2000000000007</v>
          </cell>
          <cell r="H63">
            <v>9424.7900000000009</v>
          </cell>
          <cell r="I63">
            <v>507</v>
          </cell>
          <cell r="J63">
            <v>92.85</v>
          </cell>
          <cell r="K63">
            <v>110.12</v>
          </cell>
          <cell r="L63">
            <v>64.62</v>
          </cell>
        </row>
        <row r="64">
          <cell r="C64">
            <v>9292.85</v>
          </cell>
          <cell r="D64">
            <v>9171.5</v>
          </cell>
          <cell r="E64">
            <v>445</v>
          </cell>
          <cell r="F64">
            <v>9400</v>
          </cell>
          <cell r="G64">
            <v>9919.7900000000009</v>
          </cell>
          <cell r="H64">
            <v>9814.48</v>
          </cell>
          <cell r="I64">
            <v>428</v>
          </cell>
          <cell r="J64">
            <v>95.01</v>
          </cell>
          <cell r="K64">
            <v>111.85</v>
          </cell>
          <cell r="L64">
            <v>31.4</v>
          </cell>
        </row>
        <row r="65">
          <cell r="C65">
            <v>10109.26</v>
          </cell>
          <cell r="D65">
            <v>10010.82</v>
          </cell>
          <cell r="E65">
            <v>467</v>
          </cell>
          <cell r="F65">
            <v>10300</v>
          </cell>
          <cell r="G65">
            <v>10290.120000000001</v>
          </cell>
          <cell r="H65">
            <v>10160.700000000001</v>
          </cell>
          <cell r="I65">
            <v>468</v>
          </cell>
          <cell r="J65">
            <v>95.06</v>
          </cell>
          <cell r="K65">
            <v>119.48</v>
          </cell>
          <cell r="L65">
            <v>53.17</v>
          </cell>
        </row>
        <row r="66">
          <cell r="C66">
            <v>6241.38</v>
          </cell>
          <cell r="D66">
            <v>6175.21</v>
          </cell>
          <cell r="E66">
            <v>324</v>
          </cell>
          <cell r="F66">
            <v>5900</v>
          </cell>
          <cell r="G66">
            <v>5127.95</v>
          </cell>
          <cell r="H66">
            <v>5054.84</v>
          </cell>
          <cell r="I66">
            <v>300</v>
          </cell>
          <cell r="J66">
            <v>70.8</v>
          </cell>
          <cell r="K66">
            <v>87.05</v>
          </cell>
          <cell r="L66">
            <v>65.459999999999994</v>
          </cell>
        </row>
        <row r="67">
          <cell r="C67">
            <v>6386.65</v>
          </cell>
          <cell r="D67">
            <v>6309.85</v>
          </cell>
          <cell r="E67">
            <v>348</v>
          </cell>
          <cell r="F67">
            <v>6100</v>
          </cell>
          <cell r="G67">
            <v>5905.78</v>
          </cell>
          <cell r="H67">
            <v>5836.35</v>
          </cell>
          <cell r="I67">
            <v>361</v>
          </cell>
          <cell r="J67">
            <v>70.33</v>
          </cell>
          <cell r="K67">
            <v>85.88</v>
          </cell>
          <cell r="L67">
            <v>21.98</v>
          </cell>
        </row>
        <row r="68">
          <cell r="C68">
            <v>7552.34</v>
          </cell>
          <cell r="D68">
            <v>7481.59</v>
          </cell>
          <cell r="E68">
            <v>392</v>
          </cell>
          <cell r="F68">
            <v>7200</v>
          </cell>
          <cell r="G68">
            <v>7306.73</v>
          </cell>
          <cell r="H68">
            <v>7211.62</v>
          </cell>
          <cell r="I68">
            <v>394</v>
          </cell>
          <cell r="J68">
            <v>83.67</v>
          </cell>
          <cell r="K68">
            <v>106.72</v>
          </cell>
          <cell r="L68">
            <v>38.880000000000003</v>
          </cell>
        </row>
        <row r="69">
          <cell r="C69">
            <v>7269.29</v>
          </cell>
          <cell r="D69">
            <v>7183.8</v>
          </cell>
          <cell r="E69">
            <v>372</v>
          </cell>
          <cell r="F69">
            <v>6900</v>
          </cell>
          <cell r="G69">
            <v>6878.16</v>
          </cell>
          <cell r="H69">
            <v>6776.57</v>
          </cell>
          <cell r="I69">
            <v>373</v>
          </cell>
          <cell r="J69">
            <v>74.790000000000006</v>
          </cell>
          <cell r="K69">
            <v>91.62</v>
          </cell>
          <cell r="L69">
            <v>43.32</v>
          </cell>
        </row>
        <row r="70">
          <cell r="C70">
            <v>9805.7199999999993</v>
          </cell>
          <cell r="D70">
            <v>9628.3700000000008</v>
          </cell>
          <cell r="E70">
            <v>507</v>
          </cell>
          <cell r="F70">
            <v>9200</v>
          </cell>
          <cell r="G70">
            <v>9333.91</v>
          </cell>
          <cell r="H70">
            <v>9185.84</v>
          </cell>
          <cell r="I70">
            <v>482</v>
          </cell>
          <cell r="J70">
            <v>94.4</v>
          </cell>
          <cell r="K70">
            <v>122.13</v>
          </cell>
          <cell r="L70">
            <v>38.56</v>
          </cell>
        </row>
        <row r="71">
          <cell r="C71">
            <v>9397.75</v>
          </cell>
          <cell r="D71">
            <v>9287.49</v>
          </cell>
          <cell r="E71">
            <v>460</v>
          </cell>
          <cell r="F71">
            <v>9600</v>
          </cell>
          <cell r="G71">
            <v>9274.56</v>
          </cell>
          <cell r="H71">
            <v>9182.3799999999992</v>
          </cell>
          <cell r="I71">
            <v>430</v>
          </cell>
          <cell r="J71">
            <v>80.28</v>
          </cell>
          <cell r="K71">
            <v>105.9</v>
          </cell>
          <cell r="L71">
            <v>58.85</v>
          </cell>
        </row>
        <row r="72">
          <cell r="C72">
            <v>10403.58</v>
          </cell>
          <cell r="D72">
            <v>10314.33</v>
          </cell>
          <cell r="E72">
            <v>466</v>
          </cell>
          <cell r="F72">
            <v>10600</v>
          </cell>
          <cell r="G72">
            <v>9976.42</v>
          </cell>
          <cell r="H72">
            <v>9859.01</v>
          </cell>
          <cell r="I72">
            <v>447</v>
          </cell>
          <cell r="J72">
            <v>82.49</v>
          </cell>
          <cell r="K72">
            <v>106.65</v>
          </cell>
          <cell r="L72">
            <v>53.62</v>
          </cell>
        </row>
        <row r="73">
          <cell r="C73">
            <v>4803.4799999999996</v>
          </cell>
          <cell r="D73">
            <v>4756.8100000000004</v>
          </cell>
          <cell r="E73">
            <v>294</v>
          </cell>
          <cell r="F73">
            <v>4900</v>
          </cell>
          <cell r="G73">
            <v>5234.0600000000004</v>
          </cell>
          <cell r="H73">
            <v>5170.9799999999996</v>
          </cell>
          <cell r="I73">
            <v>307</v>
          </cell>
          <cell r="J73">
            <v>75.760000000000005</v>
          </cell>
          <cell r="K73">
            <v>92.73</v>
          </cell>
          <cell r="L73">
            <v>30.53</v>
          </cell>
        </row>
        <row r="74">
          <cell r="C74">
            <v>6887.12</v>
          </cell>
          <cell r="D74">
            <v>6821.81</v>
          </cell>
          <cell r="E74">
            <v>411</v>
          </cell>
          <cell r="F74">
            <v>7000</v>
          </cell>
          <cell r="G74">
            <v>6207.24</v>
          </cell>
          <cell r="H74">
            <v>6113.35</v>
          </cell>
          <cell r="I74">
            <v>350</v>
          </cell>
          <cell r="J74">
            <v>67.52</v>
          </cell>
          <cell r="K74">
            <v>84.75</v>
          </cell>
          <cell r="L74">
            <v>31.3</v>
          </cell>
        </row>
        <row r="75">
          <cell r="C75">
            <v>6459.41</v>
          </cell>
          <cell r="D75">
            <v>6365.71</v>
          </cell>
          <cell r="E75">
            <v>367</v>
          </cell>
          <cell r="F75">
            <v>6600</v>
          </cell>
          <cell r="G75">
            <v>6936.37</v>
          </cell>
          <cell r="H75">
            <v>6820.65</v>
          </cell>
          <cell r="I75">
            <v>361</v>
          </cell>
          <cell r="J75">
            <v>78.28</v>
          </cell>
          <cell r="K75">
            <v>95.08</v>
          </cell>
          <cell r="L75">
            <v>30.5</v>
          </cell>
        </row>
        <row r="76">
          <cell r="C76">
            <v>6969.82</v>
          </cell>
          <cell r="D76">
            <v>6922.57</v>
          </cell>
          <cell r="E76">
            <v>400</v>
          </cell>
          <cell r="F76">
            <v>7100</v>
          </cell>
          <cell r="G76">
            <v>6225.23</v>
          </cell>
          <cell r="H76">
            <v>6150.03</v>
          </cell>
          <cell r="I76">
            <v>344</v>
          </cell>
          <cell r="J76">
            <v>72.989999999999995</v>
          </cell>
          <cell r="K76">
            <v>96.97</v>
          </cell>
          <cell r="L76">
            <v>59.22</v>
          </cell>
        </row>
        <row r="77">
          <cell r="C77">
            <v>9313.99</v>
          </cell>
          <cell r="D77">
            <v>9190.26</v>
          </cell>
          <cell r="E77">
            <v>492</v>
          </cell>
          <cell r="F77">
            <v>9500</v>
          </cell>
          <cell r="G77">
            <v>10208.49</v>
          </cell>
          <cell r="H77">
            <v>10090.33</v>
          </cell>
          <cell r="I77">
            <v>530</v>
          </cell>
          <cell r="J77">
            <v>89.01</v>
          </cell>
          <cell r="K77">
            <v>114.7</v>
          </cell>
          <cell r="L77">
            <v>61.94</v>
          </cell>
        </row>
        <row r="78">
          <cell r="C78">
            <v>8855.6299999999992</v>
          </cell>
          <cell r="D78">
            <v>8748.2199999999993</v>
          </cell>
          <cell r="E78">
            <v>430</v>
          </cell>
          <cell r="F78">
            <v>9000</v>
          </cell>
          <cell r="G78">
            <v>8524.7800000000007</v>
          </cell>
          <cell r="H78">
            <v>8422.42</v>
          </cell>
          <cell r="I78">
            <v>392</v>
          </cell>
          <cell r="J78">
            <v>104.63</v>
          </cell>
          <cell r="K78">
            <v>121.32</v>
          </cell>
          <cell r="L78">
            <v>26.37</v>
          </cell>
        </row>
        <row r="79">
          <cell r="C79">
            <v>9651.69</v>
          </cell>
          <cell r="D79">
            <v>9534.42</v>
          </cell>
          <cell r="E79">
            <v>451</v>
          </cell>
          <cell r="F79">
            <v>9800</v>
          </cell>
          <cell r="G79">
            <v>9057.8700000000008</v>
          </cell>
          <cell r="H79">
            <v>8950.83</v>
          </cell>
          <cell r="I79">
            <v>404</v>
          </cell>
          <cell r="J79">
            <v>94.5</v>
          </cell>
          <cell r="K79">
            <v>109.92</v>
          </cell>
          <cell r="L79">
            <v>39.880000000000003</v>
          </cell>
        </row>
        <row r="80">
          <cell r="C80">
            <v>4588.6000000000004</v>
          </cell>
          <cell r="D80">
            <v>4558.8999999999996</v>
          </cell>
          <cell r="E80">
            <v>290</v>
          </cell>
          <cell r="F80">
            <v>4700</v>
          </cell>
          <cell r="G80">
            <v>5145.28</v>
          </cell>
          <cell r="H80">
            <v>5099.34</v>
          </cell>
          <cell r="I80">
            <v>306</v>
          </cell>
          <cell r="J80">
            <v>66.36</v>
          </cell>
          <cell r="K80">
            <v>83.33</v>
          </cell>
          <cell r="L80">
            <v>32.299999999999997</v>
          </cell>
        </row>
        <row r="81">
          <cell r="C81">
            <v>5645.54</v>
          </cell>
          <cell r="D81">
            <v>5602.63</v>
          </cell>
          <cell r="E81">
            <v>345</v>
          </cell>
          <cell r="F81">
            <v>5800</v>
          </cell>
          <cell r="G81">
            <v>5404.54</v>
          </cell>
          <cell r="H81">
            <v>5357.13</v>
          </cell>
          <cell r="I81">
            <v>315</v>
          </cell>
          <cell r="J81">
            <v>64.7</v>
          </cell>
          <cell r="K81">
            <v>80.83</v>
          </cell>
          <cell r="L81">
            <v>31.14</v>
          </cell>
        </row>
        <row r="82">
          <cell r="C82">
            <v>6933.86</v>
          </cell>
          <cell r="D82">
            <v>6841.39</v>
          </cell>
          <cell r="E82">
            <v>400</v>
          </cell>
          <cell r="F82">
            <v>7000</v>
          </cell>
          <cell r="G82">
            <v>7566.79</v>
          </cell>
          <cell r="H82">
            <v>7488.79</v>
          </cell>
          <cell r="I82">
            <v>383</v>
          </cell>
          <cell r="J82">
            <v>70.83</v>
          </cell>
          <cell r="K82">
            <v>87.35</v>
          </cell>
          <cell r="L82">
            <v>44.21</v>
          </cell>
        </row>
        <row r="83">
          <cell r="C83">
            <v>6003.56</v>
          </cell>
          <cell r="D83">
            <v>5950.07</v>
          </cell>
          <cell r="E83">
            <v>391</v>
          </cell>
          <cell r="F83">
            <v>6100</v>
          </cell>
          <cell r="G83">
            <v>6871.69</v>
          </cell>
          <cell r="H83">
            <v>6812.27</v>
          </cell>
          <cell r="I83">
            <v>407</v>
          </cell>
          <cell r="J83">
            <v>66.37</v>
          </cell>
          <cell r="K83">
            <v>81.95</v>
          </cell>
          <cell r="L83">
            <v>16.02</v>
          </cell>
        </row>
        <row r="84">
          <cell r="C84">
            <v>9498.5</v>
          </cell>
          <cell r="D84">
            <v>9392.81</v>
          </cell>
          <cell r="E84">
            <v>555</v>
          </cell>
          <cell r="F84">
            <v>9700</v>
          </cell>
          <cell r="G84">
            <v>9319.44</v>
          </cell>
          <cell r="H84">
            <v>9182.61</v>
          </cell>
          <cell r="I84">
            <v>476</v>
          </cell>
          <cell r="J84">
            <v>83.82</v>
          </cell>
          <cell r="K84">
            <v>101.01</v>
          </cell>
          <cell r="L84">
            <v>39.36</v>
          </cell>
        </row>
        <row r="85">
          <cell r="C85">
            <v>9462.4</v>
          </cell>
          <cell r="D85">
            <v>9362.24</v>
          </cell>
          <cell r="E85">
            <v>444</v>
          </cell>
          <cell r="F85">
            <v>9600</v>
          </cell>
          <cell r="G85">
            <v>9411.7000000000007</v>
          </cell>
          <cell r="H85">
            <v>9307.24</v>
          </cell>
          <cell r="I85">
            <v>418</v>
          </cell>
          <cell r="J85">
            <v>85.41</v>
          </cell>
          <cell r="K85">
            <v>102.13</v>
          </cell>
          <cell r="L85">
            <v>50.35</v>
          </cell>
        </row>
        <row r="86">
          <cell r="C86">
            <v>10198.9</v>
          </cell>
          <cell r="D86">
            <v>10115.700000000001</v>
          </cell>
          <cell r="E86">
            <v>451</v>
          </cell>
          <cell r="F86">
            <v>10400</v>
          </cell>
          <cell r="G86">
            <v>10065.64</v>
          </cell>
          <cell r="H86">
            <v>9960.7099999999991</v>
          </cell>
          <cell r="I86">
            <v>445</v>
          </cell>
          <cell r="J86">
            <v>83.8</v>
          </cell>
          <cell r="K86">
            <v>99.2</v>
          </cell>
          <cell r="L86">
            <v>46.88</v>
          </cell>
        </row>
        <row r="87">
          <cell r="C87">
            <v>4638.3100000000004</v>
          </cell>
          <cell r="D87">
            <v>4600.79</v>
          </cell>
          <cell r="E87">
            <v>277</v>
          </cell>
          <cell r="F87">
            <v>4700</v>
          </cell>
          <cell r="G87">
            <v>4287.46</v>
          </cell>
          <cell r="H87">
            <v>4246.6499999999996</v>
          </cell>
          <cell r="I87">
            <v>259</v>
          </cell>
          <cell r="J87">
            <v>67.87</v>
          </cell>
          <cell r="K87">
            <v>75.92</v>
          </cell>
          <cell r="L87">
            <v>50.01</v>
          </cell>
        </row>
        <row r="88">
          <cell r="C88">
            <v>6045.89</v>
          </cell>
          <cell r="D88">
            <v>5912.77</v>
          </cell>
          <cell r="E88">
            <v>376</v>
          </cell>
          <cell r="F88">
            <v>6100</v>
          </cell>
          <cell r="G88">
            <v>5556.62</v>
          </cell>
          <cell r="H88">
            <v>5436.18</v>
          </cell>
          <cell r="I88">
            <v>304</v>
          </cell>
          <cell r="J88">
            <v>62.85</v>
          </cell>
          <cell r="K88">
            <v>78.47</v>
          </cell>
          <cell r="L88">
            <v>14.95</v>
          </cell>
        </row>
        <row r="89">
          <cell r="C89">
            <v>7373.88</v>
          </cell>
          <cell r="D89">
            <v>7202.8</v>
          </cell>
          <cell r="E89">
            <v>412</v>
          </cell>
          <cell r="F89">
            <v>7400</v>
          </cell>
          <cell r="G89">
            <v>7148.11</v>
          </cell>
          <cell r="H89">
            <v>7013.49</v>
          </cell>
          <cell r="I89">
            <v>383</v>
          </cell>
          <cell r="J89">
            <v>53.57</v>
          </cell>
          <cell r="K89">
            <v>70.53</v>
          </cell>
          <cell r="L89">
            <v>98.38</v>
          </cell>
        </row>
        <row r="90">
          <cell r="C90">
            <v>5879.64</v>
          </cell>
          <cell r="D90">
            <v>5770.64</v>
          </cell>
          <cell r="E90">
            <v>361</v>
          </cell>
          <cell r="F90">
            <v>5900</v>
          </cell>
          <cell r="G90">
            <v>6446.17</v>
          </cell>
          <cell r="H90">
            <v>6336.65</v>
          </cell>
          <cell r="I90">
            <v>380</v>
          </cell>
          <cell r="J90">
            <v>53.6</v>
          </cell>
          <cell r="K90">
            <v>79.12</v>
          </cell>
          <cell r="L90">
            <v>35.78</v>
          </cell>
        </row>
        <row r="91">
          <cell r="C91">
            <v>10549.5</v>
          </cell>
          <cell r="D91">
            <v>10319.040000000001</v>
          </cell>
          <cell r="E91">
            <v>544</v>
          </cell>
          <cell r="F91">
            <v>10600</v>
          </cell>
          <cell r="G91">
            <v>9780.98</v>
          </cell>
          <cell r="H91">
            <v>9584.9599999999991</v>
          </cell>
          <cell r="I91">
            <v>503</v>
          </cell>
          <cell r="J91">
            <v>82.24</v>
          </cell>
          <cell r="K91">
            <v>99.27</v>
          </cell>
          <cell r="L91">
            <v>39.28</v>
          </cell>
        </row>
        <row r="92">
          <cell r="C92">
            <v>9503.0499999999993</v>
          </cell>
          <cell r="D92">
            <v>9307.2099999999991</v>
          </cell>
          <cell r="E92">
            <v>479</v>
          </cell>
          <cell r="F92">
            <v>9600</v>
          </cell>
          <cell r="G92">
            <v>10599.86</v>
          </cell>
          <cell r="H92">
            <v>10358.85</v>
          </cell>
          <cell r="I92">
            <v>513</v>
          </cell>
          <cell r="J92">
            <v>80.760000000000005</v>
          </cell>
          <cell r="K92">
            <v>98.58</v>
          </cell>
          <cell r="L92">
            <v>34.54</v>
          </cell>
        </row>
        <row r="93">
          <cell r="C93">
            <v>11130.86</v>
          </cell>
          <cell r="D93">
            <v>10947.84</v>
          </cell>
          <cell r="E93">
            <v>495</v>
          </cell>
          <cell r="F93">
            <v>11300</v>
          </cell>
          <cell r="G93">
            <v>13147.87</v>
          </cell>
          <cell r="H93">
            <v>12930.18</v>
          </cell>
          <cell r="I93">
            <v>535</v>
          </cell>
          <cell r="J93">
            <v>77.37</v>
          </cell>
          <cell r="K93">
            <v>94.57</v>
          </cell>
          <cell r="L93">
            <v>39.659999999999997</v>
          </cell>
        </row>
        <row r="94">
          <cell r="C94">
            <v>5859.26</v>
          </cell>
          <cell r="D94">
            <v>5757.87</v>
          </cell>
          <cell r="E94">
            <v>319</v>
          </cell>
          <cell r="F94">
            <v>5900</v>
          </cell>
          <cell r="G94">
            <v>4993.34</v>
          </cell>
          <cell r="H94">
            <v>4915.3999999999996</v>
          </cell>
          <cell r="I94">
            <v>294</v>
          </cell>
          <cell r="J94">
            <v>65.42</v>
          </cell>
          <cell r="K94">
            <v>81.48</v>
          </cell>
          <cell r="L94">
            <v>32.33</v>
          </cell>
        </row>
        <row r="95">
          <cell r="C95">
            <v>7505.46</v>
          </cell>
          <cell r="D95">
            <v>7354.63</v>
          </cell>
          <cell r="E95">
            <v>449</v>
          </cell>
          <cell r="F95">
            <v>7600</v>
          </cell>
          <cell r="G95">
            <v>6436.93</v>
          </cell>
          <cell r="H95">
            <v>6319.44</v>
          </cell>
          <cell r="I95">
            <v>332</v>
          </cell>
          <cell r="J95">
            <v>54.88</v>
          </cell>
          <cell r="K95">
            <v>78.87</v>
          </cell>
          <cell r="L95">
            <v>15.98</v>
          </cell>
        </row>
        <row r="96">
          <cell r="C96">
            <v>8602.2999999999993</v>
          </cell>
          <cell r="D96">
            <v>8416.43</v>
          </cell>
          <cell r="E96">
            <v>457</v>
          </cell>
          <cell r="F96">
            <v>8700</v>
          </cell>
          <cell r="G96">
            <v>8375.94</v>
          </cell>
          <cell r="H96">
            <v>8183.78</v>
          </cell>
          <cell r="I96">
            <v>400</v>
          </cell>
          <cell r="J96">
            <v>71.569999999999993</v>
          </cell>
          <cell r="K96">
            <v>88.72</v>
          </cell>
          <cell r="L96">
            <v>27.73</v>
          </cell>
        </row>
        <row r="97">
          <cell r="C97">
            <v>7576.36</v>
          </cell>
          <cell r="D97">
            <v>7492.55</v>
          </cell>
          <cell r="E97">
            <v>471</v>
          </cell>
          <cell r="F97">
            <v>7700</v>
          </cell>
          <cell r="G97">
            <v>7776.92</v>
          </cell>
          <cell r="H97">
            <v>7652.35</v>
          </cell>
          <cell r="I97">
            <v>447</v>
          </cell>
          <cell r="J97">
            <v>65.62</v>
          </cell>
          <cell r="K97">
            <v>73.349999999999994</v>
          </cell>
          <cell r="L97">
            <v>30.13</v>
          </cell>
        </row>
        <row r="98">
          <cell r="C98">
            <v>9969.7900000000009</v>
          </cell>
          <cell r="D98">
            <v>9789.06</v>
          </cell>
          <cell r="E98">
            <v>516</v>
          </cell>
          <cell r="F98">
            <v>11100</v>
          </cell>
          <cell r="G98">
            <v>11031.96</v>
          </cell>
          <cell r="H98">
            <v>10824.37</v>
          </cell>
          <cell r="I98">
            <v>544</v>
          </cell>
          <cell r="J98">
            <v>91.65</v>
          </cell>
          <cell r="K98">
            <v>117.75</v>
          </cell>
          <cell r="L98">
            <v>37.340000000000003</v>
          </cell>
        </row>
        <row r="99">
          <cell r="C99">
            <v>11268.31</v>
          </cell>
          <cell r="D99">
            <v>11049.72</v>
          </cell>
          <cell r="E99">
            <v>534</v>
          </cell>
          <cell r="F99">
            <v>9700</v>
          </cell>
          <cell r="G99">
            <v>9042.64</v>
          </cell>
          <cell r="H99">
            <v>8827.7900000000009</v>
          </cell>
          <cell r="I99">
            <v>402</v>
          </cell>
          <cell r="J99">
            <v>72.87</v>
          </cell>
          <cell r="K99">
            <v>89.2</v>
          </cell>
          <cell r="L99">
            <v>35.409999999999997</v>
          </cell>
        </row>
        <row r="100">
          <cell r="C100">
            <v>10616.85</v>
          </cell>
          <cell r="D100">
            <v>10370.58</v>
          </cell>
          <cell r="E100">
            <v>499</v>
          </cell>
          <cell r="F100">
            <v>10300</v>
          </cell>
          <cell r="G100">
            <v>7883.33</v>
          </cell>
          <cell r="H100">
            <v>7721.66</v>
          </cell>
          <cell r="I100">
            <v>361</v>
          </cell>
          <cell r="J100">
            <v>87.53</v>
          </cell>
          <cell r="K100">
            <v>103.93</v>
          </cell>
          <cell r="L100">
            <v>24.54</v>
          </cell>
        </row>
        <row r="101">
          <cell r="C101">
            <v>5528.88</v>
          </cell>
          <cell r="D101">
            <v>5451.65</v>
          </cell>
          <cell r="E101">
            <v>325</v>
          </cell>
          <cell r="F101">
            <v>8800</v>
          </cell>
          <cell r="G101">
            <v>10164.74</v>
          </cell>
          <cell r="H101">
            <v>9973.83</v>
          </cell>
          <cell r="I101">
            <v>449</v>
          </cell>
          <cell r="J101">
            <v>93.82</v>
          </cell>
          <cell r="K101">
            <v>102.17</v>
          </cell>
          <cell r="L101">
            <v>11.37</v>
          </cell>
        </row>
        <row r="102">
          <cell r="C102">
            <v>7273.31</v>
          </cell>
          <cell r="D102">
            <v>7137.6</v>
          </cell>
          <cell r="E102">
            <v>409</v>
          </cell>
          <cell r="F102">
            <v>7100</v>
          </cell>
          <cell r="G102">
            <v>6388.99</v>
          </cell>
          <cell r="H102">
            <v>6233.1</v>
          </cell>
          <cell r="I102">
            <v>347</v>
          </cell>
          <cell r="J102">
            <v>70.150000000000006</v>
          </cell>
          <cell r="K102">
            <v>79.27</v>
          </cell>
          <cell r="L102">
            <v>40.950000000000003</v>
          </cell>
        </row>
        <row r="103">
          <cell r="C103">
            <v>8035.96</v>
          </cell>
          <cell r="D103">
            <v>7890.52</v>
          </cell>
          <cell r="E103">
            <v>451</v>
          </cell>
          <cell r="F103">
            <v>7900</v>
          </cell>
          <cell r="G103">
            <v>6640.34</v>
          </cell>
          <cell r="H103">
            <v>6516.41</v>
          </cell>
          <cell r="I103">
            <v>331</v>
          </cell>
          <cell r="J103">
            <v>79.650000000000006</v>
          </cell>
          <cell r="K103">
            <v>104.78</v>
          </cell>
          <cell r="L103">
            <v>58.79</v>
          </cell>
        </row>
        <row r="104">
          <cell r="C104">
            <v>7371.8</v>
          </cell>
          <cell r="D104">
            <v>7302.17</v>
          </cell>
          <cell r="E104">
            <v>419</v>
          </cell>
          <cell r="F104">
            <v>7300</v>
          </cell>
          <cell r="G104">
            <v>7303.09</v>
          </cell>
          <cell r="H104">
            <v>7128.96</v>
          </cell>
          <cell r="I104">
            <v>369</v>
          </cell>
          <cell r="J104">
            <v>68.489999999999995</v>
          </cell>
          <cell r="K104">
            <v>91.63</v>
          </cell>
          <cell r="L104">
            <v>40.340000000000003</v>
          </cell>
        </row>
        <row r="105">
          <cell r="C105">
            <v>9629.31</v>
          </cell>
          <cell r="D105">
            <v>9546.58</v>
          </cell>
          <cell r="E105">
            <v>513</v>
          </cell>
          <cell r="F105">
            <v>9500</v>
          </cell>
          <cell r="G105">
            <v>8322.49</v>
          </cell>
          <cell r="H105">
            <v>8139.18</v>
          </cell>
          <cell r="I105">
            <v>407</v>
          </cell>
          <cell r="J105">
            <v>84.97</v>
          </cell>
          <cell r="K105">
            <v>110.7</v>
          </cell>
          <cell r="L105">
            <v>45.17</v>
          </cell>
        </row>
        <row r="106">
          <cell r="C106">
            <v>12072.4</v>
          </cell>
          <cell r="D106">
            <v>11939.1</v>
          </cell>
          <cell r="E106">
            <v>554</v>
          </cell>
          <cell r="F106">
            <v>8400</v>
          </cell>
          <cell r="G106">
            <v>8838.2199999999993</v>
          </cell>
          <cell r="H106">
            <v>8667.0400000000009</v>
          </cell>
          <cell r="I106">
            <v>398</v>
          </cell>
          <cell r="J106">
            <v>87.45</v>
          </cell>
          <cell r="K106">
            <v>104.97</v>
          </cell>
          <cell r="L106">
            <v>16.329999999999998</v>
          </cell>
        </row>
        <row r="107">
          <cell r="C107">
            <v>10890.23</v>
          </cell>
          <cell r="D107">
            <v>10785.75</v>
          </cell>
          <cell r="E107">
            <v>487</v>
          </cell>
          <cell r="F107">
            <v>9700</v>
          </cell>
          <cell r="G107">
            <v>9373.14</v>
          </cell>
          <cell r="H107">
            <v>9252.09</v>
          </cell>
          <cell r="I107">
            <v>397</v>
          </cell>
          <cell r="J107">
            <v>89.48</v>
          </cell>
          <cell r="K107">
            <v>105.4</v>
          </cell>
          <cell r="L107">
            <v>36.5</v>
          </cell>
        </row>
        <row r="108">
          <cell r="C108">
            <v>5486.6</v>
          </cell>
          <cell r="D108">
            <v>5432.64</v>
          </cell>
          <cell r="E108">
            <v>338</v>
          </cell>
          <cell r="F108">
            <v>6200</v>
          </cell>
          <cell r="G108">
            <v>6009.05</v>
          </cell>
          <cell r="H108">
            <v>5886.47</v>
          </cell>
          <cell r="I108">
            <v>334</v>
          </cell>
          <cell r="J108">
            <v>67.260000000000005</v>
          </cell>
          <cell r="K108">
            <v>83.63</v>
          </cell>
          <cell r="L108">
            <v>74.260000000000005</v>
          </cell>
        </row>
        <row r="109">
          <cell r="C109">
            <v>6461.58</v>
          </cell>
          <cell r="D109">
            <v>6423.81</v>
          </cell>
          <cell r="E109">
            <v>393</v>
          </cell>
          <cell r="F109">
            <v>7000</v>
          </cell>
          <cell r="G109">
            <v>7331.79</v>
          </cell>
          <cell r="H109">
            <v>7198.23</v>
          </cell>
          <cell r="I109">
            <v>361</v>
          </cell>
          <cell r="J109">
            <v>61</v>
          </cell>
          <cell r="K109">
            <v>86.07</v>
          </cell>
          <cell r="L109">
            <v>33.520000000000003</v>
          </cell>
        </row>
        <row r="110">
          <cell r="C110">
            <v>6937.84</v>
          </cell>
          <cell r="D110">
            <v>6815.2</v>
          </cell>
          <cell r="E110">
            <v>384</v>
          </cell>
          <cell r="F110">
            <v>7400</v>
          </cell>
          <cell r="G110">
            <v>8348.6299999999992</v>
          </cell>
          <cell r="H110">
            <v>8186.28</v>
          </cell>
          <cell r="I110">
            <v>418</v>
          </cell>
          <cell r="J110">
            <v>61.89</v>
          </cell>
          <cell r="K110">
            <v>87.83</v>
          </cell>
          <cell r="L110">
            <v>59.45</v>
          </cell>
        </row>
        <row r="111">
          <cell r="C111">
            <v>6516.21</v>
          </cell>
          <cell r="D111">
            <v>6407.89</v>
          </cell>
          <cell r="E111">
            <v>393</v>
          </cell>
          <cell r="F111">
            <v>7600</v>
          </cell>
          <cell r="G111">
            <v>7450.91</v>
          </cell>
          <cell r="H111">
            <v>7306.01</v>
          </cell>
          <cell r="I111">
            <v>399</v>
          </cell>
          <cell r="J111">
            <v>61.92</v>
          </cell>
          <cell r="K111">
            <v>77.52</v>
          </cell>
          <cell r="L111">
            <v>38.79</v>
          </cell>
        </row>
        <row r="112">
          <cell r="C112">
            <v>10631.68</v>
          </cell>
          <cell r="D112">
            <v>10554.47</v>
          </cell>
          <cell r="E112">
            <v>563</v>
          </cell>
          <cell r="F112">
            <v>9300</v>
          </cell>
          <cell r="G112">
            <v>9533.5499999999993</v>
          </cell>
          <cell r="H112">
            <v>9335.4</v>
          </cell>
          <cell r="I112">
            <v>457</v>
          </cell>
          <cell r="J112">
            <v>84.559999999999988</v>
          </cell>
          <cell r="K112">
            <v>111.32</v>
          </cell>
          <cell r="L112">
            <v>20.38</v>
          </cell>
        </row>
        <row r="113">
          <cell r="C113">
            <v>9223.9699999999993</v>
          </cell>
          <cell r="D113">
            <v>9131.1299999999992</v>
          </cell>
          <cell r="E113">
            <v>452</v>
          </cell>
          <cell r="F113">
            <v>9100</v>
          </cell>
          <cell r="G113">
            <v>8707.94</v>
          </cell>
          <cell r="H113">
            <v>8534.2800000000007</v>
          </cell>
          <cell r="I113">
            <v>405</v>
          </cell>
          <cell r="J113">
            <v>78.680000000000007</v>
          </cell>
          <cell r="K113">
            <v>95.15</v>
          </cell>
          <cell r="L113">
            <v>27.89</v>
          </cell>
        </row>
        <row r="114">
          <cell r="C114">
            <v>10056.92</v>
          </cell>
          <cell r="D114">
            <v>9976.4699999999993</v>
          </cell>
          <cell r="E114">
            <v>459</v>
          </cell>
          <cell r="F114">
            <v>9500</v>
          </cell>
          <cell r="G114">
            <v>10531.29</v>
          </cell>
          <cell r="H114">
            <v>10350.24</v>
          </cell>
          <cell r="I114">
            <v>467</v>
          </cell>
          <cell r="J114">
            <v>83.980000000000018</v>
          </cell>
          <cell r="K114">
            <v>99.15</v>
          </cell>
          <cell r="L114">
            <v>62.75</v>
          </cell>
        </row>
        <row r="115">
          <cell r="C115">
            <v>8477.5400000000009</v>
          </cell>
          <cell r="D115">
            <v>8386.59</v>
          </cell>
          <cell r="E115">
            <v>365</v>
          </cell>
          <cell r="F115">
            <v>6200</v>
          </cell>
          <cell r="G115">
            <v>5175.6899999999996</v>
          </cell>
          <cell r="H115">
            <v>5101.4399999999996</v>
          </cell>
          <cell r="I115">
            <v>300</v>
          </cell>
          <cell r="J115">
            <v>64.819999999999993</v>
          </cell>
          <cell r="K115">
            <v>81.55</v>
          </cell>
          <cell r="L115">
            <v>35.840000000000003</v>
          </cell>
        </row>
        <row r="116">
          <cell r="C116">
            <v>6186.32</v>
          </cell>
          <cell r="D116">
            <v>6118.68</v>
          </cell>
          <cell r="E116">
            <v>348</v>
          </cell>
          <cell r="F116">
            <v>6000</v>
          </cell>
          <cell r="G116">
            <v>6212.64</v>
          </cell>
          <cell r="H116">
            <v>6090.4</v>
          </cell>
          <cell r="I116">
            <v>360</v>
          </cell>
          <cell r="J116">
            <v>64.94</v>
          </cell>
          <cell r="K116">
            <v>81.400000000000006</v>
          </cell>
          <cell r="L116">
            <v>34.42</v>
          </cell>
        </row>
        <row r="117">
          <cell r="C117">
            <v>6192.92</v>
          </cell>
          <cell r="D117">
            <v>6114.8</v>
          </cell>
          <cell r="E117">
            <v>331</v>
          </cell>
          <cell r="F117">
            <v>7300</v>
          </cell>
          <cell r="G117">
            <v>5936.3</v>
          </cell>
          <cell r="H117">
            <v>5839.08</v>
          </cell>
          <cell r="I117">
            <v>329</v>
          </cell>
          <cell r="J117">
            <v>71.73</v>
          </cell>
          <cell r="K117">
            <v>96.95</v>
          </cell>
          <cell r="L117">
            <v>25.99</v>
          </cell>
        </row>
        <row r="118">
          <cell r="C118">
            <v>6978.16</v>
          </cell>
          <cell r="D118">
            <v>6903.52</v>
          </cell>
          <cell r="E118">
            <v>380</v>
          </cell>
          <cell r="F118">
            <v>6800</v>
          </cell>
          <cell r="G118">
            <v>7026.18</v>
          </cell>
          <cell r="H118">
            <v>6901.08</v>
          </cell>
          <cell r="I118">
            <v>377</v>
          </cell>
          <cell r="J118">
            <v>79.38</v>
          </cell>
          <cell r="K118">
            <v>101.07</v>
          </cell>
          <cell r="L118">
            <v>21.84</v>
          </cell>
        </row>
        <row r="119">
          <cell r="C119">
            <v>8584.31</v>
          </cell>
          <cell r="D119">
            <v>8481.7099999999991</v>
          </cell>
          <cell r="E119">
            <v>451</v>
          </cell>
          <cell r="F119">
            <v>9400</v>
          </cell>
          <cell r="G119">
            <v>8964.9699999999993</v>
          </cell>
          <cell r="H119">
            <v>8813.35</v>
          </cell>
          <cell r="I119">
            <v>507</v>
          </cell>
          <cell r="J119">
            <v>91.07</v>
          </cell>
          <cell r="K119">
            <v>108.9</v>
          </cell>
          <cell r="L119">
            <v>45.38</v>
          </cell>
        </row>
        <row r="120">
          <cell r="C120">
            <v>7934.56</v>
          </cell>
          <cell r="D120">
            <v>7837.81</v>
          </cell>
          <cell r="E120">
            <v>364</v>
          </cell>
          <cell r="F120">
            <v>8600</v>
          </cell>
          <cell r="G120">
            <v>8448.0400000000009</v>
          </cell>
          <cell r="H120">
            <v>8300.75</v>
          </cell>
          <cell r="I120">
            <v>410</v>
          </cell>
          <cell r="J120">
            <v>69.569999999999993</v>
          </cell>
          <cell r="K120">
            <v>93.6</v>
          </cell>
          <cell r="L120">
            <v>18.03</v>
          </cell>
        </row>
        <row r="121">
          <cell r="C121">
            <v>9668.65</v>
          </cell>
          <cell r="D121">
            <v>9542.65</v>
          </cell>
          <cell r="E121">
            <v>443</v>
          </cell>
          <cell r="F121">
            <v>9800</v>
          </cell>
          <cell r="G121">
            <v>9541.73</v>
          </cell>
          <cell r="H121">
            <v>9373.77</v>
          </cell>
          <cell r="I121">
            <v>429</v>
          </cell>
          <cell r="J121">
            <v>82.57</v>
          </cell>
          <cell r="K121">
            <v>106.28</v>
          </cell>
          <cell r="L121">
            <v>43.85</v>
          </cell>
        </row>
        <row r="122">
          <cell r="C122">
            <v>6130.36</v>
          </cell>
          <cell r="D122">
            <v>6069.65</v>
          </cell>
          <cell r="E122">
            <v>328</v>
          </cell>
          <cell r="F122">
            <v>5600</v>
          </cell>
          <cell r="G122">
            <v>5257.76</v>
          </cell>
          <cell r="H122">
            <v>5186.01</v>
          </cell>
          <cell r="I122">
            <v>296</v>
          </cell>
          <cell r="J122">
            <v>63.17</v>
          </cell>
          <cell r="K122">
            <v>80.099999999999994</v>
          </cell>
          <cell r="L122">
            <v>48.68</v>
          </cell>
        </row>
        <row r="123">
          <cell r="C123">
            <v>6720.61</v>
          </cell>
          <cell r="D123">
            <v>6637.22</v>
          </cell>
          <cell r="E123">
            <v>337</v>
          </cell>
          <cell r="F123">
            <v>6300</v>
          </cell>
          <cell r="G123">
            <v>6672.74</v>
          </cell>
          <cell r="H123">
            <v>6543.07</v>
          </cell>
          <cell r="I123">
            <v>362</v>
          </cell>
          <cell r="J123">
            <v>58.05</v>
          </cell>
          <cell r="K123">
            <v>74.38</v>
          </cell>
          <cell r="L123">
            <v>51.84</v>
          </cell>
        </row>
        <row r="124">
          <cell r="C124">
            <v>9039.7099999999991</v>
          </cell>
          <cell r="D124">
            <v>8935.99</v>
          </cell>
          <cell r="E124">
            <v>428</v>
          </cell>
          <cell r="F124">
            <v>8200</v>
          </cell>
          <cell r="G124">
            <v>7693.72</v>
          </cell>
          <cell r="H124">
            <v>7581.19</v>
          </cell>
          <cell r="I124">
            <v>407</v>
          </cell>
          <cell r="J124">
            <v>83.05</v>
          </cell>
          <cell r="K124">
            <v>99.85</v>
          </cell>
          <cell r="L124">
            <v>46.13</v>
          </cell>
        </row>
        <row r="125">
          <cell r="C125">
            <v>11689.33</v>
          </cell>
          <cell r="D125">
            <v>11551.7</v>
          </cell>
          <cell r="E125">
            <v>571</v>
          </cell>
          <cell r="F125">
            <v>9200</v>
          </cell>
          <cell r="G125">
            <v>8969.75</v>
          </cell>
          <cell r="H125">
            <v>8817.24</v>
          </cell>
          <cell r="I125">
            <v>440</v>
          </cell>
          <cell r="J125">
            <v>85.68</v>
          </cell>
          <cell r="K125">
            <v>118.82</v>
          </cell>
          <cell r="L125">
            <v>37.619999999999997</v>
          </cell>
        </row>
        <row r="126">
          <cell r="C126">
            <v>8790.31</v>
          </cell>
          <cell r="D126">
            <v>8716.6200000000008</v>
          </cell>
          <cell r="E126">
            <v>424</v>
          </cell>
          <cell r="F126">
            <v>11100</v>
          </cell>
          <cell r="G126">
            <v>11945.63</v>
          </cell>
          <cell r="H126">
            <v>11703.84</v>
          </cell>
          <cell r="I126">
            <v>538</v>
          </cell>
          <cell r="J126">
            <v>84.13</v>
          </cell>
          <cell r="K126">
            <v>110.85</v>
          </cell>
          <cell r="L126">
            <v>23.68</v>
          </cell>
        </row>
        <row r="127">
          <cell r="C127">
            <v>7858.45</v>
          </cell>
          <cell r="D127">
            <v>7790.52</v>
          </cell>
          <cell r="E127">
            <v>355</v>
          </cell>
          <cell r="F127">
            <v>7900</v>
          </cell>
          <cell r="G127">
            <v>8046.18</v>
          </cell>
          <cell r="H127">
            <v>7903.35</v>
          </cell>
          <cell r="I127">
            <v>373</v>
          </cell>
          <cell r="J127">
            <v>83.55</v>
          </cell>
          <cell r="K127">
            <v>100.25</v>
          </cell>
          <cell r="L127">
            <v>37.520000000000003</v>
          </cell>
        </row>
        <row r="128">
          <cell r="C128">
            <v>9373.1299999999992</v>
          </cell>
          <cell r="D128">
            <v>9225.89</v>
          </cell>
          <cell r="E128">
            <v>423</v>
          </cell>
          <cell r="F128">
            <v>9600</v>
          </cell>
          <cell r="G128">
            <v>11389.5</v>
          </cell>
          <cell r="H128">
            <v>11171.09</v>
          </cell>
          <cell r="I128">
            <v>491</v>
          </cell>
          <cell r="J128">
            <v>89.32</v>
          </cell>
          <cell r="K128">
            <v>105.97</v>
          </cell>
          <cell r="L128">
            <v>62.32</v>
          </cell>
        </row>
        <row r="129">
          <cell r="C129">
            <v>5001.5200000000004</v>
          </cell>
          <cell r="D129">
            <v>4950.13</v>
          </cell>
          <cell r="E129">
            <v>302</v>
          </cell>
          <cell r="F129">
            <v>4800</v>
          </cell>
          <cell r="G129">
            <v>6105.13</v>
          </cell>
          <cell r="H129">
            <v>6007.47</v>
          </cell>
          <cell r="I129">
            <v>333</v>
          </cell>
          <cell r="J129">
            <v>70.62</v>
          </cell>
          <cell r="K129">
            <v>87.9</v>
          </cell>
          <cell r="L129">
            <v>39.33</v>
          </cell>
        </row>
        <row r="130">
          <cell r="C130">
            <v>6185.85</v>
          </cell>
          <cell r="D130">
            <v>6126.23</v>
          </cell>
          <cell r="E130">
            <v>367</v>
          </cell>
          <cell r="F130">
            <v>6000</v>
          </cell>
          <cell r="G130">
            <v>6861.67</v>
          </cell>
          <cell r="H130">
            <v>6737.19</v>
          </cell>
          <cell r="I130">
            <v>412</v>
          </cell>
          <cell r="J130">
            <v>81.06</v>
          </cell>
          <cell r="K130">
            <v>98.18</v>
          </cell>
          <cell r="L130">
            <v>41.83</v>
          </cell>
        </row>
        <row r="131">
          <cell r="C131">
            <v>9220.2900000000009</v>
          </cell>
          <cell r="D131">
            <v>9110.69</v>
          </cell>
          <cell r="E131">
            <v>483</v>
          </cell>
          <cell r="F131">
            <v>9100</v>
          </cell>
          <cell r="G131">
            <v>8281.35</v>
          </cell>
          <cell r="H131">
            <v>8155.18</v>
          </cell>
          <cell r="I131">
            <v>433</v>
          </cell>
          <cell r="J131">
            <v>64.400000000000006</v>
          </cell>
          <cell r="K131">
            <v>80.8</v>
          </cell>
          <cell r="L131">
            <v>19.239999999999998</v>
          </cell>
        </row>
        <row r="132">
          <cell r="C132">
            <v>8758.67</v>
          </cell>
          <cell r="D132">
            <v>8647.4599999999991</v>
          </cell>
          <cell r="E132">
            <v>405</v>
          </cell>
          <cell r="F132">
            <v>9000</v>
          </cell>
          <cell r="G132">
            <v>8120.61</v>
          </cell>
          <cell r="H132">
            <v>8008.11</v>
          </cell>
          <cell r="I132">
            <v>439</v>
          </cell>
          <cell r="J132">
            <v>84.46</v>
          </cell>
          <cell r="K132">
            <v>110.73</v>
          </cell>
          <cell r="L132">
            <v>10.45</v>
          </cell>
        </row>
        <row r="133">
          <cell r="C133">
            <v>9405.08</v>
          </cell>
          <cell r="D133">
            <v>9331.81</v>
          </cell>
          <cell r="E133">
            <v>498</v>
          </cell>
          <cell r="F133">
            <v>10400</v>
          </cell>
          <cell r="G133">
            <v>8602.07</v>
          </cell>
          <cell r="H133">
            <v>8458.15</v>
          </cell>
          <cell r="I133">
            <v>414</v>
          </cell>
          <cell r="J133">
            <v>85.9</v>
          </cell>
          <cell r="K133">
            <v>109.8</v>
          </cell>
          <cell r="L133">
            <v>34.99</v>
          </cell>
        </row>
        <row r="134">
          <cell r="C134">
            <v>8321.18</v>
          </cell>
          <cell r="D134">
            <v>8242.07</v>
          </cell>
          <cell r="E134">
            <v>412</v>
          </cell>
          <cell r="F134">
            <v>8200</v>
          </cell>
          <cell r="G134">
            <v>7564.8</v>
          </cell>
          <cell r="H134">
            <v>7425.56</v>
          </cell>
          <cell r="I134">
            <v>376</v>
          </cell>
          <cell r="J134">
            <v>75.42</v>
          </cell>
          <cell r="K134">
            <v>91.77</v>
          </cell>
          <cell r="L134">
            <v>29.58</v>
          </cell>
        </row>
        <row r="135">
          <cell r="C135">
            <v>9926.24</v>
          </cell>
          <cell r="D135">
            <v>9840.4</v>
          </cell>
          <cell r="E135">
            <v>428</v>
          </cell>
          <cell r="F135">
            <v>10000</v>
          </cell>
          <cell r="G135">
            <v>10410.69</v>
          </cell>
          <cell r="H135">
            <v>10227.870000000001</v>
          </cell>
          <cell r="I135">
            <v>446</v>
          </cell>
          <cell r="J135">
            <v>66.63</v>
          </cell>
          <cell r="K135">
            <v>83.48</v>
          </cell>
          <cell r="L135">
            <v>30.9</v>
          </cell>
        </row>
        <row r="136">
          <cell r="C136">
            <v>5186.58</v>
          </cell>
          <cell r="D136">
            <v>5144.99</v>
          </cell>
          <cell r="E136">
            <v>323</v>
          </cell>
          <cell r="F136">
            <v>5100</v>
          </cell>
          <cell r="G136">
            <v>5351.15</v>
          </cell>
          <cell r="H136">
            <v>5262.62</v>
          </cell>
          <cell r="I136">
            <v>333</v>
          </cell>
          <cell r="J136">
            <v>55.18</v>
          </cell>
          <cell r="K136">
            <v>63.35</v>
          </cell>
          <cell r="L136">
            <v>44.93</v>
          </cell>
        </row>
        <row r="137">
          <cell r="C137">
            <v>6489.78</v>
          </cell>
          <cell r="D137">
            <v>6439.48</v>
          </cell>
          <cell r="E137">
            <v>387</v>
          </cell>
          <cell r="F137">
            <v>6400</v>
          </cell>
          <cell r="G137">
            <v>6534.67</v>
          </cell>
          <cell r="H137">
            <v>6459.36</v>
          </cell>
          <cell r="I137">
            <v>392</v>
          </cell>
          <cell r="J137">
            <v>79.709999999999994</v>
          </cell>
          <cell r="K137">
            <v>97.39</v>
          </cell>
          <cell r="L137">
            <v>69.33</v>
          </cell>
        </row>
        <row r="138">
          <cell r="C138">
            <v>7020.36</v>
          </cell>
          <cell r="D138">
            <v>6947.76</v>
          </cell>
          <cell r="E138">
            <v>406</v>
          </cell>
          <cell r="F138">
            <v>8400</v>
          </cell>
          <cell r="G138">
            <v>8435.2199999999993</v>
          </cell>
          <cell r="H138">
            <v>8321.3700000000008</v>
          </cell>
          <cell r="I138">
            <v>429</v>
          </cell>
          <cell r="J138">
            <v>81.819999999999993</v>
          </cell>
          <cell r="K138">
            <v>98.98</v>
          </cell>
          <cell r="L138">
            <v>55.86</v>
          </cell>
        </row>
        <row r="139">
          <cell r="C139">
            <v>6834.66</v>
          </cell>
          <cell r="D139">
            <v>6769.87</v>
          </cell>
          <cell r="E139">
            <v>434</v>
          </cell>
          <cell r="F139">
            <v>8000</v>
          </cell>
          <cell r="G139">
            <v>9274.7099999999991</v>
          </cell>
          <cell r="H139">
            <v>9137.6299999999992</v>
          </cell>
          <cell r="I139">
            <v>435</v>
          </cell>
          <cell r="J139">
            <v>81.92</v>
          </cell>
          <cell r="K139">
            <v>89.8</v>
          </cell>
          <cell r="L139">
            <v>21.48</v>
          </cell>
        </row>
        <row r="140">
          <cell r="C140">
            <v>9238.86</v>
          </cell>
          <cell r="D140">
            <v>9162.1200000000008</v>
          </cell>
          <cell r="E140">
            <v>527</v>
          </cell>
          <cell r="F140">
            <v>9000</v>
          </cell>
          <cell r="G140">
            <v>7158.13</v>
          </cell>
          <cell r="H140">
            <v>7014.59</v>
          </cell>
          <cell r="I140">
            <v>359</v>
          </cell>
          <cell r="J140">
            <v>79.209999999999994</v>
          </cell>
          <cell r="K140">
            <v>96.77</v>
          </cell>
          <cell r="L140">
            <v>37.590000000000003</v>
          </cell>
        </row>
        <row r="141">
          <cell r="C141">
            <v>8342.16</v>
          </cell>
          <cell r="D141">
            <v>8251.5499999999993</v>
          </cell>
          <cell r="E141">
            <v>417</v>
          </cell>
          <cell r="F141">
            <v>7400</v>
          </cell>
          <cell r="G141">
            <v>6474.58</v>
          </cell>
          <cell r="H141">
            <v>6376.96</v>
          </cell>
          <cell r="I141">
            <v>325</v>
          </cell>
          <cell r="J141">
            <v>73.849999999999994</v>
          </cell>
          <cell r="K141">
            <v>91.37</v>
          </cell>
          <cell r="L141">
            <v>40.49</v>
          </cell>
        </row>
        <row r="142">
          <cell r="C142">
            <v>9790.7000000000007</v>
          </cell>
          <cell r="D142">
            <v>9695.9699999999993</v>
          </cell>
          <cell r="E142">
            <v>456</v>
          </cell>
          <cell r="F142">
            <v>10400</v>
          </cell>
          <cell r="G142">
            <v>9059.82</v>
          </cell>
          <cell r="H142">
            <v>8915.33</v>
          </cell>
          <cell r="I142">
            <v>386</v>
          </cell>
          <cell r="J142">
            <v>81.94</v>
          </cell>
          <cell r="K142">
            <v>97.02</v>
          </cell>
          <cell r="L142">
            <v>37.450000000000003</v>
          </cell>
        </row>
        <row r="143">
          <cell r="C143">
            <v>5110.8599999999997</v>
          </cell>
          <cell r="D143">
            <v>5077.04</v>
          </cell>
          <cell r="E143">
            <v>305</v>
          </cell>
          <cell r="F143">
            <v>5000</v>
          </cell>
          <cell r="G143">
            <v>5315.75</v>
          </cell>
          <cell r="H143">
            <v>5267.58</v>
          </cell>
          <cell r="I143">
            <v>313</v>
          </cell>
          <cell r="J143">
            <v>63.43</v>
          </cell>
          <cell r="K143">
            <v>81.180000000000007</v>
          </cell>
          <cell r="L143">
            <v>27.94</v>
          </cell>
        </row>
        <row r="144">
          <cell r="C144">
            <v>7016.77</v>
          </cell>
          <cell r="D144">
            <v>6960.87</v>
          </cell>
          <cell r="E144">
            <v>405</v>
          </cell>
          <cell r="F144">
            <v>6500</v>
          </cell>
          <cell r="G144">
            <v>6075.89</v>
          </cell>
          <cell r="H144">
            <v>6004.87</v>
          </cell>
          <cell r="I144">
            <v>351</v>
          </cell>
          <cell r="J144">
            <v>79.680000000000007</v>
          </cell>
          <cell r="K144">
            <v>88.15</v>
          </cell>
          <cell r="L144">
            <v>20.63</v>
          </cell>
        </row>
        <row r="145">
          <cell r="C145">
            <v>7203.81</v>
          </cell>
          <cell r="D145">
            <v>7108.42</v>
          </cell>
          <cell r="E145">
            <v>385</v>
          </cell>
          <cell r="F145">
            <v>7000</v>
          </cell>
          <cell r="G145">
            <v>6597.49</v>
          </cell>
          <cell r="H145">
            <v>6518.13</v>
          </cell>
          <cell r="I145">
            <v>357</v>
          </cell>
          <cell r="J145">
            <v>73.05</v>
          </cell>
          <cell r="K145">
            <v>89.07</v>
          </cell>
          <cell r="L145">
            <v>37.68</v>
          </cell>
        </row>
        <row r="146">
          <cell r="C146">
            <v>7006.53</v>
          </cell>
          <cell r="D146">
            <v>6953.85</v>
          </cell>
          <cell r="E146">
            <v>404</v>
          </cell>
          <cell r="F146">
            <v>7100</v>
          </cell>
          <cell r="G146">
            <v>5909.16</v>
          </cell>
          <cell r="H146">
            <v>5834.83</v>
          </cell>
          <cell r="I146">
            <v>363</v>
          </cell>
          <cell r="J146">
            <v>76.7</v>
          </cell>
          <cell r="K146">
            <v>92.73</v>
          </cell>
          <cell r="L146">
            <v>40.58</v>
          </cell>
        </row>
        <row r="147">
          <cell r="C147">
            <v>9519.01</v>
          </cell>
          <cell r="D147">
            <v>9394.2900000000009</v>
          </cell>
          <cell r="E147">
            <v>528</v>
          </cell>
          <cell r="F147">
            <v>9700</v>
          </cell>
          <cell r="G147">
            <v>9101.59</v>
          </cell>
          <cell r="H147">
            <v>8990.9699999999993</v>
          </cell>
          <cell r="I147">
            <v>490</v>
          </cell>
          <cell r="J147">
            <v>102.07</v>
          </cell>
          <cell r="K147">
            <v>119.62</v>
          </cell>
          <cell r="L147">
            <v>45.66</v>
          </cell>
        </row>
        <row r="148">
          <cell r="C148">
            <v>9666.2999999999993</v>
          </cell>
          <cell r="D148">
            <v>9549.4599999999991</v>
          </cell>
          <cell r="E148">
            <v>448</v>
          </cell>
          <cell r="F148">
            <v>8500</v>
          </cell>
          <cell r="G148">
            <v>8630.5</v>
          </cell>
          <cell r="H148">
            <v>8517.4500000000007</v>
          </cell>
          <cell r="I148">
            <v>425</v>
          </cell>
          <cell r="J148">
            <v>81.849999999999994</v>
          </cell>
          <cell r="K148">
            <v>99.5</v>
          </cell>
          <cell r="L148">
            <v>37.270000000000003</v>
          </cell>
        </row>
        <row r="149">
          <cell r="C149">
            <v>8922.9699999999993</v>
          </cell>
          <cell r="D149">
            <v>8839.49</v>
          </cell>
          <cell r="E149">
            <v>421</v>
          </cell>
          <cell r="F149">
            <v>9500</v>
          </cell>
          <cell r="G149">
            <v>9905.06</v>
          </cell>
          <cell r="H149">
            <v>9763.83</v>
          </cell>
          <cell r="I149">
            <v>487</v>
          </cell>
          <cell r="J149">
            <v>76.92</v>
          </cell>
          <cell r="K149">
            <v>94.45</v>
          </cell>
          <cell r="L149">
            <v>63.21</v>
          </cell>
        </row>
        <row r="150">
          <cell r="C150">
            <v>4933.4399999999996</v>
          </cell>
          <cell r="D150">
            <v>4879.7299999999996</v>
          </cell>
          <cell r="E150">
            <v>297</v>
          </cell>
          <cell r="F150">
            <v>8100</v>
          </cell>
          <cell r="G150">
            <v>10058.11</v>
          </cell>
          <cell r="H150">
            <v>9912.51</v>
          </cell>
          <cell r="I150">
            <v>471</v>
          </cell>
          <cell r="J150">
            <v>82.92</v>
          </cell>
          <cell r="K150">
            <v>101.05</v>
          </cell>
          <cell r="L150">
            <v>16.649999999999999</v>
          </cell>
        </row>
        <row r="151">
          <cell r="C151">
            <v>7500.96</v>
          </cell>
          <cell r="D151">
            <v>7423.95</v>
          </cell>
          <cell r="E151">
            <v>435</v>
          </cell>
          <cell r="F151">
            <v>5600</v>
          </cell>
          <cell r="G151">
            <v>5885.32</v>
          </cell>
          <cell r="H151">
            <v>5819.94</v>
          </cell>
          <cell r="I151">
            <v>336</v>
          </cell>
          <cell r="J151">
            <v>59.95</v>
          </cell>
          <cell r="K151">
            <v>76.97</v>
          </cell>
          <cell r="L151">
            <v>26.54</v>
          </cell>
        </row>
        <row r="152">
          <cell r="C152">
            <v>10005.049999999999</v>
          </cell>
          <cell r="D152">
            <v>9886.41</v>
          </cell>
          <cell r="E152">
            <v>491</v>
          </cell>
          <cell r="F152">
            <v>6700</v>
          </cell>
          <cell r="G152">
            <v>7644.48</v>
          </cell>
          <cell r="H152">
            <v>7557.6</v>
          </cell>
          <cell r="I152">
            <v>382</v>
          </cell>
          <cell r="J152">
            <v>64.570000000000007</v>
          </cell>
          <cell r="K152">
            <v>81.98</v>
          </cell>
          <cell r="L152">
            <v>22.34</v>
          </cell>
        </row>
        <row r="153">
          <cell r="C153">
            <v>8461.44</v>
          </cell>
          <cell r="D153">
            <v>8361.14</v>
          </cell>
          <cell r="E153">
            <v>394</v>
          </cell>
          <cell r="F153">
            <v>8300</v>
          </cell>
          <cell r="G153">
            <v>6467.15</v>
          </cell>
          <cell r="H153">
            <v>6395.41</v>
          </cell>
          <cell r="I153">
            <v>398</v>
          </cell>
          <cell r="J153">
            <v>70.570000000000007</v>
          </cell>
          <cell r="K153">
            <v>78.62</v>
          </cell>
          <cell r="L153">
            <v>54.67</v>
          </cell>
        </row>
        <row r="154">
          <cell r="C154">
            <v>8462.0400000000009</v>
          </cell>
          <cell r="D154">
            <v>8380.77</v>
          </cell>
          <cell r="E154">
            <v>408</v>
          </cell>
          <cell r="F154">
            <v>9100</v>
          </cell>
          <cell r="G154">
            <v>9694.56</v>
          </cell>
          <cell r="H154">
            <v>9555.94</v>
          </cell>
          <cell r="I154">
            <v>457</v>
          </cell>
          <cell r="J154">
            <v>83.759999999999991</v>
          </cell>
          <cell r="K154">
            <v>92.08</v>
          </cell>
          <cell r="L154">
            <v>44.65</v>
          </cell>
        </row>
        <row r="155">
          <cell r="C155">
            <v>6915.5</v>
          </cell>
          <cell r="D155">
            <v>6824.3</v>
          </cell>
          <cell r="E155">
            <v>346</v>
          </cell>
          <cell r="F155">
            <v>7900</v>
          </cell>
          <cell r="G155">
            <v>8110.24</v>
          </cell>
          <cell r="H155">
            <v>8002.68</v>
          </cell>
          <cell r="I155">
            <v>387</v>
          </cell>
          <cell r="J155">
            <v>74.699999999999989</v>
          </cell>
          <cell r="K155">
            <v>83.13</v>
          </cell>
          <cell r="L155">
            <v>39.81</v>
          </cell>
        </row>
        <row r="156">
          <cell r="C156">
            <v>12566.2</v>
          </cell>
          <cell r="D156">
            <v>12449.28</v>
          </cell>
          <cell r="E156">
            <v>539</v>
          </cell>
          <cell r="F156">
            <v>10200</v>
          </cell>
          <cell r="G156">
            <v>9583.34</v>
          </cell>
          <cell r="H156">
            <v>9449.89</v>
          </cell>
          <cell r="I156">
            <v>439</v>
          </cell>
          <cell r="J156">
            <v>88.59</v>
          </cell>
          <cell r="K156">
            <v>114.1</v>
          </cell>
          <cell r="L156">
            <v>66.28</v>
          </cell>
        </row>
        <row r="157">
          <cell r="C157">
            <v>6038.2</v>
          </cell>
          <cell r="D157">
            <v>5982.77</v>
          </cell>
          <cell r="E157">
            <v>368</v>
          </cell>
          <cell r="F157">
            <v>6200</v>
          </cell>
          <cell r="G157">
            <v>5580.81</v>
          </cell>
          <cell r="H157">
            <v>5475.04</v>
          </cell>
          <cell r="I157">
            <v>302</v>
          </cell>
          <cell r="J157">
            <v>74.819999999999993</v>
          </cell>
          <cell r="K157">
            <v>91.67</v>
          </cell>
          <cell r="L157">
            <v>33.770000000000003</v>
          </cell>
        </row>
        <row r="158">
          <cell r="C158">
            <v>6813.9</v>
          </cell>
          <cell r="D158">
            <v>6774.21</v>
          </cell>
          <cell r="E158">
            <v>394</v>
          </cell>
          <cell r="F158">
            <v>7000</v>
          </cell>
          <cell r="G158">
            <v>6034.86</v>
          </cell>
          <cell r="H158">
            <v>5942.84</v>
          </cell>
          <cell r="I158">
            <v>341</v>
          </cell>
          <cell r="J158">
            <v>83.48</v>
          </cell>
          <cell r="K158">
            <v>98.8</v>
          </cell>
          <cell r="L158">
            <v>17.5</v>
          </cell>
        </row>
        <row r="159">
          <cell r="C159">
            <v>7232.69</v>
          </cell>
          <cell r="D159">
            <v>7098.46</v>
          </cell>
          <cell r="E159">
            <v>391</v>
          </cell>
          <cell r="F159">
            <v>7300</v>
          </cell>
          <cell r="G159">
            <v>7479.9</v>
          </cell>
          <cell r="H159">
            <v>7344.91</v>
          </cell>
          <cell r="I159">
            <v>390</v>
          </cell>
          <cell r="J159">
            <v>87.92</v>
          </cell>
          <cell r="K159">
            <v>103.5</v>
          </cell>
          <cell r="L159">
            <v>37.29</v>
          </cell>
        </row>
        <row r="160">
          <cell r="C160">
            <v>6650.39</v>
          </cell>
          <cell r="D160">
            <v>6595.78</v>
          </cell>
          <cell r="E160">
            <v>416</v>
          </cell>
          <cell r="F160">
            <v>6800</v>
          </cell>
          <cell r="G160">
            <v>7778.67</v>
          </cell>
          <cell r="H160">
            <v>7639.72</v>
          </cell>
          <cell r="I160">
            <v>432</v>
          </cell>
          <cell r="J160">
            <v>82.88</v>
          </cell>
          <cell r="K160">
            <v>98.73</v>
          </cell>
          <cell r="L160">
            <v>29.04</v>
          </cell>
        </row>
        <row r="161">
          <cell r="C161">
            <v>10654.18</v>
          </cell>
          <cell r="D161">
            <v>10520.93</v>
          </cell>
          <cell r="E161">
            <v>589</v>
          </cell>
          <cell r="F161">
            <v>10800</v>
          </cell>
          <cell r="G161">
            <v>10306.27</v>
          </cell>
          <cell r="H161">
            <v>10127.709999999999</v>
          </cell>
          <cell r="I161">
            <v>564</v>
          </cell>
          <cell r="J161">
            <v>88.39</v>
          </cell>
          <cell r="K161">
            <v>106.85</v>
          </cell>
          <cell r="L161">
            <v>55.65</v>
          </cell>
        </row>
        <row r="162">
          <cell r="C162">
            <v>8740.07</v>
          </cell>
          <cell r="D162">
            <v>8661.7900000000009</v>
          </cell>
          <cell r="E162">
            <v>445</v>
          </cell>
          <cell r="F162">
            <v>8900</v>
          </cell>
          <cell r="G162">
            <v>10147.85</v>
          </cell>
          <cell r="H162">
            <v>10025.879999999999</v>
          </cell>
          <cell r="I162">
            <v>465</v>
          </cell>
          <cell r="J162">
            <v>76.48</v>
          </cell>
          <cell r="K162">
            <v>84.83</v>
          </cell>
          <cell r="L162">
            <v>100.15</v>
          </cell>
        </row>
        <row r="163">
          <cell r="C163">
            <v>10445.030000000001</v>
          </cell>
          <cell r="D163">
            <v>10303.31</v>
          </cell>
          <cell r="E163">
            <v>494</v>
          </cell>
          <cell r="F163">
            <v>10600</v>
          </cell>
          <cell r="G163">
            <v>10947.49</v>
          </cell>
          <cell r="H163">
            <v>10766.88</v>
          </cell>
          <cell r="I163">
            <v>458</v>
          </cell>
          <cell r="J163">
            <v>86.95</v>
          </cell>
          <cell r="K163">
            <v>104.27</v>
          </cell>
          <cell r="L163">
            <v>58.48</v>
          </cell>
        </row>
        <row r="164"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C367" t="str">
            <v/>
          </cell>
          <cell r="D367"/>
          <cell r="E367" t="str">
            <v/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C368" t="str">
            <v/>
          </cell>
          <cell r="D368"/>
          <cell r="E368" t="str">
            <v/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C369" t="str">
            <v/>
          </cell>
          <cell r="D369"/>
          <cell r="E369"/>
          <cell r="F369"/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87">
          <cell r="G387">
            <v>633.5</v>
          </cell>
          <cell r="H387">
            <v>641.86000000000013</v>
          </cell>
          <cell r="I387">
            <v>680.94999999999993</v>
          </cell>
          <cell r="J387">
            <v>482.2</v>
          </cell>
          <cell r="K387">
            <v>700.26</v>
          </cell>
          <cell r="L387">
            <v>114.85999999999999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G388">
            <v>-331.15</v>
          </cell>
          <cell r="H388">
            <v>-30.859999999999996</v>
          </cell>
          <cell r="I388">
            <v>-16.490000000000006</v>
          </cell>
          <cell r="J388">
            <v>-101.19000000000001</v>
          </cell>
          <cell r="K388">
            <v>14.780000000000005</v>
          </cell>
          <cell r="L388">
            <v>1.2400000000000002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G389">
            <v>170.43</v>
          </cell>
          <cell r="H389">
            <v>18.049999999999997</v>
          </cell>
          <cell r="I389">
            <v>203.17</v>
          </cell>
          <cell r="J389">
            <v>106.11999999999999</v>
          </cell>
          <cell r="K389">
            <v>93.28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LOBAL 25"/>
      <sheetName val="GLOBAL PREV"/>
      <sheetName val="PREV 2025"/>
      <sheetName val="CHAMNORD"/>
      <sheetName val="AIX"/>
      <sheetName val="BELLEY"/>
      <sheetName val="STALBAN"/>
      <sheetName val="ABRETS"/>
      <sheetName val="PONT"/>
      <sheetName val="FRANCIN"/>
      <sheetName val="VIVIERS"/>
      <sheetName val="FRANCHISE"/>
      <sheetName val="DONNEES "/>
      <sheetName val="ANALYSE"/>
      <sheetName val="SUPERVISEUR"/>
      <sheetName val="BEST OF THE BEST"/>
      <sheetName val="DRIVE 🏎️"/>
      <sheetName val="LAD 🛍️"/>
      <sheetName val="OPH"/>
      <sheetName val="RECORD 🥇"/>
      <sheetName val="INDICES CA 💵"/>
      <sheetName val="DIGITAL 💻"/>
      <sheetName val="INDICES QSP 🍔"/>
      <sheetName val="INDICES RH 🤝"/>
      <sheetName val="INDICES FINANCIERS 📈"/>
      <sheetName val="ANALYSES 🔬"/>
      <sheetName val="SUIVI MO 🖐️"/>
      <sheetName val="TURN OV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54">
          <cell r="D54">
            <v>17.949712769032665</v>
          </cell>
          <cell r="F54">
            <v>17.210023898496573</v>
          </cell>
          <cell r="H54">
            <v>19.452978269414341</v>
          </cell>
          <cell r="J54">
            <v>17.987285174873186</v>
          </cell>
          <cell r="L54">
            <v>20.767862625009688</v>
          </cell>
          <cell r="N54">
            <v>19.559055118110237</v>
          </cell>
          <cell r="P54">
            <v>19.62455277660025</v>
          </cell>
          <cell r="R54">
            <v>17.82961526623577</v>
          </cell>
          <cell r="T54">
            <v>18.528573873789149</v>
          </cell>
        </row>
        <row r="55">
          <cell r="D55">
            <v>18.044671420703249</v>
          </cell>
          <cell r="F55">
            <v>17.012605076233996</v>
          </cell>
          <cell r="H55">
            <v>19.57153567588978</v>
          </cell>
          <cell r="J55">
            <v>17.801560042595021</v>
          </cell>
          <cell r="L55">
            <v>20.372536283606948</v>
          </cell>
          <cell r="N55">
            <v>19.446554098123052</v>
          </cell>
          <cell r="P55">
            <v>20.087012306123935</v>
          </cell>
          <cell r="R55">
            <v>18.35887154182171</v>
          </cell>
          <cell r="T55">
            <v>18.566292528705226</v>
          </cell>
        </row>
        <row r="56">
          <cell r="D56">
            <v>17.884790545734049</v>
          </cell>
          <cell r="F56">
            <v>16.811653870097533</v>
          </cell>
          <cell r="H56">
            <v>19.632706718346256</v>
          </cell>
          <cell r="J56">
            <v>17.917319510856785</v>
          </cell>
          <cell r="L56">
            <v>20.905996447865018</v>
          </cell>
          <cell r="N56">
            <v>19.50853219570724</v>
          </cell>
          <cell r="P56">
            <v>19.865484051092341</v>
          </cell>
          <cell r="R56">
            <v>18.765801801801803</v>
          </cell>
          <cell r="T56">
            <v>18.585392460366997</v>
          </cell>
        </row>
        <row r="57">
          <cell r="D57">
            <v>17.557767058757161</v>
          </cell>
          <cell r="F57">
            <v>16.456346868644367</v>
          </cell>
          <cell r="H57">
            <v>19.282440779452703</v>
          </cell>
          <cell r="J57">
            <v>17.796880113838487</v>
          </cell>
          <cell r="L57">
            <v>20.517300329570155</v>
          </cell>
          <cell r="N57">
            <v>19.461248262624924</v>
          </cell>
          <cell r="P57">
            <v>19.834091173476807</v>
          </cell>
          <cell r="R57">
            <v>19.024730939957944</v>
          </cell>
          <cell r="T57">
            <v>18.34053301840849</v>
          </cell>
        </row>
        <row r="58">
          <cell r="D58">
            <v>17.541830292334399</v>
          </cell>
          <cell r="F58">
            <v>16.307036911385534</v>
          </cell>
          <cell r="H58">
            <v>19.359075759178921</v>
          </cell>
          <cell r="J58">
            <v>17.550347924117556</v>
          </cell>
          <cell r="L58">
            <v>20.612485556990418</v>
          </cell>
          <cell r="N58">
            <v>19.67696308511988</v>
          </cell>
          <cell r="P58">
            <v>19.990536704369038</v>
          </cell>
          <cell r="R58">
            <v>19.05975785797439</v>
          </cell>
          <cell r="T58">
            <v>18.322542979942689</v>
          </cell>
        </row>
        <row r="59">
          <cell r="D59">
            <v>17.404262765679821</v>
          </cell>
          <cell r="F59">
            <v>15.751423467468975</v>
          </cell>
          <cell r="H59">
            <v>19.131098041302955</v>
          </cell>
          <cell r="J59">
            <v>17.517998689687065</v>
          </cell>
          <cell r="L59">
            <v>20.440973409306743</v>
          </cell>
          <cell r="N59">
            <v>19.237954273477357</v>
          </cell>
          <cell r="P59">
            <v>19.079608751425319</v>
          </cell>
          <cell r="R59">
            <v>18.634816165063608</v>
          </cell>
          <cell r="T59">
            <v>17.972872404757101</v>
          </cell>
        </row>
        <row r="60">
          <cell r="D60">
            <v>18.573075914038512</v>
          </cell>
          <cell r="F60">
            <v>16.185254493736007</v>
          </cell>
          <cell r="H60">
            <v>19.738006115303055</v>
          </cell>
          <cell r="J60">
            <v>18.512075761868147</v>
          </cell>
          <cell r="L60">
            <v>20.617753548776808</v>
          </cell>
          <cell r="N60">
            <v>20.086444353279024</v>
          </cell>
          <cell r="P60">
            <v>19.987981730323696</v>
          </cell>
          <cell r="T60">
            <v>18.816986477967777</v>
          </cell>
        </row>
        <row r="61">
          <cell r="D61">
            <v>19.016412085363029</v>
          </cell>
          <cell r="F61">
            <v>16.999414228557139</v>
          </cell>
          <cell r="H61">
            <v>20.398143611305773</v>
          </cell>
          <cell r="J61">
            <v>18.656246334310847</v>
          </cell>
          <cell r="L61">
            <v>21.546774971443078</v>
          </cell>
          <cell r="N61">
            <v>20.30309640671393</v>
          </cell>
          <cell r="P61">
            <v>20.238434254888745</v>
          </cell>
          <cell r="T61">
            <v>19.330237986403784</v>
          </cell>
        </row>
        <row r="62">
          <cell r="D62">
            <v>17.626058749556641</v>
          </cell>
          <cell r="F62">
            <v>16.783627864760611</v>
          </cell>
          <cell r="H62">
            <v>19.73294705409441</v>
          </cell>
          <cell r="J62">
            <v>17.661697202277789</v>
          </cell>
          <cell r="L62">
            <v>21.141498543192377</v>
          </cell>
          <cell r="N62">
            <v>19.875938479481011</v>
          </cell>
          <cell r="P62">
            <v>19.819541527204798</v>
          </cell>
          <cell r="T62">
            <v>18.527482679141322</v>
          </cell>
        </row>
        <row r="63">
          <cell r="D63">
            <v>18.201151134545889</v>
          </cell>
          <cell r="F63">
            <v>17.289184426053772</v>
          </cell>
          <cell r="H63">
            <v>20.084841156425192</v>
          </cell>
          <cell r="J63">
            <v>18.554066729619137</v>
          </cell>
          <cell r="L63">
            <v>21.794129331593446</v>
          </cell>
          <cell r="N63">
            <v>20.398770135686117</v>
          </cell>
          <cell r="P63">
            <v>20.351935863489263</v>
          </cell>
          <cell r="T63">
            <v>19.150852383144112</v>
          </cell>
        </row>
        <row r="64">
          <cell r="D64">
            <v>18.125685935880927</v>
          </cell>
          <cell r="F64">
            <v>17.276200389396436</v>
          </cell>
          <cell r="H64">
            <v>20.163685509460567</v>
          </cell>
          <cell r="J64">
            <v>18.27773118324259</v>
          </cell>
          <cell r="L64">
            <v>21.713377435064938</v>
          </cell>
          <cell r="N64">
            <v>20.514165869453233</v>
          </cell>
          <cell r="P64">
            <v>20.560144649564457</v>
          </cell>
          <cell r="T64">
            <v>19.078546232519301</v>
          </cell>
        </row>
        <row r="65">
          <cell r="D65">
            <v>18.698490716099229</v>
          </cell>
          <cell r="F65">
            <v>18.050854516731295</v>
          </cell>
          <cell r="H65">
            <v>21.04401675560911</v>
          </cell>
          <cell r="J65">
            <v>18.912656808174795</v>
          </cell>
          <cell r="L65">
            <v>22.706439643402138</v>
          </cell>
          <cell r="N65">
            <v>21.025733179988499</v>
          </cell>
          <cell r="P65">
            <v>21.028764677497186</v>
          </cell>
          <cell r="T65">
            <v>19.769041022799566</v>
          </cell>
        </row>
        <row r="84">
          <cell r="D84">
            <v>12595</v>
          </cell>
          <cell r="F84">
            <v>8407</v>
          </cell>
          <cell r="H84">
            <v>6861</v>
          </cell>
          <cell r="J84">
            <v>8363</v>
          </cell>
          <cell r="L84">
            <v>5074</v>
          </cell>
          <cell r="N84">
            <v>4889</v>
          </cell>
          <cell r="P84">
            <v>5958</v>
          </cell>
          <cell r="R84">
            <v>4648</v>
          </cell>
          <cell r="T84">
            <v>56795</v>
          </cell>
        </row>
        <row r="85">
          <cell r="D85">
            <v>11408</v>
          </cell>
          <cell r="F85">
            <v>7698</v>
          </cell>
          <cell r="H85">
            <v>6329</v>
          </cell>
          <cell r="J85">
            <v>7575</v>
          </cell>
          <cell r="L85">
            <v>4724</v>
          </cell>
          <cell r="N85">
            <v>4459</v>
          </cell>
          <cell r="P85">
            <v>5472</v>
          </cell>
          <cell r="R85">
            <v>4114</v>
          </cell>
          <cell r="T85">
            <v>51779</v>
          </cell>
        </row>
        <row r="86">
          <cell r="D86">
            <v>12523</v>
          </cell>
          <cell r="F86">
            <v>8555</v>
          </cell>
          <cell r="H86">
            <v>6854</v>
          </cell>
          <cell r="J86">
            <v>8185</v>
          </cell>
          <cell r="L86">
            <v>5025</v>
          </cell>
          <cell r="N86">
            <v>5022</v>
          </cell>
          <cell r="P86">
            <v>5870</v>
          </cell>
          <cell r="R86">
            <v>4628</v>
          </cell>
          <cell r="T86">
            <v>56662</v>
          </cell>
        </row>
        <row r="87">
          <cell r="D87">
            <v>12624</v>
          </cell>
          <cell r="F87">
            <v>9384</v>
          </cell>
          <cell r="H87">
            <v>6883</v>
          </cell>
          <cell r="J87">
            <v>7910</v>
          </cell>
          <cell r="L87">
            <v>5090</v>
          </cell>
          <cell r="N87">
            <v>4980</v>
          </cell>
          <cell r="P87">
            <v>5528</v>
          </cell>
          <cell r="R87">
            <v>4619</v>
          </cell>
          <cell r="T87">
            <v>57018</v>
          </cell>
        </row>
        <row r="88">
          <cell r="D88">
            <v>12748</v>
          </cell>
          <cell r="F88">
            <v>9795</v>
          </cell>
          <cell r="H88">
            <v>6944</v>
          </cell>
          <cell r="J88">
            <v>8212</v>
          </cell>
          <cell r="L88">
            <v>5302</v>
          </cell>
          <cell r="N88">
            <v>5351</v>
          </cell>
          <cell r="P88">
            <v>5540</v>
          </cell>
          <cell r="R88">
            <v>4739</v>
          </cell>
          <cell r="T88">
            <v>58631</v>
          </cell>
        </row>
        <row r="99">
          <cell r="D99">
            <v>18.813656212782849</v>
          </cell>
          <cell r="F99">
            <v>18.376709884619959</v>
          </cell>
          <cell r="H99">
            <v>20.912694942428217</v>
          </cell>
          <cell r="J99">
            <v>19.461078560325241</v>
          </cell>
          <cell r="L99">
            <v>21.629089475758771</v>
          </cell>
          <cell r="N99">
            <v>21.0421354060135</v>
          </cell>
          <cell r="P99">
            <v>20.455354145686471</v>
          </cell>
          <cell r="R99">
            <v>19.735370051635112</v>
          </cell>
          <cell r="T99">
            <v>19.788889867065762</v>
          </cell>
        </row>
        <row r="100">
          <cell r="D100">
            <v>18.452226507713885</v>
          </cell>
          <cell r="F100">
            <v>18.097687711093791</v>
          </cell>
          <cell r="H100">
            <v>20.844367198609575</v>
          </cell>
          <cell r="J100">
            <v>18.995775577557755</v>
          </cell>
          <cell r="L100">
            <v>21.053344623200676</v>
          </cell>
          <cell r="N100">
            <v>21.035433953801302</v>
          </cell>
          <cell r="P100">
            <v>20.536732456140349</v>
          </cell>
          <cell r="R100">
            <v>19.334467671366067</v>
          </cell>
          <cell r="T100">
            <v>19.521582108576837</v>
          </cell>
        </row>
        <row r="101">
          <cell r="D101">
            <v>18.367244270542201</v>
          </cell>
          <cell r="F101">
            <v>18.172296902396258</v>
          </cell>
          <cell r="H101">
            <v>20.992413189378464</v>
          </cell>
          <cell r="J101">
            <v>19.136469150885766</v>
          </cell>
          <cell r="L101">
            <v>21.254925373134327</v>
          </cell>
          <cell r="N101">
            <v>21.027877339705295</v>
          </cell>
          <cell r="P101">
            <v>20.663884156729132</v>
          </cell>
          <cell r="R101">
            <v>19.200302506482281</v>
          </cell>
          <cell r="T101">
            <v>19.564346475592107</v>
          </cell>
        </row>
        <row r="102">
          <cell r="D102">
            <v>18.450411913814957</v>
          </cell>
          <cell r="F102">
            <v>18.258205456095482</v>
          </cell>
          <cell r="H102">
            <v>20.693592910068283</v>
          </cell>
          <cell r="J102">
            <v>19.359671302149177</v>
          </cell>
          <cell r="L102">
            <v>21.447544204322199</v>
          </cell>
          <cell r="N102">
            <v>21.338554216867468</v>
          </cell>
          <cell r="P102">
            <v>20.802098408104197</v>
          </cell>
          <cell r="R102">
            <v>19.698852565490366</v>
          </cell>
          <cell r="T102">
            <v>19.664649759724998</v>
          </cell>
        </row>
        <row r="103">
          <cell r="D103">
            <v>18.592328208346409</v>
          </cell>
          <cell r="F103">
            <v>18.223481368044922</v>
          </cell>
          <cell r="H103">
            <v>21.414026497695854</v>
          </cell>
          <cell r="J103">
            <v>19.536531904529955</v>
          </cell>
          <cell r="L103">
            <v>21.840626178800452</v>
          </cell>
          <cell r="N103">
            <v>21.669220706410016</v>
          </cell>
          <cell r="P103">
            <v>20.822382671480145</v>
          </cell>
          <cell r="R103">
            <v>19.53956530913695</v>
          </cell>
          <cell r="T103">
            <v>19.858982449557402</v>
          </cell>
        </row>
        <row r="104">
          <cell r="D104">
            <v>18.645009416195858</v>
          </cell>
          <cell r="F104">
            <v>17.747499999999999</v>
          </cell>
          <cell r="H104">
            <v>20.946378727780225</v>
          </cell>
          <cell r="J104">
            <v>19.296172010937113</v>
          </cell>
          <cell r="L104">
            <v>21.727393617021278</v>
          </cell>
          <cell r="N104">
            <v>21.626802537973468</v>
          </cell>
          <cell r="P104">
            <v>20.527543513368023</v>
          </cell>
          <cell r="R104">
            <v>19.395555555555557</v>
          </cell>
          <cell r="T104">
            <v>19.608215010141986</v>
          </cell>
        </row>
        <row r="105">
          <cell r="D105">
            <v>19.356758493293711</v>
          </cell>
          <cell r="F105">
            <v>18.120097799511001</v>
          </cell>
          <cell r="H105">
            <v>21.049608355091383</v>
          </cell>
          <cell r="J105">
            <v>19.610231584456365</v>
          </cell>
          <cell r="L105">
            <v>22.14595402728462</v>
          </cell>
          <cell r="N105">
            <v>22.218587646719261</v>
          </cell>
          <cell r="P105">
            <v>21.073932662270046</v>
          </cell>
          <cell r="R105">
            <v>20.011904761904763</v>
          </cell>
          <cell r="T105">
            <v>20.107766973641336</v>
          </cell>
        </row>
        <row r="106">
          <cell r="D106">
            <v>19.673963470319645</v>
          </cell>
          <cell r="F106">
            <v>18.412471514398177</v>
          </cell>
          <cell r="H106">
            <v>21.623681620025312</v>
          </cell>
          <cell r="J106">
            <v>19.70232431697703</v>
          </cell>
          <cell r="L106">
            <v>22.829185066238459</v>
          </cell>
          <cell r="N106">
            <v>22.103110937194288</v>
          </cell>
          <cell r="P106">
            <v>21.520110701107011</v>
          </cell>
          <cell r="R106">
            <v>20.63881086142322</v>
          </cell>
          <cell r="T106">
            <v>20.463162889619678</v>
          </cell>
        </row>
        <row r="107">
          <cell r="D107">
            <v>18.834179591836733</v>
          </cell>
          <cell r="F107">
            <v>18.251061093247589</v>
          </cell>
          <cell r="H107">
            <v>21.303285069282268</v>
          </cell>
          <cell r="J107">
            <v>19.603394853832683</v>
          </cell>
          <cell r="L107">
            <v>22.180519480519479</v>
          </cell>
          <cell r="N107">
            <v>21.815486348122867</v>
          </cell>
          <cell r="P107">
            <v>21.575279304841285</v>
          </cell>
          <cell r="R107">
            <v>19.983599290780141</v>
          </cell>
          <cell r="T107">
            <v>20.1222498800499</v>
          </cell>
        </row>
        <row r="108">
          <cell r="D108">
            <v>19.256245601688953</v>
          </cell>
          <cell r="F108">
            <v>18.758408634538153</v>
          </cell>
          <cell r="H108">
            <v>21.437894736842104</v>
          </cell>
          <cell r="J108">
            <v>20.154304551794091</v>
          </cell>
          <cell r="L108">
            <v>22.962851405622491</v>
          </cell>
          <cell r="N108">
            <v>22.419252187748608</v>
          </cell>
          <cell r="P108">
            <v>21.244710860366713</v>
          </cell>
          <cell r="R108">
            <v>20.686401673640166</v>
          </cell>
          <cell r="T108">
            <v>20.546463475236045</v>
          </cell>
        </row>
        <row r="109">
          <cell r="D109">
            <v>19.068893346123659</v>
          </cell>
          <cell r="F109">
            <v>18.440836543753441</v>
          </cell>
          <cell r="H109">
            <v>21.731150637494096</v>
          </cell>
          <cell r="J109">
            <v>19.915667361835244</v>
          </cell>
          <cell r="L109">
            <v>23.140099909173479</v>
          </cell>
          <cell r="N109">
            <v>22.470476592155208</v>
          </cell>
          <cell r="P109">
            <v>21.322043413173652</v>
          </cell>
          <cell r="R109">
            <v>20.345100701516181</v>
          </cell>
          <cell r="T109">
            <v>20.43499970969053</v>
          </cell>
        </row>
        <row r="110">
          <cell r="D110">
            <v>19.234392214469334</v>
          </cell>
          <cell r="F110">
            <v>18.986890618598935</v>
          </cell>
          <cell r="H110">
            <v>22.549003984063745</v>
          </cell>
          <cell r="J110">
            <v>20.229956731992875</v>
          </cell>
          <cell r="L110">
            <v>23.776840665602919</v>
          </cell>
          <cell r="N110">
            <v>22.407758802445709</v>
          </cell>
          <cell r="P110">
            <v>21.923048188270453</v>
          </cell>
          <cell r="R110">
            <v>21.145153881488287</v>
          </cell>
          <cell r="T110">
            <v>20.885300668151448</v>
          </cell>
        </row>
      </sheetData>
      <sheetData sheetId="21"/>
      <sheetData sheetId="22">
        <row r="24">
          <cell r="D24">
            <v>387</v>
          </cell>
          <cell r="E24">
            <v>376</v>
          </cell>
          <cell r="F24">
            <v>253</v>
          </cell>
          <cell r="G24">
            <v>262</v>
          </cell>
          <cell r="H24">
            <v>352</v>
          </cell>
          <cell r="I24">
            <v>332</v>
          </cell>
          <cell r="J24">
            <v>355</v>
          </cell>
          <cell r="K24">
            <v>341</v>
          </cell>
          <cell r="L24">
            <v>317</v>
          </cell>
          <cell r="M24">
            <v>336</v>
          </cell>
          <cell r="N24">
            <v>210</v>
          </cell>
          <cell r="O24">
            <v>241</v>
          </cell>
          <cell r="P24">
            <v>382</v>
          </cell>
          <cell r="Q24">
            <v>384</v>
          </cell>
          <cell r="S24">
            <v>315</v>
          </cell>
        </row>
      </sheetData>
      <sheetData sheetId="23">
        <row r="51">
          <cell r="D51">
            <v>5.229452483072615</v>
          </cell>
          <cell r="F51">
            <v>5.0413798844254805</v>
          </cell>
          <cell r="H51">
            <v>4.4888113685972248</v>
          </cell>
          <cell r="J51">
            <v>5.2792873696991167</v>
          </cell>
          <cell r="L51">
            <v>4.289971331457572</v>
          </cell>
          <cell r="N51">
            <v>4.3474704634959105</v>
          </cell>
          <cell r="P51">
            <v>4.7520723588126881</v>
          </cell>
          <cell r="R51">
            <v>3.0157330486842713</v>
          </cell>
          <cell r="T51">
            <v>4.6403715672175254</v>
          </cell>
        </row>
        <row r="52">
          <cell r="D52">
            <v>4.807334540148914</v>
          </cell>
          <cell r="F52">
            <v>5.1467797407399649</v>
          </cell>
          <cell r="R52">
            <v>3.6658778594262462</v>
          </cell>
        </row>
        <row r="53">
          <cell r="D53">
            <v>5.0995038804833532</v>
          </cell>
          <cell r="F53">
            <v>5.5916418935696699</v>
          </cell>
          <cell r="R53">
            <v>4.5263549811180264</v>
          </cell>
        </row>
        <row r="54">
          <cell r="D54">
            <v>5.4779512885570449</v>
          </cell>
          <cell r="R54">
            <v>4.9212809663968606</v>
          </cell>
        </row>
        <row r="56">
          <cell r="D56">
            <v>5.5487265296928543</v>
          </cell>
          <cell r="R56">
            <v>4.8975436303820929</v>
          </cell>
        </row>
        <row r="57">
          <cell r="D57">
            <v>5.5781817276016463</v>
          </cell>
          <cell r="R57">
            <v>4.5887125016575272</v>
          </cell>
        </row>
        <row r="58">
          <cell r="D58">
            <v>5.5808353776546502</v>
          </cell>
          <cell r="R58">
            <v>4.6339550584785343</v>
          </cell>
        </row>
        <row r="59">
          <cell r="D59">
            <v>5.9289323410039394</v>
          </cell>
          <cell r="R59">
            <v>5.0908142171914843</v>
          </cell>
        </row>
        <row r="60">
          <cell r="D60">
            <v>5.4722440609828258</v>
          </cell>
          <cell r="R60">
            <v>5.0677171432788031</v>
          </cell>
        </row>
        <row r="61">
          <cell r="D61">
            <v>4.9621686641861267</v>
          </cell>
          <cell r="R61">
            <v>4.8548001635168712</v>
          </cell>
        </row>
        <row r="62">
          <cell r="D62">
            <v>5.9019465537224995</v>
          </cell>
          <cell r="R62">
            <v>5.075625123705219</v>
          </cell>
        </row>
        <row r="63">
          <cell r="D63">
            <v>5.365109087680886</v>
          </cell>
          <cell r="R63">
            <v>4.4848469590581317</v>
          </cell>
        </row>
        <row r="95">
          <cell r="D95">
            <v>94.5</v>
          </cell>
          <cell r="F95">
            <v>55.416666666666664</v>
          </cell>
          <cell r="H95">
            <v>54.333333333333336</v>
          </cell>
          <cell r="J95">
            <v>53.416666666666664</v>
          </cell>
          <cell r="L95">
            <v>43.833333333333336</v>
          </cell>
          <cell r="N95">
            <v>47.666666666666664</v>
          </cell>
          <cell r="P95">
            <v>42.25</v>
          </cell>
          <cell r="R95">
            <v>42.416666666666664</v>
          </cell>
        </row>
      </sheetData>
      <sheetData sheetId="24"/>
      <sheetData sheetId="25"/>
      <sheetData sheetId="26"/>
      <sheetData sheetId="2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CHE CIBLE"/>
      <sheetName val="CHAMNORD"/>
      <sheetName val="AIX LES BAINS"/>
      <sheetName val="BELLEY"/>
      <sheetName val="ST ALBAN"/>
      <sheetName val="LES ABRETS"/>
      <sheetName val="PDB"/>
      <sheetName val="FRANCIN"/>
      <sheetName val="VIVIERS"/>
    </sheetNames>
    <sheetDataSet>
      <sheetData sheetId="0"/>
      <sheetData sheetId="1">
        <row r="48">
          <cell r="R48">
            <v>5.5034950950633235</v>
          </cell>
        </row>
      </sheetData>
      <sheetData sheetId="2">
        <row r="48">
          <cell r="R48">
            <v>6.0632375088259503</v>
          </cell>
        </row>
      </sheetData>
      <sheetData sheetId="3">
        <row r="48">
          <cell r="R48">
            <v>5.0472073038423471</v>
          </cell>
        </row>
      </sheetData>
      <sheetData sheetId="4">
        <row r="48">
          <cell r="R48">
            <v>5.4208245683866023</v>
          </cell>
        </row>
      </sheetData>
      <sheetData sheetId="5">
        <row r="48">
          <cell r="R48">
            <v>4.7841542300889293</v>
          </cell>
        </row>
      </sheetData>
      <sheetData sheetId="6">
        <row r="48">
          <cell r="R48">
            <v>4.9897707000029072</v>
          </cell>
        </row>
      </sheetData>
      <sheetData sheetId="7">
        <row r="48">
          <cell r="R48">
            <v>4.8805976708800181</v>
          </cell>
        </row>
      </sheetData>
      <sheetData sheetId="8">
        <row r="48">
          <cell r="R48">
            <v>4.850460483545378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CHE CIBLE"/>
      <sheetName val="CHAMNORD"/>
      <sheetName val="AIX LES BAINS"/>
      <sheetName val="BELLEY"/>
      <sheetName val="ST ALBAN"/>
      <sheetName val="LES ABRETS"/>
      <sheetName val="PDB"/>
      <sheetName val="FRANCIN"/>
      <sheetName val="VIVIERS"/>
    </sheetNames>
    <sheetDataSet>
      <sheetData sheetId="0">
        <row r="4">
          <cell r="C4">
            <v>5.47</v>
          </cell>
        </row>
        <row r="5">
          <cell r="C5">
            <v>5.7</v>
          </cell>
        </row>
        <row r="6">
          <cell r="C6">
            <v>4.8499999999999996</v>
          </cell>
        </row>
        <row r="7">
          <cell r="C7">
            <v>5.25</v>
          </cell>
        </row>
        <row r="8">
          <cell r="C8">
            <v>4.5999999999999996</v>
          </cell>
        </row>
        <row r="9">
          <cell r="C9">
            <v>4.8</v>
          </cell>
        </row>
        <row r="10">
          <cell r="C10">
            <v>4.6500000000000004</v>
          </cell>
        </row>
        <row r="11">
          <cell r="C11">
            <v>4.75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7">
          <cell r="B7">
            <v>1476</v>
          </cell>
        </row>
        <row r="37">
          <cell r="B37">
            <v>426</v>
          </cell>
        </row>
        <row r="38">
          <cell r="B38">
            <v>186</v>
          </cell>
        </row>
        <row r="79">
          <cell r="B79">
            <v>38707.129999999997</v>
          </cell>
        </row>
        <row r="109">
          <cell r="B109">
            <v>12237.42</v>
          </cell>
        </row>
        <row r="110">
          <cell r="B110">
            <v>2072.3000000000002</v>
          </cell>
        </row>
        <row r="151">
          <cell r="B151">
            <v>1950</v>
          </cell>
        </row>
        <row r="181">
          <cell r="B181">
            <v>1307</v>
          </cell>
        </row>
        <row r="182">
          <cell r="B182">
            <v>223</v>
          </cell>
        </row>
        <row r="223">
          <cell r="B223">
            <v>59617.49</v>
          </cell>
        </row>
        <row r="253">
          <cell r="B253">
            <v>43050.879999999997</v>
          </cell>
        </row>
        <row r="254">
          <cell r="B254">
            <v>3363.7</v>
          </cell>
        </row>
        <row r="295">
          <cell r="B295">
            <v>2141</v>
          </cell>
        </row>
        <row r="325">
          <cell r="B325">
            <v>915</v>
          </cell>
        </row>
        <row r="326">
          <cell r="B326">
            <v>605</v>
          </cell>
        </row>
        <row r="367">
          <cell r="B367">
            <v>53939.88</v>
          </cell>
        </row>
        <row r="397">
          <cell r="B397">
            <v>26598.33</v>
          </cell>
        </row>
        <row r="398">
          <cell r="B398">
            <v>10042.24</v>
          </cell>
        </row>
        <row r="439">
          <cell r="B439">
            <v>1065</v>
          </cell>
        </row>
        <row r="469">
          <cell r="B469">
            <v>747</v>
          </cell>
        </row>
        <row r="470">
          <cell r="B470">
            <v>102</v>
          </cell>
        </row>
        <row r="511">
          <cell r="B511">
            <v>33452.589999999997</v>
          </cell>
        </row>
        <row r="541">
          <cell r="B541">
            <v>24944.11</v>
          </cell>
        </row>
        <row r="542">
          <cell r="B542">
            <v>1269.2</v>
          </cell>
        </row>
        <row r="583">
          <cell r="B583">
            <v>1949</v>
          </cell>
        </row>
        <row r="613">
          <cell r="B613">
            <v>1610</v>
          </cell>
        </row>
        <row r="614">
          <cell r="B614">
            <v>106</v>
          </cell>
        </row>
        <row r="655">
          <cell r="B655">
            <v>62439.46</v>
          </cell>
        </row>
        <row r="685">
          <cell r="B685">
            <v>53190.720000000001</v>
          </cell>
        </row>
        <row r="686">
          <cell r="B686">
            <v>1513.47</v>
          </cell>
        </row>
        <row r="727">
          <cell r="B727">
            <v>1690</v>
          </cell>
        </row>
        <row r="757">
          <cell r="B757">
            <v>1248</v>
          </cell>
        </row>
        <row r="758">
          <cell r="B758">
            <v>206</v>
          </cell>
        </row>
        <row r="799">
          <cell r="B799">
            <v>51862.31</v>
          </cell>
        </row>
        <row r="829">
          <cell r="B829">
            <v>41276.019999999997</v>
          </cell>
        </row>
        <row r="830">
          <cell r="B830">
            <v>2309.56</v>
          </cell>
        </row>
        <row r="871">
          <cell r="B871">
            <v>1974</v>
          </cell>
        </row>
        <row r="901">
          <cell r="B901">
            <v>723</v>
          </cell>
        </row>
        <row r="902">
          <cell r="B902">
            <v>383</v>
          </cell>
        </row>
        <row r="943">
          <cell r="B943">
            <v>48520.03</v>
          </cell>
        </row>
        <row r="973">
          <cell r="B973">
            <v>21112.25</v>
          </cell>
        </row>
        <row r="974">
          <cell r="B974">
            <v>4563.0600000000004</v>
          </cell>
        </row>
        <row r="1015">
          <cell r="B1015">
            <v>959</v>
          </cell>
        </row>
        <row r="1045">
          <cell r="B1045">
            <v>582</v>
          </cell>
        </row>
        <row r="1046">
          <cell r="B1046">
            <v>240</v>
          </cell>
        </row>
        <row r="1087">
          <cell r="B1087">
            <v>25755.41</v>
          </cell>
        </row>
        <row r="1117">
          <cell r="B1117">
            <v>18431.099999999999</v>
          </cell>
        </row>
        <row r="1127">
          <cell r="B1127">
            <v>3288.85</v>
          </cell>
        </row>
      </sheetData>
      <sheetData sheetId="1">
        <row r="7">
          <cell r="B7">
            <v>1551</v>
          </cell>
        </row>
        <row r="37">
          <cell r="B37">
            <v>426</v>
          </cell>
        </row>
        <row r="38">
          <cell r="B38">
            <v>310</v>
          </cell>
        </row>
        <row r="79">
          <cell r="B79">
            <v>37656.92</v>
          </cell>
        </row>
        <row r="109">
          <cell r="B109">
            <v>12076.42</v>
          </cell>
        </row>
        <row r="110">
          <cell r="B110">
            <v>4022.36</v>
          </cell>
        </row>
        <row r="151">
          <cell r="B151">
            <v>1777</v>
          </cell>
        </row>
        <row r="181">
          <cell r="B181">
            <v>1158</v>
          </cell>
        </row>
        <row r="182">
          <cell r="B182">
            <v>233</v>
          </cell>
        </row>
        <row r="223">
          <cell r="B223">
            <v>52904.15</v>
          </cell>
        </row>
        <row r="253">
          <cell r="B253">
            <v>37647.760000000002</v>
          </cell>
        </row>
        <row r="254">
          <cell r="B254">
            <v>3341.46</v>
          </cell>
        </row>
        <row r="295">
          <cell r="B295">
            <v>2326</v>
          </cell>
        </row>
        <row r="325">
          <cell r="B325">
            <v>960</v>
          </cell>
        </row>
        <row r="326">
          <cell r="B326">
            <v>705</v>
          </cell>
        </row>
        <row r="367">
          <cell r="B367">
            <v>52780.84</v>
          </cell>
        </row>
        <row r="397">
          <cell r="B397">
            <v>25472.63</v>
          </cell>
        </row>
        <row r="398">
          <cell r="B398">
            <v>11069.31</v>
          </cell>
        </row>
        <row r="439">
          <cell r="B439">
            <v>1085</v>
          </cell>
        </row>
        <row r="469">
          <cell r="B469">
            <v>728</v>
          </cell>
        </row>
        <row r="470">
          <cell r="B470">
            <v>110</v>
          </cell>
        </row>
        <row r="511">
          <cell r="B511">
            <v>30537.21</v>
          </cell>
        </row>
        <row r="541">
          <cell r="B541">
            <v>21865.09</v>
          </cell>
        </row>
        <row r="542">
          <cell r="B542">
            <v>1526.79</v>
          </cell>
        </row>
        <row r="583">
          <cell r="B583">
            <v>1852</v>
          </cell>
        </row>
        <row r="613">
          <cell r="B613">
            <v>1476</v>
          </cell>
        </row>
        <row r="614">
          <cell r="B614">
            <v>138</v>
          </cell>
        </row>
        <row r="655">
          <cell r="B655">
            <v>54273.23</v>
          </cell>
        </row>
        <row r="685">
          <cell r="B685">
            <v>45291.93</v>
          </cell>
        </row>
        <row r="686">
          <cell r="B686">
            <v>1862.12</v>
          </cell>
        </row>
        <row r="727">
          <cell r="B727">
            <v>1662</v>
          </cell>
        </row>
        <row r="757">
          <cell r="B757">
            <v>1159</v>
          </cell>
        </row>
        <row r="758">
          <cell r="B758">
            <v>244</v>
          </cell>
        </row>
        <row r="799">
          <cell r="B799">
            <v>46284.18</v>
          </cell>
        </row>
        <row r="829">
          <cell r="B829">
            <v>36100.120000000003</v>
          </cell>
        </row>
        <row r="830">
          <cell r="B830">
            <v>3214.42</v>
          </cell>
        </row>
        <row r="871">
          <cell r="B871">
            <v>1898</v>
          </cell>
        </row>
        <row r="901">
          <cell r="B901">
            <v>757</v>
          </cell>
        </row>
        <row r="902">
          <cell r="B902">
            <v>416</v>
          </cell>
        </row>
        <row r="943">
          <cell r="B943">
            <v>44890.03</v>
          </cell>
        </row>
        <row r="973">
          <cell r="B973">
            <v>20298.02</v>
          </cell>
        </row>
        <row r="974">
          <cell r="B974">
            <v>5757.03</v>
          </cell>
        </row>
        <row r="1015">
          <cell r="B1015">
            <v>1029</v>
          </cell>
        </row>
        <row r="1045">
          <cell r="B1045">
            <v>572</v>
          </cell>
        </row>
        <row r="1046">
          <cell r="B1046">
            <v>206</v>
          </cell>
        </row>
        <row r="1087">
          <cell r="B1087">
            <v>25859.119999999999</v>
          </cell>
        </row>
        <row r="1117">
          <cell r="B1117">
            <v>16831.91</v>
          </cell>
        </row>
        <row r="1127">
          <cell r="B1127">
            <v>2478.1999999999998</v>
          </cell>
        </row>
      </sheetData>
      <sheetData sheetId="2">
        <row r="7">
          <cell r="B7">
            <v>1594</v>
          </cell>
        </row>
        <row r="37">
          <cell r="B37">
            <v>476</v>
          </cell>
        </row>
        <row r="38">
          <cell r="B38">
            <v>280</v>
          </cell>
        </row>
        <row r="79">
          <cell r="B79">
            <v>38227.760000000002</v>
          </cell>
        </row>
        <row r="109">
          <cell r="B109">
            <v>12745.41</v>
          </cell>
        </row>
        <row r="110">
          <cell r="B110">
            <v>3419.28</v>
          </cell>
        </row>
        <row r="151">
          <cell r="B151">
            <v>2092</v>
          </cell>
        </row>
        <row r="181">
          <cell r="B181">
            <v>1301</v>
          </cell>
        </row>
        <row r="182">
          <cell r="B182">
            <v>278</v>
          </cell>
        </row>
        <row r="223">
          <cell r="B223">
            <v>62237.67</v>
          </cell>
        </row>
        <row r="253">
          <cell r="B253">
            <v>42779.9</v>
          </cell>
        </row>
        <row r="254">
          <cell r="B254">
            <v>3895.95</v>
          </cell>
        </row>
        <row r="295">
          <cell r="B295">
            <v>2304</v>
          </cell>
        </row>
        <row r="325">
          <cell r="B325">
            <v>1036</v>
          </cell>
        </row>
        <row r="326">
          <cell r="B326">
            <v>576</v>
          </cell>
        </row>
        <row r="367">
          <cell r="B367">
            <v>57071.25</v>
          </cell>
        </row>
        <row r="397">
          <cell r="B397">
            <v>28587.96</v>
          </cell>
        </row>
        <row r="398">
          <cell r="B398">
            <v>9258.74</v>
          </cell>
        </row>
        <row r="439">
          <cell r="B439">
            <v>1154</v>
          </cell>
        </row>
        <row r="469">
          <cell r="B469">
            <v>828</v>
          </cell>
        </row>
        <row r="470">
          <cell r="B470">
            <v>121</v>
          </cell>
        </row>
        <row r="511">
          <cell r="B511">
            <v>36948.519999999997</v>
          </cell>
        </row>
        <row r="541">
          <cell r="B541">
            <v>28441.31</v>
          </cell>
        </row>
        <row r="542">
          <cell r="B542">
            <v>1532.88</v>
          </cell>
        </row>
        <row r="583">
          <cell r="B583">
            <v>2065</v>
          </cell>
        </row>
        <row r="613">
          <cell r="B613">
            <v>1659</v>
          </cell>
        </row>
        <row r="614">
          <cell r="B614">
            <v>175</v>
          </cell>
        </row>
        <row r="655">
          <cell r="B655">
            <v>64206.97</v>
          </cell>
        </row>
        <row r="685">
          <cell r="B685">
            <v>54432.49</v>
          </cell>
        </row>
        <row r="686">
          <cell r="B686">
            <v>2182.04</v>
          </cell>
        </row>
        <row r="727">
          <cell r="B727">
            <v>1896</v>
          </cell>
        </row>
        <row r="757">
          <cell r="B757">
            <v>1332</v>
          </cell>
        </row>
        <row r="758">
          <cell r="B758">
            <v>282</v>
          </cell>
        </row>
        <row r="799">
          <cell r="B799">
            <v>53655.73</v>
          </cell>
        </row>
        <row r="829">
          <cell r="B829">
            <v>42614.53</v>
          </cell>
        </row>
        <row r="830">
          <cell r="B830">
            <v>3158.81</v>
          </cell>
        </row>
        <row r="871">
          <cell r="B871">
            <v>2054</v>
          </cell>
        </row>
        <row r="901">
          <cell r="B901">
            <v>835</v>
          </cell>
        </row>
        <row r="902">
          <cell r="B902">
            <v>391</v>
          </cell>
        </row>
        <row r="943">
          <cell r="B943">
            <v>49785</v>
          </cell>
        </row>
        <row r="973">
          <cell r="B973">
            <v>23713.43</v>
          </cell>
        </row>
        <row r="974">
          <cell r="B974">
            <v>5022.25</v>
          </cell>
        </row>
        <row r="1015">
          <cell r="B1015">
            <v>1162</v>
          </cell>
        </row>
        <row r="1045">
          <cell r="B1045">
            <v>681</v>
          </cell>
        </row>
        <row r="1046">
          <cell r="B1046">
            <v>217</v>
          </cell>
        </row>
        <row r="1087">
          <cell r="B1087">
            <v>30501.439999999999</v>
          </cell>
        </row>
        <row r="1117">
          <cell r="B1117">
            <v>20198.71</v>
          </cell>
        </row>
        <row r="1127">
          <cell r="B1127">
            <v>2730.36</v>
          </cell>
        </row>
      </sheetData>
      <sheetData sheetId="3">
        <row r="7">
          <cell r="B7">
            <v>700</v>
          </cell>
        </row>
        <row r="37">
          <cell r="B37">
            <v>196</v>
          </cell>
        </row>
        <row r="38">
          <cell r="B38">
            <v>163</v>
          </cell>
        </row>
        <row r="79">
          <cell r="B79">
            <v>17782.39</v>
          </cell>
        </row>
        <row r="109">
          <cell r="B109">
            <v>5949.24</v>
          </cell>
        </row>
        <row r="110">
          <cell r="B110">
            <v>2207.04</v>
          </cell>
        </row>
        <row r="151">
          <cell r="B151">
            <v>797</v>
          </cell>
        </row>
        <row r="181">
          <cell r="B181">
            <v>493</v>
          </cell>
        </row>
        <row r="182">
          <cell r="B182">
            <v>120</v>
          </cell>
        </row>
        <row r="223">
          <cell r="B223">
            <v>25986.12</v>
          </cell>
        </row>
        <row r="253">
          <cell r="B253">
            <v>17990.96</v>
          </cell>
        </row>
        <row r="254">
          <cell r="B254">
            <v>1776.8</v>
          </cell>
        </row>
        <row r="295">
          <cell r="B295">
            <v>820</v>
          </cell>
        </row>
        <row r="325">
          <cell r="B325">
            <v>361</v>
          </cell>
        </row>
        <row r="326">
          <cell r="B326">
            <v>216</v>
          </cell>
        </row>
        <row r="367">
          <cell r="B367">
            <v>21807.21</v>
          </cell>
        </row>
        <row r="397">
          <cell r="B397">
            <v>10730.17</v>
          </cell>
        </row>
        <row r="398">
          <cell r="B398">
            <v>3694.21</v>
          </cell>
        </row>
        <row r="439">
          <cell r="B439">
            <v>397</v>
          </cell>
        </row>
        <row r="469">
          <cell r="B469">
            <v>295</v>
          </cell>
        </row>
        <row r="470">
          <cell r="B470">
            <v>30</v>
          </cell>
        </row>
        <row r="511">
          <cell r="B511">
            <v>13058.35</v>
          </cell>
        </row>
        <row r="541">
          <cell r="B541">
            <v>9979.1</v>
          </cell>
        </row>
        <row r="542">
          <cell r="B542">
            <v>556.80999999999995</v>
          </cell>
        </row>
        <row r="583">
          <cell r="B583">
            <v>850</v>
          </cell>
        </row>
        <row r="613">
          <cell r="B613">
            <v>701</v>
          </cell>
        </row>
        <row r="614">
          <cell r="B614">
            <v>72</v>
          </cell>
        </row>
        <row r="655">
          <cell r="B655">
            <v>27181.67</v>
          </cell>
        </row>
        <row r="685">
          <cell r="B685">
            <v>23497.74</v>
          </cell>
        </row>
        <row r="686">
          <cell r="B686">
            <v>946.99</v>
          </cell>
        </row>
        <row r="727">
          <cell r="B727">
            <v>737</v>
          </cell>
        </row>
        <row r="757">
          <cell r="B757">
            <v>547</v>
          </cell>
        </row>
        <row r="758">
          <cell r="B758">
            <v>97</v>
          </cell>
        </row>
        <row r="799">
          <cell r="B799">
            <v>22689.62</v>
          </cell>
        </row>
        <row r="829">
          <cell r="B829">
            <v>18287.830000000002</v>
          </cell>
        </row>
        <row r="830">
          <cell r="B830">
            <v>1349.8</v>
          </cell>
        </row>
        <row r="871">
          <cell r="B871">
            <v>720</v>
          </cell>
        </row>
        <row r="901">
          <cell r="B901">
            <v>275</v>
          </cell>
        </row>
        <row r="902">
          <cell r="B902">
            <v>132</v>
          </cell>
        </row>
        <row r="943">
          <cell r="B943">
            <v>18624.349999999999</v>
          </cell>
        </row>
        <row r="973">
          <cell r="B973">
            <v>8360.31</v>
          </cell>
        </row>
        <row r="974">
          <cell r="B974">
            <v>1680.06</v>
          </cell>
        </row>
        <row r="1015">
          <cell r="B1015">
            <v>452</v>
          </cell>
        </row>
        <row r="1045">
          <cell r="B1045">
            <v>250</v>
          </cell>
        </row>
        <row r="1046">
          <cell r="B1046">
            <v>73</v>
          </cell>
        </row>
        <row r="1087">
          <cell r="B1087">
            <v>12538.63</v>
          </cell>
        </row>
        <row r="1117">
          <cell r="B1117">
            <v>7619.61</v>
          </cell>
        </row>
        <row r="1127">
          <cell r="B1127">
            <v>1225.08</v>
          </cell>
        </row>
      </sheetData>
      <sheetData sheetId="4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974">
          <cell r="B974"/>
        </row>
        <row r="1015">
          <cell r="B1015"/>
        </row>
        <row r="1045">
          <cell r="B1045"/>
        </row>
        <row r="1046">
          <cell r="B1046"/>
        </row>
        <row r="1087">
          <cell r="B1087"/>
        </row>
        <row r="1117">
          <cell r="B1117"/>
        </row>
        <row r="1127">
          <cell r="B1127"/>
        </row>
      </sheetData>
      <sheetData sheetId="5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974">
          <cell r="B974"/>
        </row>
        <row r="1015">
          <cell r="B1015"/>
        </row>
        <row r="1045">
          <cell r="B1045"/>
        </row>
        <row r="1046">
          <cell r="B1046"/>
        </row>
        <row r="1087">
          <cell r="B1087"/>
        </row>
        <row r="1117">
          <cell r="B1117"/>
        </row>
        <row r="1127">
          <cell r="B1127"/>
        </row>
      </sheetData>
      <sheetData sheetId="6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1015">
          <cell r="B1015"/>
        </row>
        <row r="1045">
          <cell r="B1045"/>
        </row>
        <row r="1046">
          <cell r="B1046"/>
        </row>
        <row r="1087">
          <cell r="B1087"/>
        </row>
        <row r="1117">
          <cell r="B1117"/>
        </row>
        <row r="1118">
          <cell r="B1118"/>
        </row>
        <row r="1127">
          <cell r="B1127"/>
        </row>
      </sheetData>
      <sheetData sheetId="7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1015">
          <cell r="B1015"/>
        </row>
        <row r="1045">
          <cell r="B1045"/>
        </row>
        <row r="1046">
          <cell r="B1046"/>
        </row>
        <row r="1087">
          <cell r="B1087"/>
        </row>
        <row r="1117">
          <cell r="B1117"/>
        </row>
        <row r="1118">
          <cell r="B1118"/>
        </row>
        <row r="1127">
          <cell r="B1127"/>
        </row>
      </sheetData>
      <sheetData sheetId="8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1015">
          <cell r="B1015"/>
        </row>
        <row r="1045">
          <cell r="B1045"/>
        </row>
        <row r="1046">
          <cell r="B1046"/>
        </row>
        <row r="1087">
          <cell r="B1087"/>
        </row>
        <row r="1117">
          <cell r="B1117"/>
        </row>
        <row r="1118">
          <cell r="B1118"/>
        </row>
        <row r="1127">
          <cell r="B1127"/>
        </row>
      </sheetData>
      <sheetData sheetId="9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974">
          <cell r="B974"/>
        </row>
      </sheetData>
      <sheetData sheetId="10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974">
          <cell r="B974"/>
        </row>
        <row r="1127">
          <cell r="B1127"/>
        </row>
      </sheetData>
      <sheetData sheetId="11">
        <row r="7">
          <cell r="B7"/>
        </row>
        <row r="37">
          <cell r="B37"/>
        </row>
        <row r="38">
          <cell r="B38"/>
        </row>
        <row r="79">
          <cell r="B79"/>
        </row>
        <row r="109">
          <cell r="B109"/>
        </row>
        <row r="110">
          <cell r="B110"/>
        </row>
        <row r="151">
          <cell r="B151"/>
        </row>
        <row r="181">
          <cell r="B181"/>
        </row>
        <row r="182">
          <cell r="B182"/>
        </row>
        <row r="223">
          <cell r="B223"/>
        </row>
        <row r="253">
          <cell r="B253"/>
        </row>
        <row r="254">
          <cell r="B254"/>
        </row>
        <row r="295">
          <cell r="B295"/>
        </row>
        <row r="325">
          <cell r="B325"/>
        </row>
        <row r="326">
          <cell r="B326"/>
        </row>
        <row r="367">
          <cell r="B367"/>
        </row>
        <row r="397">
          <cell r="B397"/>
        </row>
        <row r="398">
          <cell r="B398"/>
        </row>
        <row r="439">
          <cell r="B439"/>
        </row>
        <row r="469">
          <cell r="B469"/>
        </row>
        <row r="470">
          <cell r="B470"/>
        </row>
        <row r="511">
          <cell r="B511"/>
        </row>
        <row r="541">
          <cell r="B541"/>
        </row>
        <row r="542">
          <cell r="B542"/>
        </row>
        <row r="583">
          <cell r="B583"/>
        </row>
        <row r="613">
          <cell r="B613"/>
        </row>
        <row r="614">
          <cell r="B614"/>
        </row>
        <row r="655">
          <cell r="B655"/>
        </row>
        <row r="685">
          <cell r="B685"/>
        </row>
        <row r="686">
          <cell r="B686"/>
        </row>
        <row r="727">
          <cell r="B727"/>
        </row>
        <row r="757">
          <cell r="B757"/>
        </row>
        <row r="758">
          <cell r="B758"/>
        </row>
        <row r="799">
          <cell r="B799"/>
        </row>
        <row r="829">
          <cell r="B829"/>
        </row>
        <row r="830">
          <cell r="B830"/>
        </row>
        <row r="871">
          <cell r="B871"/>
        </row>
        <row r="901">
          <cell r="B901"/>
        </row>
        <row r="902">
          <cell r="B902"/>
        </row>
        <row r="943">
          <cell r="B943"/>
        </row>
        <row r="973">
          <cell r="B973"/>
        </row>
        <row r="974">
          <cell r="B974"/>
        </row>
        <row r="1127">
          <cell r="B1127"/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36.35</v>
          </cell>
          <cell r="D3">
            <v>34.950000000000003</v>
          </cell>
          <cell r="E3">
            <v>32.909999999999997</v>
          </cell>
          <cell r="F3">
            <v>35.22</v>
          </cell>
          <cell r="G3">
            <v>34.79</v>
          </cell>
          <cell r="H3">
            <v>34.869999999999997</v>
          </cell>
          <cell r="O3">
            <v>34.83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33.69</v>
          </cell>
          <cell r="D3">
            <v>33.549999999999997</v>
          </cell>
          <cell r="E3">
            <v>32.32</v>
          </cell>
          <cell r="F3">
            <v>36.25</v>
          </cell>
          <cell r="G3">
            <v>37.020000000000003</v>
          </cell>
          <cell r="H3">
            <v>29.73</v>
          </cell>
          <cell r="O3">
            <v>34.43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33.35</v>
          </cell>
          <cell r="D3">
            <v>32.270000000000003</v>
          </cell>
          <cell r="E3">
            <v>31.01</v>
          </cell>
          <cell r="F3">
            <v>31.29</v>
          </cell>
          <cell r="G3">
            <v>34.96</v>
          </cell>
          <cell r="H3">
            <v>31.23</v>
          </cell>
          <cell r="O3">
            <v>32.5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33.42</v>
          </cell>
          <cell r="D3">
            <v>32.68</v>
          </cell>
          <cell r="E3">
            <v>33.18</v>
          </cell>
          <cell r="F3">
            <v>33.950000000000003</v>
          </cell>
          <cell r="G3">
            <v>31.8</v>
          </cell>
          <cell r="H3">
            <v>34.18</v>
          </cell>
          <cell r="O3">
            <v>33.04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30.72</v>
          </cell>
          <cell r="D3">
            <v>33.57</v>
          </cell>
          <cell r="E3">
            <v>31.36</v>
          </cell>
          <cell r="F3">
            <v>34.32</v>
          </cell>
          <cell r="G3">
            <v>35.58</v>
          </cell>
          <cell r="H3">
            <v>33.83</v>
          </cell>
          <cell r="O3">
            <v>33.1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33.1</v>
          </cell>
          <cell r="D3">
            <v>33.049999999999997</v>
          </cell>
          <cell r="E3">
            <v>36.64</v>
          </cell>
          <cell r="F3">
            <v>35.1</v>
          </cell>
          <cell r="G3">
            <v>34.450000000000003</v>
          </cell>
          <cell r="H3">
            <v>36.14</v>
          </cell>
          <cell r="O3">
            <v>34.5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33.090000000000003</v>
          </cell>
          <cell r="D3">
            <v>33.57</v>
          </cell>
          <cell r="E3">
            <v>31.3</v>
          </cell>
          <cell r="F3">
            <v>30.89</v>
          </cell>
          <cell r="G3">
            <v>32.1</v>
          </cell>
          <cell r="H3">
            <v>32.17</v>
          </cell>
          <cell r="O3">
            <v>32.19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CAPITULATIF"/>
      <sheetName val="ANNEE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>
        <row r="3">
          <cell r="C3">
            <v>29.38</v>
          </cell>
          <cell r="D3">
            <v>27.04</v>
          </cell>
          <cell r="E3">
            <v>29.81</v>
          </cell>
          <cell r="F3">
            <v>31.32</v>
          </cell>
          <cell r="G3">
            <v>33.200000000000003</v>
          </cell>
          <cell r="H3">
            <v>32.340000000000003</v>
          </cell>
          <cell r="O3">
            <v>30.19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AE4A9-2296-E043-A4E6-0B837C535F14}">
  <sheetPr codeName="Feuil24"/>
  <dimension ref="A1:AG58"/>
  <sheetViews>
    <sheetView zoomScale="50" zoomScaleNormal="50" workbookViewId="0">
      <selection activeCell="C6" sqref="C6"/>
    </sheetView>
  </sheetViews>
  <sheetFormatPr baseColWidth="10" defaultColWidth="10.83203125" defaultRowHeight="28"/>
  <cols>
    <col min="1" max="1" width="55.1640625" style="965" bestFit="1" customWidth="1"/>
    <col min="2" max="2" width="1.6640625" style="965" customWidth="1"/>
    <col min="3" max="3" width="15.6640625" style="965" customWidth="1"/>
    <col min="4" max="4" width="13.83203125" style="965" bestFit="1" customWidth="1"/>
    <col min="5" max="5" width="1.83203125" style="965" customWidth="1"/>
    <col min="6" max="6" width="15.6640625" style="965" bestFit="1" customWidth="1"/>
    <col min="7" max="7" width="13.83203125" style="965" bestFit="1" customWidth="1"/>
    <col min="8" max="8" width="1.83203125" style="965" customWidth="1"/>
    <col min="9" max="9" width="15.6640625" style="965" bestFit="1" customWidth="1"/>
    <col min="10" max="10" width="13.83203125" style="965" bestFit="1" customWidth="1"/>
    <col min="11" max="11" width="1.83203125" style="965" customWidth="1"/>
    <col min="12" max="12" width="15.6640625" style="965" bestFit="1" customWidth="1"/>
    <col min="13" max="13" width="13.83203125" style="965" bestFit="1" customWidth="1"/>
    <col min="14" max="14" width="1.83203125" style="965" customWidth="1"/>
    <col min="15" max="15" width="15.6640625" style="965" bestFit="1" customWidth="1"/>
    <col min="16" max="16" width="13.83203125" style="965" bestFit="1" customWidth="1"/>
    <col min="17" max="17" width="1.83203125" style="965" customWidth="1"/>
    <col min="18" max="18" width="15.6640625" style="965" bestFit="1" customWidth="1"/>
    <col min="19" max="19" width="13.83203125" style="965" bestFit="1" customWidth="1"/>
    <col min="20" max="20" width="1.83203125" style="965" customWidth="1"/>
    <col min="21" max="21" width="15.6640625" style="965" bestFit="1" customWidth="1"/>
    <col min="22" max="22" width="13.83203125" style="965" bestFit="1" customWidth="1"/>
    <col min="23" max="23" width="1.83203125" style="965" customWidth="1"/>
    <col min="24" max="24" width="15.6640625" style="965" bestFit="1" customWidth="1"/>
    <col min="25" max="25" width="13.83203125" style="965" bestFit="1" customWidth="1"/>
    <col min="26" max="26" width="1.83203125" style="965" customWidth="1"/>
    <col min="27" max="27" width="17.6640625" style="965" bestFit="1" customWidth="1"/>
    <col min="28" max="28" width="13.83203125" style="965" bestFit="1" customWidth="1"/>
    <col min="29" max="16384" width="10.83203125" style="965"/>
  </cols>
  <sheetData>
    <row r="1" spans="1:33" ht="29">
      <c r="A1" s="964" t="s">
        <v>343</v>
      </c>
    </row>
    <row r="2" spans="1:33">
      <c r="A2" s="964"/>
    </row>
    <row r="3" spans="1:33">
      <c r="A3" s="966" t="s">
        <v>344</v>
      </c>
    </row>
    <row r="4" spans="1:33" ht="28" customHeight="1">
      <c r="A4" s="967" t="s">
        <v>37</v>
      </c>
      <c r="C4" s="1734" t="s">
        <v>421</v>
      </c>
      <c r="D4" s="1734"/>
      <c r="F4" s="1734" t="s">
        <v>422</v>
      </c>
      <c r="G4" s="1734"/>
      <c r="I4" s="1734" t="s">
        <v>423</v>
      </c>
      <c r="J4" s="1734"/>
      <c r="L4" s="1734" t="s">
        <v>424</v>
      </c>
      <c r="M4" s="1734"/>
      <c r="O4" s="1734" t="s">
        <v>425</v>
      </c>
      <c r="P4" s="1734"/>
      <c r="R4" s="1734" t="s">
        <v>426</v>
      </c>
      <c r="S4" s="1734"/>
      <c r="U4" s="1734" t="s">
        <v>427</v>
      </c>
      <c r="V4" s="1734"/>
      <c r="X4" s="1734" t="s">
        <v>428</v>
      </c>
      <c r="Y4" s="1734"/>
      <c r="AA4" s="1734" t="s">
        <v>37</v>
      </c>
      <c r="AB4" s="1734"/>
    </row>
    <row r="5" spans="1:33" ht="29">
      <c r="A5" s="968"/>
      <c r="C5" s="969">
        <v>2025</v>
      </c>
      <c r="D5" s="970" t="s">
        <v>36</v>
      </c>
      <c r="F5" s="969">
        <v>2025</v>
      </c>
      <c r="G5" s="970" t="s">
        <v>36</v>
      </c>
      <c r="I5" s="969">
        <v>2025</v>
      </c>
      <c r="J5" s="970" t="s">
        <v>36</v>
      </c>
      <c r="L5" s="969">
        <v>2025</v>
      </c>
      <c r="M5" s="970" t="s">
        <v>36</v>
      </c>
      <c r="O5" s="969">
        <v>2025</v>
      </c>
      <c r="P5" s="970" t="s">
        <v>36</v>
      </c>
      <c r="R5" s="969">
        <v>2025</v>
      </c>
      <c r="S5" s="970" t="s">
        <v>36</v>
      </c>
      <c r="U5" s="969">
        <v>2025</v>
      </c>
      <c r="V5" s="970" t="s">
        <v>36</v>
      </c>
      <c r="X5" s="969">
        <v>2025</v>
      </c>
      <c r="Y5" s="970" t="s">
        <v>36</v>
      </c>
      <c r="AA5" s="969">
        <v>2025</v>
      </c>
      <c r="AB5" s="970" t="s">
        <v>36</v>
      </c>
    </row>
    <row r="6" spans="1:33">
      <c r="A6" s="971" t="s">
        <v>354</v>
      </c>
      <c r="C6" s="972">
        <f>+'[1]GLOBAL 26'!C6</f>
        <v>3025037.1500000004</v>
      </c>
      <c r="D6" s="974">
        <f>+'[1]GLOBAL 26'!D6</f>
        <v>1.0155114532087528</v>
      </c>
      <c r="F6" s="972">
        <f>+'[1]GLOBAL 26'!F6</f>
        <v>2094841.22</v>
      </c>
      <c r="G6" s="973">
        <f>+'[1]GLOBAL 26'!G6</f>
        <v>1.0216394814943193</v>
      </c>
      <c r="I6" s="972">
        <f>+'[1]GLOBAL 26'!I6</f>
        <v>1778545.37</v>
      </c>
      <c r="J6" s="973">
        <f>+'[1]GLOBAL 26'!J6</f>
        <v>1.0103917317490143</v>
      </c>
      <c r="L6" s="972">
        <f>+'[1]GLOBAL 26'!L6</f>
        <v>2304174.87</v>
      </c>
      <c r="M6" s="974">
        <f>+'[1]GLOBAL 26'!M6</f>
        <v>1.0185378293703673</v>
      </c>
      <c r="O6" s="972">
        <f>+'[1]GLOBAL 26'!O6</f>
        <v>1384093.7999999998</v>
      </c>
      <c r="P6" s="974">
        <f>+'[1]GLOBAL 26'!P6</f>
        <v>1.0106175040801828</v>
      </c>
      <c r="R6" s="972">
        <f>+'[1]GLOBAL 26'!R6</f>
        <v>1427550.57</v>
      </c>
      <c r="S6" s="974">
        <f>+'[1]GLOBAL 26'!S6</f>
        <v>1.0100558375172279</v>
      </c>
      <c r="U6" s="972">
        <f>+'[1]GLOBAL 26'!U6</f>
        <v>1375684.3</v>
      </c>
      <c r="V6" s="974">
        <f>+'[1]GLOBAL 26'!V6</f>
        <v>1.0096128466668417</v>
      </c>
      <c r="X6" s="972">
        <f>+'[1]GLOBAL 26'!X6</f>
        <v>1200193.3999999999</v>
      </c>
      <c r="Y6" s="975">
        <f>+'[1]GLOBAL 26'!Y6</f>
        <v>1.0144039475592028</v>
      </c>
      <c r="AA6" s="972">
        <f>+'[1]GLOBAL 26'!AA6</f>
        <v>14590120.680000002</v>
      </c>
      <c r="AB6" s="973">
        <f>+'[1]GLOBAL 26'!AB6</f>
        <v>1.0145823328700136</v>
      </c>
    </row>
    <row r="7" spans="1:33" s="977" customFormat="1">
      <c r="A7" s="976" t="s">
        <v>355</v>
      </c>
      <c r="C7" s="978">
        <f>+'[1]GLOBAL 26'!C7</f>
        <v>2978831.15</v>
      </c>
      <c r="D7" s="979">
        <f>+'[1]GLOBAL 26'!D7</f>
        <v>1</v>
      </c>
      <c r="F7" s="978">
        <f>+'[1]GLOBAL 26'!F7</f>
        <v>2050470.11</v>
      </c>
      <c r="G7" s="979">
        <f>+'[1]GLOBAL 26'!G7</f>
        <v>1</v>
      </c>
      <c r="I7" s="978">
        <f>+'[1]GLOBAL 26'!I7</f>
        <v>1760253.29</v>
      </c>
      <c r="J7" s="979">
        <f>+'[1]GLOBAL 26'!J7</f>
        <v>1</v>
      </c>
      <c r="L7" s="978">
        <f>+'[1]GLOBAL 26'!L7</f>
        <v>2262237.89</v>
      </c>
      <c r="M7" s="979">
        <f>+'[1]GLOBAL 26'!M7</f>
        <v>1</v>
      </c>
      <c r="O7" s="978">
        <f>+'[1]GLOBAL 26'!O7</f>
        <v>1369552.57</v>
      </c>
      <c r="P7" s="979">
        <f>+'[1]GLOBAL 26'!P7</f>
        <v>1</v>
      </c>
      <c r="R7" s="978">
        <f>+'[1]GLOBAL 26'!R7</f>
        <v>1413338.27</v>
      </c>
      <c r="S7" s="979">
        <f>+'[1]GLOBAL 26'!S7</f>
        <v>1</v>
      </c>
      <c r="U7" s="978">
        <f>+'[1]GLOBAL 26'!U7</f>
        <v>1362585.9700000002</v>
      </c>
      <c r="V7" s="979">
        <f>+'[1]GLOBAL 26'!V7</f>
        <v>1</v>
      </c>
      <c r="X7" s="978">
        <f>+'[1]GLOBAL 26'!X7</f>
        <v>1183151.3499999999</v>
      </c>
      <c r="Y7" s="979">
        <f>+'[1]GLOBAL 26'!Y7</f>
        <v>1</v>
      </c>
      <c r="AA7" s="978">
        <f>+'[1]GLOBAL 26'!AA7</f>
        <v>14380420.6</v>
      </c>
      <c r="AB7" s="979">
        <f>+'[1]GLOBAL 26'!AB7</f>
        <v>1</v>
      </c>
    </row>
    <row r="8" spans="1:33">
      <c r="A8" s="980" t="s">
        <v>356</v>
      </c>
      <c r="C8" s="981">
        <f>+'[1]GLOBAL 26'!C8</f>
        <v>610678.82000000007</v>
      </c>
      <c r="D8" s="973">
        <f>+'[1]GLOBAL 26'!D8</f>
        <v>0.20500618841722534</v>
      </c>
      <c r="F8" s="981">
        <f>+'[1]GLOBAL 26'!F8</f>
        <v>419252.35</v>
      </c>
      <c r="G8" s="973">
        <f>+'[1]GLOBAL 26'!G8</f>
        <v>0.20446645281749556</v>
      </c>
      <c r="I8" s="981">
        <f>+'[1]GLOBAL 26'!I8</f>
        <v>356866.78</v>
      </c>
      <c r="J8" s="973">
        <f>+'[1]GLOBAL 26'!J8</f>
        <v>0.20273603919808611</v>
      </c>
      <c r="L8" s="981">
        <f>+'[1]GLOBAL 26'!L8</f>
        <v>454369.02</v>
      </c>
      <c r="M8" s="973">
        <f>+'[1]GLOBAL 26'!M8</f>
        <v>0.20084935453008437</v>
      </c>
      <c r="O8" s="981">
        <f>+'[1]GLOBAL 26'!O8</f>
        <v>286004.18000000005</v>
      </c>
      <c r="P8" s="973">
        <f>+'[1]GLOBAL 26'!P8</f>
        <v>0.20883037735455459</v>
      </c>
      <c r="R8" s="981">
        <f>+'[1]GLOBAL 26'!R8</f>
        <v>292799.82</v>
      </c>
      <c r="S8" s="973">
        <f>+'[1]GLOBAL 26'!S8</f>
        <v>0.20716896033672108</v>
      </c>
      <c r="U8" s="981">
        <f>+'[1]GLOBAL 26'!U8</f>
        <v>286023.05</v>
      </c>
      <c r="V8" s="973">
        <f>+'[1]GLOBAL 26'!V8</f>
        <v>0.20991192944691772</v>
      </c>
      <c r="X8" s="981">
        <f>+'[1]GLOBAL 26'!X8</f>
        <v>245676.22000000003</v>
      </c>
      <c r="Y8" s="973">
        <f>+'[1]GLOBAL 26'!Y8</f>
        <v>0.20764564060210899</v>
      </c>
      <c r="AA8" s="981">
        <f>+'[1]GLOBAL 26'!AA8</f>
        <v>2951670.24</v>
      </c>
      <c r="AB8" s="973">
        <f>+'[1]GLOBAL 26'!AB8</f>
        <v>0.20525618284071609</v>
      </c>
    </row>
    <row r="9" spans="1:33">
      <c r="A9" s="980" t="s">
        <v>357</v>
      </c>
      <c r="C9" s="981">
        <f>+'[1]GLOBAL 26'!C9</f>
        <v>13055.94</v>
      </c>
      <c r="D9" s="973">
        <f>+'[1]GLOBAL 26'!D9</f>
        <v>4.3829070338545374E-3</v>
      </c>
      <c r="F9" s="981">
        <f>+'[1]GLOBAL 26'!F9</f>
        <v>8046.3499999999995</v>
      </c>
      <c r="G9" s="973">
        <f>+'[1]GLOBAL 26'!G9</f>
        <v>3.9241488870081602E-3</v>
      </c>
      <c r="I9" s="981">
        <f>+'[1]GLOBAL 26'!I9</f>
        <v>7921.4100000000008</v>
      </c>
      <c r="J9" s="973">
        <f>+'[1]GLOBAL 26'!J9</f>
        <v>4.5001534977957636E-3</v>
      </c>
      <c r="L9" s="981">
        <f>+'[1]GLOBAL 26'!L9</f>
        <v>11285.25</v>
      </c>
      <c r="M9" s="973">
        <f>+'[1]GLOBAL 26'!M9</f>
        <v>4.9885337213585431E-3</v>
      </c>
      <c r="O9" s="981">
        <f>+'[1]GLOBAL 26'!O9</f>
        <v>6112.92</v>
      </c>
      <c r="P9" s="973">
        <f>+'[1]GLOBAL 26'!P9</f>
        <v>4.4634431228879369E-3</v>
      </c>
      <c r="R9" s="981">
        <f>+'[1]GLOBAL 26'!R9</f>
        <v>5533.76</v>
      </c>
      <c r="S9" s="973">
        <f>+'[1]GLOBAL 26'!S9</f>
        <v>3.9153825502793466E-3</v>
      </c>
      <c r="U9" s="981">
        <f>+'[1]GLOBAL 26'!U9</f>
        <v>7161.87</v>
      </c>
      <c r="V9" s="973">
        <f>+'[1]GLOBAL 26'!V9</f>
        <v>5.2560867040191226E-3</v>
      </c>
      <c r="X9" s="981">
        <f>+'[1]GLOBAL 26'!X9</f>
        <v>7250.33</v>
      </c>
      <c r="Y9" s="973">
        <f>+'[1]GLOBAL 26'!Y9</f>
        <v>6.1279818511807476E-3</v>
      </c>
      <c r="AA9" s="981">
        <f>+'[1]GLOBAL 26'!AA9</f>
        <v>66367.83</v>
      </c>
      <c r="AB9" s="973">
        <f>+'[1]GLOBAL 26'!AB9</f>
        <v>4.6151522160624431E-3</v>
      </c>
    </row>
    <row r="10" spans="1:33">
      <c r="A10" s="980" t="s">
        <v>358</v>
      </c>
      <c r="C10" s="981">
        <f>+'[1]GLOBAL 26'!C10</f>
        <v>17292.349999999999</v>
      </c>
      <c r="D10" s="973">
        <f>+'[1]GLOBAL 26'!D10</f>
        <v>5.8050789484996486E-3</v>
      </c>
      <c r="F10" s="981">
        <f>+'[1]GLOBAL 26'!F10</f>
        <v>10167.01</v>
      </c>
      <c r="G10" s="973">
        <f>+'[1]GLOBAL 26'!G10</f>
        <v>4.9583800077924569E-3</v>
      </c>
      <c r="I10" s="981">
        <f>+'[1]GLOBAL 26'!I10</f>
        <v>5331.0300000000007</v>
      </c>
      <c r="J10" s="973">
        <f>+'[1]GLOBAL 26'!J10</f>
        <v>3.028558463878798E-3</v>
      </c>
      <c r="L10" s="981">
        <f>+'[1]GLOBAL 26'!L10</f>
        <v>14750.97</v>
      </c>
      <c r="M10" s="973">
        <f>+'[1]GLOBAL 26'!M10</f>
        <v>6.5205211464299181E-3</v>
      </c>
      <c r="O10" s="981">
        <f>+'[1]GLOBAL 26'!O10</f>
        <v>6455.9299999999994</v>
      </c>
      <c r="P10" s="973">
        <f>+'[1]GLOBAL 26'!P10</f>
        <v>4.7138971817635295E-3</v>
      </c>
      <c r="R10" s="981">
        <f>+'[1]GLOBAL 26'!R10</f>
        <v>6620.13</v>
      </c>
      <c r="S10" s="973">
        <f>+'[1]GLOBAL 26'!S10</f>
        <v>4.6840378842922014E-3</v>
      </c>
      <c r="U10" s="981">
        <f>+'[1]GLOBAL 26'!U10</f>
        <v>5260.43</v>
      </c>
      <c r="V10" s="982">
        <f>+'[1]GLOBAL 26'!V10</f>
        <v>3.8606224603941869E-3</v>
      </c>
      <c r="X10" s="981">
        <f>+'[1]GLOBAL 26'!X10</f>
        <v>6501.6600000000008</v>
      </c>
      <c r="Y10" s="973">
        <f>+'[1]GLOBAL 26'!Y10</f>
        <v>5.4952056640936104E-3</v>
      </c>
      <c r="AA10" s="981">
        <f>+'[1]GLOBAL 26'!AA10</f>
        <v>72379.510000000009</v>
      </c>
      <c r="AB10" s="973">
        <f>+'[1]GLOBAL 26'!AB10</f>
        <v>5.0331984031120767E-3</v>
      </c>
    </row>
    <row r="11" spans="1:33">
      <c r="A11" s="980" t="s">
        <v>359</v>
      </c>
      <c r="C11" s="981">
        <f>+'[1]GLOBAL 26'!C11</f>
        <v>62193.47</v>
      </c>
      <c r="D11" s="973">
        <f>+'[1]GLOBAL 26'!D11</f>
        <v>2.0878481145196835E-2</v>
      </c>
      <c r="F11" s="981">
        <f>+'[1]GLOBAL 26'!F11</f>
        <v>38573.58</v>
      </c>
      <c r="G11" s="973">
        <f>+'[1]GLOBAL 26'!G11</f>
        <v>1.8812066468015962E-2</v>
      </c>
      <c r="I11" s="981">
        <f>+'[1]GLOBAL 26'!I11</f>
        <v>31620</v>
      </c>
      <c r="J11" s="973">
        <f>+'[1]GLOBAL 26'!J11</f>
        <v>1.7963323903232131E-2</v>
      </c>
      <c r="L11" s="981">
        <f>+'[1]GLOBAL 26'!L11</f>
        <v>44827.13</v>
      </c>
      <c r="M11" s="973">
        <f>+'[1]GLOBAL 26'!M11</f>
        <v>1.9815391740255928E-2</v>
      </c>
      <c r="O11" s="981">
        <f>+'[1]GLOBAL 26'!O11</f>
        <v>27114.550000000003</v>
      </c>
      <c r="P11" s="973">
        <f>+'[1]GLOBAL 26'!P11</f>
        <v>1.979810822449846E-2</v>
      </c>
      <c r="R11" s="981">
        <f>+'[1]GLOBAL 26'!R11</f>
        <v>28815.829999999998</v>
      </c>
      <c r="S11" s="973">
        <f>+'[1]GLOBAL 26'!S11</f>
        <v>2.0388487746815204E-2</v>
      </c>
      <c r="U11" s="981">
        <f>+'[1]GLOBAL 26'!U11</f>
        <v>25202.300000000003</v>
      </c>
      <c r="V11" s="973">
        <f>+'[1]GLOBAL 26'!V11</f>
        <v>1.8495933874909925E-2</v>
      </c>
      <c r="X11" s="981">
        <f>+'[1]GLOBAL 26'!X11</f>
        <v>22006.620000000003</v>
      </c>
      <c r="Y11" s="973">
        <f>+'[1]GLOBAL 26'!Y11</f>
        <v>1.8600004133029983E-2</v>
      </c>
      <c r="AA11" s="981">
        <f>+'[1]GLOBAL 26'!AA11</f>
        <v>280353.48</v>
      </c>
      <c r="AB11" s="973">
        <f>+'[1]GLOBAL 26'!AB11</f>
        <v>1.9495499318010211E-2</v>
      </c>
    </row>
    <row r="12" spans="1:33">
      <c r="A12" s="980" t="s">
        <v>360</v>
      </c>
      <c r="C12" s="981">
        <f>+'[1]GLOBAL 26'!C12</f>
        <v>2449.9299999999998</v>
      </c>
      <c r="D12" s="973">
        <f>+'[1]GLOBAL 26'!D12</f>
        <v>8.2244675063237473E-4</v>
      </c>
      <c r="F12" s="981">
        <f>+'[1]GLOBAL 26'!F12</f>
        <v>2468.6400000000003</v>
      </c>
      <c r="G12" s="973">
        <f>+'[1]GLOBAL 26'!G12</f>
        <v>1.2039385446101431E-3</v>
      </c>
      <c r="I12" s="981">
        <f>+'[1]GLOBAL 26'!I12</f>
        <v>1396.37</v>
      </c>
      <c r="J12" s="973">
        <f>+'[1]GLOBAL 26'!J12</f>
        <v>7.9327788104858468E-4</v>
      </c>
      <c r="L12" s="981">
        <f>+'[1]GLOBAL 26'!L12</f>
        <v>3015.66</v>
      </c>
      <c r="M12" s="973">
        <f>+'[1]GLOBAL 26'!M12</f>
        <v>1.333042830433717E-3</v>
      </c>
      <c r="O12" s="981">
        <f>+'[1]GLOBAL 26'!O12</f>
        <v>833.68999999999994</v>
      </c>
      <c r="P12" s="973">
        <f>+'[1]GLOBAL 26'!P12</f>
        <v>6.0873165314128828E-4</v>
      </c>
      <c r="R12" s="981">
        <f>+'[1]GLOBAL 26'!R12</f>
        <v>1261.47</v>
      </c>
      <c r="S12" s="973">
        <f>+'[1]GLOBAL 26'!S12</f>
        <v>8.9254641070463624E-4</v>
      </c>
      <c r="U12" s="981">
        <f>+'[1]GLOBAL 26'!U12</f>
        <v>1386.9499999999998</v>
      </c>
      <c r="V12" s="973">
        <f>+'[1]GLOBAL 26'!V12</f>
        <v>1.0178807286559685E-3</v>
      </c>
      <c r="X12" s="981">
        <f>+'[1]GLOBAL 26'!X12</f>
        <v>1235.71</v>
      </c>
      <c r="Y12" s="973">
        <f>+'[1]GLOBAL 26'!Y12</f>
        <v>1.0444225922575333E-3</v>
      </c>
      <c r="AA12" s="981">
        <f>+'[1]GLOBAL 26'!AA12</f>
        <v>14048.419999999998</v>
      </c>
      <c r="AB12" s="973">
        <f>+'[1]GLOBAL 26'!AB12</f>
        <v>9.7691301184890233E-4</v>
      </c>
    </row>
    <row r="13" spans="1:33" s="977" customFormat="1">
      <c r="A13" s="976" t="s">
        <v>361</v>
      </c>
      <c r="C13" s="978">
        <f>+'[1]GLOBAL 26'!C13</f>
        <v>2273160.6399999997</v>
      </c>
      <c r="D13" s="979">
        <f>+'[1]GLOBAL 26'!D13</f>
        <v>0.76310489770459122</v>
      </c>
      <c r="F13" s="978">
        <f>+'[1]GLOBAL 26'!F13</f>
        <v>1571962.1799999997</v>
      </c>
      <c r="G13" s="979">
        <f>+'[1]GLOBAL 26'!G13</f>
        <v>0.76663501327507755</v>
      </c>
      <c r="I13" s="978">
        <f>+'[1]GLOBAL 26'!I13</f>
        <v>1357117.7</v>
      </c>
      <c r="J13" s="979">
        <f>+'[1]GLOBAL 26'!J13</f>
        <v>0.77097864705595864</v>
      </c>
      <c r="L13" s="978">
        <f>+'[1]GLOBAL 26'!L13</f>
        <v>1733989.86</v>
      </c>
      <c r="M13" s="979">
        <f>+'[1]GLOBAL 26'!M13</f>
        <v>0.76649315603143753</v>
      </c>
      <c r="O13" s="978">
        <f>+'[1]GLOBAL 26'!O13</f>
        <v>1043031.3</v>
      </c>
      <c r="P13" s="979">
        <f>+'[1]GLOBAL 26'!P13</f>
        <v>0.76158544246315418</v>
      </c>
      <c r="R13" s="978">
        <f>+'[1]GLOBAL 26'!R13</f>
        <v>1078307.26</v>
      </c>
      <c r="S13" s="979">
        <f>+'[1]GLOBAL 26'!S13</f>
        <v>0.76295058507118751</v>
      </c>
      <c r="U13" s="978">
        <f>+'[1]GLOBAL 26'!U13</f>
        <v>1037551.3700000001</v>
      </c>
      <c r="V13" s="979">
        <f>+'[1]GLOBAL 26'!V13</f>
        <v>0.76145754678510302</v>
      </c>
      <c r="X13" s="978">
        <f>+'[1]GLOBAL 26'!X13</f>
        <v>900480.81</v>
      </c>
      <c r="Y13" s="979">
        <f>+'[1]GLOBAL 26'!Y13</f>
        <v>0.76108674515732933</v>
      </c>
      <c r="AA13" s="978">
        <f>+'[1]GLOBAL 26'!AA13</f>
        <v>10995601.119999999</v>
      </c>
      <c r="AB13" s="979">
        <f>+'[1]GLOBAL 26'!AB13</f>
        <v>0.76462305421025023</v>
      </c>
      <c r="AG13" s="983"/>
    </row>
    <row r="14" spans="1:33">
      <c r="A14" s="980" t="s">
        <v>362</v>
      </c>
      <c r="C14" s="981">
        <f>+'[1]GLOBAL 26'!C14</f>
        <v>467477.36</v>
      </c>
      <c r="D14" s="973">
        <f>+'[1]GLOBAL 26'!D14</f>
        <v>0.15693315144767436</v>
      </c>
      <c r="F14" s="981">
        <f>+'[1]GLOBAL 26'!F14</f>
        <v>331715.12</v>
      </c>
      <c r="G14" s="973">
        <f>+'[1]GLOBAL 26'!G14</f>
        <v>0.16177515506431839</v>
      </c>
      <c r="I14" s="981">
        <f>+'[1]GLOBAL 26'!I14</f>
        <v>285784.44999999995</v>
      </c>
      <c r="J14" s="973">
        <f>+'[1]GLOBAL 26'!J14</f>
        <v>0.16235416324658591</v>
      </c>
      <c r="L14" s="981">
        <f>+'[1]GLOBAL 26'!L14</f>
        <v>366507.03</v>
      </c>
      <c r="M14" s="973">
        <f>+'[1]GLOBAL 26'!M14</f>
        <v>0.1620108263680439</v>
      </c>
      <c r="O14" s="981">
        <f>+'[1]GLOBAL 26'!O14</f>
        <v>208868.27999999997</v>
      </c>
      <c r="P14" s="973">
        <f>+'[1]GLOBAL 26'!P14</f>
        <v>0.15250840644985242</v>
      </c>
      <c r="R14" s="981">
        <f>+'[1]GLOBAL 26'!R14</f>
        <v>219656.51</v>
      </c>
      <c r="S14" s="973">
        <f>+'[1]GLOBAL 26'!S14</f>
        <v>0.15541679912198231</v>
      </c>
      <c r="U14" s="981">
        <f>+'[1]GLOBAL 26'!U14</f>
        <v>226412.43</v>
      </c>
      <c r="V14" s="973">
        <f>+'[1]GLOBAL 26'!V14</f>
        <v>0.16616377607351995</v>
      </c>
      <c r="X14" s="981">
        <f>+'[1]GLOBAL 26'!X14</f>
        <v>193266.59999999998</v>
      </c>
      <c r="Y14" s="973">
        <f>+'[1]GLOBAL 26'!Y14</f>
        <v>0.16334900856090812</v>
      </c>
      <c r="AA14" s="981">
        <f>+'[1]GLOBAL 26'!AA14</f>
        <v>2299687.7800000003</v>
      </c>
      <c r="AB14" s="973">
        <f>+'[1]GLOBAL 26'!AB14</f>
        <v>0.15991797764246202</v>
      </c>
    </row>
    <row r="15" spans="1:33">
      <c r="A15" s="980" t="s">
        <v>363</v>
      </c>
      <c r="C15" s="981">
        <f>+'[1]GLOBAL 26'!C15</f>
        <v>99024.91</v>
      </c>
      <c r="D15" s="973">
        <f>+'[1]GLOBAL 26'!D15</f>
        <v>3.3242874474439417E-2</v>
      </c>
      <c r="F15" s="981">
        <f>+'[1]GLOBAL 26'!F15</f>
        <v>59625.39</v>
      </c>
      <c r="G15" s="973">
        <f>+'[1]GLOBAL 26'!G15</f>
        <v>2.9078887670301128E-2</v>
      </c>
      <c r="I15" s="981">
        <f>+'[1]GLOBAL 26'!I15</f>
        <v>48571.170000000006</v>
      </c>
      <c r="J15" s="973">
        <f>+'[1]GLOBAL 26'!J15</f>
        <v>2.7593284600536099E-2</v>
      </c>
      <c r="L15" s="981">
        <f>+'[1]GLOBAL 26'!L15</f>
        <v>63895.469999999994</v>
      </c>
      <c r="M15" s="973">
        <f>+'[1]GLOBAL 26'!M15</f>
        <v>2.8244363814452771E-2</v>
      </c>
      <c r="O15" s="981">
        <f>+'[1]GLOBAL 26'!O15</f>
        <v>35936.86</v>
      </c>
      <c r="P15" s="973">
        <f>+'[1]GLOBAL 26'!P15</f>
        <v>2.6239854378134603E-2</v>
      </c>
      <c r="R15" s="981">
        <f>+'[1]GLOBAL 26'!R15</f>
        <v>39455.68</v>
      </c>
      <c r="S15" s="973">
        <f>+'[1]GLOBAL 26'!S15</f>
        <v>2.791665720620443E-2</v>
      </c>
      <c r="U15" s="981">
        <f>+'[1]GLOBAL 26'!U15</f>
        <v>39261.14</v>
      </c>
      <c r="V15" s="973">
        <f>+'[1]GLOBAL 26'!V15</f>
        <v>2.88136975313198E-2</v>
      </c>
      <c r="X15" s="981">
        <f>+'[1]GLOBAL 26'!X15</f>
        <v>32142.79</v>
      </c>
      <c r="Y15" s="973">
        <f>+'[1]GLOBAL 26'!Y15</f>
        <v>2.716709912049714E-2</v>
      </c>
      <c r="AA15" s="981">
        <f>+'[1]GLOBAL 26'!AA15</f>
        <v>417913.41</v>
      </c>
      <c r="AB15" s="973">
        <f>+'[1]GLOBAL 26'!AB15</f>
        <v>2.9061278638818116E-2</v>
      </c>
    </row>
    <row r="16" spans="1:33">
      <c r="A16" s="980" t="s">
        <v>364</v>
      </c>
      <c r="C16" s="981">
        <f>+'[1]GLOBAL 26'!C16</f>
        <v>117793.98</v>
      </c>
      <c r="D16" s="973">
        <f>+'[1]GLOBAL 26'!D16</f>
        <v>3.9543691491207886E-2</v>
      </c>
      <c r="F16" s="981">
        <f>+'[1]GLOBAL 26'!F16</f>
        <v>68809.960000000006</v>
      </c>
      <c r="G16" s="973">
        <f>+'[1]GLOBAL 26'!G16</f>
        <v>3.3558138528534807E-2</v>
      </c>
      <c r="I16" s="981">
        <f>+'[1]GLOBAL 26'!I16</f>
        <v>83295.770000000019</v>
      </c>
      <c r="J16" s="973">
        <f>+'[1]GLOBAL 26'!J16</f>
        <v>4.73203319506365E-2</v>
      </c>
      <c r="L16" s="981">
        <f>+'[1]GLOBAL 26'!L16</f>
        <v>81114.63</v>
      </c>
      <c r="M16" s="973">
        <f>+'[1]GLOBAL 26'!M16</f>
        <v>3.5855924064643795E-2</v>
      </c>
      <c r="O16" s="981">
        <f>+'[1]GLOBAL 26'!O16</f>
        <v>82108.45</v>
      </c>
      <c r="P16" s="973">
        <f>+'[1]GLOBAL 26'!P16</f>
        <v>5.9952755227205327E-2</v>
      </c>
      <c r="R16" s="981">
        <f>+'[1]GLOBAL 26'!R16</f>
        <v>67808.61</v>
      </c>
      <c r="S16" s="973">
        <f>+'[1]GLOBAL 26'!S16</f>
        <v>4.7977622512125138E-2</v>
      </c>
      <c r="U16" s="981">
        <f>+'[1]GLOBAL 26'!U16</f>
        <v>68131.429999999993</v>
      </c>
      <c r="V16" s="973">
        <f>+'[1]GLOBAL 26'!V16</f>
        <v>5.0001564304966377E-2</v>
      </c>
      <c r="X16" s="981">
        <f>+'[1]GLOBAL 26'!X16</f>
        <v>67066.16</v>
      </c>
      <c r="Y16" s="973">
        <f>+'[1]GLOBAL 26'!Y16</f>
        <v>5.6684345582667856E-2</v>
      </c>
      <c r="AA16" s="981">
        <f>+'[1]GLOBAL 26'!AA16</f>
        <v>636128.99000000011</v>
      </c>
      <c r="AB16" s="973">
        <f>+'[1]GLOBAL 26'!AB16</f>
        <v>4.4235770823003617E-2</v>
      </c>
    </row>
    <row r="17" spans="1:28">
      <c r="A17" s="980" t="s">
        <v>365</v>
      </c>
      <c r="C17" s="981">
        <f>+'[1]GLOBAL 26'!C17</f>
        <v>45573.49</v>
      </c>
      <c r="D17" s="973">
        <f>+'[1]GLOBAL 26'!D17</f>
        <v>1.5299118246430316E-2</v>
      </c>
      <c r="F17" s="981">
        <f>+'[1]GLOBAL 26'!F17</f>
        <v>24714.720000000001</v>
      </c>
      <c r="G17" s="973">
        <f>+'[1]GLOBAL 26'!G17</f>
        <v>1.2053196912975239E-2</v>
      </c>
      <c r="I17" s="981">
        <f>+'[1]GLOBAL 26'!I17</f>
        <v>29006.420000000002</v>
      </c>
      <c r="J17" s="973">
        <f>+'[1]GLOBAL 26'!J17</f>
        <v>1.6478548947918739E-2</v>
      </c>
      <c r="L17" s="981">
        <f>+'[1]GLOBAL 26'!L17</f>
        <v>30682.450000000004</v>
      </c>
      <c r="M17" s="973">
        <f>+'[1]GLOBAL 26'!M17</f>
        <v>1.3562875122739635E-2</v>
      </c>
      <c r="O17" s="981">
        <f>+'[1]GLOBAL 26'!O17</f>
        <v>27503.06</v>
      </c>
      <c r="P17" s="973">
        <f>+'[1]GLOBAL 26'!P17</f>
        <v>2.0081784812393144E-2</v>
      </c>
      <c r="R17" s="981">
        <f>+'[1]GLOBAL 26'!R17</f>
        <v>23661.31</v>
      </c>
      <c r="S17" s="973">
        <f>+'[1]GLOBAL 26'!S17</f>
        <v>1.6741434447961279E-2</v>
      </c>
      <c r="U17" s="981">
        <f>+'[1]GLOBAL 26'!U17</f>
        <v>26431.52</v>
      </c>
      <c r="V17" s="973">
        <f>+'[1]GLOBAL 26'!V17</f>
        <v>1.9398056769951915E-2</v>
      </c>
      <c r="X17" s="981">
        <f>+'[1]GLOBAL 26'!X17</f>
        <v>23197.359999999997</v>
      </c>
      <c r="Y17" s="973">
        <f>+'[1]GLOBAL 26'!Y17</f>
        <v>1.9606418063082123E-2</v>
      </c>
      <c r="AA17" s="981">
        <f>+'[1]GLOBAL 26'!AA17</f>
        <v>230770.32999999996</v>
      </c>
      <c r="AB17" s="973">
        <f>+'[1]GLOBAL 26'!AB17</f>
        <v>1.6047536884978175E-2</v>
      </c>
    </row>
    <row r="18" spans="1:28">
      <c r="A18" s="980" t="s">
        <v>366</v>
      </c>
      <c r="C18" s="981">
        <f>+'[1]GLOBAL 26'!C18</f>
        <v>-2763.84</v>
      </c>
      <c r="D18" s="973">
        <f>+'[1]GLOBAL 26'!D18</f>
        <v>-9.2782701026877616E-4</v>
      </c>
      <c r="F18" s="981">
        <f>+'[1]GLOBAL 26'!F18</f>
        <v>0</v>
      </c>
      <c r="G18" s="973">
        <f>+'[1]GLOBAL 26'!G18</f>
        <v>0</v>
      </c>
      <c r="I18" s="981">
        <f>+'[1]GLOBAL 26'!I18</f>
        <v>-833.32</v>
      </c>
      <c r="J18" s="973">
        <f>+'[1]GLOBAL 26'!J18</f>
        <v>-4.7340914215817205E-4</v>
      </c>
      <c r="L18" s="981">
        <f>+'[1]GLOBAL 26'!L18</f>
        <v>-597.21</v>
      </c>
      <c r="M18" s="973">
        <f>+'[1]GLOBAL 26'!M18</f>
        <v>-2.6399080425622257E-4</v>
      </c>
      <c r="O18" s="981">
        <f>+'[1]GLOBAL 26'!O18</f>
        <v>0</v>
      </c>
      <c r="P18" s="973">
        <f>+'[1]GLOBAL 26'!P18</f>
        <v>0</v>
      </c>
      <c r="R18" s="981">
        <f>+'[1]GLOBAL 26'!R18</f>
        <v>0</v>
      </c>
      <c r="S18" s="973">
        <f>+'[1]GLOBAL 26'!S18</f>
        <v>0</v>
      </c>
      <c r="U18" s="981">
        <f>+'[1]GLOBAL 26'!U18</f>
        <v>0</v>
      </c>
      <c r="V18" s="973">
        <f>+'[1]GLOBAL 26'!V18</f>
        <v>0</v>
      </c>
      <c r="X18" s="981">
        <f>+'[1]GLOBAL 26'!X18</f>
        <v>-3333.28</v>
      </c>
      <c r="Y18" s="973">
        <f>+'[1]GLOBAL 26'!Y18</f>
        <v>-2.8172896054253758E-3</v>
      </c>
      <c r="AA18" s="981">
        <f>+'[1]GLOBAL 26'!AA18</f>
        <v>-7527.6500000000015</v>
      </c>
      <c r="AB18" s="973">
        <f>+'[1]GLOBAL 26'!AB18</f>
        <v>-5.23465217700239E-4</v>
      </c>
    </row>
    <row r="19" spans="1:28">
      <c r="A19" s="980" t="s">
        <v>367</v>
      </c>
      <c r="C19" s="981">
        <f>+'[1]GLOBAL 26'!C19</f>
        <v>0</v>
      </c>
      <c r="D19" s="973">
        <f>+'[1]GLOBAL 26'!D19</f>
        <v>0</v>
      </c>
      <c r="F19" s="981">
        <f>+'[1]GLOBAL 26'!F19</f>
        <v>0</v>
      </c>
      <c r="G19" s="973">
        <f>+'[1]GLOBAL 26'!G19</f>
        <v>0</v>
      </c>
      <c r="I19" s="981">
        <f>+'[1]GLOBAL 26'!I19</f>
        <v>0</v>
      </c>
      <c r="J19" s="973">
        <f>+'[1]GLOBAL 26'!J19</f>
        <v>0</v>
      </c>
      <c r="L19" s="981">
        <f>+'[1]GLOBAL 26'!L19</f>
        <v>0</v>
      </c>
      <c r="M19" s="973">
        <f>+'[1]GLOBAL 26'!M19</f>
        <v>0</v>
      </c>
      <c r="O19" s="981">
        <f>+'[1]GLOBAL 26'!O19</f>
        <v>0</v>
      </c>
      <c r="P19" s="973">
        <f>+'[1]GLOBAL 26'!P19</f>
        <v>0</v>
      </c>
      <c r="R19" s="981">
        <f>+'[1]GLOBAL 26'!R19</f>
        <v>0</v>
      </c>
      <c r="S19" s="973">
        <f>+'[1]GLOBAL 26'!S19</f>
        <v>0</v>
      </c>
      <c r="U19" s="981">
        <f>+'[1]GLOBAL 26'!U19</f>
        <v>0</v>
      </c>
      <c r="V19" s="973">
        <f>+'[1]GLOBAL 26'!V19</f>
        <v>0</v>
      </c>
      <c r="X19" s="981">
        <f>+'[1]GLOBAL 26'!X19</f>
        <v>0</v>
      </c>
      <c r="Y19" s="973">
        <f>+'[1]GLOBAL 26'!Y19</f>
        <v>0</v>
      </c>
      <c r="AA19" s="981">
        <f>+'[1]GLOBAL 26'!AA19</f>
        <v>0</v>
      </c>
      <c r="AB19" s="973">
        <f>+'[1]GLOBAL 26'!AB19</f>
        <v>0</v>
      </c>
    </row>
    <row r="20" spans="1:28">
      <c r="A20" s="984" t="s">
        <v>368</v>
      </c>
      <c r="C20" s="985">
        <f>+'[1]GLOBAL 26'!C20</f>
        <v>727105.9</v>
      </c>
      <c r="D20" s="986">
        <f>+'[1]GLOBAL 26'!D20</f>
        <v>0.24409100864948322</v>
      </c>
      <c r="F20" s="985">
        <f>+'[1]GLOBAL 26'!F20</f>
        <v>484865.18999999994</v>
      </c>
      <c r="G20" s="986">
        <f>+'[1]GLOBAL 26'!G20</f>
        <v>0.23646537817612953</v>
      </c>
      <c r="I20" s="985">
        <f>+'[1]GLOBAL 26'!I20</f>
        <v>445824.48999999993</v>
      </c>
      <c r="J20" s="986">
        <f>+'[1]GLOBAL 26'!J20</f>
        <v>0.25327291960351905</v>
      </c>
      <c r="L20" s="985">
        <f>+'[1]GLOBAL 26'!L20</f>
        <v>541602.37</v>
      </c>
      <c r="M20" s="986">
        <f>+'[1]GLOBAL 26'!M20</f>
        <v>0.23940999856562387</v>
      </c>
      <c r="O20" s="985">
        <f>+'[1]GLOBAL 26'!O20</f>
        <v>354416.65</v>
      </c>
      <c r="P20" s="986">
        <f>+'[1]GLOBAL 26'!P20</f>
        <v>0.25878280086758554</v>
      </c>
      <c r="R20" s="985">
        <f>+'[1]GLOBAL 26'!R20</f>
        <v>350582.11</v>
      </c>
      <c r="S20" s="986">
        <f>+'[1]GLOBAL 26'!S20</f>
        <v>0.24805251328827316</v>
      </c>
      <c r="U20" s="985">
        <f>+'[1]GLOBAL 26'!U20</f>
        <v>360236.52</v>
      </c>
      <c r="V20" s="986">
        <f>+'[1]GLOBAL 26'!V20</f>
        <v>0.26437709467975806</v>
      </c>
      <c r="X20" s="985">
        <f>+'[1]GLOBAL 26'!X20</f>
        <v>312339.63</v>
      </c>
      <c r="Y20" s="986">
        <f>+'[1]GLOBAL 26'!Y20</f>
        <v>0.26398958172172987</v>
      </c>
      <c r="AA20" s="985">
        <f>+'[1]GLOBAL 26'!AA20</f>
        <v>3576972.8599999994</v>
      </c>
      <c r="AB20" s="986">
        <f>+'[1]GLOBAL 26'!AB20</f>
        <v>0.24873909877156161</v>
      </c>
    </row>
    <row r="21" spans="1:28">
      <c r="A21" s="971" t="s">
        <v>369</v>
      </c>
      <c r="C21" s="981">
        <f>+'[1]GLOBAL 26'!C21</f>
        <v>59237.030000000006</v>
      </c>
      <c r="D21" s="973">
        <f>+'[1]GLOBAL 26'!D21</f>
        <v>1.9885997902230883E-2</v>
      </c>
      <c r="F21" s="981">
        <f>+'[1]GLOBAL 26'!F21</f>
        <v>41397.630000000005</v>
      </c>
      <c r="G21" s="973">
        <f>+'[1]GLOBAL 26'!G21</f>
        <v>2.0189335995734171E-2</v>
      </c>
      <c r="I21" s="981">
        <f>+'[1]GLOBAL 26'!I21</f>
        <v>20939</v>
      </c>
      <c r="J21" s="973">
        <f>+'[1]GLOBAL 26'!J21</f>
        <v>1.1895447160334522E-2</v>
      </c>
      <c r="L21" s="981">
        <f>+'[1]GLOBAL 26'!L21</f>
        <v>44442.85</v>
      </c>
      <c r="M21" s="973">
        <f>+'[1]GLOBAL 26'!M21</f>
        <v>1.9645524547376402E-2</v>
      </c>
      <c r="O21" s="981">
        <f>+'[1]GLOBAL 26'!O21</f>
        <v>20889</v>
      </c>
      <c r="P21" s="973">
        <f>+'[1]GLOBAL 26'!P21</f>
        <v>1.5252426564392485E-2</v>
      </c>
      <c r="R21" s="981">
        <f>+'[1]GLOBAL 26'!R21</f>
        <v>20889</v>
      </c>
      <c r="S21" s="973">
        <f>+'[1]GLOBAL 26'!S21</f>
        <v>1.4779901205109233E-2</v>
      </c>
      <c r="U21" s="981">
        <f>+'[1]GLOBAL 26'!U21</f>
        <v>23942.199999999997</v>
      </c>
      <c r="V21" s="973">
        <f>+'[1]GLOBAL 26'!V21</f>
        <v>1.7571148189644132E-2</v>
      </c>
      <c r="X21" s="981">
        <f>+'[1]GLOBAL 26'!X21</f>
        <v>22832.95</v>
      </c>
      <c r="Y21" s="973">
        <f>+'[1]GLOBAL 26'!Y21</f>
        <v>1.9298418583556538E-2</v>
      </c>
      <c r="AA21" s="981">
        <f>+'[1]GLOBAL 26'!AA21</f>
        <v>254569.66000000003</v>
      </c>
      <c r="AB21" s="973">
        <f>+'[1]GLOBAL 26'!AB21</f>
        <v>1.7702518381138312E-2</v>
      </c>
    </row>
    <row r="22" spans="1:28">
      <c r="A22" s="980" t="s">
        <v>370</v>
      </c>
      <c r="C22" s="981">
        <f>+'[1]GLOBAL 26'!C22</f>
        <v>0</v>
      </c>
      <c r="D22" s="973">
        <f>+'[1]GLOBAL 26'!D22</f>
        <v>0</v>
      </c>
      <c r="F22" s="981">
        <f>+'[1]GLOBAL 26'!F22</f>
        <v>10693.41</v>
      </c>
      <c r="G22" s="973">
        <f>+'[1]GLOBAL 26'!G22</f>
        <v>5.2151016236954553E-3</v>
      </c>
      <c r="I22" s="981">
        <f>+'[1]GLOBAL 26'!I22</f>
        <v>0</v>
      </c>
      <c r="J22" s="973">
        <f>+'[1]GLOBAL 26'!J22</f>
        <v>0</v>
      </c>
      <c r="L22" s="981">
        <f>+'[1]GLOBAL 26'!L22</f>
        <v>0</v>
      </c>
      <c r="M22" s="973">
        <f>+'[1]GLOBAL 26'!M22</f>
        <v>0</v>
      </c>
      <c r="O22" s="981">
        <f>+'[1]GLOBAL 26'!O22</f>
        <v>0</v>
      </c>
      <c r="P22" s="973">
        <f>+'[1]GLOBAL 26'!P22</f>
        <v>0</v>
      </c>
      <c r="R22" s="981">
        <f>+'[1]GLOBAL 26'!R22</f>
        <v>0</v>
      </c>
      <c r="S22" s="973">
        <f>+'[1]GLOBAL 26'!S22</f>
        <v>0</v>
      </c>
      <c r="U22" s="981">
        <f>+'[1]GLOBAL 26'!U22</f>
        <v>0</v>
      </c>
      <c r="V22" s="973">
        <f>+'[1]GLOBAL 26'!V22</f>
        <v>0</v>
      </c>
      <c r="X22" s="981">
        <f>+'[1]GLOBAL 26'!X22</f>
        <v>0</v>
      </c>
      <c r="Y22" s="973">
        <f>+'[1]GLOBAL 26'!Y22</f>
        <v>0</v>
      </c>
      <c r="AA22" s="981">
        <f>+'[1]GLOBAL 26'!AA22</f>
        <v>10693.41</v>
      </c>
      <c r="AB22" s="973">
        <f>+'[1]GLOBAL 26'!AB22</f>
        <v>7.4360898734769968E-4</v>
      </c>
    </row>
    <row r="23" spans="1:28">
      <c r="A23" s="980" t="s">
        <v>371</v>
      </c>
      <c r="C23" s="981">
        <f>+'[1]GLOBAL 26'!C23</f>
        <v>21729.05</v>
      </c>
      <c r="D23" s="973">
        <f>+'[1]GLOBAL 26'!D23</f>
        <v>7.2944886453198262E-3</v>
      </c>
      <c r="F23" s="981">
        <f>+'[1]GLOBAL 26'!F23</f>
        <v>15928.840000000002</v>
      </c>
      <c r="G23" s="973">
        <f>+'[1]GLOBAL 26'!G23</f>
        <v>7.7683843925918051E-3</v>
      </c>
      <c r="I23" s="981">
        <f>+'[1]GLOBAL 26'!I23</f>
        <v>12006.440000000002</v>
      </c>
      <c r="J23" s="973">
        <f>+'[1]GLOBAL 26'!J23</f>
        <v>6.8208592866768631E-3</v>
      </c>
      <c r="L23" s="981">
        <f>+'[1]GLOBAL 26'!L23</f>
        <v>16212.289999999999</v>
      </c>
      <c r="M23" s="973">
        <f>+'[1]GLOBAL 26'!M23</f>
        <v>7.166483273781608E-3</v>
      </c>
      <c r="O23" s="981">
        <f>+'[1]GLOBAL 26'!O23</f>
        <v>9814.48</v>
      </c>
      <c r="P23" s="973">
        <f>+'[1]GLOBAL 26'!P23</f>
        <v>7.1661944309300953E-3</v>
      </c>
      <c r="R23" s="981">
        <f>+'[1]GLOBAL 26'!R23</f>
        <v>9903.4599999999991</v>
      </c>
      <c r="S23" s="973">
        <f>+'[1]GLOBAL 26'!S23</f>
        <v>7.0071406189262811E-3</v>
      </c>
      <c r="U23" s="981">
        <f>+'[1]GLOBAL 26'!U23</f>
        <v>10618.480000000001</v>
      </c>
      <c r="V23" s="973">
        <f>+'[1]GLOBAL 26'!V23</f>
        <v>7.7928881067225427E-3</v>
      </c>
      <c r="X23" s="981">
        <f>+'[1]GLOBAL 26'!X23</f>
        <v>9798.32</v>
      </c>
      <c r="Y23" s="973">
        <f>+'[1]GLOBAL 26'!Y23</f>
        <v>8.2815440306939613E-3</v>
      </c>
      <c r="AA23" s="981">
        <f>+'[1]GLOBAL 26'!AA23</f>
        <v>106011.35999999999</v>
      </c>
      <c r="AB23" s="973">
        <f>+'[1]GLOBAL 26'!AB23</f>
        <v>7.3719234609869472E-3</v>
      </c>
    </row>
    <row r="24" spans="1:28">
      <c r="A24" s="980" t="s">
        <v>372</v>
      </c>
      <c r="C24" s="981">
        <f>+'[1]GLOBAL 26'!C24</f>
        <v>9738.86</v>
      </c>
      <c r="D24" s="973">
        <f>+'[1]GLOBAL 26'!D24</f>
        <v>3.2693561701206196E-3</v>
      </c>
      <c r="F24" s="981">
        <f>+'[1]GLOBAL 26'!F24</f>
        <v>4425.25</v>
      </c>
      <c r="G24" s="973">
        <f>+'[1]GLOBAL 26'!G24</f>
        <v>2.1581636222924505E-3</v>
      </c>
      <c r="I24" s="981">
        <f>+'[1]GLOBAL 26'!I24</f>
        <v>6934.7999999999993</v>
      </c>
      <c r="J24" s="973">
        <f>+'[1]GLOBAL 26'!J24</f>
        <v>3.9396602974109476E-3</v>
      </c>
      <c r="L24" s="981">
        <f>+'[1]GLOBAL 26'!L24</f>
        <v>8522.01</v>
      </c>
      <c r="M24" s="973">
        <f>+'[1]GLOBAL 26'!M24</f>
        <v>3.7670706682399347E-3</v>
      </c>
      <c r="O24" s="981">
        <f>+'[1]GLOBAL 26'!O24</f>
        <v>7895.31</v>
      </c>
      <c r="P24" s="973">
        <f>+'[1]GLOBAL 26'!P24</f>
        <v>5.7648827602141623E-3</v>
      </c>
      <c r="R24" s="981">
        <f>+'[1]GLOBAL 26'!R24</f>
        <v>6028.6</v>
      </c>
      <c r="S24" s="973">
        <f>+'[1]GLOBAL 26'!S24</f>
        <v>4.2655039688410902E-3</v>
      </c>
      <c r="U24" s="981">
        <f>+'[1]GLOBAL 26'!U24</f>
        <v>2166</v>
      </c>
      <c r="V24" s="973">
        <f>+'[1]GLOBAL 26'!V24</f>
        <v>1.5896244697132759E-3</v>
      </c>
      <c r="X24" s="981">
        <f>+'[1]GLOBAL 26'!X24</f>
        <v>3624.1299999999997</v>
      </c>
      <c r="Y24" s="973">
        <f>+'[1]GLOBAL 26'!Y24</f>
        <v>3.0631161431713704E-3</v>
      </c>
      <c r="AA24" s="981">
        <f>+'[1]GLOBAL 26'!AA24</f>
        <v>49334.959999999992</v>
      </c>
      <c r="AB24" s="973">
        <f>+'[1]GLOBAL 26'!AB24</f>
        <v>3.4307035497974235E-3</v>
      </c>
    </row>
    <row r="25" spans="1:28">
      <c r="A25" s="980" t="s">
        <v>373</v>
      </c>
      <c r="C25" s="981">
        <f>+'[1]GLOBAL 26'!C25</f>
        <v>49392.14</v>
      </c>
      <c r="D25" s="973">
        <f>+'[1]GLOBAL 26'!D25</f>
        <v>1.6581047233912537E-2</v>
      </c>
      <c r="F25" s="981">
        <f>+'[1]GLOBAL 26'!F25</f>
        <v>35625.53</v>
      </c>
      <c r="G25" s="973">
        <f>+'[1]GLOBAL 26'!G25</f>
        <v>1.7374323003420906E-2</v>
      </c>
      <c r="I25" s="981">
        <f>+'[1]GLOBAL 26'!I25</f>
        <v>29420.100000000002</v>
      </c>
      <c r="J25" s="973">
        <f>+'[1]GLOBAL 26'!J25</f>
        <v>1.6713560580818458E-2</v>
      </c>
      <c r="L25" s="981">
        <f>+'[1]GLOBAL 26'!L25</f>
        <v>38934.720000000001</v>
      </c>
      <c r="M25" s="973">
        <f>+'[1]GLOBAL 26'!M25</f>
        <v>1.7210709878084485E-2</v>
      </c>
      <c r="O25" s="981">
        <f>+'[1]GLOBAL 26'!O25</f>
        <v>30803.61</v>
      </c>
      <c r="P25" s="973">
        <f>+'[1]GLOBAL 26'!P25</f>
        <v>2.2491732464128777E-2</v>
      </c>
      <c r="R25" s="981">
        <f>+'[1]GLOBAL 26'!R25</f>
        <v>25552.05</v>
      </c>
      <c r="S25" s="973">
        <f>+'[1]GLOBAL 26'!S25</f>
        <v>1.807921751103506E-2</v>
      </c>
      <c r="U25" s="981">
        <f>+'[1]GLOBAL 26'!U25</f>
        <v>28059.16</v>
      </c>
      <c r="V25" s="973">
        <f>+'[1]GLOBAL 26'!V25</f>
        <v>2.0592579563988904E-2</v>
      </c>
      <c r="X25" s="981">
        <f>+'[1]GLOBAL 26'!X25</f>
        <v>33319.760000000002</v>
      </c>
      <c r="Y25" s="973">
        <f>+'[1]GLOBAL 26'!Y25</f>
        <v>2.8161874640974721E-2</v>
      </c>
      <c r="AA25" s="981">
        <f>+'[1]GLOBAL 26'!AA25</f>
        <v>271107.06999999995</v>
      </c>
      <c r="AB25" s="973">
        <f>+'[1]GLOBAL 26'!AB25</f>
        <v>1.8852513256809745E-2</v>
      </c>
    </row>
    <row r="26" spans="1:28">
      <c r="A26" s="984" t="s">
        <v>374</v>
      </c>
      <c r="C26" s="985">
        <f>+'[1]GLOBAL 26'!C26</f>
        <v>140097.08000000002</v>
      </c>
      <c r="D26" s="986">
        <f>+'[1]GLOBAL 26'!D26</f>
        <v>4.7030889951583867E-2</v>
      </c>
      <c r="F26" s="985">
        <f>+'[1]GLOBAL 26'!F26</f>
        <v>108070.66</v>
      </c>
      <c r="G26" s="986">
        <f>+'[1]GLOBAL 26'!G26</f>
        <v>5.2705308637734788E-2</v>
      </c>
      <c r="I26" s="985">
        <f>+'[1]GLOBAL 26'!I26</f>
        <v>69300.34</v>
      </c>
      <c r="J26" s="986">
        <f>+'[1]GLOBAL 26'!J26</f>
        <v>3.9369527325240787E-2</v>
      </c>
      <c r="L26" s="985">
        <f>+'[1]GLOBAL 26'!L26</f>
        <v>108111.87000000001</v>
      </c>
      <c r="M26" s="986">
        <f>+'[1]GLOBAL 26'!M26</f>
        <v>4.7789788367482433E-2</v>
      </c>
      <c r="O26" s="985">
        <f>+'[1]GLOBAL 26'!O26</f>
        <v>69402.399999999994</v>
      </c>
      <c r="P26" s="986">
        <f>+'[1]GLOBAL 26'!P26</f>
        <v>5.0675236219665513E-2</v>
      </c>
      <c r="R26" s="985">
        <f>+'[1]GLOBAL 26'!R26</f>
        <v>62373.11</v>
      </c>
      <c r="S26" s="986">
        <f>+'[1]GLOBAL 26'!S26</f>
        <v>4.4131763303911664E-2</v>
      </c>
      <c r="U26" s="985">
        <f>+'[1]GLOBAL 26'!U26</f>
        <v>64785.84</v>
      </c>
      <c r="V26" s="986">
        <f>+'[1]GLOBAL 26'!V26</f>
        <v>4.7546240330068851E-2</v>
      </c>
      <c r="X26" s="985">
        <f>+'[1]GLOBAL 26'!X26</f>
        <v>69575.16</v>
      </c>
      <c r="Y26" s="986">
        <f>+'[1]GLOBAL 26'!Y26</f>
        <v>5.8804953398396587E-2</v>
      </c>
      <c r="AA26" s="985">
        <f>+'[1]GLOBAL 26'!AA26</f>
        <v>691716.46</v>
      </c>
      <c r="AB26" s="986">
        <f>+'[1]GLOBAL 26'!AB26</f>
        <v>4.8101267636080129E-2</v>
      </c>
    </row>
    <row r="27" spans="1:28">
      <c r="A27" s="980" t="s">
        <v>375</v>
      </c>
      <c r="C27" s="981">
        <f>+'[1]GLOBAL 26'!C27</f>
        <v>40149.339999999997</v>
      </c>
      <c r="D27" s="973">
        <f>+'[1]GLOBAL 26'!D27</f>
        <v>1.3478219468733565E-2</v>
      </c>
      <c r="F27" s="981">
        <f>+'[1]GLOBAL 26'!F27</f>
        <v>27905.5</v>
      </c>
      <c r="G27" s="973">
        <f>+'[1]GLOBAL 26'!G27</f>
        <v>1.3609318109006719E-2</v>
      </c>
      <c r="I27" s="981">
        <f>+'[1]GLOBAL 26'!I27</f>
        <v>3092.76</v>
      </c>
      <c r="J27" s="973">
        <f>+'[1]GLOBAL 26'!J27</f>
        <v>1.7569971421556043E-3</v>
      </c>
      <c r="L27" s="981">
        <f>+'[1]GLOBAL 26'!L27</f>
        <v>49316.430000000008</v>
      </c>
      <c r="M27" s="973">
        <f>+'[1]GLOBAL 26'!M27</f>
        <v>2.179984263281878E-2</v>
      </c>
      <c r="O27" s="981">
        <f>+'[1]GLOBAL 26'!O27</f>
        <v>97.62</v>
      </c>
      <c r="P27" s="973">
        <f>+'[1]GLOBAL 26'!P27</f>
        <v>7.1278753469098302E-5</v>
      </c>
      <c r="R27" s="981">
        <f>+'[1]GLOBAL 26'!R27</f>
        <v>0</v>
      </c>
      <c r="S27" s="973">
        <f>+'[1]GLOBAL 26'!S27</f>
        <v>0</v>
      </c>
      <c r="U27" s="981">
        <f>+'[1]GLOBAL 26'!U27</f>
        <v>0</v>
      </c>
      <c r="V27" s="973">
        <f>+'[1]GLOBAL 26'!V27</f>
        <v>0</v>
      </c>
      <c r="X27" s="981">
        <f>+'[1]GLOBAL 26'!X27</f>
        <v>13063.779999999999</v>
      </c>
      <c r="Y27" s="973">
        <f>+'[1]GLOBAL 26'!Y27</f>
        <v>1.1041512144663488E-2</v>
      </c>
      <c r="AA27" s="981">
        <f>+'[1]GLOBAL 26'!AA27</f>
        <v>133625.43</v>
      </c>
      <c r="AB27" s="973">
        <f>+'[1]GLOBAL 26'!AB27</f>
        <v>9.2921781439410742E-3</v>
      </c>
    </row>
    <row r="28" spans="1:28">
      <c r="A28" s="980" t="s">
        <v>376</v>
      </c>
      <c r="C28" s="981">
        <f>+'[1]GLOBAL 26'!C28</f>
        <v>116986.64000000001</v>
      </c>
      <c r="D28" s="973">
        <f>+'[1]GLOBAL 26'!D28</f>
        <v>3.9272665723265321E-2</v>
      </c>
      <c r="F28" s="981">
        <f>+'[1]GLOBAL 26'!F28</f>
        <v>80327.8</v>
      </c>
      <c r="G28" s="973">
        <f>+'[1]GLOBAL 26'!G28</f>
        <v>3.9175308924644603E-2</v>
      </c>
      <c r="I28" s="981">
        <f>+'[1]GLOBAL 26'!I28</f>
        <v>70425.399999999994</v>
      </c>
      <c r="J28" s="973">
        <f>+'[1]GLOBAL 26'!J28</f>
        <v>4.0008673978959013E-2</v>
      </c>
      <c r="L28" s="981">
        <f>+'[1]GLOBAL 26'!L28</f>
        <v>88015.260000000009</v>
      </c>
      <c r="M28" s="973">
        <f>+'[1]GLOBAL 26'!M28</f>
        <v>3.8906279657441332E-2</v>
      </c>
      <c r="O28" s="981">
        <f>+'[1]GLOBAL 26'!O28</f>
        <v>54760.570000000007</v>
      </c>
      <c r="P28" s="973">
        <f>+'[1]GLOBAL 26'!P28</f>
        <v>3.9984277492904126E-2</v>
      </c>
      <c r="R28" s="981">
        <f>+'[1]GLOBAL 26'!R28</f>
        <v>56501.289999999994</v>
      </c>
      <c r="S28" s="973">
        <f>+'[1]GLOBAL 26'!S28</f>
        <v>3.997718819288746E-2</v>
      </c>
      <c r="U28" s="981">
        <f>+'[1]GLOBAL 26'!U28</f>
        <v>54455.64</v>
      </c>
      <c r="V28" s="973">
        <f>+'[1]GLOBAL 26'!V28</f>
        <v>3.9964920525344901E-2</v>
      </c>
      <c r="X28" s="981">
        <f>+'[1]GLOBAL 26'!X28</f>
        <v>46774.85</v>
      </c>
      <c r="Y28" s="973">
        <f>+'[1]GLOBAL 26'!Y28</f>
        <v>3.9534122156053834E-2</v>
      </c>
      <c r="AA28" s="981">
        <f>+'[1]GLOBAL 26'!AA28</f>
        <v>568247.44999999995</v>
      </c>
      <c r="AB28" s="973">
        <f>+'[1]GLOBAL 26'!AB28</f>
        <v>3.9515356734419853E-2</v>
      </c>
    </row>
    <row r="29" spans="1:28">
      <c r="A29" s="980" t="s">
        <v>377</v>
      </c>
      <c r="B29" s="973"/>
      <c r="C29" s="981">
        <f>+'[1]GLOBAL 26'!C29</f>
        <v>23820.03</v>
      </c>
      <c r="D29" s="973">
        <f>+'[1]GLOBAL 26'!D29</f>
        <v>7.9964351118055142E-3</v>
      </c>
      <c r="F29" s="981">
        <f>+'[1]GLOBAL 26'!F29</f>
        <v>19227.43</v>
      </c>
      <c r="G29" s="973">
        <f>+'[1]GLOBAL 26'!G29</f>
        <v>9.3770837751933865E-3</v>
      </c>
      <c r="I29" s="981">
        <f>+'[1]GLOBAL 26'!I29</f>
        <v>17278.919999999998</v>
      </c>
      <c r="J29" s="973">
        <f>+'[1]GLOBAL 26'!J29</f>
        <v>9.8161554920314885E-3</v>
      </c>
      <c r="L29" s="981">
        <f>+'[1]GLOBAL 26'!L29</f>
        <v>23649.57</v>
      </c>
      <c r="M29" s="973">
        <f>+'[1]GLOBAL 26'!M29</f>
        <v>1.045405971871508E-2</v>
      </c>
      <c r="O29" s="981">
        <f>+'[1]GLOBAL 26'!O29</f>
        <v>15524.75</v>
      </c>
      <c r="P29" s="973">
        <f>+'[1]GLOBAL 26'!P29</f>
        <v>1.1335636426135873E-2</v>
      </c>
      <c r="R29" s="981">
        <f>+'[1]GLOBAL 26'!R29</f>
        <v>14128.81</v>
      </c>
      <c r="S29" s="973">
        <f>+'[1]GLOBAL 26'!S29</f>
        <v>9.9967646103575752E-3</v>
      </c>
      <c r="U29" s="981">
        <f>+'[1]GLOBAL 26'!U29</f>
        <v>11890.259999999998</v>
      </c>
      <c r="V29" s="973">
        <f>+'[1]GLOBAL 26'!V29</f>
        <v>8.7262457281869679E-3</v>
      </c>
      <c r="X29" s="981">
        <f>+'[1]GLOBAL 26'!X29</f>
        <v>11128.32</v>
      </c>
      <c r="Y29" s="973">
        <f>+'[1]GLOBAL 26'!Y29</f>
        <v>9.4056605691233003E-3</v>
      </c>
      <c r="AA29" s="981">
        <f>+'[1]GLOBAL 26'!AA29</f>
        <v>136648.09</v>
      </c>
      <c r="AB29" s="973">
        <f>+'[1]GLOBAL 26'!AB29</f>
        <v>9.5023708833662356E-3</v>
      </c>
    </row>
    <row r="30" spans="1:28">
      <c r="A30" s="980" t="s">
        <v>378</v>
      </c>
      <c r="B30" s="987"/>
      <c r="C30" s="981">
        <f>+'[1]GLOBAL 26'!C30</f>
        <v>61780.779999999992</v>
      </c>
      <c r="D30" s="973">
        <f>+'[1]GLOBAL 26'!D30</f>
        <v>2.0739940227897775E-2</v>
      </c>
      <c r="F30" s="981">
        <f>+'[1]GLOBAL 26'!F30</f>
        <v>46945.740000000005</v>
      </c>
      <c r="G30" s="973">
        <f>+'[1]GLOBAL 26'!G30</f>
        <v>2.2895110624168036E-2</v>
      </c>
      <c r="I30" s="981">
        <f>+'[1]GLOBAL 26'!I30</f>
        <v>46518.9</v>
      </c>
      <c r="J30" s="973">
        <f>+'[1]GLOBAL 26'!J30</f>
        <v>2.6427389890008385E-2</v>
      </c>
      <c r="L30" s="981">
        <f>+'[1]GLOBAL 26'!L30</f>
        <v>51069.33</v>
      </c>
      <c r="M30" s="973">
        <f>+'[1]GLOBAL 26'!M30</f>
        <v>2.2574694830171022E-2</v>
      </c>
      <c r="O30" s="981">
        <f>+'[1]GLOBAL 26'!O30</f>
        <v>44468.75</v>
      </c>
      <c r="P30" s="973">
        <f>+'[1]GLOBAL 26'!P30</f>
        <v>3.2469545875117446E-2</v>
      </c>
      <c r="R30" s="981">
        <f>+'[1]GLOBAL 26'!R30</f>
        <v>39920.32</v>
      </c>
      <c r="S30" s="973">
        <f>+'[1]GLOBAL 26'!S30</f>
        <v>2.8245410774874156E-2</v>
      </c>
      <c r="U30" s="981">
        <f>+'[1]GLOBAL 26'!U30</f>
        <v>34090.22</v>
      </c>
      <c r="V30" s="973">
        <f>+'[1]GLOBAL 26'!V30</f>
        <v>2.5018766338831447E-2</v>
      </c>
      <c r="X30" s="981">
        <f>+'[1]GLOBAL 26'!X30</f>
        <v>36156.93</v>
      </c>
      <c r="Y30" s="973">
        <f>+'[1]GLOBAL 26'!Y30</f>
        <v>3.0559851873557854E-2</v>
      </c>
      <c r="AA30" s="981">
        <f>+'[1]GLOBAL 26'!AA30</f>
        <v>360950.97000000003</v>
      </c>
      <c r="AB30" s="973">
        <f>+'[1]GLOBAL 26'!AB30</f>
        <v>2.5100167793423236E-2</v>
      </c>
    </row>
    <row r="31" spans="1:28">
      <c r="A31" s="980" t="s">
        <v>379</v>
      </c>
      <c r="B31" s="987"/>
      <c r="C31" s="981">
        <f>+'[1]GLOBAL 26'!C31</f>
        <v>28172.46</v>
      </c>
      <c r="D31" s="973">
        <f>+'[1]GLOBAL 26'!D31</f>
        <v>9.4575551890546065E-3</v>
      </c>
      <c r="F31" s="981">
        <f>+'[1]GLOBAL 26'!F31</f>
        <v>18949.3</v>
      </c>
      <c r="G31" s="973">
        <f>+'[1]GLOBAL 26'!G31</f>
        <v>9.2414417101646992E-3</v>
      </c>
      <c r="I31" s="981">
        <f>+'[1]GLOBAL 26'!I31</f>
        <v>16251.8</v>
      </c>
      <c r="J31" s="973">
        <f>+'[1]GLOBAL 26'!J31</f>
        <v>9.2326485582083472E-3</v>
      </c>
      <c r="L31" s="981">
        <f>+'[1]GLOBAL 26'!L31</f>
        <v>23303.59</v>
      </c>
      <c r="M31" s="973">
        <f>+'[1]GLOBAL 26'!M31</f>
        <v>1.0301122663982963E-2</v>
      </c>
      <c r="O31" s="981">
        <f>+'[1]GLOBAL 26'!O31</f>
        <v>13563.36</v>
      </c>
      <c r="P31" s="973">
        <f>+'[1]GLOBAL 26'!P31</f>
        <v>9.9034971691521114E-3</v>
      </c>
      <c r="R31" s="981">
        <f>+'[1]GLOBAL 26'!R31</f>
        <v>11834.74</v>
      </c>
      <c r="S31" s="973">
        <f>+'[1]GLOBAL 26'!S31</f>
        <v>8.3736075440736489E-3</v>
      </c>
      <c r="U31" s="981">
        <f>+'[1]GLOBAL 26'!U31</f>
        <v>14963.289999999999</v>
      </c>
      <c r="V31" s="973">
        <f>+'[1]GLOBAL 26'!V31</f>
        <v>1.0981538287819004E-2</v>
      </c>
      <c r="X31" s="981">
        <f>+'[1]GLOBAL 26'!X31</f>
        <v>10000.19</v>
      </c>
      <c r="Y31" s="973">
        <f>+'[1]GLOBAL 26'!Y31</f>
        <v>8.4521646364178193E-3</v>
      </c>
      <c r="AA31" s="981">
        <f>+'[1]GLOBAL 26'!AA31</f>
        <v>137038.72999999998</v>
      </c>
      <c r="AB31" s="973">
        <f>+'[1]GLOBAL 26'!AB31</f>
        <v>9.5295355964762248E-3</v>
      </c>
    </row>
    <row r="32" spans="1:28">
      <c r="A32" s="980" t="s">
        <v>380</v>
      </c>
      <c r="C32" s="981">
        <f>+'[1]GLOBAL 26'!C32</f>
        <v>4506.09</v>
      </c>
      <c r="D32" s="973">
        <f>+'[1]GLOBAL 26'!D32</f>
        <v>1.5127040685068707E-3</v>
      </c>
      <c r="F32" s="981">
        <f>+'[1]GLOBAL 26'!F32</f>
        <v>5964.65</v>
      </c>
      <c r="G32" s="973">
        <f>+'[1]GLOBAL 26'!G32</f>
        <v>2.908918287036137E-3</v>
      </c>
      <c r="I32" s="981">
        <f>+'[1]GLOBAL 26'!I32</f>
        <v>3521.25</v>
      </c>
      <c r="J32" s="973">
        <f>+'[1]GLOBAL 26'!J32</f>
        <v>2.0004223369467469E-3</v>
      </c>
      <c r="L32" s="981">
        <f>+'[1]GLOBAL 26'!L32</f>
        <v>1007.55</v>
      </c>
      <c r="M32" s="973">
        <f>+'[1]GLOBAL 26'!M32</f>
        <v>4.4537756371855301E-4</v>
      </c>
      <c r="O32" s="981">
        <f>+'[1]GLOBAL 26'!O32</f>
        <v>3790.09</v>
      </c>
      <c r="P32" s="973">
        <f>+'[1]GLOBAL 26'!P32</f>
        <v>2.7673928573621674E-3</v>
      </c>
      <c r="R32" s="981">
        <f>+'[1]GLOBAL 26'!R32</f>
        <v>3792.3200000000006</v>
      </c>
      <c r="S32" s="973">
        <f>+'[1]GLOBAL 26'!S32</f>
        <v>2.6832359106783409E-3</v>
      </c>
      <c r="U32" s="981">
        <f>+'[1]GLOBAL 26'!U32</f>
        <v>4167.17</v>
      </c>
      <c r="V32" s="973">
        <f>+'[1]GLOBAL 26'!V32</f>
        <v>3.0582804254178542E-3</v>
      </c>
      <c r="X32" s="981">
        <f>+'[1]GLOBAL 26'!X32</f>
        <v>4967.7299999999996</v>
      </c>
      <c r="Y32" s="973">
        <f>+'[1]GLOBAL 26'!Y32</f>
        <v>4.1987274071064538E-3</v>
      </c>
      <c r="AA32" s="981">
        <f>+'[1]GLOBAL 26'!AA32</f>
        <v>31716.849999999995</v>
      </c>
      <c r="AB32" s="973">
        <f>+'[1]GLOBAL 26'!AB32</f>
        <v>2.2055578819440091E-3</v>
      </c>
    </row>
    <row r="33" spans="1:29">
      <c r="A33" s="980" t="s">
        <v>381</v>
      </c>
      <c r="B33" s="987"/>
      <c r="C33" s="981">
        <f>+'[1]GLOBAL 26'!C33</f>
        <v>2767.54</v>
      </c>
      <c r="D33" s="973">
        <f>+'[1]GLOBAL 26'!D33</f>
        <v>9.2906910819701887E-4</v>
      </c>
      <c r="F33" s="981">
        <f>+'[1]GLOBAL 26'!F33</f>
        <v>935.8499999999998</v>
      </c>
      <c r="G33" s="973">
        <f>+'[1]GLOBAL 26'!G33</f>
        <v>4.564075308564238E-4</v>
      </c>
      <c r="I33" s="981">
        <f>+'[1]GLOBAL 26'!I33</f>
        <v>1140.28</v>
      </c>
      <c r="J33" s="973">
        <f>+'[1]GLOBAL 26'!J33</f>
        <v>6.4779313663433061E-4</v>
      </c>
      <c r="L33" s="981">
        <f>+'[1]GLOBAL 26'!L33</f>
        <v>2279.44</v>
      </c>
      <c r="M33" s="973">
        <f>+'[1]GLOBAL 26'!M33</f>
        <v>1.0076040234654542E-3</v>
      </c>
      <c r="O33" s="981">
        <f>+'[1]GLOBAL 26'!O33</f>
        <v>994.69</v>
      </c>
      <c r="P33" s="973">
        <f>+'[1]GLOBAL 26'!P33</f>
        <v>7.2628829428577539E-4</v>
      </c>
      <c r="R33" s="981">
        <f>+'[1]GLOBAL 26'!R33</f>
        <v>1136.1099999999999</v>
      </c>
      <c r="S33" s="973">
        <f>+'[1]GLOBAL 26'!S33</f>
        <v>8.0384860731182205E-4</v>
      </c>
      <c r="U33" s="981">
        <f>+'[1]GLOBAL 26'!U33</f>
        <v>1255.58</v>
      </c>
      <c r="V33" s="973">
        <f>+'[1]GLOBAL 26'!V33</f>
        <v>9.2146846338069942E-4</v>
      </c>
      <c r="X33" s="981">
        <f>+'[1]GLOBAL 26'!X33</f>
        <v>1158.5</v>
      </c>
      <c r="Y33" s="973">
        <f>+'[1]GLOBAL 26'!Y33</f>
        <v>9.7916466900029335E-4</v>
      </c>
      <c r="AA33" s="981">
        <f>+'[1]GLOBAL 26'!AA33</f>
        <v>11667.990000000002</v>
      </c>
      <c r="AB33" s="973">
        <f>+'[1]GLOBAL 26'!AB33</f>
        <v>8.1138030135224296E-4</v>
      </c>
    </row>
    <row r="34" spans="1:29" s="977" customFormat="1">
      <c r="A34" s="976" t="s">
        <v>382</v>
      </c>
      <c r="B34" s="988"/>
      <c r="C34" s="978">
        <f>+'[1]GLOBAL 26'!C34</f>
        <v>1127774.7799999998</v>
      </c>
      <c r="D34" s="979">
        <f>+'[1]GLOBAL 26'!D34</f>
        <v>0.37859641020606349</v>
      </c>
      <c r="F34" s="978">
        <f>+'[1]GLOBAL 26'!F34</f>
        <v>778770.06</v>
      </c>
      <c r="G34" s="979">
        <f>+'[1]GLOBAL 26'!G34</f>
        <v>0.37980073750014332</v>
      </c>
      <c r="I34" s="978">
        <f>+'[1]GLOBAL 26'!I34</f>
        <v>683763.56</v>
      </c>
      <c r="J34" s="979">
        <f>+'[1]GLOBAL 26'!J34</f>
        <v>0.38844611959225483</v>
      </c>
      <c r="L34" s="978">
        <f>+'[1]GLOBAL 26'!L34</f>
        <v>845634.45</v>
      </c>
      <c r="M34" s="979">
        <f>+'[1]GLOBAL 26'!M34</f>
        <v>0.37380438800801796</v>
      </c>
      <c r="O34" s="978">
        <f>+'[1]GLOBAL 26'!O34</f>
        <v>486012.42000000004</v>
      </c>
      <c r="P34" s="979">
        <f>+'[1]GLOBAL 26'!P34</f>
        <v>0.35486948850747657</v>
      </c>
      <c r="R34" s="978">
        <f>+'[1]GLOBAL 26'!R34</f>
        <v>538038.44999999995</v>
      </c>
      <c r="S34" s="979">
        <f>+'[1]GLOBAL 26'!S34</f>
        <v>0.38068625283881963</v>
      </c>
      <c r="U34" s="978">
        <f>+'[1]GLOBAL 26'!U34</f>
        <v>491706.85</v>
      </c>
      <c r="V34" s="979">
        <f>+'[1]GLOBAL 26'!V34</f>
        <v>0.36086299200629512</v>
      </c>
      <c r="X34" s="978">
        <f>+'[1]GLOBAL 26'!X34</f>
        <v>395315.71999999991</v>
      </c>
      <c r="Y34" s="979">
        <f>+'[1]GLOBAL 26'!Y34</f>
        <v>0.33412100658127969</v>
      </c>
      <c r="AA34" s="978">
        <f>+'[1]GLOBAL 26'!AA34</f>
        <v>5347016.2899999991</v>
      </c>
      <c r="AB34" s="979">
        <f>+'[1]GLOBAL 26'!AB34</f>
        <v>0.37182614046768558</v>
      </c>
    </row>
    <row r="35" spans="1:29">
      <c r="A35" s="971" t="s">
        <v>383</v>
      </c>
      <c r="B35" s="987"/>
      <c r="C35" s="981">
        <f>+'[1]GLOBAL 26'!C35</f>
        <v>476757.88</v>
      </c>
      <c r="D35" s="973">
        <f>+'[1]GLOBAL 26'!D35</f>
        <v>0.16004864189767856</v>
      </c>
      <c r="F35" s="981">
        <f>+'[1]GLOBAL 26'!F35</f>
        <v>369900.69999999995</v>
      </c>
      <c r="G35" s="973">
        <f>+'[1]GLOBAL 26'!G35</f>
        <v>0.18039799663307451</v>
      </c>
      <c r="I35" s="981">
        <f>+'[1]GLOBAL 26'!I35</f>
        <v>264273.68999999994</v>
      </c>
      <c r="J35" s="973">
        <f>+'[1]GLOBAL 26'!J35</f>
        <v>0.15013389919583672</v>
      </c>
      <c r="L35" s="981">
        <f>+'[1]GLOBAL 26'!L35</f>
        <v>441393.78000000009</v>
      </c>
      <c r="M35" s="973">
        <f>+'[1]GLOBAL 26'!M35</f>
        <v>0.19511377735787108</v>
      </c>
      <c r="O35" s="981">
        <f>+'[1]GLOBAL 26'!O35</f>
        <v>226199.74</v>
      </c>
      <c r="P35" s="973">
        <f>+'[1]GLOBAL 26'!P35</f>
        <v>0.1651632401376166</v>
      </c>
      <c r="R35" s="981">
        <f>+'[1]GLOBAL 26'!R35</f>
        <v>212151.65000000002</v>
      </c>
      <c r="S35" s="973">
        <f>+'[1]GLOBAL 26'!S35</f>
        <v>0.15010677521666488</v>
      </c>
      <c r="U35" s="981">
        <f>+'[1]GLOBAL 26'!U35</f>
        <v>190875.25</v>
      </c>
      <c r="V35" s="973">
        <f>+'[1]GLOBAL 26'!V35</f>
        <v>0.14008308774821743</v>
      </c>
      <c r="X35" s="981">
        <f>+'[1]GLOBAL 26'!X35</f>
        <v>183542.58000000002</v>
      </c>
      <c r="Y35" s="973">
        <f>+'[1]GLOBAL 26'!Y35</f>
        <v>0.15513026292029336</v>
      </c>
      <c r="AA35" s="981">
        <f>+'[1]GLOBAL 26'!AA35</f>
        <v>2365095.27</v>
      </c>
      <c r="AB35" s="973">
        <f>+'[1]GLOBAL 26'!AB35</f>
        <v>0.16446634877981248</v>
      </c>
    </row>
    <row r="36" spans="1:29">
      <c r="A36" s="980" t="s">
        <v>384</v>
      </c>
      <c r="B36" s="987"/>
      <c r="C36" s="981">
        <f>+'[1]GLOBAL 26'!C36</f>
        <v>0</v>
      </c>
      <c r="D36" s="973">
        <f>+'[1]GLOBAL 26'!D36</f>
        <v>0</v>
      </c>
      <c r="F36" s="981">
        <f>+'[1]GLOBAL 26'!F36</f>
        <v>0</v>
      </c>
      <c r="G36" s="973">
        <f>+'[1]GLOBAL 26'!G36</f>
        <v>0</v>
      </c>
      <c r="I36" s="981">
        <f>+'[1]GLOBAL 26'!I36</f>
        <v>0</v>
      </c>
      <c r="J36" s="973">
        <f>+'[1]GLOBAL 26'!J36</f>
        <v>0</v>
      </c>
      <c r="L36" s="981">
        <f>+'[1]GLOBAL 26'!L36</f>
        <v>16025.86</v>
      </c>
      <c r="M36" s="973">
        <f>+'[1]GLOBAL 26'!M36</f>
        <v>7.08407372665834E-3</v>
      </c>
      <c r="O36" s="981">
        <f>+'[1]GLOBAL 26'!O36</f>
        <v>5904.3200000000006</v>
      </c>
      <c r="P36" s="973">
        <f>+'[1]GLOBAL 26'!P36</f>
        <v>4.3111306052311671E-3</v>
      </c>
      <c r="R36" s="981">
        <f>+'[1]GLOBAL 26'!R36</f>
        <v>0</v>
      </c>
      <c r="S36" s="973">
        <f>+'[1]GLOBAL 26'!S36</f>
        <v>0</v>
      </c>
      <c r="U36" s="981">
        <f>+'[1]GLOBAL 26'!U36</f>
        <v>3046.6000000000004</v>
      </c>
      <c r="V36" s="973">
        <f>+'[1]GLOBAL 26'!V36</f>
        <v>2.2358956183880273E-3</v>
      </c>
      <c r="X36" s="981">
        <f>+'[1]GLOBAL 26'!X36</f>
        <v>0</v>
      </c>
      <c r="Y36" s="973">
        <f>+'[1]GLOBAL 26'!Y36</f>
        <v>0</v>
      </c>
      <c r="AA36" s="981">
        <f>+'[1]GLOBAL 26'!AA36</f>
        <v>24976.78</v>
      </c>
      <c r="AB36" s="973">
        <f>+'[1]GLOBAL 26'!AB36</f>
        <v>1.736860186133916E-3</v>
      </c>
    </row>
    <row r="37" spans="1:29">
      <c r="A37" s="980" t="s">
        <v>385</v>
      </c>
      <c r="B37" s="987"/>
      <c r="C37" s="981">
        <f>+'[1]GLOBAL 26'!C37</f>
        <v>-25642.750000000004</v>
      </c>
      <c r="D37" s="973">
        <f>+'[1]GLOBAL 26'!D37</f>
        <v>-8.6083261214721773E-3</v>
      </c>
      <c r="F37" s="981">
        <f>+'[1]GLOBAL 26'!F37</f>
        <v>-7363.7599999999993</v>
      </c>
      <c r="G37" s="973">
        <f>+'[1]GLOBAL 26'!G37</f>
        <v>-3.591254495292301E-3</v>
      </c>
      <c r="I37" s="981">
        <f>+'[1]GLOBAL 26'!I37</f>
        <v>-1891.52</v>
      </c>
      <c r="J37" s="973">
        <f>+'[1]GLOBAL 26'!J37</f>
        <v>-1.0745726258520442E-3</v>
      </c>
      <c r="L37" s="981">
        <f>+'[1]GLOBAL 26'!L37</f>
        <v>-14301.460000000001</v>
      </c>
      <c r="M37" s="973">
        <f>+'[1]GLOBAL 26'!M37</f>
        <v>-6.3218196738805393E-3</v>
      </c>
      <c r="O37" s="981">
        <f>+'[1]GLOBAL 26'!O37</f>
        <v>-1844.33</v>
      </c>
      <c r="P37" s="973">
        <f>+'[1]GLOBAL 26'!P37</f>
        <v>-1.3466660867205702E-3</v>
      </c>
      <c r="R37" s="981">
        <f>+'[1]GLOBAL 26'!R37</f>
        <v>-5881.5300000000007</v>
      </c>
      <c r="S37" s="973">
        <f>+'[1]GLOBAL 26'!S37</f>
        <v>-4.1614453700457715E-3</v>
      </c>
      <c r="U37" s="981">
        <f>+'[1]GLOBAL 26'!U37</f>
        <v>-1172.25</v>
      </c>
      <c r="V37" s="973">
        <f>+'[1]GLOBAL 26'!V37</f>
        <v>-8.6031268911421406E-4</v>
      </c>
      <c r="X37" s="981">
        <f>+'[1]GLOBAL 26'!X37</f>
        <v>-1929.22</v>
      </c>
      <c r="Y37" s="973">
        <f>+'[1]GLOBAL 26'!Y37</f>
        <v>-1.6305775250140232E-3</v>
      </c>
      <c r="AA37" s="981">
        <f>+'[1]GLOBAL 26'!AA37</f>
        <v>-60026.82</v>
      </c>
      <c r="AB37" s="973">
        <f>+'[1]GLOBAL 26'!AB37</f>
        <v>-4.1742047517024641E-3</v>
      </c>
    </row>
    <row r="38" spans="1:29">
      <c r="A38" s="984" t="s">
        <v>386</v>
      </c>
      <c r="B38" s="987"/>
      <c r="C38" s="985">
        <f>+'[1]GLOBAL 26'!C38</f>
        <v>451115.13000000006</v>
      </c>
      <c r="D38" s="986">
        <f>+'[1]GLOBAL 26'!D38</f>
        <v>0.1514403157762064</v>
      </c>
      <c r="F38" s="985">
        <f>+'[1]GLOBAL 26'!F38</f>
        <v>362536.94</v>
      </c>
      <c r="G38" s="986">
        <f>+'[1]GLOBAL 26'!G38</f>
        <v>0.17680674213778225</v>
      </c>
      <c r="I38" s="985">
        <f>+'[1]GLOBAL 26'!I38</f>
        <v>262382.17</v>
      </c>
      <c r="J38" s="986">
        <f>+'[1]GLOBAL 26'!J38</f>
        <v>0.14905932656998469</v>
      </c>
      <c r="L38" s="985">
        <f>+'[1]GLOBAL 26'!L38</f>
        <v>443118.17999999993</v>
      </c>
      <c r="M38" s="986">
        <f>+'[1]GLOBAL 26'!M38</f>
        <v>0.19587603141064883</v>
      </c>
      <c r="O38" s="985">
        <f>+'[1]GLOBAL 26'!O38</f>
        <v>230259.72999999998</v>
      </c>
      <c r="P38" s="986">
        <f>+'[1]GLOBAL 26'!P38</f>
        <v>0.1681277046561272</v>
      </c>
      <c r="R38" s="985">
        <f>+'[1]GLOBAL 26'!R38</f>
        <v>206270.12000000002</v>
      </c>
      <c r="S38" s="986">
        <f>+'[1]GLOBAL 26'!S38</f>
        <v>0.14594532984661912</v>
      </c>
      <c r="U38" s="985">
        <f>+'[1]GLOBAL 26'!U38</f>
        <v>192749.6</v>
      </c>
      <c r="V38" s="986">
        <f>+'[1]GLOBAL 26'!V38</f>
        <v>0.14145867067749127</v>
      </c>
      <c r="X38" s="985">
        <f>+'[1]GLOBAL 26'!X38</f>
        <v>181613.36000000002</v>
      </c>
      <c r="Y38" s="986">
        <f>+'[1]GLOBAL 26'!Y38</f>
        <v>0.15349968539527933</v>
      </c>
      <c r="AA38" s="985">
        <f>+'[1]GLOBAL 26'!AA38</f>
        <v>2330045.23</v>
      </c>
      <c r="AB38" s="986">
        <f>+'[1]GLOBAL 26'!AB38</f>
        <v>0.1620290042142439</v>
      </c>
    </row>
    <row r="39" spans="1:29">
      <c r="A39" s="980" t="s">
        <v>387</v>
      </c>
      <c r="B39" s="987"/>
      <c r="C39" s="981">
        <f>+'[1]GLOBAL 26'!C39</f>
        <v>0</v>
      </c>
      <c r="D39" s="973">
        <f>+'[1]GLOBAL 26'!D39</f>
        <v>0</v>
      </c>
      <c r="F39" s="981">
        <f>+'[1]GLOBAL 26'!F39</f>
        <v>0</v>
      </c>
      <c r="G39" s="973">
        <f>+'[1]GLOBAL 26'!G39</f>
        <v>0</v>
      </c>
      <c r="I39" s="981">
        <f>+'[1]GLOBAL 26'!I39</f>
        <v>0</v>
      </c>
      <c r="J39" s="973">
        <f>+'[1]GLOBAL 26'!J39</f>
        <v>0</v>
      </c>
      <c r="L39" s="981">
        <f>+'[1]GLOBAL 26'!L39</f>
        <v>501.22</v>
      </c>
      <c r="M39" s="973">
        <f>+'[1]GLOBAL 26'!M39</f>
        <v>2.2155936924918185E-4</v>
      </c>
      <c r="O39" s="981">
        <f>+'[1]GLOBAL 26'!O39</f>
        <v>3400</v>
      </c>
      <c r="P39" s="973">
        <f>+'[1]GLOBAL 26'!P39</f>
        <v>2.4825626080202238E-3</v>
      </c>
      <c r="R39" s="981">
        <f>+'[1]GLOBAL 26'!R39</f>
        <v>0</v>
      </c>
      <c r="S39" s="973">
        <f>+'[1]GLOBAL 26'!S39</f>
        <v>0</v>
      </c>
      <c r="U39" s="981">
        <f>+'[1]GLOBAL 26'!U39</f>
        <v>0</v>
      </c>
      <c r="V39" s="973">
        <f>+'[1]GLOBAL 26'!V39</f>
        <v>0</v>
      </c>
      <c r="X39" s="981">
        <f>+'[1]GLOBAL 26'!X39</f>
        <v>0</v>
      </c>
      <c r="Y39" s="973">
        <f>+'[1]GLOBAL 26'!Y39</f>
        <v>0</v>
      </c>
      <c r="AA39" s="981">
        <f>+'[1]GLOBAL 26'!AA39</f>
        <v>3901.2200000000003</v>
      </c>
      <c r="AB39" s="973">
        <f>+'[1]GLOBAL 26'!AB39</f>
        <v>2.7128691910443848E-4</v>
      </c>
    </row>
    <row r="40" spans="1:29">
      <c r="A40" s="980" t="s">
        <v>388</v>
      </c>
      <c r="B40" s="987"/>
      <c r="C40" s="981">
        <f>+'[1]GLOBAL 26'!C40</f>
        <v>148986.82</v>
      </c>
      <c r="D40" s="973">
        <f>+'[1]GLOBAL 26'!D40</f>
        <v>5.0015194718237052E-2</v>
      </c>
      <c r="F40" s="981">
        <f>+'[1]GLOBAL 26'!F40</f>
        <v>102750.19</v>
      </c>
      <c r="G40" s="973">
        <f>+'[1]GLOBAL 26'!G40</f>
        <v>5.0110552452773863E-2</v>
      </c>
      <c r="I40" s="981">
        <f>+'[1]GLOBAL 26'!I40</f>
        <v>88091.21</v>
      </c>
      <c r="J40" s="973">
        <f>+'[1]GLOBAL 26'!J40</f>
        <v>5.0044621703277718E-2</v>
      </c>
      <c r="L40" s="981">
        <f>+'[1]GLOBAL 26'!L40</f>
        <v>113177.89</v>
      </c>
      <c r="M40" s="973">
        <f>+'[1]GLOBAL 26'!M40</f>
        <v>5.002917266141272E-2</v>
      </c>
      <c r="O40" s="981">
        <f>+'[1]GLOBAL 26'!O40</f>
        <v>68545.38</v>
      </c>
      <c r="P40" s="973">
        <f>+'[1]GLOBAL 26'!P40</f>
        <v>5.0049469806040379E-2</v>
      </c>
      <c r="R40" s="981">
        <f>+'[1]GLOBAL 26'!R40</f>
        <v>70717.210000000006</v>
      </c>
      <c r="S40" s="973">
        <f>+'[1]GLOBAL 26'!S40</f>
        <v>5.0035587021923636E-2</v>
      </c>
      <c r="U40" s="981">
        <f>+'[1]GLOBAL 26'!U40</f>
        <v>68169.73</v>
      </c>
      <c r="V40" s="973">
        <f>+'[1]GLOBAL 26'!V40</f>
        <v>5.0029672623151979E-2</v>
      </c>
      <c r="X40" s="981">
        <f>+'[1]GLOBAL 26'!X40</f>
        <v>59207.26</v>
      </c>
      <c r="Y40" s="973">
        <f>+'[1]GLOBAL 26'!Y40</f>
        <v>5.0042000121117224E-2</v>
      </c>
      <c r="AA40" s="981">
        <f>+'[1]GLOBAL 26'!AA40</f>
        <v>719645.69000000006</v>
      </c>
      <c r="AB40" s="973">
        <f>+'[1]GLOBAL 26'!AB40</f>
        <v>5.0043438228781711E-2</v>
      </c>
    </row>
    <row r="41" spans="1:29">
      <c r="A41" s="980" t="s">
        <v>389</v>
      </c>
      <c r="B41" s="987"/>
      <c r="C41" s="981">
        <f>+'[1]GLOBAL 26'!C41</f>
        <v>17590.5</v>
      </c>
      <c r="D41" s="973">
        <f>+'[1]GLOBAL 26'!D41</f>
        <v>5.9051685423660216E-3</v>
      </c>
      <c r="F41" s="981">
        <f>+'[1]GLOBAL 26'!F41</f>
        <v>13870.5</v>
      </c>
      <c r="G41" s="973">
        <f>+'[1]GLOBAL 26'!G41</f>
        <v>6.7645463020185159E-3</v>
      </c>
      <c r="I41" s="981">
        <f>+'[1]GLOBAL 26'!I41</f>
        <v>12463.96</v>
      </c>
      <c r="J41" s="973">
        <f>+'[1]GLOBAL 26'!J41</f>
        <v>7.0807764262153421E-3</v>
      </c>
      <c r="L41" s="981">
        <f>+'[1]GLOBAL 26'!L41</f>
        <v>15188</v>
      </c>
      <c r="M41" s="973">
        <f>+'[1]GLOBAL 26'!M41</f>
        <v>6.713705957776173E-3</v>
      </c>
      <c r="O41" s="981">
        <f>+'[1]GLOBAL 26'!O41</f>
        <v>11057.5</v>
      </c>
      <c r="P41" s="973">
        <f>+'[1]GLOBAL 26'!P41</f>
        <v>8.0738047171128296E-3</v>
      </c>
      <c r="R41" s="981">
        <f>+'[1]GLOBAL 26'!R41</f>
        <v>11367.5</v>
      </c>
      <c r="S41" s="973">
        <f>+'[1]GLOBAL 26'!S41</f>
        <v>8.0430143591880519E-3</v>
      </c>
      <c r="U41" s="981">
        <f>+'[1]GLOBAL 26'!U41</f>
        <v>11755</v>
      </c>
      <c r="V41" s="973">
        <f>+'[1]GLOBAL 26'!V41</f>
        <v>8.6269785971743122E-3</v>
      </c>
      <c r="X41" s="981">
        <f>+'[1]GLOBAL 26'!X41</f>
        <v>10685.5</v>
      </c>
      <c r="Y41" s="973">
        <f>+'[1]GLOBAL 26'!Y41</f>
        <v>9.0313889258546685E-3</v>
      </c>
      <c r="AA41" s="981">
        <f>+'[1]GLOBAL 26'!AA41</f>
        <v>103978.45999999999</v>
      </c>
      <c r="AB41" s="973">
        <f>+'[1]GLOBAL 26'!AB41</f>
        <v>7.2305576375144408E-3</v>
      </c>
      <c r="AC41" s="989"/>
    </row>
    <row r="42" spans="1:29">
      <c r="A42" s="980" t="s">
        <v>390</v>
      </c>
      <c r="B42" s="987"/>
      <c r="C42" s="981">
        <f>+'[1]GLOBAL 26'!C42</f>
        <v>16467.09</v>
      </c>
      <c r="D42" s="973">
        <f>+'[1]GLOBAL 26'!D42</f>
        <v>5.5280373981586705E-3</v>
      </c>
      <c r="F42" s="981">
        <f>+'[1]GLOBAL 26'!F42</f>
        <v>12783.220000000001</v>
      </c>
      <c r="G42" s="973">
        <f>+'[1]GLOBAL 26'!G42</f>
        <v>6.2342874142164405E-3</v>
      </c>
      <c r="I42" s="981">
        <f>+'[1]GLOBAL 26'!I42</f>
        <v>9585.83</v>
      </c>
      <c r="J42" s="973">
        <f>+'[1]GLOBAL 26'!J42</f>
        <v>5.4457105999784839E-3</v>
      </c>
      <c r="L42" s="981">
        <f>+'[1]GLOBAL 26'!L42</f>
        <v>10970.29</v>
      </c>
      <c r="M42" s="973">
        <f>+'[1]GLOBAL 26'!M42</f>
        <v>4.8493087524053447E-3</v>
      </c>
      <c r="O42" s="981">
        <f>+'[1]GLOBAL 26'!O42</f>
        <v>7799.7</v>
      </c>
      <c r="P42" s="973">
        <f>+'[1]GLOBAL 26'!P42</f>
        <v>5.6950716393456878E-3</v>
      </c>
      <c r="R42" s="981">
        <f>+'[1]GLOBAL 26'!R42</f>
        <v>7755.63</v>
      </c>
      <c r="S42" s="973">
        <f>+'[1]GLOBAL 26'!S42</f>
        <v>5.4874548893379923E-3</v>
      </c>
      <c r="U42" s="981">
        <f>+'[1]GLOBAL 26'!U42</f>
        <v>7957.67</v>
      </c>
      <c r="V42" s="973">
        <f>+'[1]GLOBAL 26'!V42</f>
        <v>5.8401232474160868E-3</v>
      </c>
      <c r="X42" s="981">
        <f>+'[1]GLOBAL 26'!X42</f>
        <v>7005.9599999999991</v>
      </c>
      <c r="Y42" s="973">
        <f>+'[1]GLOBAL 26'!Y42</f>
        <v>5.9214402282514404E-3</v>
      </c>
      <c r="AA42" s="981">
        <f>+'[1]GLOBAL 26'!AA42</f>
        <v>80325.389999999985</v>
      </c>
      <c r="AB42" s="973">
        <f>+'[1]GLOBAL 26'!AB42</f>
        <v>5.5857469148016424E-3</v>
      </c>
    </row>
    <row r="43" spans="1:29">
      <c r="A43" s="980" t="s">
        <v>391</v>
      </c>
      <c r="C43" s="981">
        <f>+'[1]GLOBAL 26'!C43</f>
        <v>27151.489999999998</v>
      </c>
      <c r="D43" s="973">
        <f>+'[1]GLOBAL 26'!D43</f>
        <v>9.1148133723524399E-3</v>
      </c>
      <c r="F43" s="981">
        <f>+'[1]GLOBAL 26'!F43</f>
        <v>16951.099999999999</v>
      </c>
      <c r="G43" s="973">
        <f>+'[1]GLOBAL 26'!G43</f>
        <v>8.2669334789766801E-3</v>
      </c>
      <c r="I43" s="981">
        <f>+'[1]GLOBAL 26'!I43</f>
        <v>15191.220000000001</v>
      </c>
      <c r="J43" s="973">
        <f>+'[1]GLOBAL 26'!J43</f>
        <v>8.6301329963712221E-3</v>
      </c>
      <c r="L43" s="981">
        <f>+'[1]GLOBAL 26'!L43</f>
        <v>16724.75</v>
      </c>
      <c r="M43" s="973">
        <f>+'[1]GLOBAL 26'!M43</f>
        <v>7.3930111744348864E-3</v>
      </c>
      <c r="O43" s="981">
        <f>+'[1]GLOBAL 26'!O43</f>
        <v>11170.789999999999</v>
      </c>
      <c r="P43" s="973">
        <f>+'[1]GLOBAL 26'!P43</f>
        <v>8.1565251635430085E-3</v>
      </c>
      <c r="R43" s="981">
        <f>+'[1]GLOBAL 26'!R43</f>
        <v>12470.439999999999</v>
      </c>
      <c r="S43" s="973">
        <f>+'[1]GLOBAL 26'!S43</f>
        <v>8.8233937088535771E-3</v>
      </c>
      <c r="U43" s="981">
        <f>+'[1]GLOBAL 26'!U43</f>
        <v>10047.849999999999</v>
      </c>
      <c r="V43" s="973">
        <f>+'[1]GLOBAL 26'!V43</f>
        <v>7.3741035217029256E-3</v>
      </c>
      <c r="X43" s="981">
        <f>+'[1]GLOBAL 26'!X43</f>
        <v>9260.2899999999991</v>
      </c>
      <c r="Y43" s="973">
        <f>+'[1]GLOBAL 26'!Y43</f>
        <v>7.8268008568810749E-3</v>
      </c>
      <c r="AA43" s="981">
        <f>+'[1]GLOBAL 26'!AA43</f>
        <v>118967.92999999998</v>
      </c>
      <c r="AB43" s="973">
        <f>+'[1]GLOBAL 26'!AB43</f>
        <v>8.2729103208566777E-3</v>
      </c>
    </row>
    <row r="44" spans="1:29">
      <c r="A44" s="980" t="s">
        <v>392</v>
      </c>
      <c r="C44" s="981">
        <f>+'[1]GLOBAL 26'!C44</f>
        <v>130880.47</v>
      </c>
      <c r="D44" s="973">
        <f>+'[1]GLOBAL 26'!D44</f>
        <v>4.3936854225524E-2</v>
      </c>
      <c r="F44" s="981">
        <f>+'[1]GLOBAL 26'!F44</f>
        <v>26527.72</v>
      </c>
      <c r="G44" s="973">
        <f>+'[1]GLOBAL 26'!G44</f>
        <v>1.2937384393279452E-2</v>
      </c>
      <c r="I44" s="981">
        <f>+'[1]GLOBAL 26'!I44</f>
        <v>77230.25</v>
      </c>
      <c r="J44" s="973">
        <f>+'[1]GLOBAL 26'!J44</f>
        <v>4.3874509673548175E-2</v>
      </c>
      <c r="L44" s="981">
        <f>+'[1]GLOBAL 26'!L44</f>
        <v>94449.279999999999</v>
      </c>
      <c r="M44" s="973">
        <f>+'[1]GLOBAL 26'!M44</f>
        <v>4.1750374890944825E-2</v>
      </c>
      <c r="O44" s="981">
        <f>+'[1]GLOBAL 26'!O44</f>
        <v>20564.270000000004</v>
      </c>
      <c r="P44" s="973">
        <f>+'[1]GLOBAL 26'!P44</f>
        <v>1.5015319930362368E-2</v>
      </c>
      <c r="R44" s="981">
        <f>+'[1]GLOBAL 26'!R44</f>
        <v>24088.260000000002</v>
      </c>
      <c r="S44" s="973">
        <f>+'[1]GLOBAL 26'!S44</f>
        <v>1.7043520656947895E-2</v>
      </c>
      <c r="U44" s="981">
        <f>+'[1]GLOBAL 26'!U44</f>
        <v>13875.130000000001</v>
      </c>
      <c r="V44" s="973">
        <f>+'[1]GLOBAL 26'!V44</f>
        <v>1.0182939135943106E-2</v>
      </c>
      <c r="X44" s="981">
        <f>+'[1]GLOBAL 26'!X44</f>
        <v>85605.94</v>
      </c>
      <c r="Y44" s="973">
        <f>+'[1]GLOBAL 26'!Y44</f>
        <v>7.2354175144202823E-2</v>
      </c>
      <c r="AA44" s="981">
        <f>+'[1]GLOBAL 26'!AA44</f>
        <v>473221.32</v>
      </c>
      <c r="AB44" s="973">
        <f>+'[1]GLOBAL 26'!AB44</f>
        <v>3.2907335130378593E-2</v>
      </c>
    </row>
    <row r="45" spans="1:29">
      <c r="A45" s="980" t="s">
        <v>393</v>
      </c>
      <c r="C45" s="981">
        <f>+'[1]GLOBAL 26'!C45</f>
        <v>4286.72</v>
      </c>
      <c r="D45" s="973">
        <f>+'[1]GLOBAL 26'!D45</f>
        <v>1.4390610894477857E-3</v>
      </c>
      <c r="F45" s="981">
        <f>+'[1]GLOBAL 26'!F45</f>
        <v>3857.37</v>
      </c>
      <c r="G45" s="973">
        <f>+'[1]GLOBAL 26'!G45</f>
        <v>1.881212499118068E-3</v>
      </c>
      <c r="I45" s="981">
        <f>+'[1]GLOBAL 26'!I45</f>
        <v>3116.7200000000003</v>
      </c>
      <c r="J45" s="973">
        <f>+'[1]GLOBAL 26'!J45</f>
        <v>1.7706088195977752E-3</v>
      </c>
      <c r="L45" s="981">
        <f>+'[1]GLOBAL 26'!L45</f>
        <v>3510.85</v>
      </c>
      <c r="M45" s="973">
        <f>+'[1]GLOBAL 26'!M45</f>
        <v>1.5519366975150432E-3</v>
      </c>
      <c r="O45" s="981">
        <f>+'[1]GLOBAL 26'!O45</f>
        <v>3504.66</v>
      </c>
      <c r="P45" s="973">
        <f>+'[1]GLOBAL 26'!P45</f>
        <v>2.5589817264188696E-3</v>
      </c>
      <c r="R45" s="981">
        <f>+'[1]GLOBAL 26'!R45</f>
        <v>4203.43</v>
      </c>
      <c r="S45" s="973">
        <f>+'[1]GLOBAL 26'!S45</f>
        <v>2.9741146116421232E-3</v>
      </c>
      <c r="U45" s="981">
        <f>+'[1]GLOBAL 26'!U45</f>
        <v>3234.8</v>
      </c>
      <c r="V45" s="973">
        <f>+'[1]GLOBAL 26'!V45</f>
        <v>2.3740153437804734E-3</v>
      </c>
      <c r="X45" s="981">
        <f>+'[1]GLOBAL 26'!X45</f>
        <v>515</v>
      </c>
      <c r="Y45" s="973">
        <f>+'[1]GLOBAL 26'!Y45</f>
        <v>4.3527820848955634E-4</v>
      </c>
      <c r="AA45" s="981">
        <f>+'[1]GLOBAL 26'!AA45</f>
        <v>26229.55</v>
      </c>
      <c r="AB45" s="973">
        <f>+'[1]GLOBAL 26'!AB45</f>
        <v>1.8239765532309952E-3</v>
      </c>
    </row>
    <row r="46" spans="1:29">
      <c r="A46" s="980" t="s">
        <v>394</v>
      </c>
      <c r="C46" s="981">
        <f>+'[1]GLOBAL 26'!C46</f>
        <v>-126.71</v>
      </c>
      <c r="D46" s="973">
        <f>+'[1]GLOBAL 26'!D46</f>
        <v>-4.2536818510173025E-5</v>
      </c>
      <c r="F46" s="981">
        <f>+'[1]GLOBAL 26'!F46</f>
        <v>7885.380000000001</v>
      </c>
      <c r="G46" s="973">
        <f>+'[1]GLOBAL 26'!G46</f>
        <v>3.8456449384673061E-3</v>
      </c>
      <c r="I46" s="981">
        <f>+'[1]GLOBAL 26'!I46</f>
        <v>-68.289999999999992</v>
      </c>
      <c r="J46" s="973">
        <f>+'[1]GLOBAL 26'!J46</f>
        <v>-3.8795553110427641E-5</v>
      </c>
      <c r="L46" s="981">
        <f>+'[1]GLOBAL 26'!L46</f>
        <v>859.3</v>
      </c>
      <c r="M46" s="973">
        <f>+'[1]GLOBAL 26'!M46</f>
        <v>3.7984510992343068E-4</v>
      </c>
      <c r="O46" s="981">
        <f>+'[1]GLOBAL 26'!O46</f>
        <v>-48.38</v>
      </c>
      <c r="P46" s="973">
        <f>+'[1]GLOBAL 26'!P46</f>
        <v>-3.5325405581181891E-5</v>
      </c>
      <c r="R46" s="981">
        <f>+'[1]GLOBAL 26'!R46</f>
        <v>-56.210000000000008</v>
      </c>
      <c r="S46" s="973">
        <f>+'[1]GLOBAL 26'!S46</f>
        <v>-3.9771087497687307E-5</v>
      </c>
      <c r="U46" s="981">
        <f>+'[1]GLOBAL 26'!U46</f>
        <v>-53.71</v>
      </c>
      <c r="V46" s="973">
        <f>+'[1]GLOBAL 26'!V46</f>
        <v>-3.9417696338088664E-5</v>
      </c>
      <c r="X46" s="981">
        <f>+'[1]GLOBAL 26'!X46</f>
        <v>-44.98</v>
      </c>
      <c r="Y46" s="973">
        <f>+'[1]GLOBAL 26'!Y46</f>
        <v>-3.8017114209437364E-5</v>
      </c>
      <c r="AA46" s="981">
        <f>+'[1]GLOBAL 26'!AA46</f>
        <v>8346.4000000000033</v>
      </c>
      <c r="AB46" s="973">
        <f>+'[1]GLOBAL 26'!AB46</f>
        <v>5.8040027007276852E-4</v>
      </c>
    </row>
    <row r="47" spans="1:29">
      <c r="A47" s="980" t="s">
        <v>395</v>
      </c>
      <c r="C47" s="981">
        <f>+'[1]GLOBAL 26'!C47</f>
        <v>46206.000000000015</v>
      </c>
      <c r="D47" s="973">
        <f>+'[1]GLOBAL 26'!D47</f>
        <v>1.5511453208752708E-2</v>
      </c>
      <c r="F47" s="981">
        <f>+'[1]GLOBAL 26'!F47</f>
        <v>44371.11</v>
      </c>
      <c r="G47" s="973">
        <f>+'[1]GLOBAL 26'!G47</f>
        <v>2.1639481494319369E-2</v>
      </c>
      <c r="I47" s="981">
        <f>+'[1]GLOBAL 26'!I47</f>
        <v>19638.75</v>
      </c>
      <c r="J47" s="973">
        <f>+'[1]GLOBAL 26'!J47</f>
        <v>1.1156775057071473E-2</v>
      </c>
      <c r="L47" s="981">
        <f>+'[1]GLOBAL 26'!L47</f>
        <v>41936.979999999996</v>
      </c>
      <c r="M47" s="973">
        <f>+'[1]GLOBAL 26'!M47</f>
        <v>1.8537829370367409E-2</v>
      </c>
      <c r="O47" s="981">
        <f>+'[1]GLOBAL 26'!O47</f>
        <v>14541.23</v>
      </c>
      <c r="P47" s="973">
        <f>+'[1]GLOBAL 26'!P47</f>
        <v>1.0617504080182916E-2</v>
      </c>
      <c r="R47" s="981">
        <f>+'[1]GLOBAL 26'!R47</f>
        <v>14212.3</v>
      </c>
      <c r="S47" s="973">
        <f>+'[1]GLOBAL 26'!S47</f>
        <v>1.0055837517227917E-2</v>
      </c>
      <c r="U47" s="981">
        <f>+'[1]GLOBAL 26'!U47</f>
        <v>13098.329999999998</v>
      </c>
      <c r="V47" s="973">
        <f>+'[1]GLOBAL 26'!V47</f>
        <v>9.6128466668418695E-3</v>
      </c>
      <c r="X47" s="981">
        <f>+'[1]GLOBAL 26'!X47</f>
        <v>17042.05</v>
      </c>
      <c r="Y47" s="973">
        <f>+'[1]GLOBAL 26'!Y47</f>
        <v>1.4403947559202802E-2</v>
      </c>
      <c r="AA47" s="981">
        <f>+'[1]GLOBAL 26'!AA47</f>
        <v>211046.75</v>
      </c>
      <c r="AB47" s="973">
        <f>+'[1]GLOBAL 26'!AB47</f>
        <v>1.4675978948765935E-2</v>
      </c>
    </row>
    <row r="48" spans="1:29">
      <c r="A48" s="980" t="s">
        <v>396</v>
      </c>
      <c r="C48" s="981">
        <f>+'[1]GLOBAL 26'!C48</f>
        <v>50412.259999999995</v>
      </c>
      <c r="D48" s="973">
        <f>+'[1]GLOBAL 26'!D48</f>
        <v>1.6923503703793346E-2</v>
      </c>
      <c r="F48" s="981">
        <f>+'[1]GLOBAL 26'!F48</f>
        <v>43813.950000000004</v>
      </c>
      <c r="G48" s="973">
        <f>+'[1]GLOBAL 26'!G48</f>
        <v>2.1367758440526598E-2</v>
      </c>
      <c r="I48" s="981">
        <f>+'[1]GLOBAL 26'!I48</f>
        <v>20473.489999999998</v>
      </c>
      <c r="J48" s="973">
        <f>+'[1]GLOBAL 26'!J48</f>
        <v>1.1630990901315115E-2</v>
      </c>
      <c r="L48" s="981">
        <f>+'[1]GLOBAL 26'!L48</f>
        <v>42938.880000000005</v>
      </c>
      <c r="M48" s="973">
        <f>+'[1]GLOBAL 26'!M48</f>
        <v>1.8980709407179101E-2</v>
      </c>
      <c r="O48" s="981">
        <f>+'[1]GLOBAL 26'!O48</f>
        <v>16443.53</v>
      </c>
      <c r="P48" s="973">
        <f>+'[1]GLOBAL 26'!P48</f>
        <v>1.2006497859370231E-2</v>
      </c>
      <c r="R48" s="981">
        <f>+'[1]GLOBAL 26'!R48</f>
        <v>14312.22</v>
      </c>
      <c r="S48" s="973">
        <f>+'[1]GLOBAL 26'!S48</f>
        <v>1.0126535383493153E-2</v>
      </c>
      <c r="U48" s="981">
        <f>+'[1]GLOBAL 26'!U48</f>
        <v>14154.509999999998</v>
      </c>
      <c r="V48" s="973">
        <f>+'[1]GLOBAL 26'!V48</f>
        <v>1.0387975739982114E-2</v>
      </c>
      <c r="X48" s="981">
        <f>+'[1]GLOBAL 26'!X48</f>
        <v>20435.53</v>
      </c>
      <c r="Y48" s="973">
        <f>+'[1]GLOBAL 26'!Y48</f>
        <v>1.7272118228999191E-2</v>
      </c>
      <c r="AA48" s="981">
        <f>+'[1]GLOBAL 26'!AA48</f>
        <v>222984.37</v>
      </c>
      <c r="AB48" s="973">
        <f>+'[1]GLOBAL 26'!AB48</f>
        <v>1.5506109049411253E-2</v>
      </c>
    </row>
    <row r="49" spans="1:31">
      <c r="A49" s="976" t="s">
        <v>397</v>
      </c>
      <c r="C49" s="990">
        <f>+'[1]GLOBAL 26'!C49</f>
        <v>-4206.2599999999866</v>
      </c>
      <c r="D49" s="991">
        <f>+'[1]GLOBAL 26'!D49</f>
        <v>-1.4120504950406426E-3</v>
      </c>
      <c r="F49" s="990">
        <f>+'[1]GLOBAL 26'!F49</f>
        <v>557.16000000000076</v>
      </c>
      <c r="G49" s="991">
        <f>+'[1]GLOBAL 26'!G49</f>
        <v>2.7172305379277181E-4</v>
      </c>
      <c r="I49" s="990">
        <f>+'[1]GLOBAL 26'!I49</f>
        <v>-834.74000000000024</v>
      </c>
      <c r="J49" s="991">
        <f>+'[1]GLOBAL 26'!J49</f>
        <v>-4.7421584424364304E-4</v>
      </c>
      <c r="L49" s="990">
        <f>+'[1]GLOBAL 26'!L49</f>
        <v>-1001.9000000000033</v>
      </c>
      <c r="M49" s="991">
        <f>+'[1]GLOBAL 26'!M49</f>
        <v>-4.4288003681169149E-4</v>
      </c>
      <c r="O49" s="990">
        <f>+'[1]GLOBAL 26'!O49</f>
        <v>-1902.2999999999988</v>
      </c>
      <c r="P49" s="991">
        <f>+'[1]GLOBAL 26'!P49</f>
        <v>-1.3889937791873143E-3</v>
      </c>
      <c r="R49" s="990">
        <f>+'[1]GLOBAL 26'!R49</f>
        <v>-99.919999999999845</v>
      </c>
      <c r="S49" s="991">
        <f>+'[1]GLOBAL 26'!S49</f>
        <v>-7.0697866265235885E-5</v>
      </c>
      <c r="U49" s="990">
        <f>+'[1]GLOBAL 26'!U49</f>
        <v>-1056.1799999999996</v>
      </c>
      <c r="V49" s="991">
        <f>+'[1]GLOBAL 26'!V49</f>
        <v>-7.7512907314024337E-4</v>
      </c>
      <c r="X49" s="990">
        <f>+'[1]GLOBAL 26'!X49</f>
        <v>-3393.4800000000005</v>
      </c>
      <c r="Y49" s="991">
        <f>+'[1]GLOBAL 26'!Y49</f>
        <v>-2.8681706697963882E-3</v>
      </c>
      <c r="AA49" s="990">
        <f>+'[1]GLOBAL 26'!AA49</f>
        <v>-11937.619999999988</v>
      </c>
      <c r="AB49" s="991">
        <f>+'[1]GLOBAL 26'!AB49</f>
        <v>-8.3013010064531695E-4</v>
      </c>
    </row>
    <row r="50" spans="1:31">
      <c r="A50" s="980" t="s">
        <v>398</v>
      </c>
      <c r="C50" s="992">
        <f>+'[1]GLOBAL 26'!C50</f>
        <v>8709.9</v>
      </c>
      <c r="D50" s="993">
        <f>+'[1]GLOBAL 26'!D50</f>
        <v>2.9239320932977352E-3</v>
      </c>
      <c r="F50" s="992">
        <f>+'[1]GLOBAL 26'!F50</f>
        <v>62.629999999999995</v>
      </c>
      <c r="G50" s="993">
        <f>+'[1]GLOBAL 26'!G50</f>
        <v>3.0544215053200648E-5</v>
      </c>
      <c r="I50" s="981">
        <f>+'[1]GLOBAL 26'!I50</f>
        <v>4567.49</v>
      </c>
      <c r="J50" s="973">
        <f>+'[1]GLOBAL 26'!J50</f>
        <v>2.5947913439207373E-3</v>
      </c>
      <c r="L50" s="981">
        <f>+'[1]GLOBAL 26'!L50</f>
        <v>495.41999999999996</v>
      </c>
      <c r="M50" s="973">
        <f>+'[1]GLOBAL 26'!M50</f>
        <v>2.1899553631824279E-4</v>
      </c>
      <c r="O50" s="981">
        <f>+'[1]GLOBAL 26'!O50</f>
        <v>184.10000000000002</v>
      </c>
      <c r="P50" s="973">
        <f>+'[1]GLOBAL 26'!P50</f>
        <v>1.3442346356956565E-4</v>
      </c>
      <c r="R50" s="981">
        <f>+'[1]GLOBAL 26'!R50</f>
        <v>184.10000000000002</v>
      </c>
      <c r="S50" s="973">
        <f>+'[1]GLOBAL 26'!S50</f>
        <v>1.3025897897748148E-4</v>
      </c>
      <c r="U50" s="981">
        <f>+'[1]GLOBAL 26'!U50</f>
        <v>0</v>
      </c>
      <c r="V50" s="973">
        <f>+'[1]GLOBAL 26'!V50</f>
        <v>0</v>
      </c>
      <c r="X50" s="981">
        <f>+'[1]GLOBAL 26'!X50</f>
        <v>13088.769999999999</v>
      </c>
      <c r="Y50" s="973">
        <f>+'[1]GLOBAL 26'!Y50</f>
        <v>1.1062633702780291E-2</v>
      </c>
      <c r="AA50" s="981">
        <f>+'[1]GLOBAL 26'!AA50</f>
        <v>27292.409999999996</v>
      </c>
      <c r="AB50" s="973">
        <f>+'[1]GLOBAL 26'!AB50</f>
        <v>1.8978867697374579E-3</v>
      </c>
      <c r="AE50" s="989"/>
    </row>
    <row r="51" spans="1:31">
      <c r="A51" s="976" t="s">
        <v>399</v>
      </c>
      <c r="C51" s="990">
        <f>+'[1]GLOBAL 26'!C51</f>
        <v>318507.10999999987</v>
      </c>
      <c r="D51" s="991">
        <f>+'[1]GLOBAL 26'!D51</f>
        <v>0.10692351931394295</v>
      </c>
      <c r="F51" s="990">
        <f>+'[1]GLOBAL 26'!F51</f>
        <v>232102.17</v>
      </c>
      <c r="G51" s="991">
        <f>+'[1]GLOBAL 26'!G51</f>
        <v>0.11319461272225032</v>
      </c>
      <c r="I51" s="990">
        <f>+'[1]GLOBAL 26'!I51</f>
        <v>210368.26000000004</v>
      </c>
      <c r="J51" s="991">
        <f>+'[1]GLOBAL 26'!J51</f>
        <v>0.11951022116822746</v>
      </c>
      <c r="L51" s="990">
        <f>+'[1]GLOBAL 26'!L51</f>
        <v>145637.36999999997</v>
      </c>
      <c r="M51" s="991">
        <f>+'[1]GLOBAL 26'!M51</f>
        <v>6.4377566410577611E-2</v>
      </c>
      <c r="O51" s="990">
        <f>+'[1]GLOBAL 26'!O51</f>
        <v>127672.37000000004</v>
      </c>
      <c r="P51" s="991">
        <f>+'[1]GLOBAL 26'!P51</f>
        <v>9.322195642333031E-2</v>
      </c>
      <c r="R51" s="990">
        <f>+'[1]GLOBAL 26'!R51</f>
        <v>200938.05</v>
      </c>
      <c r="S51" s="991">
        <f>+'[1]GLOBAL 26'!S51</f>
        <v>0.14217265198656226</v>
      </c>
      <c r="U51" s="990">
        <f>+'[1]GLOBAL 26'!U51</f>
        <v>182914.6</v>
      </c>
      <c r="V51" s="991">
        <f>+'[1]GLOBAL 26'!V51</f>
        <v>0.13424077748283286</v>
      </c>
      <c r="X51" s="990">
        <f>+'[1]GLOBAL 26'!X51</f>
        <v>24985.139999999948</v>
      </c>
      <c r="Y51" s="991">
        <f>+'[1]GLOBAL 26'!Y51</f>
        <v>2.1117450442836371E-2</v>
      </c>
      <c r="AA51" s="990">
        <f>+'[1]GLOBAL 26'!AA51</f>
        <v>1443125.0699999998</v>
      </c>
      <c r="AB51" s="991">
        <f>+'[1]GLOBAL 26'!AB51</f>
        <v>0.10035346740831766</v>
      </c>
      <c r="AE51" s="989"/>
    </row>
    <row r="52" spans="1:31">
      <c r="A52" s="976" t="s">
        <v>400</v>
      </c>
      <c r="C52" s="990">
        <f>+'[1]GLOBAL 26'!C52</f>
        <v>462384.19999999984</v>
      </c>
      <c r="D52" s="991">
        <f>+'[1]GLOBAL 26'!D52</f>
        <v>0.15522336672221246</v>
      </c>
      <c r="F52" s="990">
        <f>+'[1]GLOBAL 26'!F52</f>
        <v>262549.89</v>
      </c>
      <c r="G52" s="991">
        <f>+'[1]GLOBAL 26'!G52</f>
        <v>0.12804375382970104</v>
      </c>
      <c r="I52" s="990">
        <f>+'[1]GLOBAL 26'!I52</f>
        <v>295282.72000000003</v>
      </c>
      <c r="J52" s="991">
        <f>+'[1]GLOBAL 26'!J52</f>
        <v>0.16775013100529415</v>
      </c>
      <c r="L52" s="990">
        <f>+'[1]GLOBAL 26'!L52</f>
        <v>244092.91999999998</v>
      </c>
      <c r="M52" s="991">
        <f>+'[1]GLOBAL 26'!M52</f>
        <v>0.10789887353535572</v>
      </c>
      <c r="O52" s="990">
        <f>+'[1]GLOBAL 26'!O52</f>
        <v>151925.40000000002</v>
      </c>
      <c r="P52" s="991">
        <f>+'[1]GLOBAL 26'!P52</f>
        <v>0.1109306815436811</v>
      </c>
      <c r="R52" s="990">
        <f>+'[1]GLOBAL 26'!R52</f>
        <v>229413.84</v>
      </c>
      <c r="S52" s="991">
        <f>+'[1]GLOBAL 26'!S52</f>
        <v>0.16232054623412978</v>
      </c>
      <c r="U52" s="990">
        <f>+'[1]GLOBAL 26'!U52</f>
        <v>200024.52999999997</v>
      </c>
      <c r="V52" s="991">
        <f>+'[1]GLOBAL 26'!V52</f>
        <v>0.14679773196255641</v>
      </c>
      <c r="X52" s="990">
        <f>+'[1]GLOBAL 26'!X52</f>
        <v>124194.84999999995</v>
      </c>
      <c r="Y52" s="991">
        <f>+'[1]GLOBAL 26'!Y52</f>
        <v>0.10496953749830903</v>
      </c>
      <c r="AA52" s="990">
        <f>+'[1]GLOBAL 26'!AA52</f>
        <v>1969868.3499999999</v>
      </c>
      <c r="AB52" s="991">
        <f>+'[1]GLOBAL 26'!AB52</f>
        <v>0.13698266586166472</v>
      </c>
    </row>
    <row r="53" spans="1:31">
      <c r="A53" s="980" t="s">
        <v>401</v>
      </c>
      <c r="C53" s="981">
        <f>+'[1]GLOBAL 26'!C53</f>
        <v>0</v>
      </c>
      <c r="D53" s="973">
        <f>+'[1]GLOBAL 26'!D53</f>
        <v>0</v>
      </c>
      <c r="F53" s="981">
        <f>+'[1]GLOBAL 26'!F53</f>
        <v>0</v>
      </c>
      <c r="G53" s="973">
        <f>+'[1]GLOBAL 26'!G53</f>
        <v>0</v>
      </c>
      <c r="I53" s="981">
        <f>+'[1]GLOBAL 26'!I53</f>
        <v>0</v>
      </c>
      <c r="J53" s="973">
        <f>+'[1]GLOBAL 26'!J53</f>
        <v>0</v>
      </c>
      <c r="L53" s="981">
        <f>+'[1]GLOBAL 26'!L53</f>
        <v>0</v>
      </c>
      <c r="M53" s="973">
        <f>+'[1]GLOBAL 26'!M53</f>
        <v>0</v>
      </c>
      <c r="O53" s="981">
        <f>+'[1]GLOBAL 26'!O53</f>
        <v>0</v>
      </c>
      <c r="P53" s="973">
        <f>+'[1]GLOBAL 26'!P53</f>
        <v>0</v>
      </c>
      <c r="R53" s="981">
        <f>+'[1]GLOBAL 26'!R53</f>
        <v>0</v>
      </c>
      <c r="S53" s="973">
        <f>+'[1]GLOBAL 26'!S53</f>
        <v>0</v>
      </c>
      <c r="U53" s="981">
        <f>+'[1]GLOBAL 26'!U53</f>
        <v>0</v>
      </c>
      <c r="V53" s="973">
        <f>+'[1]GLOBAL 26'!V53</f>
        <v>0</v>
      </c>
      <c r="X53" s="981">
        <f>+'[1]GLOBAL 26'!X53</f>
        <v>0</v>
      </c>
      <c r="Y53" s="973">
        <f>+'[1]GLOBAL 26'!Y53</f>
        <v>0</v>
      </c>
      <c r="AA53" s="981">
        <f>+'[1]GLOBAL 26'!AA53</f>
        <v>0</v>
      </c>
      <c r="AB53" s="973">
        <f>+'[1]GLOBAL 26'!AB53</f>
        <v>0</v>
      </c>
    </row>
    <row r="54" spans="1:31">
      <c r="A54" s="980" t="s">
        <v>402</v>
      </c>
      <c r="C54" s="981">
        <f>+'[1]GLOBAL 26'!C54</f>
        <v>119153.23000000001</v>
      </c>
      <c r="D54" s="973">
        <f>+'[1]GLOBAL 26'!D54</f>
        <v>3.9999994628765717E-2</v>
      </c>
      <c r="F54" s="981">
        <f>+'[1]GLOBAL 26'!F54</f>
        <v>82018.820000000007</v>
      </c>
      <c r="G54" s="973">
        <f>+'[1]GLOBAL 26'!G54</f>
        <v>4.0000007608011416E-2</v>
      </c>
      <c r="I54" s="981">
        <f>+'[1]GLOBAL 26'!I54</f>
        <v>70410.16</v>
      </c>
      <c r="J54" s="973">
        <f>+'[1]GLOBAL 26'!J54</f>
        <v>4.0000016134041708E-2</v>
      </c>
      <c r="L54" s="981">
        <f>+'[1]GLOBAL 26'!L54</f>
        <v>90489.51</v>
      </c>
      <c r="M54" s="973">
        <f>+'[1]GLOBAL 26'!M54</f>
        <v>3.9999997524575094E-2</v>
      </c>
      <c r="O54" s="981">
        <f>+'[1]GLOBAL 26'!O54</f>
        <v>54782.100000000006</v>
      </c>
      <c r="P54" s="973">
        <f>+'[1]GLOBAL 26'!P54</f>
        <v>3.999999795553668E-2</v>
      </c>
      <c r="R54" s="981">
        <f>+'[1]GLOBAL 26'!R54</f>
        <v>56533.65</v>
      </c>
      <c r="S54" s="973">
        <f>+'[1]GLOBAL 26'!S54</f>
        <v>4.000008433932805E-2</v>
      </c>
      <c r="U54" s="981">
        <f>+'[1]GLOBAL 26'!U54</f>
        <v>54503.45</v>
      </c>
      <c r="V54" s="973">
        <f>+'[1]GLOBAL 26'!V54</f>
        <v>4.0000008219664838E-2</v>
      </c>
      <c r="X54" s="981">
        <f>+'[1]GLOBAL 26'!X54</f>
        <v>47326.06</v>
      </c>
      <c r="Y54" s="973">
        <f>+'[1]GLOBAL 26'!Y54</f>
        <v>4.0000005071202431E-2</v>
      </c>
      <c r="AA54" s="981">
        <f>+'[1]GLOBAL 26'!AA54</f>
        <v>575216.98</v>
      </c>
      <c r="AB54" s="973">
        <f>+'[1]GLOBAL 26'!AB54</f>
        <v>4.0000010848083259E-2</v>
      </c>
    </row>
    <row r="55" spans="1:31">
      <c r="A55" s="976" t="s">
        <v>403</v>
      </c>
      <c r="C55" s="990">
        <f>+'[1]GLOBAL 26'!C55</f>
        <v>199353.87999999989</v>
      </c>
      <c r="D55" s="991">
        <f>+'[1]GLOBAL 26'!D55</f>
        <v>6.6923524685177233E-2</v>
      </c>
      <c r="F55" s="990">
        <f>+'[1]GLOBAL 26'!F55</f>
        <v>150083.35</v>
      </c>
      <c r="G55" s="991">
        <f>+'[1]GLOBAL 26'!G55</f>
        <v>7.3194605114238906E-2</v>
      </c>
      <c r="I55" s="990">
        <f>+'[1]GLOBAL 26'!I55</f>
        <v>139958.10000000003</v>
      </c>
      <c r="J55" s="991">
        <f>+'[1]GLOBAL 26'!J55</f>
        <v>7.9510205034185752E-2</v>
      </c>
      <c r="L55" s="990">
        <f>+'[1]GLOBAL 26'!L55</f>
        <v>55147.859999999986</v>
      </c>
      <c r="M55" s="991">
        <f>+'[1]GLOBAL 26'!M55</f>
        <v>2.4377568886002517E-2</v>
      </c>
      <c r="O55" s="990">
        <f>+'[1]GLOBAL 26'!O55</f>
        <v>72890.270000000033</v>
      </c>
      <c r="P55" s="991">
        <f>+'[1]GLOBAL 26'!P55</f>
        <v>5.322195846779363E-2</v>
      </c>
      <c r="R55" s="990">
        <f>+'[1]GLOBAL 26'!R55</f>
        <v>144404.39999999997</v>
      </c>
      <c r="S55" s="991">
        <f>+'[1]GLOBAL 26'!S55</f>
        <v>0.1021725676472342</v>
      </c>
      <c r="U55" s="990">
        <f>+'[1]GLOBAL 26'!U55</f>
        <v>128411.15</v>
      </c>
      <c r="V55" s="991">
        <f>+'[1]GLOBAL 26'!V55</f>
        <v>9.4240769263168017E-2</v>
      </c>
      <c r="X55" s="990">
        <f>+'[1]GLOBAL 26'!X55</f>
        <v>-22340.920000000056</v>
      </c>
      <c r="Y55" s="991">
        <f>+'[1]GLOBAL 26'!Y55</f>
        <v>-1.8882554628366067E-2</v>
      </c>
      <c r="AA55" s="990">
        <f>+'[1]GLOBAL 26'!AA55</f>
        <v>867908.08999999985</v>
      </c>
      <c r="AB55" s="991">
        <f>+'[1]GLOBAL 26'!AB55</f>
        <v>6.03534565602344E-2</v>
      </c>
    </row>
    <row r="56" spans="1:31">
      <c r="A56" s="980" t="s">
        <v>404</v>
      </c>
      <c r="C56" s="981">
        <f>+'[1]GLOBAL 26'!C56</f>
        <v>50000</v>
      </c>
      <c r="D56" s="973">
        <f>+'[1]GLOBAL 26'!D56</f>
        <v>1.6785107138415686E-2</v>
      </c>
      <c r="F56" s="981">
        <f>+'[1]GLOBAL 26'!F56</f>
        <v>0</v>
      </c>
      <c r="G56" s="973">
        <f>+'[1]GLOBAL 26'!G56</f>
        <v>0</v>
      </c>
      <c r="I56" s="981">
        <f>+'[1]GLOBAL 26'!I56</f>
        <v>0</v>
      </c>
      <c r="J56" s="973">
        <f>+'[1]GLOBAL 26'!J56</f>
        <v>0</v>
      </c>
      <c r="L56" s="981">
        <f>+'[1]GLOBAL 26'!L56</f>
        <v>0</v>
      </c>
      <c r="M56" s="973">
        <f>+'[1]GLOBAL 26'!M56</f>
        <v>0</v>
      </c>
      <c r="O56" s="981">
        <f>+'[1]GLOBAL 26'!O56</f>
        <v>0</v>
      </c>
      <c r="P56" s="973">
        <f>+'[1]GLOBAL 26'!P56</f>
        <v>0</v>
      </c>
      <c r="R56" s="981">
        <f>+'[1]GLOBAL 26'!R56</f>
        <v>0</v>
      </c>
      <c r="S56" s="973">
        <f>+'[1]GLOBAL 26'!S56</f>
        <v>0</v>
      </c>
      <c r="U56" s="981">
        <f>+'[1]GLOBAL 26'!U56</f>
        <v>0</v>
      </c>
      <c r="V56" s="973">
        <f>+'[1]GLOBAL 26'!V56</f>
        <v>0</v>
      </c>
      <c r="X56" s="981">
        <f>+'[1]GLOBAL 26'!X56</f>
        <v>0</v>
      </c>
      <c r="Y56" s="973">
        <f>+'[1]GLOBAL 26'!Y56</f>
        <v>0</v>
      </c>
      <c r="AA56" s="981">
        <f>+'[1]GLOBAL 26'!AA56</f>
        <v>50000</v>
      </c>
      <c r="AB56" s="973">
        <f>+'[1]GLOBAL 26'!AB56</f>
        <v>3.4769497632078997E-3</v>
      </c>
    </row>
    <row r="57" spans="1:31">
      <c r="A57" s="980" t="s">
        <v>405</v>
      </c>
      <c r="C57" s="981">
        <f>+'[1]GLOBAL 26'!C57</f>
        <v>49838</v>
      </c>
      <c r="D57" s="973">
        <f>+'[1]GLOBAL 26'!D57</f>
        <v>1.6730723391287217E-2</v>
      </c>
      <c r="F57" s="981">
        <f>+'[1]GLOBAL 26'!F57</f>
        <v>37521</v>
      </c>
      <c r="G57" s="973">
        <f>+'[1]GLOBAL 26'!G57</f>
        <v>1.8298730528678614E-2</v>
      </c>
      <c r="I57" s="981">
        <f>+'[1]GLOBAL 26'!I57</f>
        <v>34990</v>
      </c>
      <c r="J57" s="973">
        <f>+'[1]GLOBAL 26'!J57</f>
        <v>1.9877821106075024E-2</v>
      </c>
      <c r="L57" s="981">
        <f>+'[1]GLOBAL 26'!L57</f>
        <v>13787</v>
      </c>
      <c r="M57" s="973">
        <f>+'[1]GLOBAL 26'!M57</f>
        <v>6.0944076929062485E-3</v>
      </c>
      <c r="O57" s="981">
        <f>+'[1]GLOBAL 26'!O57</f>
        <v>18223</v>
      </c>
      <c r="P57" s="973">
        <f>+'[1]GLOBAL 26'!P57</f>
        <v>1.3305805413515451E-2</v>
      </c>
      <c r="R57" s="981">
        <f>+'[1]GLOBAL 26'!R57</f>
        <v>36101</v>
      </c>
      <c r="S57" s="973">
        <f>+'[1]GLOBAL 26'!S57</f>
        <v>2.5543071157338715E-2</v>
      </c>
      <c r="U57" s="981">
        <f>+'[1]GLOBAL 26'!U57</f>
        <v>32103</v>
      </c>
      <c r="V57" s="973">
        <f>+'[1]GLOBAL 26'!V57</f>
        <v>2.3560348269254523E-2</v>
      </c>
      <c r="X57" s="981">
        <f>+'[1]GLOBAL 26'!X57</f>
        <v>0</v>
      </c>
      <c r="Y57" s="973">
        <f>+'[1]GLOBAL 26'!Y57</f>
        <v>0</v>
      </c>
      <c r="AA57" s="981">
        <f>+'[1]GLOBAL 26'!AA57</f>
        <v>222563</v>
      </c>
      <c r="AB57" s="973">
        <f>+'[1]GLOBAL 26'!AB57</f>
        <v>1.5476807402976795E-2</v>
      </c>
    </row>
    <row r="58" spans="1:31" s="977" customFormat="1">
      <c r="A58" s="976" t="s">
        <v>406</v>
      </c>
      <c r="C58" s="978">
        <f>+'[1]GLOBAL 26'!C58</f>
        <v>99515.879999999888</v>
      </c>
      <c r="D58" s="979">
        <f>+'[1]GLOBAL 26'!D58</f>
        <v>3.3407694155474336E-2</v>
      </c>
      <c r="F58" s="978">
        <f>+'[1]GLOBAL 26'!F58</f>
        <v>112562.35</v>
      </c>
      <c r="G58" s="979">
        <f>+'[1]GLOBAL 26'!G58</f>
        <v>5.4895874585560285E-2</v>
      </c>
      <c r="I58" s="978">
        <f>+'[1]GLOBAL 26'!I58</f>
        <v>104968.10000000005</v>
      </c>
      <c r="J58" s="979">
        <f>+'[1]GLOBAL 26'!J58</f>
        <v>5.9632383928110738E-2</v>
      </c>
      <c r="L58" s="978">
        <f>+'[1]GLOBAL 26'!L58</f>
        <v>41360.859999999986</v>
      </c>
      <c r="M58" s="979">
        <f>+'[1]GLOBAL 26'!M58</f>
        <v>1.8283161193096267E-2</v>
      </c>
      <c r="O58" s="978">
        <f>+'[1]GLOBAL 26'!O58</f>
        <v>54667.270000000033</v>
      </c>
      <c r="P58" s="979">
        <f>+'[1]GLOBAL 26'!P58</f>
        <v>3.9916153054278182E-2</v>
      </c>
      <c r="R58" s="978">
        <f>+'[1]GLOBAL 26'!R58</f>
        <v>108303.39999999997</v>
      </c>
      <c r="S58" s="979">
        <f>+'[1]GLOBAL 26'!S58</f>
        <v>7.6629496489895491E-2</v>
      </c>
      <c r="U58" s="978">
        <f>+'[1]GLOBAL 26'!U58</f>
        <v>96308.15</v>
      </c>
      <c r="V58" s="979">
        <f>+'[1]GLOBAL 26'!V58</f>
        <v>7.0680420993913487E-2</v>
      </c>
      <c r="X58" s="978">
        <f>+'[1]GLOBAL 26'!X58</f>
        <v>-22340.920000000056</v>
      </c>
      <c r="Y58" s="979">
        <f>+'[1]GLOBAL 26'!Y58</f>
        <v>-1.8882554628366067E-2</v>
      </c>
      <c r="AA58" s="978">
        <f>+'[1]GLOBAL 26'!AA58</f>
        <v>595345.08999999985</v>
      </c>
      <c r="AB58" s="979">
        <f>+'[1]GLOBAL 26'!AB58</f>
        <v>4.1399699394049701E-2</v>
      </c>
    </row>
  </sheetData>
  <mergeCells count="9">
    <mergeCell ref="U4:V4"/>
    <mergeCell ref="X4:Y4"/>
    <mergeCell ref="AA4:AB4"/>
    <mergeCell ref="C4:D4"/>
    <mergeCell ref="F4:G4"/>
    <mergeCell ref="I4:J4"/>
    <mergeCell ref="L4:M4"/>
    <mergeCell ref="O4:P4"/>
    <mergeCell ref="R4:S4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48BE4-6948-C044-BB44-5812E04269E2}">
  <sheetPr codeName="Feuil25"/>
  <dimension ref="A1:AG58"/>
  <sheetViews>
    <sheetView topLeftCell="A15" zoomScale="50" zoomScaleNormal="60" workbookViewId="0">
      <selection activeCell="L45" sqref="L45"/>
    </sheetView>
  </sheetViews>
  <sheetFormatPr baseColWidth="10" defaultColWidth="10.83203125" defaultRowHeight="28"/>
  <cols>
    <col min="1" max="1" width="55.1640625" style="965" bestFit="1" customWidth="1"/>
    <col min="2" max="2" width="1.6640625" style="965" customWidth="1"/>
    <col min="3" max="3" width="15.6640625" style="965" customWidth="1"/>
    <col min="4" max="4" width="13.83203125" style="965" bestFit="1" customWidth="1"/>
    <col min="5" max="5" width="1.83203125" style="965" customWidth="1"/>
    <col min="6" max="6" width="15.6640625" style="965" bestFit="1" customWidth="1"/>
    <col min="7" max="7" width="13.83203125" style="965" bestFit="1" customWidth="1"/>
    <col min="8" max="8" width="1.83203125" style="965" customWidth="1"/>
    <col min="9" max="9" width="15.6640625" style="965" bestFit="1" customWidth="1"/>
    <col min="10" max="10" width="13.83203125" style="965" bestFit="1" customWidth="1"/>
    <col min="11" max="11" width="1.83203125" style="965" customWidth="1"/>
    <col min="12" max="12" width="15.6640625" style="965" bestFit="1" customWidth="1"/>
    <col min="13" max="13" width="13.83203125" style="965" bestFit="1" customWidth="1"/>
    <col min="14" max="14" width="1.83203125" style="965" customWidth="1"/>
    <col min="15" max="15" width="15.6640625" style="965" bestFit="1" customWidth="1"/>
    <col min="16" max="16" width="13.83203125" style="965" bestFit="1" customWidth="1"/>
    <col min="17" max="17" width="1.83203125" style="965" customWidth="1"/>
    <col min="18" max="18" width="15.6640625" style="965" bestFit="1" customWidth="1"/>
    <col min="19" max="19" width="13.83203125" style="965" bestFit="1" customWidth="1"/>
    <col min="20" max="20" width="1.83203125" style="965" customWidth="1"/>
    <col min="21" max="21" width="15.6640625" style="965" bestFit="1" customWidth="1"/>
    <col min="22" max="22" width="13.83203125" style="965" bestFit="1" customWidth="1"/>
    <col min="23" max="23" width="1.83203125" style="965" customWidth="1"/>
    <col min="24" max="24" width="15.6640625" style="965" bestFit="1" customWidth="1"/>
    <col min="25" max="25" width="13.83203125" style="965" bestFit="1" customWidth="1"/>
    <col min="26" max="26" width="1.83203125" style="965" customWidth="1"/>
    <col min="27" max="27" width="17.6640625" style="965" bestFit="1" customWidth="1"/>
    <col min="28" max="28" width="13.83203125" style="965" bestFit="1" customWidth="1"/>
    <col min="29" max="16384" width="10.83203125" style="965"/>
  </cols>
  <sheetData>
    <row r="1" spans="1:33" ht="29">
      <c r="A1" s="964" t="s">
        <v>343</v>
      </c>
    </row>
    <row r="2" spans="1:33">
      <c r="A2" s="964"/>
    </row>
    <row r="3" spans="1:33">
      <c r="A3" s="966" t="s">
        <v>344</v>
      </c>
    </row>
    <row r="4" spans="1:33">
      <c r="A4" s="967" t="s">
        <v>37</v>
      </c>
      <c r="C4" s="1734" t="s">
        <v>421</v>
      </c>
      <c r="D4" s="1735"/>
      <c r="F4" s="1734" t="s">
        <v>422</v>
      </c>
      <c r="G4" s="1735"/>
      <c r="I4" s="1734" t="s">
        <v>423</v>
      </c>
      <c r="J4" s="1735"/>
      <c r="L4" s="1734" t="s">
        <v>424</v>
      </c>
      <c r="M4" s="1735"/>
      <c r="O4" s="1734" t="s">
        <v>425</v>
      </c>
      <c r="P4" s="1735"/>
      <c r="R4" s="1734" t="s">
        <v>426</v>
      </c>
      <c r="S4" s="1735"/>
      <c r="U4" s="1734" t="s">
        <v>427</v>
      </c>
      <c r="V4" s="1735"/>
      <c r="X4" s="1734" t="s">
        <v>428</v>
      </c>
      <c r="Y4" s="1735"/>
      <c r="AA4" s="1734" t="s">
        <v>37</v>
      </c>
      <c r="AB4" s="1735"/>
    </row>
    <row r="5" spans="1:33" ht="29">
      <c r="A5" s="968"/>
      <c r="C5" s="969">
        <v>2025</v>
      </c>
      <c r="D5" s="970" t="s">
        <v>36</v>
      </c>
      <c r="F5" s="969">
        <v>2025</v>
      </c>
      <c r="G5" s="970" t="s">
        <v>36</v>
      </c>
      <c r="I5" s="969">
        <v>2025</v>
      </c>
      <c r="J5" s="970" t="s">
        <v>36</v>
      </c>
      <c r="L5" s="969">
        <v>2025</v>
      </c>
      <c r="M5" s="970" t="s">
        <v>36</v>
      </c>
      <c r="O5" s="969">
        <v>2025</v>
      </c>
      <c r="P5" s="970" t="s">
        <v>36</v>
      </c>
      <c r="R5" s="969">
        <v>2025</v>
      </c>
      <c r="S5" s="970" t="s">
        <v>36</v>
      </c>
      <c r="U5" s="969">
        <v>2025</v>
      </c>
      <c r="V5" s="970" t="s">
        <v>36</v>
      </c>
      <c r="X5" s="969">
        <v>2025</v>
      </c>
      <c r="Y5" s="970" t="s">
        <v>36</v>
      </c>
      <c r="AA5" s="969">
        <v>2025</v>
      </c>
      <c r="AB5" s="970" t="s">
        <v>36</v>
      </c>
    </row>
    <row r="6" spans="1:33">
      <c r="A6" s="971" t="s">
        <v>354</v>
      </c>
      <c r="C6" s="972">
        <f>+'[1]GLOBAL PREV'!C6</f>
        <v>3178057.9917321205</v>
      </c>
      <c r="D6" s="973">
        <f>+'[1]GLOBAL PREV'!D6</f>
        <v>1.0155114532087528</v>
      </c>
      <c r="F6" s="972">
        <f>+'[1]GLOBAL PREV'!F6</f>
        <v>2165514.844887191</v>
      </c>
      <c r="G6" s="973">
        <f>+'[1]GLOBAL PREV'!G6</f>
        <v>1.0216394814943193</v>
      </c>
      <c r="I6" s="972">
        <f>+'[1]GLOBAL PREV'!I6</f>
        <v>1861531</v>
      </c>
      <c r="J6" s="973">
        <f>+'[1]GLOBAL PREV'!J6</f>
        <v>1.0103917317490143</v>
      </c>
      <c r="L6" s="972">
        <f>+'[1]GLOBAL PREV'!L6</f>
        <v>2370662.447580866</v>
      </c>
      <c r="M6" s="974">
        <f>+'[1]GLOBAL PREV'!M6</f>
        <v>1.0185378293703673</v>
      </c>
      <c r="O6" s="972">
        <f>+'[1]GLOBAL PREV'!O6</f>
        <v>1457379.5</v>
      </c>
      <c r="P6" s="974">
        <f>+'[1]GLOBAL PREV'!P6</f>
        <v>1.0106175040801828</v>
      </c>
      <c r="R6" s="972">
        <f>+'[1]GLOBAL PREV'!R6</f>
        <v>1496719</v>
      </c>
      <c r="S6" s="974">
        <f>+'[1]GLOBAL PREV'!S6</f>
        <v>1.0100558375172279</v>
      </c>
      <c r="U6" s="972">
        <f>+'[1]GLOBAL PREV'!U6</f>
        <v>1447178.5</v>
      </c>
      <c r="V6" s="974">
        <f>+'[1]GLOBAL PREV'!V6</f>
        <v>1.0096128466668417</v>
      </c>
      <c r="X6" s="972">
        <f>+'[1]GLOBAL PREV'!X6</f>
        <v>1268560</v>
      </c>
      <c r="Y6" s="975">
        <f>+'[1]GLOBAL PREV'!Y6</f>
        <v>1.0144039475592028</v>
      </c>
      <c r="AA6" s="972">
        <f>+'[1]GLOBAL PREV'!AA6</f>
        <v>15245603.284200178</v>
      </c>
      <c r="AB6" s="973">
        <f>+'[1]GLOBAL PREV'!AB6</f>
        <v>1.0126398142661706</v>
      </c>
    </row>
    <row r="7" spans="1:33" s="977" customFormat="1">
      <c r="A7" s="976" t="s">
        <v>355</v>
      </c>
      <c r="C7" s="978">
        <f>+'[1]GLOBAL PREV'!C7</f>
        <v>3136262</v>
      </c>
      <c r="D7" s="979">
        <f>+'[1]GLOBAL PREV'!D7</f>
        <v>1</v>
      </c>
      <c r="F7" s="978">
        <f>+'[1]GLOBAL PREV'!F7</f>
        <v>2128245</v>
      </c>
      <c r="G7" s="979">
        <f>+'[1]GLOBAL PREV'!G7</f>
        <v>1</v>
      </c>
      <c r="I7" s="978">
        <f>+'[1]GLOBAL PREV'!I7</f>
        <v>1843100</v>
      </c>
      <c r="J7" s="979">
        <f>+'[1]GLOBAL PREV'!J7</f>
        <v>1</v>
      </c>
      <c r="L7" s="978">
        <f>+'[1]GLOBAL PREV'!L7</f>
        <v>2334000</v>
      </c>
      <c r="M7" s="979">
        <f>+'[1]GLOBAL PREV'!M7</f>
        <v>1</v>
      </c>
      <c r="O7" s="978">
        <f>+'[1]GLOBAL PREV'!O7</f>
        <v>1442950</v>
      </c>
      <c r="P7" s="979">
        <f>+'[1]GLOBAL PREV'!P7</f>
        <v>1</v>
      </c>
      <c r="R7" s="978">
        <f>+'[1]GLOBAL PREV'!R7</f>
        <v>1481900</v>
      </c>
      <c r="S7" s="979">
        <f>+'[1]GLOBAL PREV'!S7</f>
        <v>1</v>
      </c>
      <c r="U7" s="978">
        <f>+'[1]GLOBAL PREV'!U7</f>
        <v>1432850</v>
      </c>
      <c r="V7" s="979">
        <f>+'[1]GLOBAL PREV'!V7</f>
        <v>1</v>
      </c>
      <c r="X7" s="978">
        <f>+'[1]GLOBAL PREV'!X7</f>
        <v>1256000</v>
      </c>
      <c r="Y7" s="979">
        <f>+'[1]GLOBAL PREV'!Y7</f>
        <v>1</v>
      </c>
      <c r="AA7" s="978">
        <f>+'[1]GLOBAL PREV'!AA7</f>
        <v>15055307</v>
      </c>
      <c r="AB7" s="979">
        <f>+'[1]GLOBAL PREV'!AB7</f>
        <v>1</v>
      </c>
    </row>
    <row r="8" spans="1:33">
      <c r="A8" s="980" t="s">
        <v>356</v>
      </c>
      <c r="C8" s="981">
        <f>+'[1]GLOBAL PREV'!C8</f>
        <v>647638.103</v>
      </c>
      <c r="D8" s="973">
        <f>+'[1]GLOBAL PREV'!D8</f>
        <v>0.20500618841722534</v>
      </c>
      <c r="F8" s="981">
        <f>+'[1]GLOBAL PREV'!F8</f>
        <v>437354.34749999992</v>
      </c>
      <c r="G8" s="973">
        <f>+'[1]GLOBAL PREV'!G8</f>
        <v>0.20446645281749556</v>
      </c>
      <c r="I8" s="981">
        <f>+'[1]GLOBAL PREV'!I8</f>
        <v>377835.5</v>
      </c>
      <c r="J8" s="973">
        <f>+'[1]GLOBAL PREV'!J8</f>
        <v>0.20273603919808611</v>
      </c>
      <c r="L8" s="981">
        <f>+'[1]GLOBAL PREV'!L8</f>
        <v>481971</v>
      </c>
      <c r="M8" s="973">
        <f>+'[1]GLOBAL PREV'!M8</f>
        <v>0.20084935453008437</v>
      </c>
      <c r="O8" s="981">
        <f>+'[1]GLOBAL PREV'!O8</f>
        <v>303019.5</v>
      </c>
      <c r="P8" s="973">
        <f>+'[1]GLOBAL PREV'!P8</f>
        <v>0.20883037735455459</v>
      </c>
      <c r="R8" s="981">
        <f>+'[1]GLOBAL PREV'!R8</f>
        <v>306753.3</v>
      </c>
      <c r="S8" s="973">
        <f>+'[1]GLOBAL PREV'!S8</f>
        <v>0.20716896033672108</v>
      </c>
      <c r="U8" s="981">
        <f>+'[1]GLOBAL PREV'!U8</f>
        <v>300898.5</v>
      </c>
      <c r="V8" s="973">
        <f>+'[1]GLOBAL PREV'!V8</f>
        <v>0.20991192944691772</v>
      </c>
      <c r="X8" s="981">
        <f>+'[1]GLOBAL PREV'!X8</f>
        <v>259991.99999999997</v>
      </c>
      <c r="Y8" s="973">
        <f>+'[1]GLOBAL PREV'!Y8</f>
        <v>0.20764564060210899</v>
      </c>
      <c r="AA8" s="981">
        <f>+'[1]GLOBAL PREV'!AA8</f>
        <v>3115462.2504999996</v>
      </c>
      <c r="AB8" s="973">
        <f>+'[1]GLOBAL PREV'!AB8</f>
        <v>0.20693448831697683</v>
      </c>
    </row>
    <row r="9" spans="1:33">
      <c r="A9" s="980" t="s">
        <v>357</v>
      </c>
      <c r="C9" s="981">
        <f>+'[1]GLOBAL PREV'!C9</f>
        <v>14740.431399999999</v>
      </c>
      <c r="D9" s="973">
        <f>+'[1]GLOBAL PREV'!D9</f>
        <v>4.3829070338545374E-3</v>
      </c>
      <c r="F9" s="981">
        <f>+'[1]GLOBAL PREV'!F9</f>
        <v>9577.1024999999991</v>
      </c>
      <c r="G9" s="973">
        <f>+'[1]GLOBAL PREV'!G9</f>
        <v>3.9241488870081602E-3</v>
      </c>
      <c r="I9" s="981">
        <f>+'[1]GLOBAL PREV'!I9</f>
        <v>9215.5</v>
      </c>
      <c r="J9" s="973">
        <f>+'[1]GLOBAL PREV'!J9</f>
        <v>4.5001534977957636E-3</v>
      </c>
      <c r="L9" s="981">
        <f>+'[1]GLOBAL PREV'!L9</f>
        <v>11670</v>
      </c>
      <c r="M9" s="973">
        <f>+'[1]GLOBAL PREV'!M9</f>
        <v>4.9885337213585431E-3</v>
      </c>
      <c r="O9" s="981">
        <f>+'[1]GLOBAL PREV'!O9</f>
        <v>7214.75</v>
      </c>
      <c r="P9" s="973">
        <f>+'[1]GLOBAL PREV'!P9</f>
        <v>4.4634431228879369E-3</v>
      </c>
      <c r="R9" s="981">
        <f>+'[1]GLOBAL PREV'!R9</f>
        <v>6668.55</v>
      </c>
      <c r="S9" s="973">
        <f>+'[1]GLOBAL PREV'!S9</f>
        <v>3.9153825502793466E-3</v>
      </c>
      <c r="U9" s="981">
        <f>+'[1]GLOBAL PREV'!U9</f>
        <v>7164.25</v>
      </c>
      <c r="V9" s="973">
        <f>+'[1]GLOBAL PREV'!V9</f>
        <v>5.2560867040191226E-3</v>
      </c>
      <c r="X9" s="981">
        <f>+'[1]GLOBAL PREV'!X9</f>
        <v>7536</v>
      </c>
      <c r="Y9" s="973">
        <f>+'[1]GLOBAL PREV'!Y9</f>
        <v>6.1279818511807476E-3</v>
      </c>
      <c r="AA9" s="981">
        <f>+'[1]GLOBAL PREV'!AA9</f>
        <v>73786.583899999998</v>
      </c>
      <c r="AB9" s="973">
        <f>+'[1]GLOBAL PREV'!AB9</f>
        <v>4.9010348244642237E-3</v>
      </c>
    </row>
    <row r="10" spans="1:33">
      <c r="A10" s="980" t="s">
        <v>358</v>
      </c>
      <c r="C10" s="981">
        <f>+'[1]GLOBAL PREV'!C10</f>
        <v>15681.31</v>
      </c>
      <c r="D10" s="973">
        <f>+'[1]GLOBAL PREV'!D10</f>
        <v>5.8050789484996486E-3</v>
      </c>
      <c r="F10" s="981">
        <f>+'[1]GLOBAL PREV'!F10</f>
        <v>11705.3475</v>
      </c>
      <c r="G10" s="973">
        <f>+'[1]GLOBAL PREV'!G10</f>
        <v>4.9583800077924569E-3</v>
      </c>
      <c r="I10" s="981">
        <f>+'[1]GLOBAL PREV'!I10</f>
        <v>9215.5</v>
      </c>
      <c r="J10" s="973">
        <f>+'[1]GLOBAL PREV'!J10</f>
        <v>3.028558463878798E-3</v>
      </c>
      <c r="L10" s="981">
        <f>+'[1]GLOBAL PREV'!L10</f>
        <v>14004</v>
      </c>
      <c r="M10" s="973">
        <f>+'[1]GLOBAL PREV'!M10</f>
        <v>6.5205211464299181E-3</v>
      </c>
      <c r="O10" s="981">
        <f>+'[1]GLOBAL PREV'!O10</f>
        <v>7214.75</v>
      </c>
      <c r="P10" s="973">
        <f>+'[1]GLOBAL PREV'!P10</f>
        <v>4.7138971817635295E-3</v>
      </c>
      <c r="R10" s="981">
        <f>+'[1]GLOBAL PREV'!R10</f>
        <v>8150.4499999999989</v>
      </c>
      <c r="S10" s="973">
        <f>+'[1]GLOBAL PREV'!S10</f>
        <v>4.6840378842922014E-3</v>
      </c>
      <c r="U10" s="981">
        <f>+'[1]GLOBAL PREV'!U10</f>
        <v>7164.25</v>
      </c>
      <c r="V10" s="982">
        <f>+'[1]GLOBAL PREV'!V10</f>
        <v>3.8606224603941869E-3</v>
      </c>
      <c r="X10" s="981">
        <f>+'[1]GLOBAL PREV'!X10</f>
        <v>8792</v>
      </c>
      <c r="Y10" s="973">
        <f>+'[1]GLOBAL PREV'!Y10</f>
        <v>5.4952056640936104E-3</v>
      </c>
      <c r="AA10" s="981">
        <f>+'[1]GLOBAL PREV'!AA10</f>
        <v>81927.607499999998</v>
      </c>
      <c r="AB10" s="973">
        <f>+'[1]GLOBAL PREV'!AB10</f>
        <v>5.4417759465150723E-3</v>
      </c>
    </row>
    <row r="11" spans="1:33">
      <c r="A11" s="980" t="s">
        <v>359</v>
      </c>
      <c r="C11" s="981">
        <f>+'[1]GLOBAL PREV'!C11</f>
        <v>62725.24</v>
      </c>
      <c r="D11" s="973">
        <f>+'[1]GLOBAL PREV'!D11</f>
        <v>2.0878481145196835E-2</v>
      </c>
      <c r="F11" s="981">
        <f>+'[1]GLOBAL PREV'!F11</f>
        <v>41500.777500000004</v>
      </c>
      <c r="G11" s="973">
        <f>+'[1]GLOBAL PREV'!G11</f>
        <v>1.8812066468015962E-2</v>
      </c>
      <c r="I11" s="981">
        <f>+'[1]GLOBAL PREV'!I11</f>
        <v>35018.899999999994</v>
      </c>
      <c r="J11" s="973">
        <f>+'[1]GLOBAL PREV'!J11</f>
        <v>1.7963323903232131E-2</v>
      </c>
      <c r="L11" s="981">
        <f>+'[1]GLOBAL PREV'!L11</f>
        <v>49014</v>
      </c>
      <c r="M11" s="973">
        <f>+'[1]GLOBAL PREV'!M11</f>
        <v>1.9815391740255928E-2</v>
      </c>
      <c r="O11" s="981">
        <f>+'[1]GLOBAL PREV'!O11</f>
        <v>29580.474999999999</v>
      </c>
      <c r="P11" s="973">
        <f>+'[1]GLOBAL PREV'!P11</f>
        <v>1.979810822449846E-2</v>
      </c>
      <c r="R11" s="981">
        <f>+'[1]GLOBAL PREV'!R11</f>
        <v>30378.950000000004</v>
      </c>
      <c r="S11" s="973">
        <f>+'[1]GLOBAL PREV'!S11</f>
        <v>2.0388487746815204E-2</v>
      </c>
      <c r="U11" s="981">
        <f>+'[1]GLOBAL PREV'!U11</f>
        <v>28657</v>
      </c>
      <c r="V11" s="973">
        <f>+'[1]GLOBAL PREV'!V11</f>
        <v>1.8495933874909925E-2</v>
      </c>
      <c r="X11" s="981">
        <f>+'[1]GLOBAL PREV'!X11</f>
        <v>25120</v>
      </c>
      <c r="Y11" s="973">
        <f>+'[1]GLOBAL PREV'!Y11</f>
        <v>1.8600004133029983E-2</v>
      </c>
      <c r="AA11" s="981">
        <f>+'[1]GLOBAL PREV'!AA11</f>
        <v>301995.34250000003</v>
      </c>
      <c r="AB11" s="973">
        <f>+'[1]GLOBAL PREV'!AB11</f>
        <v>2.0059062395738594E-2</v>
      </c>
    </row>
    <row r="12" spans="1:33">
      <c r="A12" s="980" t="s">
        <v>360</v>
      </c>
      <c r="C12" s="981">
        <f>+'[1]GLOBAL PREV'!C12</f>
        <v>4583.333333333333</v>
      </c>
      <c r="D12" s="973">
        <f>+'[1]GLOBAL PREV'!D12</f>
        <v>8.2244675063237473E-4</v>
      </c>
      <c r="F12" s="981">
        <f>+'[1]GLOBAL PREV'!F12</f>
        <v>3333.333333333333</v>
      </c>
      <c r="G12" s="973">
        <f>+'[1]GLOBAL PREV'!G12</f>
        <v>1.2039385446101431E-3</v>
      </c>
      <c r="I12" s="981">
        <f>+'[1]GLOBAL PREV'!I12</f>
        <v>2708.333333333333</v>
      </c>
      <c r="J12" s="973">
        <f>+'[1]GLOBAL PREV'!J12</f>
        <v>7.9327788104858468E-4</v>
      </c>
      <c r="L12" s="981">
        <f>+'[1]GLOBAL PREV'!L12</f>
        <v>3541.666666666667</v>
      </c>
      <c r="M12" s="973">
        <f>+'[1]GLOBAL PREV'!M12</f>
        <v>1.333042830433717E-3</v>
      </c>
      <c r="O12" s="981">
        <f>+'[1]GLOBAL PREV'!O12</f>
        <v>1689.9</v>
      </c>
      <c r="P12" s="973">
        <f>+'[1]GLOBAL PREV'!P12</f>
        <v>6.0873165314128828E-4</v>
      </c>
      <c r="R12" s="981">
        <f>+'[1]GLOBAL PREV'!R12</f>
        <v>2125</v>
      </c>
      <c r="S12" s="973">
        <f>+'[1]GLOBAL PREV'!S12</f>
        <v>8.9254641070463624E-4</v>
      </c>
      <c r="U12" s="981">
        <f>+'[1]GLOBAL PREV'!U12</f>
        <v>1875</v>
      </c>
      <c r="V12" s="973">
        <f>+'[1]GLOBAL PREV'!V12</f>
        <v>1.0178807286559685E-3</v>
      </c>
      <c r="X12" s="981">
        <f>+'[1]GLOBAL PREV'!X12</f>
        <v>1666.6666666666665</v>
      </c>
      <c r="Y12" s="973">
        <f>+'[1]GLOBAL PREV'!Y12</f>
        <v>1.0444225922575333E-3</v>
      </c>
      <c r="AA12" s="981">
        <f>+'[1]GLOBAL PREV'!AA12</f>
        <v>21523.233333333334</v>
      </c>
      <c r="AB12" s="973">
        <f>+'[1]GLOBAL PREV'!AB12</f>
        <v>1.4296110556452507E-3</v>
      </c>
    </row>
    <row r="13" spans="1:33" s="977" customFormat="1">
      <c r="A13" s="976" t="s">
        <v>361</v>
      </c>
      <c r="C13" s="978">
        <f>+'[1]GLOBAL PREV'!C13</f>
        <v>2390893.5822666665</v>
      </c>
      <c r="D13" s="979">
        <f>+'[1]GLOBAL PREV'!D13</f>
        <v>0.76310489770459122</v>
      </c>
      <c r="F13" s="978">
        <f>+'[1]GLOBAL PREV'!F13</f>
        <v>1624774.0916666666</v>
      </c>
      <c r="G13" s="979">
        <f>+'[1]GLOBAL PREV'!G13</f>
        <v>0.76663501327507755</v>
      </c>
      <c r="I13" s="978">
        <f>+'[1]GLOBAL PREV'!I13</f>
        <v>1409106.2666666666</v>
      </c>
      <c r="J13" s="979">
        <f>+'[1]GLOBAL PREV'!J13</f>
        <v>0.77097864705595864</v>
      </c>
      <c r="L13" s="978">
        <f>+'[1]GLOBAL PREV'!L13</f>
        <v>1773799.3333333335</v>
      </c>
      <c r="M13" s="979">
        <f>+'[1]GLOBAL PREV'!M13</f>
        <v>0.76649315603143753</v>
      </c>
      <c r="O13" s="978">
        <f>+'[1]GLOBAL PREV'!O13</f>
        <v>1093808.1499999999</v>
      </c>
      <c r="P13" s="979">
        <f>+'[1]GLOBAL PREV'!P13</f>
        <v>0.76158544246315418</v>
      </c>
      <c r="R13" s="978">
        <f>+'[1]GLOBAL PREV'!R13</f>
        <v>1127823.75</v>
      </c>
      <c r="S13" s="979">
        <f>+'[1]GLOBAL PREV'!S13</f>
        <v>0.76295058507118751</v>
      </c>
      <c r="U13" s="978">
        <f>+'[1]GLOBAL PREV'!U13</f>
        <v>1087091</v>
      </c>
      <c r="V13" s="979">
        <f>+'[1]GLOBAL PREV'!V13</f>
        <v>0.76145754678510302</v>
      </c>
      <c r="X13" s="978">
        <f>+'[1]GLOBAL PREV'!X13</f>
        <v>952893.33333333326</v>
      </c>
      <c r="Y13" s="979">
        <f>+'[1]GLOBAL PREV'!Y13</f>
        <v>0.76108674515732933</v>
      </c>
      <c r="AA13" s="978">
        <f>+'[1]GLOBAL PREV'!AA13</f>
        <v>11460189.507266667</v>
      </c>
      <c r="AB13" s="979">
        <f>+'[1]GLOBAL PREV'!AB13</f>
        <v>0.76120596592727507</v>
      </c>
      <c r="AG13" s="983"/>
    </row>
    <row r="14" spans="1:33">
      <c r="A14" s="980" t="s">
        <v>362</v>
      </c>
      <c r="C14" s="981">
        <f>+'[1]GLOBAL PREV'!C14</f>
        <v>488303.0517525773</v>
      </c>
      <c r="D14" s="973">
        <f>+'[1]GLOBAL PREV'!D14</f>
        <v>0.15693315144767436</v>
      </c>
      <c r="F14" s="981">
        <f>+'[1]GLOBAL PREV'!F14</f>
        <v>343127.79639175255</v>
      </c>
      <c r="G14" s="973">
        <f>+'[1]GLOBAL PREV'!G14</f>
        <v>0.16177515506431839</v>
      </c>
      <c r="I14" s="981">
        <f>+'[1]GLOBAL PREV'!I14</f>
        <v>291648.78723404254</v>
      </c>
      <c r="J14" s="973">
        <f>+'[1]GLOBAL PREV'!J14</f>
        <v>0.16235416324658591</v>
      </c>
      <c r="L14" s="981">
        <f>+'[1]GLOBAL PREV'!L14</f>
        <v>373568.04123711342</v>
      </c>
      <c r="M14" s="973">
        <f>+'[1]GLOBAL PREV'!M14</f>
        <v>0.1620108263680439</v>
      </c>
      <c r="O14" s="981">
        <f>+'[1]GLOBAL PREV'!O14</f>
        <v>227450.86702127659</v>
      </c>
      <c r="P14" s="973">
        <f>+'[1]GLOBAL PREV'!P14</f>
        <v>0.15250840644985242</v>
      </c>
      <c r="R14" s="981">
        <f>+'[1]GLOBAL PREV'!R14</f>
        <v>234199.47368421053</v>
      </c>
      <c r="S14" s="973">
        <f>+'[1]GLOBAL PREV'!S14</f>
        <v>0.15541679912198231</v>
      </c>
      <c r="U14" s="981">
        <f>+'[1]GLOBAL PREV'!U14</f>
        <v>223124.23404255317</v>
      </c>
      <c r="V14" s="973">
        <f>+'[1]GLOBAL PREV'!V14</f>
        <v>0.16616377607351995</v>
      </c>
      <c r="X14" s="981">
        <f>+'[1]GLOBAL PREV'!X14</f>
        <v>210263.97849462368</v>
      </c>
      <c r="Y14" s="973">
        <f>+'[1]GLOBAL PREV'!Y14</f>
        <v>0.16334900856090812</v>
      </c>
      <c r="AA14" s="981">
        <f>+'[1]GLOBAL PREV'!AA14</f>
        <v>2391686.2298581498</v>
      </c>
      <c r="AB14" s="973">
        <f>+'[1]GLOBAL PREV'!AB14</f>
        <v>0.15886001061673136</v>
      </c>
    </row>
    <row r="15" spans="1:33">
      <c r="A15" s="980" t="s">
        <v>363</v>
      </c>
      <c r="C15" s="981">
        <f>+'[1]GLOBAL PREV'!C15</f>
        <v>85435.328270522863</v>
      </c>
      <c r="D15" s="973">
        <f>+'[1]GLOBAL PREV'!D15</f>
        <v>3.3242874474439417E-2</v>
      </c>
      <c r="F15" s="981">
        <f>+'[1]GLOBAL PREV'!F15</f>
        <v>56683.744420103096</v>
      </c>
      <c r="G15" s="973">
        <f>+'[1]GLOBAL PREV'!G15</f>
        <v>2.9078887670301128E-2</v>
      </c>
      <c r="I15" s="981">
        <f>+'[1]GLOBAL PREV'!I15</f>
        <v>46858.605738297876</v>
      </c>
      <c r="J15" s="973">
        <f>+'[1]GLOBAL PREV'!J15</f>
        <v>2.7593284600536099E-2</v>
      </c>
      <c r="L15" s="981">
        <f>+'[1]GLOBAL PREV'!L15</f>
        <v>61969.810412371131</v>
      </c>
      <c r="M15" s="973">
        <f>+'[1]GLOBAL PREV'!M15</f>
        <v>2.8244363814452771E-2</v>
      </c>
      <c r="O15" s="981">
        <f>+'[1]GLOBAL PREV'!O15</f>
        <v>35037.355212765957</v>
      </c>
      <c r="P15" s="973">
        <f>+'[1]GLOBAL PREV'!P15</f>
        <v>2.6239854378134603E-2</v>
      </c>
      <c r="R15" s="981">
        <f>+'[1]GLOBAL PREV'!R15</f>
        <v>37131.497684210532</v>
      </c>
      <c r="S15" s="973">
        <f>+'[1]GLOBAL PREV'!S15</f>
        <v>2.791665720620443E-2</v>
      </c>
      <c r="U15" s="981">
        <f>+'[1]GLOBAL PREV'!U15</f>
        <v>39160.1407893617</v>
      </c>
      <c r="V15" s="973">
        <f>+'[1]GLOBAL PREV'!V15</f>
        <v>2.88136975313198E-2</v>
      </c>
      <c r="X15" s="981">
        <f>+'[1]GLOBAL PREV'!X15</f>
        <v>30862.631720430109</v>
      </c>
      <c r="Y15" s="973">
        <f>+'[1]GLOBAL PREV'!Y15</f>
        <v>2.716709912049714E-2</v>
      </c>
      <c r="AA15" s="981">
        <f>+'[1]GLOBAL PREV'!AA15</f>
        <v>393139.1142480633</v>
      </c>
      <c r="AB15" s="973">
        <f>+'[1]GLOBAL PREV'!AB15</f>
        <v>2.6112992199233354E-2</v>
      </c>
    </row>
    <row r="16" spans="1:33">
      <c r="A16" s="980" t="s">
        <v>364</v>
      </c>
      <c r="C16" s="981">
        <f>+'[1]GLOBAL PREV'!C16</f>
        <v>114018.44916666666</v>
      </c>
      <c r="D16" s="973">
        <f>+'[1]GLOBAL PREV'!D16</f>
        <v>3.9543691491207886E-2</v>
      </c>
      <c r="F16" s="981">
        <f>+'[1]GLOBAL PREV'!F16</f>
        <v>89204.85000000002</v>
      </c>
      <c r="G16" s="973">
        <f>+'[1]GLOBAL PREV'!G16</f>
        <v>3.3558138528534807E-2</v>
      </c>
      <c r="I16" s="981">
        <f>+'[1]GLOBAL PREV'!I16</f>
        <v>91149.85000000002</v>
      </c>
      <c r="J16" s="973">
        <f>+'[1]GLOBAL PREV'!J16</f>
        <v>4.73203319506365E-2</v>
      </c>
      <c r="L16" s="981">
        <f>+'[1]GLOBAL PREV'!L16</f>
        <v>89204.85000000002</v>
      </c>
      <c r="M16" s="973">
        <f>+'[1]GLOBAL PREV'!M16</f>
        <v>3.5855924064643795E-2</v>
      </c>
      <c r="O16" s="981">
        <f>+'[1]GLOBAL PREV'!O16</f>
        <v>86685.149679765309</v>
      </c>
      <c r="P16" s="973">
        <f>+'[1]GLOBAL PREV'!P16</f>
        <v>5.9952755227205327E-2</v>
      </c>
      <c r="R16" s="981">
        <f>+'[1]GLOBAL PREV'!R16</f>
        <v>74400.600000000006</v>
      </c>
      <c r="S16" s="973">
        <f>+'[1]GLOBAL PREV'!S16</f>
        <v>4.7977622512125138E-2</v>
      </c>
      <c r="U16" s="981">
        <f>+'[1]GLOBAL PREV'!U16</f>
        <v>75975.708999999973</v>
      </c>
      <c r="V16" s="973">
        <f>+'[1]GLOBAL PREV'!V16</f>
        <v>5.0001564304966377E-2</v>
      </c>
      <c r="X16" s="981">
        <f>+'[1]GLOBAL PREV'!X16</f>
        <v>77110.69</v>
      </c>
      <c r="Y16" s="973">
        <f>+'[1]GLOBAL PREV'!Y16</f>
        <v>5.6684345582667856E-2</v>
      </c>
      <c r="AA16" s="981">
        <f>+'[1]GLOBAL PREV'!AA16</f>
        <v>697750.14784643194</v>
      </c>
      <c r="AB16" s="973">
        <f>+'[1]GLOBAL PREV'!AB16</f>
        <v>4.6345793403378084E-2</v>
      </c>
    </row>
    <row r="17" spans="1:28">
      <c r="A17" s="980" t="s">
        <v>365</v>
      </c>
      <c r="C17" s="981">
        <f>+'[1]GLOBAL PREV'!C17</f>
        <v>43416.639381009976</v>
      </c>
      <c r="D17" s="973">
        <f>+'[1]GLOBAL PREV'!D17</f>
        <v>1.5299118246430316E-2</v>
      </c>
      <c r="F17" s="981">
        <f>+'[1]GLOBAL PREV'!F17</f>
        <v>30124.477845000009</v>
      </c>
      <c r="G17" s="973">
        <f>+'[1]GLOBAL PREV'!G17</f>
        <v>1.2053196912975239E-2</v>
      </c>
      <c r="I17" s="981">
        <f>+'[1]GLOBAL PREV'!I17</f>
        <v>31324.557451000008</v>
      </c>
      <c r="J17" s="973">
        <f>+'[1]GLOBAL PREV'!J17</f>
        <v>1.6478548947918739E-2</v>
      </c>
      <c r="L17" s="981">
        <f>+'[1]GLOBAL PREV'!L17</f>
        <v>30097.716390000009</v>
      </c>
      <c r="M17" s="973">
        <f>+'[1]GLOBAL PREV'!M17</f>
        <v>1.3562875122739635E-2</v>
      </c>
      <c r="O17" s="981">
        <f>+'[1]GLOBAL PREV'!O17</f>
        <v>24330.880603602691</v>
      </c>
      <c r="P17" s="973">
        <f>+'[1]GLOBAL PREV'!P17</f>
        <v>2.0081784812393144E-2</v>
      </c>
      <c r="R17" s="981">
        <f>+'[1]GLOBAL PREV'!R17</f>
        <v>26665.004800000002</v>
      </c>
      <c r="S17" s="973">
        <f>+'[1]GLOBAL PREV'!S17</f>
        <v>1.6741434447961279E-2</v>
      </c>
      <c r="U17" s="981">
        <f>+'[1]GLOBAL PREV'!U17</f>
        <v>22851.973753019996</v>
      </c>
      <c r="V17" s="973">
        <f>+'[1]GLOBAL PREV'!V17</f>
        <v>1.9398056769951915E-2</v>
      </c>
      <c r="X17" s="981">
        <f>+'[1]GLOBAL PREV'!X17</f>
        <v>24135.135969999996</v>
      </c>
      <c r="Y17" s="973">
        <f>+'[1]GLOBAL PREV'!Y17</f>
        <v>1.9606418063082123E-2</v>
      </c>
      <c r="AA17" s="981">
        <f>+'[1]GLOBAL PREV'!AA17</f>
        <v>232946.38619363267</v>
      </c>
      <c r="AB17" s="973">
        <f>+'[1]GLOBAL PREV'!AB17</f>
        <v>1.5472709137955983E-2</v>
      </c>
    </row>
    <row r="18" spans="1:28">
      <c r="A18" s="980" t="s">
        <v>366</v>
      </c>
      <c r="C18" s="981">
        <f>+'[1]GLOBAL PREV'!C18</f>
        <v>-834</v>
      </c>
      <c r="D18" s="973">
        <f>+'[1]GLOBAL PREV'!D18</f>
        <v>-9.2782701026877616E-4</v>
      </c>
      <c r="F18" s="981">
        <f>+'[1]GLOBAL PREV'!F18</f>
        <v>0</v>
      </c>
      <c r="G18" s="973">
        <f>+'[1]GLOBAL PREV'!G18</f>
        <v>0</v>
      </c>
      <c r="I18" s="981">
        <f>+'[1]GLOBAL PREV'!I18</f>
        <v>-200</v>
      </c>
      <c r="J18" s="973">
        <f>+'[1]GLOBAL PREV'!J18</f>
        <v>-4.7340914215817205E-4</v>
      </c>
      <c r="L18" s="981">
        <f>+'[1]GLOBAL PREV'!L18</f>
        <v>0</v>
      </c>
      <c r="M18" s="973">
        <f>+'[1]GLOBAL PREV'!M18</f>
        <v>-2.6399080425622257E-4</v>
      </c>
      <c r="O18" s="981">
        <f>+'[1]GLOBAL PREV'!O18</f>
        <v>0</v>
      </c>
      <c r="P18" s="973">
        <f>+'[1]GLOBAL PREV'!P18</f>
        <v>0</v>
      </c>
      <c r="R18" s="981">
        <f>+'[1]GLOBAL PREV'!R18</f>
        <v>0</v>
      </c>
      <c r="S18" s="973">
        <f>+'[1]GLOBAL PREV'!S18</f>
        <v>0</v>
      </c>
      <c r="U18" s="981">
        <f>+'[1]GLOBAL PREV'!U18</f>
        <v>0</v>
      </c>
      <c r="V18" s="973">
        <f>+'[1]GLOBAL PREV'!V18</f>
        <v>0</v>
      </c>
      <c r="X18" s="981">
        <f>+'[1]GLOBAL PREV'!X18</f>
        <v>-2000</v>
      </c>
      <c r="Y18" s="973">
        <f>+'[1]GLOBAL PREV'!Y18</f>
        <v>-2.8172896054253758E-3</v>
      </c>
      <c r="AA18" s="981">
        <f>+'[1]GLOBAL PREV'!AA18</f>
        <v>-3034</v>
      </c>
      <c r="AB18" s="973">
        <f>+'[1]GLOBAL PREV'!AB18</f>
        <v>-2.0152362220179237E-4</v>
      </c>
    </row>
    <row r="19" spans="1:28">
      <c r="A19" s="980" t="s">
        <v>367</v>
      </c>
      <c r="C19" s="981">
        <f>+'[1]GLOBAL PREV'!C19</f>
        <v>0</v>
      </c>
      <c r="D19" s="973">
        <f>+'[1]GLOBAL PREV'!D19</f>
        <v>0</v>
      </c>
      <c r="F19" s="981">
        <f>+'[1]GLOBAL PREV'!F19</f>
        <v>0</v>
      </c>
      <c r="G19" s="973">
        <f>+'[1]GLOBAL PREV'!G19</f>
        <v>0</v>
      </c>
      <c r="I19" s="981">
        <f>+'[1]GLOBAL PREV'!I19</f>
        <v>0</v>
      </c>
      <c r="J19" s="973">
        <f>+'[1]GLOBAL PREV'!J19</f>
        <v>0</v>
      </c>
      <c r="L19" s="981">
        <f>+'[1]GLOBAL PREV'!L19</f>
        <v>0</v>
      </c>
      <c r="M19" s="973">
        <f>+'[1]GLOBAL PREV'!M19</f>
        <v>0</v>
      </c>
      <c r="O19" s="981">
        <f>+'[1]GLOBAL PREV'!O19</f>
        <v>0</v>
      </c>
      <c r="P19" s="973">
        <f>+'[1]GLOBAL PREV'!P19</f>
        <v>0</v>
      </c>
      <c r="R19" s="981">
        <f>+'[1]GLOBAL PREV'!R19</f>
        <v>0</v>
      </c>
      <c r="S19" s="973">
        <f>+'[1]GLOBAL PREV'!S19</f>
        <v>0</v>
      </c>
      <c r="U19" s="981">
        <f>+'[1]GLOBAL PREV'!U19</f>
        <v>0</v>
      </c>
      <c r="V19" s="973">
        <f>+'[1]GLOBAL PREV'!V19</f>
        <v>0</v>
      </c>
      <c r="X19" s="981">
        <f>+'[1]GLOBAL PREV'!X19</f>
        <v>0</v>
      </c>
      <c r="Y19" s="973">
        <f>+'[1]GLOBAL PREV'!Y19</f>
        <v>0</v>
      </c>
      <c r="AA19" s="981">
        <f>+'[1]GLOBAL PREV'!AA19</f>
        <v>0</v>
      </c>
      <c r="AB19" s="973">
        <f>+'[1]GLOBAL PREV'!AB19</f>
        <v>0</v>
      </c>
    </row>
    <row r="20" spans="1:28">
      <c r="A20" s="984" t="s">
        <v>368</v>
      </c>
      <c r="C20" s="985">
        <f>+'[1]GLOBAL PREV'!C20</f>
        <v>729088.46857077675</v>
      </c>
      <c r="D20" s="986">
        <f>+'[1]GLOBAL PREV'!D20</f>
        <v>0.24409100864948322</v>
      </c>
      <c r="F20" s="985">
        <f>+'[1]GLOBAL PREV'!F20</f>
        <v>519140.86865685572</v>
      </c>
      <c r="G20" s="986">
        <f>+'[1]GLOBAL PREV'!G20</f>
        <v>0.23646537817612953</v>
      </c>
      <c r="I20" s="985">
        <f>+'[1]GLOBAL PREV'!I20</f>
        <v>459981.80042334041</v>
      </c>
      <c r="J20" s="986">
        <f>+'[1]GLOBAL PREV'!J20</f>
        <v>0.25327291960351905</v>
      </c>
      <c r="L20" s="985">
        <f>+'[1]GLOBAL PREV'!L20</f>
        <v>554840.41803948453</v>
      </c>
      <c r="M20" s="986">
        <f>+'[1]GLOBAL PREV'!M20</f>
        <v>0.23940999856562387</v>
      </c>
      <c r="O20" s="985">
        <f>+'[1]GLOBAL PREV'!O20</f>
        <v>370170.91918407718</v>
      </c>
      <c r="P20" s="986">
        <f>+'[1]GLOBAL PREV'!P20</f>
        <v>0.25878280086758554</v>
      </c>
      <c r="R20" s="985">
        <f>+'[1]GLOBAL PREV'!R20</f>
        <v>372396.57616842107</v>
      </c>
      <c r="S20" s="986">
        <f>+'[1]GLOBAL PREV'!S20</f>
        <v>0.24805251328827316</v>
      </c>
      <c r="U20" s="985">
        <f>+'[1]GLOBAL PREV'!U20</f>
        <v>359653.7242516015</v>
      </c>
      <c r="V20" s="986">
        <f>+'[1]GLOBAL PREV'!V20</f>
        <v>0.26437709467975806</v>
      </c>
      <c r="X20" s="985">
        <f>+'[1]GLOBAL PREV'!X20</f>
        <v>339039.10285172041</v>
      </c>
      <c r="Y20" s="986">
        <f>+'[1]GLOBAL PREV'!Y20</f>
        <v>0.26398958172172987</v>
      </c>
      <c r="AA20" s="985">
        <f>+'[1]GLOBAL PREV'!AA20</f>
        <v>3704311.8781462777</v>
      </c>
      <c r="AB20" s="986">
        <f>+'[1]GLOBAL PREV'!AB20</f>
        <v>0.24604691741897244</v>
      </c>
    </row>
    <row r="21" spans="1:28">
      <c r="A21" s="971" t="s">
        <v>369</v>
      </c>
      <c r="C21" s="981">
        <f>+'[1]GLOBAL PREV'!C21</f>
        <v>58756.349999999991</v>
      </c>
      <c r="D21" s="973">
        <f>+'[1]GLOBAL PREV'!D21</f>
        <v>1.9885997902230883E-2</v>
      </c>
      <c r="F21" s="981">
        <f>+'[1]GLOBAL PREV'!F21</f>
        <v>43458.333333333328</v>
      </c>
      <c r="G21" s="973">
        <f>+'[1]GLOBAL PREV'!G21</f>
        <v>2.0189335995734171E-2</v>
      </c>
      <c r="I21" s="981">
        <f>+'[1]GLOBAL PREV'!I21</f>
        <v>22922.7</v>
      </c>
      <c r="J21" s="973">
        <f>+'[1]GLOBAL PREV'!J21</f>
        <v>1.1895447160334522E-2</v>
      </c>
      <c r="L21" s="981">
        <f>+'[1]GLOBAL PREV'!L21</f>
        <v>44442.850000000006</v>
      </c>
      <c r="M21" s="973">
        <f>+'[1]GLOBAL PREV'!M21</f>
        <v>1.9645524547376402E-2</v>
      </c>
      <c r="O21" s="981">
        <f>+'[1]GLOBAL PREV'!O21</f>
        <v>22122.7</v>
      </c>
      <c r="P21" s="973">
        <f>+'[1]GLOBAL PREV'!P21</f>
        <v>1.5252426564392485E-2</v>
      </c>
      <c r="R21" s="981">
        <f>+'[1]GLOBAL PREV'!R21</f>
        <v>22122.5</v>
      </c>
      <c r="S21" s="973">
        <f>+'[1]GLOBAL PREV'!S21</f>
        <v>1.4779901205109233E-2</v>
      </c>
      <c r="U21" s="981">
        <f>+'[1]GLOBAL PREV'!U21</f>
        <v>25223.349999999995</v>
      </c>
      <c r="V21" s="973">
        <f>+'[1]GLOBAL PREV'!V21</f>
        <v>1.7571148189644132E-2</v>
      </c>
      <c r="X21" s="981">
        <f>+'[1]GLOBAL PREV'!X21</f>
        <v>23894.75</v>
      </c>
      <c r="Y21" s="973">
        <f>+'[1]GLOBAL PREV'!Y21</f>
        <v>1.9298418583556538E-2</v>
      </c>
      <c r="AA21" s="981">
        <f>+'[1]GLOBAL PREV'!AA21</f>
        <v>262943.53333333333</v>
      </c>
      <c r="AB21" s="973">
        <f>+'[1]GLOBAL PREV'!AB21</f>
        <v>1.7465172469304898E-2</v>
      </c>
    </row>
    <row r="22" spans="1:28">
      <c r="A22" s="980" t="s">
        <v>370</v>
      </c>
      <c r="C22" s="981">
        <f>+'[1]GLOBAL PREV'!C22</f>
        <v>0</v>
      </c>
      <c r="D22" s="973">
        <f>+'[1]GLOBAL PREV'!D22</f>
        <v>0</v>
      </c>
      <c r="F22" s="981">
        <f>+'[1]GLOBAL PREV'!F22</f>
        <v>11666.666666666668</v>
      </c>
      <c r="G22" s="973">
        <f>+'[1]GLOBAL PREV'!G22</f>
        <v>5.2151016236954553E-3</v>
      </c>
      <c r="I22" s="981">
        <f>+'[1]GLOBAL PREV'!I22</f>
        <v>0</v>
      </c>
      <c r="J22" s="973">
        <f>+'[1]GLOBAL PREV'!J22</f>
        <v>0</v>
      </c>
      <c r="L22" s="981">
        <f>+'[1]GLOBAL PREV'!L22</f>
        <v>0</v>
      </c>
      <c r="M22" s="973">
        <f>+'[1]GLOBAL PREV'!M22</f>
        <v>0</v>
      </c>
      <c r="O22" s="981">
        <f>+'[1]GLOBAL PREV'!O22</f>
        <v>0</v>
      </c>
      <c r="P22" s="973">
        <f>+'[1]GLOBAL PREV'!P22</f>
        <v>0</v>
      </c>
      <c r="R22" s="981">
        <f>+'[1]GLOBAL PREV'!R22</f>
        <v>0</v>
      </c>
      <c r="S22" s="973">
        <f>+'[1]GLOBAL PREV'!S22</f>
        <v>0</v>
      </c>
      <c r="U22" s="981">
        <f>+'[1]GLOBAL PREV'!U22</f>
        <v>0</v>
      </c>
      <c r="V22" s="973">
        <f>+'[1]GLOBAL PREV'!V22</f>
        <v>0</v>
      </c>
      <c r="X22" s="981">
        <f>+'[1]GLOBAL PREV'!X22</f>
        <v>0</v>
      </c>
      <c r="Y22" s="973">
        <f>+'[1]GLOBAL PREV'!Y22</f>
        <v>0</v>
      </c>
      <c r="AA22" s="981">
        <f>+'[1]GLOBAL PREV'!AA22</f>
        <v>11666.666666666668</v>
      </c>
      <c r="AB22" s="973">
        <f>+'[1]GLOBAL PREV'!AB22</f>
        <v>7.7492054241515415E-4</v>
      </c>
    </row>
    <row r="23" spans="1:28">
      <c r="A23" s="980" t="s">
        <v>371</v>
      </c>
      <c r="C23" s="981">
        <f>+'[1]GLOBAL PREV'!C23</f>
        <v>24583.333333333336</v>
      </c>
      <c r="D23" s="973">
        <f>+'[1]GLOBAL PREV'!D23</f>
        <v>7.2944886453198262E-3</v>
      </c>
      <c r="F23" s="981">
        <f>+'[1]GLOBAL PREV'!F23</f>
        <v>16166.666666666668</v>
      </c>
      <c r="G23" s="973">
        <f>+'[1]GLOBAL PREV'!G23</f>
        <v>7.7683843925918051E-3</v>
      </c>
      <c r="I23" s="981">
        <f>+'[1]GLOBAL PREV'!I23</f>
        <v>13291.666666666668</v>
      </c>
      <c r="J23" s="973">
        <f>+'[1]GLOBAL PREV'!J23</f>
        <v>6.8208592866768631E-3</v>
      </c>
      <c r="L23" s="981">
        <f>+'[1]GLOBAL PREV'!L23</f>
        <v>16916.666666666668</v>
      </c>
      <c r="M23" s="973">
        <f>+'[1]GLOBAL PREV'!M23</f>
        <v>7.166483273781608E-3</v>
      </c>
      <c r="O23" s="981">
        <f>+'[1]GLOBAL PREV'!O23</f>
        <v>10208.333333333334</v>
      </c>
      <c r="P23" s="973">
        <f>+'[1]GLOBAL PREV'!P23</f>
        <v>7.1661944309300953E-3</v>
      </c>
      <c r="R23" s="981">
        <f>+'[1]GLOBAL PREV'!R23</f>
        <v>11458.333333333332</v>
      </c>
      <c r="S23" s="973">
        <f>+'[1]GLOBAL PREV'!S23</f>
        <v>7.0071406189262811E-3</v>
      </c>
      <c r="U23" s="981">
        <f>+'[1]GLOBAL PREV'!U23</f>
        <v>11083.333333333332</v>
      </c>
      <c r="V23" s="973">
        <f>+'[1]GLOBAL PREV'!V23</f>
        <v>7.7928881067225427E-3</v>
      </c>
      <c r="X23" s="981">
        <f>+'[1]GLOBAL PREV'!X23</f>
        <v>10416.666666666668</v>
      </c>
      <c r="Y23" s="973">
        <f>+'[1]GLOBAL PREV'!Y23</f>
        <v>8.2815440306939613E-3</v>
      </c>
      <c r="AA23" s="981">
        <f>+'[1]GLOBAL PREV'!AA23</f>
        <v>114125</v>
      </c>
      <c r="AB23" s="973">
        <f>+'[1]GLOBAL PREV'!AB23</f>
        <v>7.5803834488396681E-3</v>
      </c>
    </row>
    <row r="24" spans="1:28">
      <c r="A24" s="980" t="s">
        <v>372</v>
      </c>
      <c r="C24" s="981">
        <f>+'[1]GLOBAL PREV'!C24</f>
        <v>11128.088333333333</v>
      </c>
      <c r="D24" s="973">
        <f>+'[1]GLOBAL PREV'!D24</f>
        <v>3.2693561701206196E-3</v>
      </c>
      <c r="F24" s="981">
        <f>+'[1]GLOBAL PREV'!F24</f>
        <v>10416.666666666668</v>
      </c>
      <c r="G24" s="973">
        <f>+'[1]GLOBAL PREV'!G24</f>
        <v>2.1581636222924505E-3</v>
      </c>
      <c r="I24" s="981">
        <f>+'[1]GLOBAL PREV'!I24</f>
        <v>6840.1152777777779</v>
      </c>
      <c r="J24" s="973">
        <f>+'[1]GLOBAL PREV'!J24</f>
        <v>3.9396602974109476E-3</v>
      </c>
      <c r="L24" s="981">
        <f>+'[1]GLOBAL PREV'!L24</f>
        <v>8588.75</v>
      </c>
      <c r="M24" s="973">
        <f>+'[1]GLOBAL PREV'!M24</f>
        <v>3.7670706682399347E-3</v>
      </c>
      <c r="O24" s="981">
        <f>+'[1]GLOBAL PREV'!O24</f>
        <v>7435.5222222222219</v>
      </c>
      <c r="P24" s="973">
        <f>+'[1]GLOBAL PREV'!P24</f>
        <v>5.7648827602141623E-3</v>
      </c>
      <c r="R24" s="981">
        <f>+'[1]GLOBAL PREV'!R24</f>
        <v>7132.5</v>
      </c>
      <c r="S24" s="973">
        <f>+'[1]GLOBAL PREV'!S24</f>
        <v>4.2655039688410902E-3</v>
      </c>
      <c r="U24" s="981">
        <f>+'[1]GLOBAL PREV'!U24</f>
        <v>3646.2611111111114</v>
      </c>
      <c r="V24" s="973">
        <f>+'[1]GLOBAL PREV'!V24</f>
        <v>1.5896244697132759E-3</v>
      </c>
      <c r="X24" s="981">
        <f>+'[1]GLOBAL PREV'!X24</f>
        <v>5833.3333333333339</v>
      </c>
      <c r="Y24" s="973">
        <f>+'[1]GLOBAL PREV'!Y24</f>
        <v>3.0631161431713704E-3</v>
      </c>
      <c r="AA24" s="981">
        <f>+'[1]GLOBAL PREV'!AA24</f>
        <v>61021.236944444448</v>
      </c>
      <c r="AB24" s="973">
        <f>+'[1]GLOBAL PREV'!AB24</f>
        <v>4.0531380027285027E-3</v>
      </c>
    </row>
    <row r="25" spans="1:28">
      <c r="A25" s="980" t="s">
        <v>373</v>
      </c>
      <c r="C25" s="981">
        <f>+'[1]GLOBAL PREV'!C25</f>
        <v>45549.784166666657</v>
      </c>
      <c r="D25" s="973">
        <f>+'[1]GLOBAL PREV'!D25</f>
        <v>1.6581047233912537E-2</v>
      </c>
      <c r="F25" s="981">
        <f>+'[1]GLOBAL PREV'!F25</f>
        <v>34011.973333333335</v>
      </c>
      <c r="G25" s="973">
        <f>+'[1]GLOBAL PREV'!G25</f>
        <v>1.7374323003420906E-2</v>
      </c>
      <c r="I25" s="981">
        <f>+'[1]GLOBAL PREV'!I25</f>
        <v>29584.18472222222</v>
      </c>
      <c r="J25" s="973">
        <f>+'[1]GLOBAL PREV'!J25</f>
        <v>1.6713560580818458E-2</v>
      </c>
      <c r="L25" s="981">
        <f>+'[1]GLOBAL PREV'!L25</f>
        <v>38788.133333333331</v>
      </c>
      <c r="M25" s="973">
        <f>+'[1]GLOBAL PREV'!M25</f>
        <v>1.7210709878084485E-2</v>
      </c>
      <c r="O25" s="981">
        <f>+'[1]GLOBAL PREV'!O25</f>
        <v>30453.374999999996</v>
      </c>
      <c r="P25" s="973">
        <f>+'[1]GLOBAL PREV'!P25</f>
        <v>2.2491732464128777E-2</v>
      </c>
      <c r="R25" s="981">
        <f>+'[1]GLOBAL PREV'!R25</f>
        <v>26918.178611111111</v>
      </c>
      <c r="S25" s="973">
        <f>+'[1]GLOBAL PREV'!S25</f>
        <v>1.807921751103506E-2</v>
      </c>
      <c r="U25" s="981">
        <f>+'[1]GLOBAL PREV'!U25</f>
        <v>27285.988888888893</v>
      </c>
      <c r="V25" s="973">
        <f>+'[1]GLOBAL PREV'!V25</f>
        <v>2.0592579563988904E-2</v>
      </c>
      <c r="X25" s="981">
        <f>+'[1]GLOBAL PREV'!X25</f>
        <v>30074.083333333332</v>
      </c>
      <c r="Y25" s="973">
        <f>+'[1]GLOBAL PREV'!Y25</f>
        <v>2.8161874640974721E-2</v>
      </c>
      <c r="AA25" s="981">
        <f>+'[1]GLOBAL PREV'!AA25</f>
        <v>262665.70138888888</v>
      </c>
      <c r="AB25" s="973">
        <f>+'[1]GLOBAL PREV'!AB25</f>
        <v>1.7446718382354402E-2</v>
      </c>
    </row>
    <row r="26" spans="1:28">
      <c r="A26" s="984" t="s">
        <v>374</v>
      </c>
      <c r="C26" s="985">
        <f>+'[1]GLOBAL PREV'!C26</f>
        <v>140017.55583333332</v>
      </c>
      <c r="D26" s="986">
        <f>+'[1]GLOBAL PREV'!D26</f>
        <v>4.7030889951583867E-2</v>
      </c>
      <c r="F26" s="985">
        <f>+'[1]GLOBAL PREV'!F26</f>
        <v>115720.30666666667</v>
      </c>
      <c r="G26" s="986">
        <f>+'[1]GLOBAL PREV'!G26</f>
        <v>5.2705308637734788E-2</v>
      </c>
      <c r="I26" s="985">
        <f>+'[1]GLOBAL PREV'!I26</f>
        <v>72638.666666666672</v>
      </c>
      <c r="J26" s="986">
        <f>+'[1]GLOBAL PREV'!J26</f>
        <v>3.9369527325240787E-2</v>
      </c>
      <c r="L26" s="985">
        <f>+'[1]GLOBAL PREV'!L26</f>
        <v>108736.40000000001</v>
      </c>
      <c r="M26" s="986">
        <f>+'[1]GLOBAL PREV'!M26</f>
        <v>4.7789788367482433E-2</v>
      </c>
      <c r="O26" s="985">
        <f>+'[1]GLOBAL PREV'!O26</f>
        <v>70219.930555555547</v>
      </c>
      <c r="P26" s="986">
        <f>+'[1]GLOBAL PREV'!P26</f>
        <v>5.0675236219665513E-2</v>
      </c>
      <c r="R26" s="985">
        <f>+'[1]GLOBAL PREV'!R26</f>
        <v>67631.511944444443</v>
      </c>
      <c r="S26" s="986">
        <f>+'[1]GLOBAL PREV'!S26</f>
        <v>4.4131763303911664E-2</v>
      </c>
      <c r="U26" s="985">
        <f>+'[1]GLOBAL PREV'!U26</f>
        <v>67238.933333333334</v>
      </c>
      <c r="V26" s="986">
        <f>+'[1]GLOBAL PREV'!V26</f>
        <v>4.7546240330068851E-2</v>
      </c>
      <c r="X26" s="985">
        <f>+'[1]GLOBAL PREV'!X26</f>
        <v>70218.833333333328</v>
      </c>
      <c r="Y26" s="986">
        <f>+'[1]GLOBAL PREV'!Y26</f>
        <v>5.8804953398396587E-2</v>
      </c>
      <c r="AA26" s="985">
        <f>+'[1]GLOBAL PREV'!AA26</f>
        <v>712422.13833333342</v>
      </c>
      <c r="AB26" s="986">
        <f>+'[1]GLOBAL PREV'!AB26</f>
        <v>4.7320332845642632E-2</v>
      </c>
    </row>
    <row r="27" spans="1:28">
      <c r="A27" s="980" t="s">
        <v>375</v>
      </c>
      <c r="C27" s="981">
        <f>+'[1]GLOBAL PREV'!C27</f>
        <v>44144.020019657088</v>
      </c>
      <c r="D27" s="973">
        <f>+'[1]GLOBAL PREV'!D27</f>
        <v>1.3478219468733565E-2</v>
      </c>
      <c r="F27" s="981">
        <f>+'[1]GLOBAL PREV'!F27</f>
        <v>28257.261832221735</v>
      </c>
      <c r="G27" s="973">
        <f>+'[1]GLOBAL PREV'!G27</f>
        <v>1.3609318109006719E-2</v>
      </c>
      <c r="I27" s="981">
        <f>+'[1]GLOBAL PREV'!I27</f>
        <v>1644</v>
      </c>
      <c r="J27" s="973">
        <f>+'[1]GLOBAL PREV'!J27</f>
        <v>1.7569971421556043E-3</v>
      </c>
      <c r="L27" s="981">
        <f>+'[1]GLOBAL PREV'!L27</f>
        <v>50634.386552267832</v>
      </c>
      <c r="M27" s="973">
        <f>+'[1]GLOBAL PREV'!M27</f>
        <v>2.179984263281878E-2</v>
      </c>
      <c r="O27" s="981">
        <f>+'[1]GLOBAL PREV'!O27</f>
        <v>0</v>
      </c>
      <c r="P27" s="973">
        <f>+'[1]GLOBAL PREV'!P27</f>
        <v>7.1278753469098302E-5</v>
      </c>
      <c r="R27" s="981">
        <f>+'[1]GLOBAL PREV'!R27</f>
        <v>0</v>
      </c>
      <c r="S27" s="973">
        <f>+'[1]GLOBAL PREV'!S27</f>
        <v>0</v>
      </c>
      <c r="U27" s="981">
        <f>+'[1]GLOBAL PREV'!U27</f>
        <v>0</v>
      </c>
      <c r="V27" s="973">
        <f>+'[1]GLOBAL PREV'!V27</f>
        <v>0</v>
      </c>
      <c r="X27" s="981">
        <f>+'[1]GLOBAL PREV'!X27</f>
        <v>14515.81494</v>
      </c>
      <c r="Y27" s="973">
        <f>+'[1]GLOBAL PREV'!Y27</f>
        <v>1.1041512144663488E-2</v>
      </c>
      <c r="AA27" s="981">
        <f>+'[1]GLOBAL PREV'!AA27</f>
        <v>139195.48334414666</v>
      </c>
      <c r="AB27" s="973">
        <f>+'[1]GLOBAL PREV'!AB27</f>
        <v>9.245609096124487E-3</v>
      </c>
    </row>
    <row r="28" spans="1:28">
      <c r="A28" s="980" t="s">
        <v>376</v>
      </c>
      <c r="C28" s="981">
        <f>+'[1]GLOBAL PREV'!C28</f>
        <v>125450.48</v>
      </c>
      <c r="D28" s="973">
        <f>+'[1]GLOBAL PREV'!D28</f>
        <v>3.9272665723265321E-2</v>
      </c>
      <c r="F28" s="981">
        <f>+'[1]GLOBAL PREV'!F28</f>
        <v>85129.8</v>
      </c>
      <c r="G28" s="973">
        <f>+'[1]GLOBAL PREV'!G28</f>
        <v>3.9175308924644603E-2</v>
      </c>
      <c r="I28" s="981">
        <f>+'[1]GLOBAL PREV'!I28</f>
        <v>73724</v>
      </c>
      <c r="J28" s="973">
        <f>+'[1]GLOBAL PREV'!J28</f>
        <v>4.0008673978959013E-2</v>
      </c>
      <c r="L28" s="981">
        <f>+'[1]GLOBAL PREV'!L28</f>
        <v>93360</v>
      </c>
      <c r="M28" s="973">
        <f>+'[1]GLOBAL PREV'!M28</f>
        <v>3.8906279657441332E-2</v>
      </c>
      <c r="O28" s="981">
        <f>+'[1]GLOBAL PREV'!O28</f>
        <v>57718</v>
      </c>
      <c r="P28" s="973">
        <f>+'[1]GLOBAL PREV'!P28</f>
        <v>3.9984277492904126E-2</v>
      </c>
      <c r="R28" s="981">
        <f>+'[1]GLOBAL PREV'!R28</f>
        <v>59276</v>
      </c>
      <c r="S28" s="973">
        <f>+'[1]GLOBAL PREV'!S28</f>
        <v>3.997718819288746E-2</v>
      </c>
      <c r="U28" s="981">
        <f>+'[1]GLOBAL PREV'!U28</f>
        <v>57314</v>
      </c>
      <c r="V28" s="973">
        <f>+'[1]GLOBAL PREV'!V28</f>
        <v>3.9964920525344901E-2</v>
      </c>
      <c r="X28" s="981">
        <f>+'[1]GLOBAL PREV'!X28</f>
        <v>50240</v>
      </c>
      <c r="Y28" s="973">
        <f>+'[1]GLOBAL PREV'!Y28</f>
        <v>3.9534122156053834E-2</v>
      </c>
      <c r="AA28" s="981">
        <f>+'[1]GLOBAL PREV'!AA28</f>
        <v>602212.28</v>
      </c>
      <c r="AB28" s="973">
        <f>+'[1]GLOBAL PREV'!AB28</f>
        <v>0.04</v>
      </c>
    </row>
    <row r="29" spans="1:28">
      <c r="A29" s="980" t="s">
        <v>377</v>
      </c>
      <c r="B29" s="973"/>
      <c r="C29" s="981">
        <f>+'[1]GLOBAL PREV'!C29</f>
        <v>28226.358</v>
      </c>
      <c r="D29" s="973">
        <f>+'[1]GLOBAL PREV'!D29</f>
        <v>7.9964351118055142E-3</v>
      </c>
      <c r="F29" s="981">
        <f>+'[1]GLOBAL PREV'!F29</f>
        <v>21282.45</v>
      </c>
      <c r="G29" s="973">
        <f>+'[1]GLOBAL PREV'!G29</f>
        <v>9.3770837751933865E-3</v>
      </c>
      <c r="I29" s="981">
        <f>+'[1]GLOBAL PREV'!I29</f>
        <v>20274.099999999999</v>
      </c>
      <c r="J29" s="973">
        <f>+'[1]GLOBAL PREV'!J29</f>
        <v>9.8161554920314885E-3</v>
      </c>
      <c r="L29" s="981">
        <f>+'[1]GLOBAL PREV'!L29</f>
        <v>26841</v>
      </c>
      <c r="M29" s="973">
        <f>+'[1]GLOBAL PREV'!M29</f>
        <v>1.045405971871508E-2</v>
      </c>
      <c r="O29" s="981">
        <f>+'[1]GLOBAL PREV'!O29</f>
        <v>17315.400000000001</v>
      </c>
      <c r="P29" s="973">
        <f>+'[1]GLOBAL PREV'!P29</f>
        <v>1.1335636426135873E-2</v>
      </c>
      <c r="R29" s="981">
        <f>+'[1]GLOBAL PREV'!R29</f>
        <v>19264.7</v>
      </c>
      <c r="S29" s="973">
        <f>+'[1]GLOBAL PREV'!S29</f>
        <v>9.9967646103575752E-3</v>
      </c>
      <c r="U29" s="981">
        <f>+'[1]GLOBAL PREV'!U29</f>
        <v>14328.5</v>
      </c>
      <c r="V29" s="973">
        <f>+'[1]GLOBAL PREV'!V29</f>
        <v>8.7262457281869679E-3</v>
      </c>
      <c r="X29" s="981">
        <f>+'[1]GLOBAL PREV'!X29</f>
        <v>12560</v>
      </c>
      <c r="Y29" s="973">
        <f>+'[1]GLOBAL PREV'!Y29</f>
        <v>9.4056605691233003E-3</v>
      </c>
      <c r="AA29" s="981">
        <f>+'[1]GLOBAL PREV'!AA29</f>
        <v>160092.508</v>
      </c>
      <c r="AB29" s="973">
        <f>+'[1]GLOBAL PREV'!AB29</f>
        <v>1.0633626268796777E-2</v>
      </c>
    </row>
    <row r="30" spans="1:28">
      <c r="A30" s="980" t="s">
        <v>378</v>
      </c>
      <c r="B30" s="987"/>
      <c r="C30" s="981">
        <f>+'[1]GLOBAL PREV'!C30</f>
        <v>64400</v>
      </c>
      <c r="D30" s="973">
        <f>+'[1]GLOBAL PREV'!D30</f>
        <v>2.0739940227897775E-2</v>
      </c>
      <c r="F30" s="981">
        <f>+'[1]GLOBAL PREV'!F30</f>
        <v>50175</v>
      </c>
      <c r="G30" s="973">
        <f>+'[1]GLOBAL PREV'!G30</f>
        <v>2.2895110624168036E-2</v>
      </c>
      <c r="I30" s="981">
        <f>+'[1]GLOBAL PREV'!I30</f>
        <v>52296</v>
      </c>
      <c r="J30" s="973">
        <f>+'[1]GLOBAL PREV'!J30</f>
        <v>2.6427389890008385E-2</v>
      </c>
      <c r="L30" s="981">
        <f>+'[1]GLOBAL PREV'!L30</f>
        <v>47714</v>
      </c>
      <c r="M30" s="973">
        <f>+'[1]GLOBAL PREV'!M30</f>
        <v>2.2574694830171022E-2</v>
      </c>
      <c r="O30" s="981">
        <f>+'[1]GLOBAL PREV'!O30</f>
        <v>43249.2</v>
      </c>
      <c r="P30" s="973">
        <f>+'[1]GLOBAL PREV'!P30</f>
        <v>3.2469545875117446E-2</v>
      </c>
      <c r="R30" s="981">
        <f>+'[1]GLOBAL PREV'!R30</f>
        <v>41474</v>
      </c>
      <c r="S30" s="973">
        <f>+'[1]GLOBAL PREV'!S30</f>
        <v>2.8245410774874156E-2</v>
      </c>
      <c r="U30" s="981">
        <f>+'[1]GLOBAL PREV'!U30</f>
        <v>34237</v>
      </c>
      <c r="V30" s="973">
        <f>+'[1]GLOBAL PREV'!V30</f>
        <v>2.5018766338831447E-2</v>
      </c>
      <c r="X30" s="981">
        <f>+'[1]GLOBAL PREV'!X30</f>
        <v>31081</v>
      </c>
      <c r="Y30" s="973">
        <f>+'[1]GLOBAL PREV'!Y30</f>
        <v>3.0559851873557854E-2</v>
      </c>
      <c r="AA30" s="981">
        <f>+'[1]GLOBAL PREV'!AA30</f>
        <v>364626.2</v>
      </c>
      <c r="AB30" s="973">
        <f>+'[1]GLOBAL PREV'!AB30</f>
        <v>2.4219114229952269E-2</v>
      </c>
    </row>
    <row r="31" spans="1:28">
      <c r="A31" s="980" t="s">
        <v>379</v>
      </c>
      <c r="B31" s="987"/>
      <c r="C31" s="981">
        <f>+'[1]GLOBAL PREV'!C31</f>
        <v>26666.666666666664</v>
      </c>
      <c r="D31" s="973">
        <f>+'[1]GLOBAL PREV'!D31</f>
        <v>9.4575551890546065E-3</v>
      </c>
      <c r="F31" s="981">
        <f>+'[1]GLOBAL PREV'!F31</f>
        <v>23250</v>
      </c>
      <c r="G31" s="973">
        <f>+'[1]GLOBAL PREV'!G31</f>
        <v>9.2414417101646992E-3</v>
      </c>
      <c r="I31" s="981">
        <f>+'[1]GLOBAL PREV'!I31</f>
        <v>18750</v>
      </c>
      <c r="J31" s="973">
        <f>+'[1]GLOBAL PREV'!J31</f>
        <v>9.2326485582083472E-3</v>
      </c>
      <c r="L31" s="981">
        <f>+'[1]GLOBAL PREV'!L31</f>
        <v>24166.666666666664</v>
      </c>
      <c r="M31" s="973">
        <f>+'[1]GLOBAL PREV'!M31</f>
        <v>1.0301122663982963E-2</v>
      </c>
      <c r="O31" s="981">
        <f>+'[1]GLOBAL PREV'!O31</f>
        <v>16666.666666666668</v>
      </c>
      <c r="P31" s="973">
        <f>+'[1]GLOBAL PREV'!P31</f>
        <v>9.9034971691521114E-3</v>
      </c>
      <c r="R31" s="981">
        <f>+'[1]GLOBAL PREV'!R31</f>
        <v>14583.333333333332</v>
      </c>
      <c r="S31" s="973">
        <f>+'[1]GLOBAL PREV'!S31</f>
        <v>8.3736075440736489E-3</v>
      </c>
      <c r="U31" s="981">
        <f>+'[1]GLOBAL PREV'!U31</f>
        <v>15000</v>
      </c>
      <c r="V31" s="973">
        <f>+'[1]GLOBAL PREV'!V31</f>
        <v>1.0981538287819004E-2</v>
      </c>
      <c r="X31" s="981">
        <f>+'[1]GLOBAL PREV'!X31</f>
        <v>13333.333333333332</v>
      </c>
      <c r="Y31" s="973">
        <f>+'[1]GLOBAL PREV'!Y31</f>
        <v>8.4521646364178193E-3</v>
      </c>
      <c r="AA31" s="981">
        <f>+'[1]GLOBAL PREV'!AA31</f>
        <v>152416.66666666666</v>
      </c>
      <c r="AB31" s="973">
        <f>+'[1]GLOBAL PREV'!AB31</f>
        <v>1.0123783371980834E-2</v>
      </c>
    </row>
    <row r="32" spans="1:28">
      <c r="A32" s="980" t="s">
        <v>380</v>
      </c>
      <c r="C32" s="981">
        <f>+'[1]GLOBAL PREV'!C32</f>
        <v>4100</v>
      </c>
      <c r="D32" s="973">
        <f>+'[1]GLOBAL PREV'!D32</f>
        <v>1.5127040685068707E-3</v>
      </c>
      <c r="F32" s="981">
        <f>+'[1]GLOBAL PREV'!F32</f>
        <v>4500</v>
      </c>
      <c r="G32" s="973">
        <f>+'[1]GLOBAL PREV'!G32</f>
        <v>2.908918287036137E-3</v>
      </c>
      <c r="I32" s="981">
        <f>+'[1]GLOBAL PREV'!I32</f>
        <v>3049.0000000000005</v>
      </c>
      <c r="J32" s="973">
        <f>+'[1]GLOBAL PREV'!J32</f>
        <v>2.0004223369467469E-3</v>
      </c>
      <c r="L32" s="981">
        <f>+'[1]GLOBAL PREV'!L32</f>
        <v>3168.2</v>
      </c>
      <c r="M32" s="973">
        <f>+'[1]GLOBAL PREV'!M32</f>
        <v>4.4537756371855301E-4</v>
      </c>
      <c r="O32" s="981">
        <f>+'[1]GLOBAL PREV'!O32</f>
        <v>3383.6666666666661</v>
      </c>
      <c r="P32" s="973">
        <f>+'[1]GLOBAL PREV'!P32</f>
        <v>2.7673928573621674E-3</v>
      </c>
      <c r="R32" s="981">
        <f>+'[1]GLOBAL PREV'!R32</f>
        <v>2800</v>
      </c>
      <c r="S32" s="973">
        <f>+'[1]GLOBAL PREV'!S32</f>
        <v>2.6832359106783409E-3</v>
      </c>
      <c r="U32" s="981">
        <f>+'[1]GLOBAL PREV'!U32</f>
        <v>4158.7000000000007</v>
      </c>
      <c r="V32" s="973">
        <f>+'[1]GLOBAL PREV'!V32</f>
        <v>3.0582804254178542E-3</v>
      </c>
      <c r="X32" s="981">
        <f>+'[1]GLOBAL PREV'!X32</f>
        <v>5000</v>
      </c>
      <c r="Y32" s="973">
        <f>+'[1]GLOBAL PREV'!Y32</f>
        <v>4.1987274071064538E-3</v>
      </c>
      <c r="AA32" s="981">
        <f>+'[1]GLOBAL PREV'!AA32</f>
        <v>30159.566666666669</v>
      </c>
      <c r="AB32" s="973">
        <f>+'[1]GLOBAL PREV'!AB32</f>
        <v>2.0032515223148005E-3</v>
      </c>
    </row>
    <row r="33" spans="1:29">
      <c r="A33" s="980" t="s">
        <v>381</v>
      </c>
      <c r="B33" s="987"/>
      <c r="C33" s="981">
        <f>+'[1]GLOBAL PREV'!C33</f>
        <v>4166.666666666667</v>
      </c>
      <c r="D33" s="973">
        <f>+'[1]GLOBAL PREV'!D33</f>
        <v>9.2906910819701887E-4</v>
      </c>
      <c r="F33" s="981">
        <f>+'[1]GLOBAL PREV'!F33</f>
        <v>3750</v>
      </c>
      <c r="G33" s="973">
        <f>+'[1]GLOBAL PREV'!G33</f>
        <v>4.564075308564238E-4</v>
      </c>
      <c r="I33" s="981">
        <f>+'[1]GLOBAL PREV'!I33</f>
        <v>2083.3333333333335</v>
      </c>
      <c r="J33" s="973">
        <f>+'[1]GLOBAL PREV'!J33</f>
        <v>6.4779313663433061E-4</v>
      </c>
      <c r="L33" s="981">
        <f>+'[1]GLOBAL PREV'!L33</f>
        <v>2916.666666666667</v>
      </c>
      <c r="M33" s="973">
        <f>+'[1]GLOBAL PREV'!M33</f>
        <v>1.0076040234654542E-3</v>
      </c>
      <c r="O33" s="981">
        <f>+'[1]GLOBAL PREV'!O33</f>
        <v>1250</v>
      </c>
      <c r="P33" s="973">
        <f>+'[1]GLOBAL PREV'!P33</f>
        <v>7.2628829428577539E-4</v>
      </c>
      <c r="R33" s="981">
        <f>+'[1]GLOBAL PREV'!R33</f>
        <v>2500</v>
      </c>
      <c r="S33" s="973">
        <f>+'[1]GLOBAL PREV'!S33</f>
        <v>8.0384860731182205E-4</v>
      </c>
      <c r="U33" s="981">
        <f>+'[1]GLOBAL PREV'!U33</f>
        <v>1666.6666666666665</v>
      </c>
      <c r="V33" s="973">
        <f>+'[1]GLOBAL PREV'!V33</f>
        <v>9.2146846338069942E-4</v>
      </c>
      <c r="X33" s="981">
        <f>+'[1]GLOBAL PREV'!X33</f>
        <v>1666.6666666666665</v>
      </c>
      <c r="Y33" s="973">
        <f>+'[1]GLOBAL PREV'!Y33</f>
        <v>9.7916466900029335E-4</v>
      </c>
      <c r="AA33" s="981">
        <f>+'[1]GLOBAL PREV'!AA33</f>
        <v>20000.000000000004</v>
      </c>
      <c r="AB33" s="973">
        <f>+'[1]GLOBAL PREV'!AB33</f>
        <v>1.3284352155688358E-3</v>
      </c>
    </row>
    <row r="34" spans="1:29" s="977" customFormat="1">
      <c r="A34" s="976" t="s">
        <v>382</v>
      </c>
      <c r="B34" s="988"/>
      <c r="C34" s="978">
        <f>+'[1]GLOBAL PREV'!C34</f>
        <v>1224633.3665095659</v>
      </c>
      <c r="D34" s="979">
        <f>+'[1]GLOBAL PREV'!D34</f>
        <v>0.37859641020606349</v>
      </c>
      <c r="F34" s="978">
        <f>+'[1]GLOBAL PREV'!F34</f>
        <v>773568.40451092238</v>
      </c>
      <c r="G34" s="979">
        <f>+'[1]GLOBAL PREV'!G34</f>
        <v>0.37980073750014332</v>
      </c>
      <c r="I34" s="978">
        <f>+'[1]GLOBAL PREV'!I34</f>
        <v>704665.36624332611</v>
      </c>
      <c r="J34" s="979">
        <f>+'[1]GLOBAL PREV'!J34</f>
        <v>0.38844611959225483</v>
      </c>
      <c r="L34" s="978">
        <f>+'[1]GLOBAL PREV'!L34</f>
        <v>861421.59540824778</v>
      </c>
      <c r="M34" s="979">
        <f>+'[1]GLOBAL PREV'!M34</f>
        <v>0.37380438800801796</v>
      </c>
      <c r="O34" s="978">
        <f>+'[1]GLOBAL PREV'!O34</f>
        <v>513834.36692703387</v>
      </c>
      <c r="P34" s="979">
        <f>+'[1]GLOBAL PREV'!P34</f>
        <v>0.35486948850747657</v>
      </c>
      <c r="R34" s="978">
        <f>+'[1]GLOBAL PREV'!R34</f>
        <v>547897.6285538011</v>
      </c>
      <c r="S34" s="979">
        <f>+'[1]GLOBAL PREV'!S34</f>
        <v>0.38068625283881963</v>
      </c>
      <c r="U34" s="978">
        <f>+'[1]GLOBAL PREV'!U34</f>
        <v>533493.47574839846</v>
      </c>
      <c r="V34" s="979">
        <f>+'[1]GLOBAL PREV'!V34</f>
        <v>0.36086299200629512</v>
      </c>
      <c r="X34" s="978">
        <f>+'[1]GLOBAL PREV'!X34</f>
        <v>415238.58220827952</v>
      </c>
      <c r="Y34" s="979">
        <f>+'[1]GLOBAL PREV'!Y34</f>
        <v>0.33412100658127969</v>
      </c>
      <c r="AA34" s="978">
        <f>+'[1]GLOBAL PREV'!AA34</f>
        <v>5574752.7861095751</v>
      </c>
      <c r="AB34" s="979">
        <f>+'[1]GLOBAL PREV'!AB34</f>
        <v>0.37028489595792202</v>
      </c>
    </row>
    <row r="35" spans="1:29">
      <c r="A35" s="971" t="s">
        <v>383</v>
      </c>
      <c r="B35" s="987"/>
      <c r="C35" s="981">
        <f>+'[1]GLOBAL PREV'!C35</f>
        <v>501801.92</v>
      </c>
      <c r="D35" s="973">
        <f>+'[1]GLOBAL PREV'!D35</f>
        <v>0.16004864189767856</v>
      </c>
      <c r="F35" s="981">
        <f>+'[1]GLOBAL PREV'!F35</f>
        <v>383084.1</v>
      </c>
      <c r="G35" s="973">
        <f>+'[1]GLOBAL PREV'!G35</f>
        <v>0.18039799663307451</v>
      </c>
      <c r="I35" s="981">
        <f>+'[1]GLOBAL PREV'!I35</f>
        <v>276465</v>
      </c>
      <c r="J35" s="973">
        <f>+'[1]GLOBAL PREV'!J35</f>
        <v>0.15013389919583672</v>
      </c>
      <c r="L35" s="981">
        <f>+'[1]GLOBAL PREV'!L35</f>
        <v>455130</v>
      </c>
      <c r="M35" s="973">
        <f>+'[1]GLOBAL PREV'!M35</f>
        <v>0.19511377735787108</v>
      </c>
      <c r="O35" s="981">
        <f>+'[1]GLOBAL PREV'!O35</f>
        <v>238086.75</v>
      </c>
      <c r="P35" s="973">
        <f>+'[1]GLOBAL PREV'!P35</f>
        <v>0.1651632401376166</v>
      </c>
      <c r="R35" s="981">
        <f>+'[1]GLOBAL PREV'!R35</f>
        <v>222285</v>
      </c>
      <c r="S35" s="973">
        <f>+'[1]GLOBAL PREV'!S35</f>
        <v>0.15010677521666488</v>
      </c>
      <c r="U35" s="981">
        <f>+'[1]GLOBAL PREV'!U35</f>
        <v>200599.00000000003</v>
      </c>
      <c r="V35" s="973">
        <f>+'[1]GLOBAL PREV'!V35</f>
        <v>0.14008308774821743</v>
      </c>
      <c r="X35" s="981">
        <f>+'[1]GLOBAL PREV'!X35</f>
        <v>194680</v>
      </c>
      <c r="Y35" s="973">
        <f>+'[1]GLOBAL PREV'!Y35</f>
        <v>0.15513026292029336</v>
      </c>
      <c r="AA35" s="981">
        <f>+'[1]GLOBAL PREV'!AA35</f>
        <v>2472131.77</v>
      </c>
      <c r="AB35" s="973">
        <f>+'[1]GLOBAL PREV'!AB35</f>
        <v>0.16420334503972586</v>
      </c>
    </row>
    <row r="36" spans="1:29">
      <c r="A36" s="980" t="s">
        <v>384</v>
      </c>
      <c r="B36" s="987"/>
      <c r="C36" s="981">
        <f>+'[1]GLOBAL PREV'!C36</f>
        <v>0</v>
      </c>
      <c r="D36" s="973">
        <f>+'[1]GLOBAL PREV'!D36</f>
        <v>0</v>
      </c>
      <c r="F36" s="981">
        <f>+'[1]GLOBAL PREV'!F36</f>
        <v>0</v>
      </c>
      <c r="G36" s="973">
        <f>+'[1]GLOBAL PREV'!G36</f>
        <v>0</v>
      </c>
      <c r="I36" s="981">
        <f>+'[1]GLOBAL PREV'!I36</f>
        <v>0</v>
      </c>
      <c r="J36" s="973">
        <f>+'[1]GLOBAL PREV'!J36</f>
        <v>0</v>
      </c>
      <c r="L36" s="981">
        <f>+'[1]GLOBAL PREV'!L36</f>
        <v>14184</v>
      </c>
      <c r="M36" s="973">
        <f>+'[1]GLOBAL PREV'!M36</f>
        <v>7.08407372665834E-3</v>
      </c>
      <c r="O36" s="981">
        <f>+'[1]GLOBAL PREV'!O36</f>
        <v>7135</v>
      </c>
      <c r="P36" s="973">
        <f>+'[1]GLOBAL PREV'!P36</f>
        <v>4.3111306052311671E-3</v>
      </c>
      <c r="R36" s="981">
        <f>+'[1]GLOBAL PREV'!R36</f>
        <v>0</v>
      </c>
      <c r="S36" s="973">
        <f>+'[1]GLOBAL PREV'!S36</f>
        <v>0</v>
      </c>
      <c r="U36" s="981">
        <f>+'[1]GLOBAL PREV'!U36</f>
        <v>3045</v>
      </c>
      <c r="V36" s="973">
        <f>+'[1]GLOBAL PREV'!V36</f>
        <v>2.2358956183880273E-3</v>
      </c>
      <c r="X36" s="981">
        <f>+'[1]GLOBAL PREV'!X36</f>
        <v>0</v>
      </c>
      <c r="Y36" s="973">
        <f>+'[1]GLOBAL PREV'!Y36</f>
        <v>0</v>
      </c>
      <c r="AA36" s="981">
        <f>+'[1]GLOBAL PREV'!AA36</f>
        <v>24364</v>
      </c>
      <c r="AB36" s="973">
        <f>+'[1]GLOBAL PREV'!AB36</f>
        <v>1.6182997796059557E-3</v>
      </c>
    </row>
    <row r="37" spans="1:29">
      <c r="A37" s="980" t="s">
        <v>385</v>
      </c>
      <c r="B37" s="987"/>
      <c r="C37" s="981">
        <f>+'[1]GLOBAL PREV'!C37</f>
        <v>-24776.469799999999</v>
      </c>
      <c r="D37" s="973">
        <f>+'[1]GLOBAL PREV'!D37</f>
        <v>-8.6083261214721773E-3</v>
      </c>
      <c r="F37" s="981">
        <f>+'[1]GLOBAL PREV'!F37</f>
        <v>-4913.442</v>
      </c>
      <c r="G37" s="973">
        <f>+'[1]GLOBAL PREV'!G37</f>
        <v>-3.591254495292301E-3</v>
      </c>
      <c r="I37" s="981">
        <f>+'[1]GLOBAL PREV'!I37</f>
        <v>-446.72</v>
      </c>
      <c r="J37" s="973">
        <f>+'[1]GLOBAL PREV'!J37</f>
        <v>-1.0745726258520442E-3</v>
      </c>
      <c r="L37" s="981">
        <f>+'[1]GLOBAL PREV'!L37</f>
        <v>-10031.25</v>
      </c>
      <c r="M37" s="973">
        <f>+'[1]GLOBAL PREV'!M37</f>
        <v>-6.3218196738805393E-3</v>
      </c>
      <c r="O37" s="981">
        <f>+'[1]GLOBAL PREV'!O37</f>
        <v>-441.27499999999998</v>
      </c>
      <c r="P37" s="973">
        <f>+'[1]GLOBAL PREV'!P37</f>
        <v>-1.3466660867205702E-3</v>
      </c>
      <c r="R37" s="981">
        <f>+'[1]GLOBAL PREV'!R37</f>
        <v>-4593.8900000000003</v>
      </c>
      <c r="S37" s="973">
        <f>+'[1]GLOBAL PREV'!S37</f>
        <v>-4.1614453700457715E-3</v>
      </c>
      <c r="U37" s="981">
        <f>+'[1]GLOBAL PREV'!U37</f>
        <v>-172.5</v>
      </c>
      <c r="V37" s="973">
        <f>+'[1]GLOBAL PREV'!V37</f>
        <v>-8.6031268911421406E-4</v>
      </c>
      <c r="X37" s="981">
        <f>+'[1]GLOBAL PREV'!X37</f>
        <v>-827.08</v>
      </c>
      <c r="Y37" s="973">
        <f>+'[1]GLOBAL PREV'!Y37</f>
        <v>-1.6305775250140232E-3</v>
      </c>
      <c r="AA37" s="981">
        <f>+'[1]GLOBAL PREV'!AA37</f>
        <v>-46202.626800000005</v>
      </c>
      <c r="AB37" s="973">
        <f>+'[1]GLOBAL PREV'!AB37</f>
        <v>-3.0688598246452234E-3</v>
      </c>
    </row>
    <row r="38" spans="1:29">
      <c r="A38" s="984" t="s">
        <v>386</v>
      </c>
      <c r="B38" s="987"/>
      <c r="C38" s="985">
        <f>+'[1]GLOBAL PREV'!C38</f>
        <v>477025.45020000008</v>
      </c>
      <c r="D38" s="986">
        <f>+'[1]GLOBAL PREV'!D38</f>
        <v>0.1514403157762064</v>
      </c>
      <c r="F38" s="985">
        <f>+'[1]GLOBAL PREV'!F38</f>
        <v>375422.41800000001</v>
      </c>
      <c r="G38" s="986">
        <f>+'[1]GLOBAL PREV'!G38</f>
        <v>0.17680674213778225</v>
      </c>
      <c r="I38" s="985">
        <f>+'[1]GLOBAL PREV'!I38</f>
        <v>275727.76</v>
      </c>
      <c r="J38" s="986">
        <f>+'[1]GLOBAL PREV'!J38</f>
        <v>0.14905932656998469</v>
      </c>
      <c r="L38" s="985">
        <f>+'[1]GLOBAL PREV'!L38</f>
        <v>447886.19999999995</v>
      </c>
      <c r="M38" s="986">
        <f>+'[1]GLOBAL PREV'!M38</f>
        <v>0.19587603141064883</v>
      </c>
      <c r="O38" s="985">
        <f>+'[1]GLOBAL PREV'!O38</f>
        <v>244500.27499999999</v>
      </c>
      <c r="P38" s="986">
        <f>+'[1]GLOBAL PREV'!P38</f>
        <v>0.1681277046561272</v>
      </c>
      <c r="R38" s="985">
        <f>+'[1]GLOBAL PREV'!R38</f>
        <v>217691.11000000002</v>
      </c>
      <c r="S38" s="986">
        <f>+'[1]GLOBAL PREV'!S38</f>
        <v>0.14594532984661912</v>
      </c>
      <c r="U38" s="985">
        <f>+'[1]GLOBAL PREV'!U38</f>
        <v>203214.14500000002</v>
      </c>
      <c r="V38" s="986">
        <f>+'[1]GLOBAL PREV'!V38</f>
        <v>0.14145867067749127</v>
      </c>
      <c r="X38" s="985">
        <f>+'[1]GLOBAL PREV'!X38</f>
        <v>193307.54</v>
      </c>
      <c r="Y38" s="986">
        <f>+'[1]GLOBAL PREV'!Y38</f>
        <v>0.15349968539527933</v>
      </c>
      <c r="AA38" s="985">
        <f>+'[1]GLOBAL PREV'!AA38</f>
        <v>2434774.8982000002</v>
      </c>
      <c r="AB38" s="986">
        <f>+'[1]GLOBAL PREV'!AB38</f>
        <v>0.16172203583759534</v>
      </c>
    </row>
    <row r="39" spans="1:29">
      <c r="A39" s="980" t="s">
        <v>387</v>
      </c>
      <c r="B39" s="987"/>
      <c r="C39" s="981">
        <f>+'[1]GLOBAL PREV'!C39</f>
        <v>0</v>
      </c>
      <c r="D39" s="973">
        <f>+'[1]GLOBAL PREV'!D39</f>
        <v>0</v>
      </c>
      <c r="F39" s="981">
        <f>+'[1]GLOBAL PREV'!F39</f>
        <v>0</v>
      </c>
      <c r="G39" s="973">
        <f>+'[1]GLOBAL PREV'!G39</f>
        <v>0</v>
      </c>
      <c r="I39" s="981">
        <f>+'[1]GLOBAL PREV'!I39</f>
        <v>0</v>
      </c>
      <c r="J39" s="973">
        <f>+'[1]GLOBAL PREV'!J39</f>
        <v>0</v>
      </c>
      <c r="L39" s="981">
        <f>+'[1]GLOBAL PREV'!L39</f>
        <v>204</v>
      </c>
      <c r="M39" s="973">
        <f>+'[1]GLOBAL PREV'!M39</f>
        <v>2.2155936924918185E-4</v>
      </c>
      <c r="O39" s="981">
        <f>+'[1]GLOBAL PREV'!O39</f>
        <v>3400</v>
      </c>
      <c r="P39" s="973">
        <f>+'[1]GLOBAL PREV'!P39</f>
        <v>2.4825626080202238E-3</v>
      </c>
      <c r="R39" s="981">
        <f>+'[1]GLOBAL PREV'!R39</f>
        <v>0</v>
      </c>
      <c r="S39" s="973">
        <f>+'[1]GLOBAL PREV'!S39</f>
        <v>0</v>
      </c>
      <c r="U39" s="981">
        <f>+'[1]GLOBAL PREV'!U39</f>
        <v>0</v>
      </c>
      <c r="V39" s="973">
        <f>+'[1]GLOBAL PREV'!V39</f>
        <v>0</v>
      </c>
      <c r="X39" s="981">
        <f>+'[1]GLOBAL PREV'!X39</f>
        <v>0</v>
      </c>
      <c r="Y39" s="973">
        <f>+'[1]GLOBAL PREV'!Y39</f>
        <v>0</v>
      </c>
      <c r="AA39" s="981">
        <f>+'[1]GLOBAL PREV'!AA39</f>
        <v>3604</v>
      </c>
      <c r="AB39" s="973">
        <f>+'[1]GLOBAL PREV'!AB39</f>
        <v>2.3938402584550419E-4</v>
      </c>
    </row>
    <row r="40" spans="1:29">
      <c r="A40" s="980" t="s">
        <v>388</v>
      </c>
      <c r="B40" s="987"/>
      <c r="C40" s="981">
        <f>+'[1]GLOBAL PREV'!C40</f>
        <v>156813.1</v>
      </c>
      <c r="D40" s="973">
        <f>+'[1]GLOBAL PREV'!D40</f>
        <v>5.0015194718237052E-2</v>
      </c>
      <c r="F40" s="981">
        <f>+'[1]GLOBAL PREV'!F40</f>
        <v>106412.25</v>
      </c>
      <c r="G40" s="973">
        <f>+'[1]GLOBAL PREV'!G40</f>
        <v>5.0110552452773863E-2</v>
      </c>
      <c r="I40" s="981">
        <f>+'[1]GLOBAL PREV'!I40</f>
        <v>92155</v>
      </c>
      <c r="J40" s="973">
        <f>+'[1]GLOBAL PREV'!J40</f>
        <v>5.0044621703277718E-2</v>
      </c>
      <c r="L40" s="981">
        <f>+'[1]GLOBAL PREV'!L40</f>
        <v>116700</v>
      </c>
      <c r="M40" s="973">
        <f>+'[1]GLOBAL PREV'!M40</f>
        <v>5.002917266141272E-2</v>
      </c>
      <c r="O40" s="981">
        <f>+'[1]GLOBAL PREV'!O40</f>
        <v>72147.5</v>
      </c>
      <c r="P40" s="973">
        <f>+'[1]GLOBAL PREV'!P40</f>
        <v>5.0049469806040379E-2</v>
      </c>
      <c r="R40" s="981">
        <f>+'[1]GLOBAL PREV'!R40</f>
        <v>74095</v>
      </c>
      <c r="S40" s="973">
        <f>+'[1]GLOBAL PREV'!S40</f>
        <v>5.0035587021923636E-2</v>
      </c>
      <c r="U40" s="981">
        <f>+'[1]GLOBAL PREV'!U40</f>
        <v>71642.5</v>
      </c>
      <c r="V40" s="973">
        <f>+'[1]GLOBAL PREV'!V40</f>
        <v>5.0029672623151979E-2</v>
      </c>
      <c r="X40" s="981">
        <f>+'[1]GLOBAL PREV'!X40</f>
        <v>62800</v>
      </c>
      <c r="Y40" s="973">
        <f>+'[1]GLOBAL PREV'!Y40</f>
        <v>5.0042000121117224E-2</v>
      </c>
      <c r="AA40" s="981">
        <f>+'[1]GLOBAL PREV'!AA40</f>
        <v>752765.35</v>
      </c>
      <c r="AB40" s="973">
        <f>+'[1]GLOBAL PREV'!AB40</f>
        <v>4.9999999999999996E-2</v>
      </c>
    </row>
    <row r="41" spans="1:29">
      <c r="A41" s="980" t="s">
        <v>389</v>
      </c>
      <c r="B41" s="987"/>
      <c r="C41" s="981">
        <f>+'[1]GLOBAL PREV'!C41</f>
        <v>18000</v>
      </c>
      <c r="D41" s="973">
        <f>+'[1]GLOBAL PREV'!D41</f>
        <v>5.9051685423660216E-3</v>
      </c>
      <c r="F41" s="981">
        <f>+'[1]GLOBAL PREV'!F41</f>
        <v>14145</v>
      </c>
      <c r="G41" s="973">
        <f>+'[1]GLOBAL PREV'!G41</f>
        <v>6.7645463020185159E-3</v>
      </c>
      <c r="I41" s="981">
        <f>+'[1]GLOBAL PREV'!I41</f>
        <v>12145</v>
      </c>
      <c r="J41" s="973">
        <f>+'[1]GLOBAL PREV'!J41</f>
        <v>7.0807764262153421E-3</v>
      </c>
      <c r="L41" s="981">
        <f>+'[1]GLOBAL PREV'!L41</f>
        <v>14540</v>
      </c>
      <c r="M41" s="973">
        <f>+'[1]GLOBAL PREV'!M41</f>
        <v>6.713705957776173E-3</v>
      </c>
      <c r="O41" s="981">
        <f>+'[1]GLOBAL PREV'!O41</f>
        <v>11230</v>
      </c>
      <c r="P41" s="973">
        <f>+'[1]GLOBAL PREV'!P41</f>
        <v>8.0738047171128296E-3</v>
      </c>
      <c r="R41" s="981">
        <f>+'[1]GLOBAL PREV'!R41</f>
        <v>11515</v>
      </c>
      <c r="S41" s="973">
        <f>+'[1]GLOBAL PREV'!S41</f>
        <v>8.0430143591880519E-3</v>
      </c>
      <c r="U41" s="981">
        <f>+'[1]GLOBAL PREV'!U41</f>
        <v>11525</v>
      </c>
      <c r="V41" s="973">
        <f>+'[1]GLOBAL PREV'!V41</f>
        <v>8.6269785971743122E-3</v>
      </c>
      <c r="X41" s="981">
        <f>+'[1]GLOBAL PREV'!X41</f>
        <v>11200</v>
      </c>
      <c r="Y41" s="973">
        <f>+'[1]GLOBAL PREV'!Y41</f>
        <v>9.0313889258546685E-3</v>
      </c>
      <c r="AA41" s="981">
        <f>+'[1]GLOBAL PREV'!AA41</f>
        <v>104300</v>
      </c>
      <c r="AB41" s="973">
        <f>+'[1]GLOBAL PREV'!AB41</f>
        <v>6.9277896491914777E-3</v>
      </c>
      <c r="AC41" s="989"/>
    </row>
    <row r="42" spans="1:29">
      <c r="A42" s="980" t="s">
        <v>390</v>
      </c>
      <c r="B42" s="987"/>
      <c r="C42" s="981">
        <f>+'[1]GLOBAL PREV'!C42</f>
        <v>16450</v>
      </c>
      <c r="D42" s="973">
        <f>+'[1]GLOBAL PREV'!D42</f>
        <v>5.5280373981586705E-3</v>
      </c>
      <c r="F42" s="981">
        <f>+'[1]GLOBAL PREV'!F42</f>
        <v>12780</v>
      </c>
      <c r="G42" s="973">
        <f>+'[1]GLOBAL PREV'!G42</f>
        <v>6.2342874142164405E-3</v>
      </c>
      <c r="I42" s="981">
        <f>+'[1]GLOBAL PREV'!I42</f>
        <v>9600</v>
      </c>
      <c r="J42" s="973">
        <f>+'[1]GLOBAL PREV'!J42</f>
        <v>5.4457105999784839E-3</v>
      </c>
      <c r="L42" s="981">
        <f>+'[1]GLOBAL PREV'!L42</f>
        <v>10850</v>
      </c>
      <c r="M42" s="973">
        <f>+'[1]GLOBAL PREV'!M42</f>
        <v>4.8493087524053447E-3</v>
      </c>
      <c r="O42" s="981">
        <f>+'[1]GLOBAL PREV'!O42</f>
        <v>7735</v>
      </c>
      <c r="P42" s="973">
        <f>+'[1]GLOBAL PREV'!P42</f>
        <v>5.6950716393456878E-3</v>
      </c>
      <c r="R42" s="981">
        <f>+'[1]GLOBAL PREV'!R42</f>
        <v>7435</v>
      </c>
      <c r="S42" s="973">
        <f>+'[1]GLOBAL PREV'!S42</f>
        <v>5.4874548893379923E-3</v>
      </c>
      <c r="U42" s="981">
        <f>+'[1]GLOBAL PREV'!U42</f>
        <v>7495</v>
      </c>
      <c r="V42" s="973">
        <f>+'[1]GLOBAL PREV'!V42</f>
        <v>5.8401232474160868E-3</v>
      </c>
      <c r="X42" s="981">
        <f>+'[1]GLOBAL PREV'!X42</f>
        <v>6675</v>
      </c>
      <c r="Y42" s="973">
        <f>+'[1]GLOBAL PREV'!Y42</f>
        <v>5.9214402282514404E-3</v>
      </c>
      <c r="AA42" s="981">
        <f>+'[1]GLOBAL PREV'!AA42</f>
        <v>79020</v>
      </c>
      <c r="AB42" s="973">
        <f>+'[1]GLOBAL PREV'!AB42</f>
        <v>5.24864753671247E-3</v>
      </c>
    </row>
    <row r="43" spans="1:29">
      <c r="A43" s="980" t="s">
        <v>391</v>
      </c>
      <c r="C43" s="981">
        <f>+'[1]GLOBAL PREV'!C43</f>
        <v>25730</v>
      </c>
      <c r="D43" s="973">
        <f>+'[1]GLOBAL PREV'!D43</f>
        <v>9.1148133723524399E-3</v>
      </c>
      <c r="F43" s="981">
        <f>+'[1]GLOBAL PREV'!F43</f>
        <v>16305</v>
      </c>
      <c r="G43" s="973">
        <f>+'[1]GLOBAL PREV'!G43</f>
        <v>8.2669334789766801E-3</v>
      </c>
      <c r="I43" s="981">
        <f>+'[1]GLOBAL PREV'!I43</f>
        <v>14625</v>
      </c>
      <c r="J43" s="973">
        <f>+'[1]GLOBAL PREV'!J43</f>
        <v>8.6301329963712221E-3</v>
      </c>
      <c r="L43" s="981">
        <f>+'[1]GLOBAL PREV'!L43</f>
        <v>15250</v>
      </c>
      <c r="M43" s="973">
        <f>+'[1]GLOBAL PREV'!M43</f>
        <v>7.3930111744348864E-3</v>
      </c>
      <c r="O43" s="981">
        <f>+'[1]GLOBAL PREV'!O43</f>
        <v>10100</v>
      </c>
      <c r="P43" s="973">
        <f>+'[1]GLOBAL PREV'!P43</f>
        <v>8.1565251635430085E-3</v>
      </c>
      <c r="R43" s="981">
        <f>+'[1]GLOBAL PREV'!R43</f>
        <v>13850</v>
      </c>
      <c r="S43" s="973">
        <f>+'[1]GLOBAL PREV'!S43</f>
        <v>8.8233937088535771E-3</v>
      </c>
      <c r="U43" s="981">
        <f>+'[1]GLOBAL PREV'!U43</f>
        <v>8640</v>
      </c>
      <c r="V43" s="973">
        <f>+'[1]GLOBAL PREV'!V43</f>
        <v>7.3741035217029256E-3</v>
      </c>
      <c r="X43" s="981">
        <f>+'[1]GLOBAL PREV'!X43</f>
        <v>13240</v>
      </c>
      <c r="Y43" s="973">
        <f>+'[1]GLOBAL PREV'!Y43</f>
        <v>7.8268008568810749E-3</v>
      </c>
      <c r="AA43" s="981">
        <f>+'[1]GLOBAL PREV'!AA43</f>
        <v>117740</v>
      </c>
      <c r="AB43" s="973">
        <f>+'[1]GLOBAL PREV'!AB43</f>
        <v>7.8204981140537356E-3</v>
      </c>
    </row>
    <row r="44" spans="1:29">
      <c r="A44" s="980" t="s">
        <v>392</v>
      </c>
      <c r="C44" s="981">
        <f>+'[1]GLOBAL PREV'!C44</f>
        <v>130420</v>
      </c>
      <c r="D44" s="973">
        <f>+'[1]GLOBAL PREV'!D44</f>
        <v>4.3936854225524E-2</v>
      </c>
      <c r="F44" s="981">
        <f>+'[1]GLOBAL PREV'!F44</f>
        <v>25095</v>
      </c>
      <c r="G44" s="973">
        <f>+'[1]GLOBAL PREV'!G44</f>
        <v>1.2937384393279452E-2</v>
      </c>
      <c r="I44" s="981">
        <f>+'[1]GLOBAL PREV'!I44</f>
        <v>70105</v>
      </c>
      <c r="J44" s="973">
        <f>+'[1]GLOBAL PREV'!J44</f>
        <v>4.3874509673548175E-2</v>
      </c>
      <c r="L44" s="981">
        <f>+'[1]GLOBAL PREV'!L44</f>
        <v>94880</v>
      </c>
      <c r="M44" s="973">
        <f>+'[1]GLOBAL PREV'!M44</f>
        <v>4.1750374890944825E-2</v>
      </c>
      <c r="O44" s="981">
        <f>+'[1]GLOBAL PREV'!O44</f>
        <v>17500</v>
      </c>
      <c r="P44" s="973">
        <f>+'[1]GLOBAL PREV'!P44</f>
        <v>1.5015319930362368E-2</v>
      </c>
      <c r="R44" s="981">
        <f>+'[1]GLOBAL PREV'!R44</f>
        <v>24530</v>
      </c>
      <c r="S44" s="973">
        <f>+'[1]GLOBAL PREV'!S44</f>
        <v>1.7043520656947895E-2</v>
      </c>
      <c r="U44" s="981">
        <f>+'[1]GLOBAL PREV'!U44</f>
        <v>13475</v>
      </c>
      <c r="V44" s="973">
        <f>+'[1]GLOBAL PREV'!V44</f>
        <v>1.0182939135943106E-2</v>
      </c>
      <c r="X44" s="981">
        <f>+'[1]GLOBAL PREV'!X44</f>
        <v>72500</v>
      </c>
      <c r="Y44" s="973">
        <f>+'[1]GLOBAL PREV'!Y44</f>
        <v>7.2354175144202823E-2</v>
      </c>
      <c r="AA44" s="981">
        <f>+'[1]GLOBAL PREV'!AA44</f>
        <v>448505</v>
      </c>
      <c r="AB44" s="973">
        <f>+'[1]GLOBAL PREV'!AB44</f>
        <v>2.9790491817935031E-2</v>
      </c>
    </row>
    <row r="45" spans="1:29">
      <c r="A45" s="980" t="s">
        <v>393</v>
      </c>
      <c r="C45" s="981">
        <f>+'[1]GLOBAL PREV'!C45</f>
        <v>4690</v>
      </c>
      <c r="D45" s="973">
        <f>+'[1]GLOBAL PREV'!D45</f>
        <v>1.4390610894477857E-3</v>
      </c>
      <c r="F45" s="981">
        <f>+'[1]GLOBAL PREV'!F45</f>
        <v>3780</v>
      </c>
      <c r="G45" s="973">
        <f>+'[1]GLOBAL PREV'!G45</f>
        <v>1.881212499118068E-3</v>
      </c>
      <c r="I45" s="981">
        <f>+'[1]GLOBAL PREV'!I45</f>
        <v>3325</v>
      </c>
      <c r="J45" s="973">
        <f>+'[1]GLOBAL PREV'!J45</f>
        <v>1.7706088195977752E-3</v>
      </c>
      <c r="L45" s="981">
        <f>+'[1]GLOBAL PREV'!L45</f>
        <v>2655</v>
      </c>
      <c r="M45" s="973">
        <f>+'[1]GLOBAL PREV'!M45</f>
        <v>1.5519366975150432E-3</v>
      </c>
      <c r="O45" s="981">
        <f>+'[1]GLOBAL PREV'!O45</f>
        <v>3860.2</v>
      </c>
      <c r="P45" s="973">
        <f>+'[1]GLOBAL PREV'!P45</f>
        <v>2.5589817264188696E-3</v>
      </c>
      <c r="R45" s="981">
        <f>+'[1]GLOBAL PREV'!R45</f>
        <v>2760</v>
      </c>
      <c r="S45" s="973">
        <f>+'[1]GLOBAL PREV'!S45</f>
        <v>2.9741146116421232E-3</v>
      </c>
      <c r="U45" s="981">
        <f>+'[1]GLOBAL PREV'!U45</f>
        <v>3490</v>
      </c>
      <c r="V45" s="973">
        <f>+'[1]GLOBAL PREV'!V45</f>
        <v>2.3740153437804734E-3</v>
      </c>
      <c r="X45" s="981">
        <f>+'[1]GLOBAL PREV'!X45</f>
        <v>0</v>
      </c>
      <c r="Y45" s="973">
        <f>+'[1]GLOBAL PREV'!Y45</f>
        <v>4.3527820848955634E-4</v>
      </c>
      <c r="AA45" s="981">
        <f>+'[1]GLOBAL PREV'!AA45</f>
        <v>24560.2</v>
      </c>
      <c r="AB45" s="973">
        <f>+'[1]GLOBAL PREV'!AB45</f>
        <v>1.631331729070686E-3</v>
      </c>
    </row>
    <row r="46" spans="1:29">
      <c r="A46" s="980" t="s">
        <v>394</v>
      </c>
      <c r="C46" s="981">
        <f>+'[1]GLOBAL PREV'!C46</f>
        <v>0</v>
      </c>
      <c r="D46" s="973">
        <f>+'[1]GLOBAL PREV'!D46</f>
        <v>-4.2536818510173025E-5</v>
      </c>
      <c r="F46" s="981">
        <f>+'[1]GLOBAL PREV'!F46</f>
        <v>0</v>
      </c>
      <c r="G46" s="973">
        <f>+'[1]GLOBAL PREV'!G46</f>
        <v>3.8456449384673061E-3</v>
      </c>
      <c r="I46" s="981">
        <f>+'[1]GLOBAL PREV'!I46</f>
        <v>0</v>
      </c>
      <c r="J46" s="973">
        <f>+'[1]GLOBAL PREV'!J46</f>
        <v>-3.8795553110427641E-5</v>
      </c>
      <c r="L46" s="981">
        <f>+'[1]GLOBAL PREV'!L46</f>
        <v>0</v>
      </c>
      <c r="M46" s="973">
        <f>+'[1]GLOBAL PREV'!M46</f>
        <v>3.7984510992343068E-4</v>
      </c>
      <c r="O46" s="981">
        <f>+'[1]GLOBAL PREV'!O46</f>
        <v>0</v>
      </c>
      <c r="P46" s="973">
        <f>+'[1]GLOBAL PREV'!P46</f>
        <v>-3.5325405581181891E-5</v>
      </c>
      <c r="R46" s="981">
        <f>+'[1]GLOBAL PREV'!R46</f>
        <v>0</v>
      </c>
      <c r="S46" s="973">
        <f>+'[1]GLOBAL PREV'!S46</f>
        <v>-3.9771087497687307E-5</v>
      </c>
      <c r="U46" s="981">
        <f>+'[1]GLOBAL PREV'!U46</f>
        <v>0</v>
      </c>
      <c r="V46" s="973">
        <f>+'[1]GLOBAL PREV'!V46</f>
        <v>-3.9417696338088664E-5</v>
      </c>
      <c r="X46" s="981">
        <f>+'[1]GLOBAL PREV'!X46</f>
        <v>0</v>
      </c>
      <c r="Y46" s="973">
        <f>+'[1]GLOBAL PREV'!Y46</f>
        <v>-3.8017114209437364E-5</v>
      </c>
      <c r="AA46" s="981">
        <f>+'[1]GLOBAL PREV'!AA46</f>
        <v>0</v>
      </c>
      <c r="AB46" s="973">
        <f>+'[1]GLOBAL PREV'!AB46</f>
        <v>0</v>
      </c>
    </row>
    <row r="47" spans="1:29">
      <c r="A47" s="980" t="s">
        <v>395</v>
      </c>
      <c r="C47" s="981">
        <f>+'[1]GLOBAL PREV'!C47</f>
        <v>41795.99173212063</v>
      </c>
      <c r="D47" s="973">
        <f>+'[1]GLOBAL PREV'!D47</f>
        <v>1.5511453208752708E-2</v>
      </c>
      <c r="F47" s="981">
        <f>+'[1]GLOBAL PREV'!F47</f>
        <v>37269.844887190673</v>
      </c>
      <c r="G47" s="973">
        <f>+'[1]GLOBAL PREV'!G47</f>
        <v>2.1639481494319369E-2</v>
      </c>
      <c r="I47" s="981">
        <f>+'[1]GLOBAL PREV'!I47</f>
        <v>18431</v>
      </c>
      <c r="J47" s="973">
        <f>+'[1]GLOBAL PREV'!J47</f>
        <v>1.1156775057071473E-2</v>
      </c>
      <c r="L47" s="981">
        <f>+'[1]GLOBAL PREV'!L47</f>
        <v>36662.447580866166</v>
      </c>
      <c r="M47" s="973">
        <f>+'[1]GLOBAL PREV'!M47</f>
        <v>1.8537829370367409E-2</v>
      </c>
      <c r="O47" s="981">
        <f>+'[1]GLOBAL PREV'!O47</f>
        <v>14429.5</v>
      </c>
      <c r="P47" s="973">
        <f>+'[1]GLOBAL PREV'!P47</f>
        <v>1.0617504080182916E-2</v>
      </c>
      <c r="R47" s="981">
        <f>+'[1]GLOBAL PREV'!R47</f>
        <v>14819</v>
      </c>
      <c r="S47" s="973">
        <f>+'[1]GLOBAL PREV'!S47</f>
        <v>1.0055837517227917E-2</v>
      </c>
      <c r="U47" s="981">
        <f>+'[1]GLOBAL PREV'!U47</f>
        <v>14328.5</v>
      </c>
      <c r="V47" s="973">
        <f>+'[1]GLOBAL PREV'!V47</f>
        <v>9.6128466668418695E-3</v>
      </c>
      <c r="X47" s="981">
        <f>+'[1]GLOBAL PREV'!X47</f>
        <v>12560</v>
      </c>
      <c r="Y47" s="973">
        <f>+'[1]GLOBAL PREV'!Y47</f>
        <v>1.4403947559202802E-2</v>
      </c>
      <c r="AA47" s="981">
        <f>+'[1]GLOBAL PREV'!AA47</f>
        <v>190296.28420017747</v>
      </c>
      <c r="AB47" s="973">
        <f>+'[1]GLOBAL PREV'!AB47</f>
        <v>1.2639814266170559E-2</v>
      </c>
    </row>
    <row r="48" spans="1:29">
      <c r="A48" s="980" t="s">
        <v>396</v>
      </c>
      <c r="C48" s="981">
        <f>+'[1]GLOBAL PREV'!C48</f>
        <v>41795.99173212063</v>
      </c>
      <c r="D48" s="973">
        <f>+'[1]GLOBAL PREV'!D48</f>
        <v>1.6923503703793346E-2</v>
      </c>
      <c r="F48" s="981">
        <f>+'[1]GLOBAL PREV'!F48</f>
        <v>37269.844887190673</v>
      </c>
      <c r="G48" s="973">
        <f>+'[1]GLOBAL PREV'!G48</f>
        <v>2.1367758440526598E-2</v>
      </c>
      <c r="I48" s="981">
        <f>+'[1]GLOBAL PREV'!I48</f>
        <v>18431</v>
      </c>
      <c r="J48" s="973">
        <f>+'[1]GLOBAL PREV'!J48</f>
        <v>1.1630990901315115E-2</v>
      </c>
      <c r="L48" s="981">
        <f>+'[1]GLOBAL PREV'!L48</f>
        <v>36662.447580866166</v>
      </c>
      <c r="M48" s="973">
        <f>+'[1]GLOBAL PREV'!M48</f>
        <v>1.8980709407179101E-2</v>
      </c>
      <c r="O48" s="981">
        <f>+'[1]GLOBAL PREV'!O48</f>
        <v>14429.5</v>
      </c>
      <c r="P48" s="973">
        <f>+'[1]GLOBAL PREV'!P48</f>
        <v>1.2006497859370231E-2</v>
      </c>
      <c r="R48" s="981">
        <f>+'[1]GLOBAL PREV'!R48</f>
        <v>14819</v>
      </c>
      <c r="S48" s="973">
        <f>+'[1]GLOBAL PREV'!S48</f>
        <v>1.0126535383493153E-2</v>
      </c>
      <c r="U48" s="981">
        <f>+'[1]GLOBAL PREV'!U48</f>
        <v>14328.5</v>
      </c>
      <c r="V48" s="973">
        <f>+'[1]GLOBAL PREV'!V48</f>
        <v>1.0387975739982114E-2</v>
      </c>
      <c r="X48" s="981">
        <f>+'[1]GLOBAL PREV'!X48</f>
        <v>12560</v>
      </c>
      <c r="Y48" s="973">
        <f>+'[1]GLOBAL PREV'!Y48</f>
        <v>1.7272118228999191E-2</v>
      </c>
      <c r="AA48" s="981">
        <f>+'[1]GLOBAL PREV'!AA48</f>
        <v>190296.28420017747</v>
      </c>
      <c r="AB48" s="973">
        <f>+'[1]GLOBAL PREV'!AB48</f>
        <v>1.2639814266170559E-2</v>
      </c>
    </row>
    <row r="49" spans="1:31">
      <c r="A49" s="976" t="s">
        <v>397</v>
      </c>
      <c r="C49" s="990">
        <f>+'[1]GLOBAL PREV'!C49</f>
        <v>0</v>
      </c>
      <c r="D49" s="991">
        <f>+'[1]GLOBAL PREV'!D49</f>
        <v>-1.4120504950406426E-3</v>
      </c>
      <c r="F49" s="990">
        <f>+'[1]GLOBAL PREV'!F49</f>
        <v>0</v>
      </c>
      <c r="G49" s="991">
        <f>+'[1]GLOBAL PREV'!G49</f>
        <v>2.7172305379277181E-4</v>
      </c>
      <c r="I49" s="990">
        <f>+'[1]GLOBAL PREV'!I49</f>
        <v>0</v>
      </c>
      <c r="J49" s="991">
        <f>+'[1]GLOBAL PREV'!J49</f>
        <v>-4.7421584424364304E-4</v>
      </c>
      <c r="L49" s="990">
        <f>+'[1]GLOBAL PREV'!L49</f>
        <v>0</v>
      </c>
      <c r="M49" s="991">
        <f>+'[1]GLOBAL PREV'!M49</f>
        <v>-4.4288003681169149E-4</v>
      </c>
      <c r="O49" s="990">
        <f>+'[1]GLOBAL PREV'!O49</f>
        <v>0</v>
      </c>
      <c r="P49" s="991">
        <f>+'[1]GLOBAL PREV'!P49</f>
        <v>-1.3889937791873143E-3</v>
      </c>
      <c r="R49" s="990">
        <f>+'[1]GLOBAL PREV'!R49</f>
        <v>0</v>
      </c>
      <c r="S49" s="991">
        <f>+'[1]GLOBAL PREV'!S49</f>
        <v>-7.0697866265235885E-5</v>
      </c>
      <c r="U49" s="990">
        <f>+'[1]GLOBAL PREV'!U49</f>
        <v>0</v>
      </c>
      <c r="V49" s="991">
        <f>+'[1]GLOBAL PREV'!V49</f>
        <v>-7.7512907314024337E-4</v>
      </c>
      <c r="X49" s="990">
        <f>+'[1]GLOBAL PREV'!X49</f>
        <v>0</v>
      </c>
      <c r="Y49" s="991">
        <f>+'[1]GLOBAL PREV'!Y49</f>
        <v>-2.8681706697963882E-3</v>
      </c>
      <c r="AA49" s="990">
        <f>+'[1]GLOBAL PREV'!AA49</f>
        <v>0</v>
      </c>
      <c r="AB49" s="991">
        <f>+'[1]GLOBAL PREV'!AB49</f>
        <v>0</v>
      </c>
    </row>
    <row r="50" spans="1:31">
      <c r="A50" s="980" t="s">
        <v>398</v>
      </c>
      <c r="C50" s="992">
        <f>+'[1]GLOBAL PREV'!C50</f>
        <v>11250</v>
      </c>
      <c r="D50" s="993">
        <f>+'[1]GLOBAL PREV'!D50</f>
        <v>2.9239320932977352E-3</v>
      </c>
      <c r="F50" s="992">
        <f>+'[1]GLOBAL PREV'!F50</f>
        <v>250</v>
      </c>
      <c r="G50" s="993">
        <f>+'[1]GLOBAL PREV'!G50</f>
        <v>3.0544215053200648E-5</v>
      </c>
      <c r="I50" s="981">
        <f>+'[1]GLOBAL PREV'!I50</f>
        <v>2350</v>
      </c>
      <c r="J50" s="973">
        <f>+'[1]GLOBAL PREV'!J50</f>
        <v>2.5947913439207373E-3</v>
      </c>
      <c r="L50" s="981">
        <f>+'[1]GLOBAL PREV'!L50</f>
        <v>600</v>
      </c>
      <c r="M50" s="973">
        <f>+'[1]GLOBAL PREV'!M50</f>
        <v>2.1899553631824279E-4</v>
      </c>
      <c r="O50" s="981">
        <f>+'[1]GLOBAL PREV'!O50</f>
        <v>550</v>
      </c>
      <c r="P50" s="973">
        <f>+'[1]GLOBAL PREV'!P50</f>
        <v>1.3442346356956565E-4</v>
      </c>
      <c r="R50" s="981">
        <f>+'[1]GLOBAL PREV'!R50</f>
        <v>550</v>
      </c>
      <c r="S50" s="973">
        <f>+'[1]GLOBAL PREV'!S50</f>
        <v>1.3025897897748148E-4</v>
      </c>
      <c r="U50" s="981">
        <f>+'[1]GLOBAL PREV'!U50</f>
        <v>0</v>
      </c>
      <c r="V50" s="973">
        <f>+'[1]GLOBAL PREV'!V50</f>
        <v>0</v>
      </c>
      <c r="X50" s="981">
        <f>+'[1]GLOBAL PREV'!X50</f>
        <v>13650</v>
      </c>
      <c r="Y50" s="973">
        <f>+'[1]GLOBAL PREV'!Y50</f>
        <v>1.1062633702780291E-2</v>
      </c>
      <c r="AA50" s="981">
        <f>+'[1]GLOBAL PREV'!AA50</f>
        <v>29200</v>
      </c>
      <c r="AB50" s="973">
        <f>+'[1]GLOBAL PREV'!AB50</f>
        <v>1.9395154147305001E-3</v>
      </c>
      <c r="AE50" s="989"/>
    </row>
    <row r="51" spans="1:31">
      <c r="A51" s="976" t="s">
        <v>399</v>
      </c>
      <c r="C51" s="990">
        <f>+'[1]GLOBAL PREV'!C51</f>
        <v>384254.81630956591</v>
      </c>
      <c r="D51" s="991">
        <f>+'[1]GLOBAL PREV'!D51</f>
        <v>0.10692351931394295</v>
      </c>
      <c r="F51" s="990">
        <f>+'[1]GLOBAL PREV'!F51</f>
        <v>219378.73651092238</v>
      </c>
      <c r="G51" s="991">
        <f>+'[1]GLOBAL PREV'!G51</f>
        <v>0.11319461272225032</v>
      </c>
      <c r="I51" s="990">
        <f>+'[1]GLOBAL PREV'!I51</f>
        <v>224632.60624332615</v>
      </c>
      <c r="J51" s="991">
        <f>+'[1]GLOBAL PREV'!J51</f>
        <v>0.11951022116822746</v>
      </c>
      <c r="L51" s="990">
        <f>+'[1]GLOBAL PREV'!L51</f>
        <v>157805.39540824766</v>
      </c>
      <c r="M51" s="991">
        <f>+'[1]GLOBAL PREV'!M51</f>
        <v>6.4377566410577611E-2</v>
      </c>
      <c r="O51" s="990">
        <f>+'[1]GLOBAL PREV'!O51</f>
        <v>142811.3919270339</v>
      </c>
      <c r="P51" s="991">
        <f>+'[1]GLOBAL PREV'!P51</f>
        <v>9.322195642333031E-2</v>
      </c>
      <c r="R51" s="990">
        <f>+'[1]GLOBAL PREV'!R51</f>
        <v>195471.51855380111</v>
      </c>
      <c r="S51" s="991">
        <f>+'[1]GLOBAL PREV'!S51</f>
        <v>0.14217265198656226</v>
      </c>
      <c r="U51" s="990">
        <f>+'[1]GLOBAL PREV'!U51</f>
        <v>214011.83074839841</v>
      </c>
      <c r="V51" s="991">
        <f>+'[1]GLOBAL PREV'!V51</f>
        <v>0.13424077748283286</v>
      </c>
      <c r="X51" s="990">
        <f>+'[1]GLOBAL PREV'!X51</f>
        <v>41866.042208279556</v>
      </c>
      <c r="Y51" s="991">
        <f>+'[1]GLOBAL PREV'!Y51</f>
        <v>2.1117450442836371E-2</v>
      </c>
      <c r="AA51" s="990">
        <f>+'[1]GLOBAL PREV'!AA51</f>
        <v>1580232.3379095749</v>
      </c>
      <c r="AB51" s="991">
        <f>+'[1]GLOBAL PREV'!AB51</f>
        <v>0.10496181432298755</v>
      </c>
      <c r="AE51" s="989"/>
    </row>
    <row r="52" spans="1:31">
      <c r="A52" s="976" t="s">
        <v>400</v>
      </c>
      <c r="C52" s="990">
        <f>+'[1]GLOBAL PREV'!C52</f>
        <v>561160.80804168654</v>
      </c>
      <c r="D52" s="991">
        <f>+'[1]GLOBAL PREV'!D52</f>
        <v>0.15522336672221246</v>
      </c>
      <c r="F52" s="990">
        <f>+'[1]GLOBAL PREV'!F52</f>
        <v>285523.58139811305</v>
      </c>
      <c r="G52" s="991">
        <f>+'[1]GLOBAL PREV'!G52</f>
        <v>0.12804375382970104</v>
      </c>
      <c r="I52" s="990">
        <f>+'[1]GLOBAL PREV'!I52</f>
        <v>316493.6062433261</v>
      </c>
      <c r="J52" s="991">
        <f>+'[1]GLOBAL PREV'!J52</f>
        <v>0.16775013100529415</v>
      </c>
      <c r="L52" s="990">
        <f>+'[1]GLOBAL PREV'!L52</f>
        <v>292002.84298911382</v>
      </c>
      <c r="M52" s="991">
        <f>+'[1]GLOBAL PREV'!M52</f>
        <v>0.10789887353535572</v>
      </c>
      <c r="O52" s="990">
        <f>+'[1]GLOBAL PREV'!O52</f>
        <v>178601.09192703391</v>
      </c>
      <c r="P52" s="991">
        <f>+'[1]GLOBAL PREV'!P52</f>
        <v>0.1109306815436811</v>
      </c>
      <c r="R52" s="990">
        <f>+'[1]GLOBAL PREV'!R52</f>
        <v>237580.51855380111</v>
      </c>
      <c r="S52" s="991">
        <f>+'[1]GLOBAL PREV'!S52</f>
        <v>0.16232054623412978</v>
      </c>
      <c r="U52" s="990">
        <f>+'[1]GLOBAL PREV'!U52</f>
        <v>245305.33074839841</v>
      </c>
      <c r="V52" s="991">
        <f>+'[1]GLOBAL PREV'!V52</f>
        <v>0.14679773196255641</v>
      </c>
      <c r="X52" s="990">
        <f>+'[1]GLOBAL PREV'!X52</f>
        <v>126926.04220827957</v>
      </c>
      <c r="Y52" s="991">
        <f>+'[1]GLOBAL PREV'!Y52</f>
        <v>0.10496953749830903</v>
      </c>
      <c r="AA52" s="990">
        <f>+'[1]GLOBAL PREV'!AA52</f>
        <v>2243593.8221097523</v>
      </c>
      <c r="AB52" s="991">
        <f>+'[1]GLOBAL PREV'!AB52</f>
        <v>0.14902345213616383</v>
      </c>
    </row>
    <row r="53" spans="1:31">
      <c r="A53" s="980" t="s">
        <v>401</v>
      </c>
      <c r="C53" s="981">
        <f>+'[1]GLOBAL PREV'!C53</f>
        <v>0</v>
      </c>
      <c r="D53" s="973">
        <f>+'[1]GLOBAL PREV'!D53</f>
        <v>0</v>
      </c>
      <c r="F53" s="981">
        <f>+'[1]GLOBAL PREV'!F53</f>
        <v>0</v>
      </c>
      <c r="G53" s="973">
        <f>+'[1]GLOBAL PREV'!G53</f>
        <v>0</v>
      </c>
      <c r="I53" s="981">
        <f>+'[1]GLOBAL PREV'!I53</f>
        <v>0</v>
      </c>
      <c r="J53" s="973">
        <f>+'[1]GLOBAL PREV'!J53</f>
        <v>0</v>
      </c>
      <c r="L53" s="981">
        <f>+'[1]GLOBAL PREV'!L53</f>
        <v>0</v>
      </c>
      <c r="M53" s="973">
        <f>+'[1]GLOBAL PREV'!M53</f>
        <v>0</v>
      </c>
      <c r="O53" s="981">
        <f>+'[1]GLOBAL PREV'!O53</f>
        <v>0</v>
      </c>
      <c r="P53" s="973">
        <f>+'[1]GLOBAL PREV'!P53</f>
        <v>0</v>
      </c>
      <c r="R53" s="981">
        <f>+'[1]GLOBAL PREV'!R53</f>
        <v>0</v>
      </c>
      <c r="S53" s="973">
        <f>+'[1]GLOBAL PREV'!S53</f>
        <v>0</v>
      </c>
      <c r="U53" s="981">
        <f>+'[1]GLOBAL PREV'!U53</f>
        <v>0</v>
      </c>
      <c r="V53" s="973">
        <f>+'[1]GLOBAL PREV'!V53</f>
        <v>0</v>
      </c>
      <c r="X53" s="981">
        <f>+'[1]GLOBAL PREV'!X53</f>
        <v>0</v>
      </c>
      <c r="Y53" s="973">
        <f>+'[1]GLOBAL PREV'!Y53</f>
        <v>0</v>
      </c>
      <c r="AA53" s="981">
        <f>+'[1]GLOBAL PREV'!AA53</f>
        <v>0</v>
      </c>
      <c r="AB53" s="973">
        <f>+'[1]GLOBAL PREV'!AB53</f>
        <v>0</v>
      </c>
    </row>
    <row r="54" spans="1:31">
      <c r="A54" s="980" t="s">
        <v>402</v>
      </c>
      <c r="C54" s="981">
        <f>+'[1]GLOBAL PREV'!C54</f>
        <v>125450.48</v>
      </c>
      <c r="D54" s="973">
        <f>+'[1]GLOBAL PREV'!D54</f>
        <v>3.9999994628765717E-2</v>
      </c>
      <c r="F54" s="981">
        <f>+'[1]GLOBAL PREV'!F54</f>
        <v>85129.8</v>
      </c>
      <c r="G54" s="973">
        <f>+'[1]GLOBAL PREV'!G54</f>
        <v>4.0000007608011416E-2</v>
      </c>
      <c r="I54" s="981">
        <f>+'[1]GLOBAL PREV'!I54</f>
        <v>73724</v>
      </c>
      <c r="J54" s="973">
        <f>+'[1]GLOBAL PREV'!J54</f>
        <v>4.0000016134041708E-2</v>
      </c>
      <c r="L54" s="981">
        <f>+'[1]GLOBAL PREV'!L54</f>
        <v>93360</v>
      </c>
      <c r="M54" s="973">
        <f>+'[1]GLOBAL PREV'!M54</f>
        <v>3.9999997524575094E-2</v>
      </c>
      <c r="O54" s="981">
        <f>+'[1]GLOBAL PREV'!O54</f>
        <v>57718</v>
      </c>
      <c r="P54" s="973">
        <f>+'[1]GLOBAL PREV'!P54</f>
        <v>3.999999795553668E-2</v>
      </c>
      <c r="R54" s="981">
        <f>+'[1]GLOBAL PREV'!R54</f>
        <v>59276</v>
      </c>
      <c r="S54" s="973">
        <f>+'[1]GLOBAL PREV'!S54</f>
        <v>4.000008433932805E-2</v>
      </c>
      <c r="U54" s="981">
        <f>+'[1]GLOBAL PREV'!U54</f>
        <v>57314</v>
      </c>
      <c r="V54" s="973">
        <f>+'[1]GLOBAL PREV'!V54</f>
        <v>4.0000008219664838E-2</v>
      </c>
      <c r="X54" s="981">
        <f>+'[1]GLOBAL PREV'!X54</f>
        <v>49235.200000000004</v>
      </c>
      <c r="Y54" s="973">
        <f>+'[1]GLOBAL PREV'!Y54</f>
        <v>4.0000005071202431E-2</v>
      </c>
      <c r="AA54" s="981">
        <f>+'[1]GLOBAL PREV'!AA54</f>
        <v>601207.48</v>
      </c>
      <c r="AB54" s="973">
        <f>+'[1]GLOBAL PREV'!AB54</f>
        <v>3.9933259414769821E-2</v>
      </c>
    </row>
    <row r="55" spans="1:31">
      <c r="A55" s="976" t="s">
        <v>403</v>
      </c>
      <c r="C55" s="990">
        <f>+'[1]GLOBAL PREV'!C55</f>
        <v>258804.33630956587</v>
      </c>
      <c r="D55" s="991">
        <f>+'[1]GLOBAL PREV'!D55</f>
        <v>6.6923524685177233E-2</v>
      </c>
      <c r="F55" s="990">
        <f>+'[1]GLOBAL PREV'!F55</f>
        <v>134248.93651092239</v>
      </c>
      <c r="G55" s="991">
        <f>+'[1]GLOBAL PREV'!G55</f>
        <v>7.3194605114238906E-2</v>
      </c>
      <c r="I55" s="990">
        <f>+'[1]GLOBAL PREV'!I55</f>
        <v>150908.60624332612</v>
      </c>
      <c r="J55" s="991">
        <f>+'[1]GLOBAL PREV'!J55</f>
        <v>7.9510205034185752E-2</v>
      </c>
      <c r="L55" s="990">
        <f>+'[1]GLOBAL PREV'!L55</f>
        <v>64445.395408247641</v>
      </c>
      <c r="M55" s="991">
        <f>+'[1]GLOBAL PREV'!M55</f>
        <v>2.4377568886002517E-2</v>
      </c>
      <c r="O55" s="990">
        <f>+'[1]GLOBAL PREV'!O55</f>
        <v>85093.391927033896</v>
      </c>
      <c r="P55" s="991">
        <f>+'[1]GLOBAL PREV'!P55</f>
        <v>5.322195846779363E-2</v>
      </c>
      <c r="R55" s="990">
        <f>+'[1]GLOBAL PREV'!R55</f>
        <v>136195.51855380111</v>
      </c>
      <c r="S55" s="991">
        <f>+'[1]GLOBAL PREV'!S55</f>
        <v>0.1021725676472342</v>
      </c>
      <c r="U55" s="990">
        <f>+'[1]GLOBAL PREV'!U55</f>
        <v>156697.83074839841</v>
      </c>
      <c r="V55" s="991">
        <f>+'[1]GLOBAL PREV'!V55</f>
        <v>9.4240769263168017E-2</v>
      </c>
      <c r="X55" s="990">
        <f>+'[1]GLOBAL PREV'!X55</f>
        <v>-7369.1577917204449</v>
      </c>
      <c r="Y55" s="991">
        <f>+'[1]GLOBAL PREV'!Y55</f>
        <v>-1.8882554628366067E-2</v>
      </c>
      <c r="AA55" s="990">
        <f>+'[1]GLOBAL PREV'!AA55</f>
        <v>979024.85790957499</v>
      </c>
      <c r="AB55" s="991">
        <f>+'[1]GLOBAL PREV'!AB55</f>
        <v>6.5028554908217739E-2</v>
      </c>
    </row>
    <row r="56" spans="1:31">
      <c r="A56" s="980" t="s">
        <v>404</v>
      </c>
      <c r="C56" s="981">
        <f>+'[1]GLOBAL PREV'!C56</f>
        <v>50000</v>
      </c>
      <c r="D56" s="973">
        <f>+'[1]GLOBAL PREV'!D56</f>
        <v>1.6785107138415686E-2</v>
      </c>
      <c r="F56" s="981">
        <f>+'[1]GLOBAL PREV'!F56</f>
        <v>0</v>
      </c>
      <c r="G56" s="973">
        <f>+'[1]GLOBAL PREV'!G56</f>
        <v>0</v>
      </c>
      <c r="I56" s="981">
        <f>+'[1]GLOBAL PREV'!I56</f>
        <v>0</v>
      </c>
      <c r="J56" s="973">
        <f>+'[1]GLOBAL PREV'!J56</f>
        <v>0</v>
      </c>
      <c r="L56" s="981">
        <f>+'[1]GLOBAL PREV'!L56</f>
        <v>0</v>
      </c>
      <c r="M56" s="973">
        <f>+'[1]GLOBAL PREV'!M56</f>
        <v>0</v>
      </c>
      <c r="O56" s="981">
        <f>+'[1]GLOBAL PREV'!O56</f>
        <v>0</v>
      </c>
      <c r="P56" s="973">
        <f>+'[1]GLOBAL PREV'!P56</f>
        <v>0</v>
      </c>
      <c r="R56" s="981">
        <f>+'[1]GLOBAL PREV'!R56</f>
        <v>0</v>
      </c>
      <c r="S56" s="973">
        <f>+'[1]GLOBAL PREV'!S56</f>
        <v>0</v>
      </c>
      <c r="U56" s="981">
        <f>+'[1]GLOBAL PREV'!U56</f>
        <v>0</v>
      </c>
      <c r="V56" s="973">
        <f>+'[1]GLOBAL PREV'!V56</f>
        <v>0</v>
      </c>
      <c r="X56" s="981">
        <f>+'[1]GLOBAL PREV'!X56</f>
        <v>0</v>
      </c>
      <c r="Y56" s="973">
        <f>+'[1]GLOBAL PREV'!Y56</f>
        <v>0</v>
      </c>
      <c r="AA56" s="981">
        <f>+'[1]GLOBAL PREV'!AA56</f>
        <v>50000</v>
      </c>
      <c r="AB56" s="973">
        <f>+'[1]GLOBAL PREV'!AB56</f>
        <v>3.3210880389220889E-3</v>
      </c>
    </row>
    <row r="57" spans="1:31">
      <c r="A57" s="980" t="s">
        <v>405</v>
      </c>
      <c r="C57" s="981">
        <f>+'[1]GLOBAL PREV'!C57</f>
        <v>52201.084077391468</v>
      </c>
      <c r="D57" s="973">
        <f>+'[1]GLOBAL PREV'!D57</f>
        <v>1.6730723391287217E-2</v>
      </c>
      <c r="F57" s="981">
        <f>+'[1]GLOBAL PREV'!F57</f>
        <v>33562.234127730597</v>
      </c>
      <c r="G57" s="973">
        <f>+'[1]GLOBAL PREV'!G57</f>
        <v>1.8298730528678614E-2</v>
      </c>
      <c r="I57" s="981">
        <f>+'[1]GLOBAL PREV'!I57</f>
        <v>37727.151560831531</v>
      </c>
      <c r="J57" s="973">
        <f>+'[1]GLOBAL PREV'!J57</f>
        <v>1.9877821106075024E-2</v>
      </c>
      <c r="L57" s="981">
        <f>+'[1]GLOBAL PREV'!L57</f>
        <v>16111.34885206191</v>
      </c>
      <c r="M57" s="973">
        <f>+'[1]GLOBAL PREV'!M57</f>
        <v>6.0944076929062485E-3</v>
      </c>
      <c r="O57" s="981">
        <f>+'[1]GLOBAL PREV'!O57</f>
        <v>21273.347981758474</v>
      </c>
      <c r="P57" s="973">
        <f>+'[1]GLOBAL PREV'!P57</f>
        <v>1.3305805413515451E-2</v>
      </c>
      <c r="R57" s="981">
        <f>+'[1]GLOBAL PREV'!R57</f>
        <v>34048.879638450278</v>
      </c>
      <c r="S57" s="973">
        <f>+'[1]GLOBAL PREV'!S57</f>
        <v>2.5543071157338715E-2</v>
      </c>
      <c r="U57" s="981">
        <f>+'[1]GLOBAL PREV'!U57</f>
        <v>39174.457687099602</v>
      </c>
      <c r="V57" s="973">
        <f>+'[1]GLOBAL PREV'!V57</f>
        <v>2.3560348269254523E-2</v>
      </c>
      <c r="X57" s="981">
        <f>+'[1]GLOBAL PREV'!X57</f>
        <v>0</v>
      </c>
      <c r="Y57" s="973">
        <f>+'[1]GLOBAL PREV'!Y57</f>
        <v>0</v>
      </c>
      <c r="AA57" s="981">
        <f>+'[1]GLOBAL PREV'!AA57</f>
        <v>234098.50392532386</v>
      </c>
      <c r="AB57" s="973">
        <f>+'[1]GLOBAL PREV'!AB57</f>
        <v>1.5549234826318975E-2</v>
      </c>
    </row>
    <row r="58" spans="1:31" s="977" customFormat="1">
      <c r="A58" s="976" t="s">
        <v>406</v>
      </c>
      <c r="C58" s="978">
        <f>+'[1]GLOBAL PREV'!C58</f>
        <v>156603.25223217439</v>
      </c>
      <c r="D58" s="979">
        <f>+'[1]GLOBAL PREV'!D58</f>
        <v>3.3407694155474336E-2</v>
      </c>
      <c r="F58" s="978">
        <f>+'[1]GLOBAL PREV'!F58</f>
        <v>100686.7023831918</v>
      </c>
      <c r="G58" s="979">
        <f>+'[1]GLOBAL PREV'!G58</f>
        <v>5.4895874585560285E-2</v>
      </c>
      <c r="I58" s="978">
        <f>+'[1]GLOBAL PREV'!I58</f>
        <v>113181.45468249459</v>
      </c>
      <c r="J58" s="979">
        <f>+'[1]GLOBAL PREV'!J58</f>
        <v>5.9632383928110738E-2</v>
      </c>
      <c r="L58" s="978">
        <f>+'[1]GLOBAL PREV'!L58</f>
        <v>48334.046556185735</v>
      </c>
      <c r="M58" s="979">
        <f>+'[1]GLOBAL PREV'!M58</f>
        <v>1.8283161193096267E-2</v>
      </c>
      <c r="O58" s="978">
        <f>+'[1]GLOBAL PREV'!O58</f>
        <v>63820.043945275422</v>
      </c>
      <c r="P58" s="979">
        <f>+'[1]GLOBAL PREV'!P58</f>
        <v>3.9916153054278182E-2</v>
      </c>
      <c r="R58" s="978">
        <f>+'[1]GLOBAL PREV'!R58</f>
        <v>102146.63891535084</v>
      </c>
      <c r="S58" s="979">
        <f>+'[1]GLOBAL PREV'!S58</f>
        <v>7.6629496489895491E-2</v>
      </c>
      <c r="U58" s="978">
        <f>+'[1]GLOBAL PREV'!U58</f>
        <v>117523.37306129881</v>
      </c>
      <c r="V58" s="979">
        <f>+'[1]GLOBAL PREV'!V58</f>
        <v>7.0680420993913487E-2</v>
      </c>
      <c r="X58" s="978">
        <f>+'[1]GLOBAL PREV'!X58</f>
        <v>-8029.9317593400774</v>
      </c>
      <c r="Y58" s="979">
        <f>+'[1]GLOBAL PREV'!Y58</f>
        <v>-1.8882554628366067E-2</v>
      </c>
      <c r="AA58" s="978">
        <f>+'[1]GLOBAL PREV'!AA58</f>
        <v>694265.58001663152</v>
      </c>
      <c r="AB58" s="979">
        <f>+'[1]GLOBAL PREV'!AB58</f>
        <v>4.611434227257083E-2</v>
      </c>
    </row>
  </sheetData>
  <mergeCells count="9">
    <mergeCell ref="U4:V4"/>
    <mergeCell ref="X4:Y4"/>
    <mergeCell ref="AA4:AB4"/>
    <mergeCell ref="C4:D4"/>
    <mergeCell ref="F4:G4"/>
    <mergeCell ref="I4:J4"/>
    <mergeCell ref="L4:M4"/>
    <mergeCell ref="O4:P4"/>
    <mergeCell ref="R4:S4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A4F55-D6A1-4648-A637-B947622F343D}">
  <sheetPr codeName="Feuil4"/>
  <dimension ref="A1:AL64"/>
  <sheetViews>
    <sheetView showGridLines="0" zoomScale="69" workbookViewId="0">
      <selection activeCell="B6" sqref="B6"/>
    </sheetView>
  </sheetViews>
  <sheetFormatPr baseColWidth="10" defaultColWidth="10.83203125" defaultRowHeight="17"/>
  <cols>
    <col min="1" max="1" width="36.1640625" style="38" bestFit="1" customWidth="1"/>
    <col min="2" max="2" width="11.5" style="38" bestFit="1" customWidth="1"/>
    <col min="3" max="3" width="9.83203125" style="38" bestFit="1" customWidth="1"/>
    <col min="4" max="4" width="1.83203125" style="38" customWidth="1"/>
    <col min="5" max="5" width="11.5" style="38" bestFit="1" customWidth="1"/>
    <col min="6" max="6" width="10.83203125" style="38"/>
    <col min="7" max="7" width="1.83203125" style="38" customWidth="1"/>
    <col min="8" max="8" width="11.5" style="38" bestFit="1" customWidth="1"/>
    <col min="9" max="9" width="10.83203125" style="38"/>
    <col min="10" max="10" width="1.83203125" style="38" customWidth="1"/>
    <col min="11" max="11" width="11.5" style="38" customWidth="1"/>
    <col min="12" max="12" width="10.83203125" style="38"/>
    <col min="13" max="13" width="1.83203125" style="38" customWidth="1"/>
    <col min="14" max="14" width="11.5" style="38" bestFit="1" customWidth="1"/>
    <col min="15" max="15" width="10.83203125" style="38"/>
    <col min="16" max="16" width="1.83203125" style="38" customWidth="1"/>
    <col min="17" max="17" width="11.5" style="38" bestFit="1" customWidth="1"/>
    <col min="18" max="18" width="10.83203125" style="38"/>
    <col min="19" max="19" width="1.83203125" style="38" customWidth="1"/>
    <col min="20" max="20" width="11.5" style="38" bestFit="1" customWidth="1"/>
    <col min="21" max="21" width="10.83203125" style="38"/>
    <col min="22" max="22" width="1.83203125" style="38" customWidth="1"/>
    <col min="23" max="23" width="11.5" style="38" bestFit="1" customWidth="1"/>
    <col min="24" max="24" width="10.83203125" style="38"/>
    <col min="25" max="25" width="1.83203125" style="38" customWidth="1"/>
    <col min="26" max="26" width="12.1640625" style="38" bestFit="1" customWidth="1"/>
    <col min="27" max="16384" width="10.83203125" style="38"/>
  </cols>
  <sheetData>
    <row r="1" spans="1:32" ht="42">
      <c r="A1" s="914" t="s">
        <v>343</v>
      </c>
    </row>
    <row r="2" spans="1:32" ht="20">
      <c r="A2" s="914"/>
    </row>
    <row r="3" spans="1:32">
      <c r="A3" s="915" t="s">
        <v>344</v>
      </c>
    </row>
    <row r="4" spans="1:32" ht="20">
      <c r="A4" s="916" t="s">
        <v>37</v>
      </c>
    </row>
    <row r="5" spans="1:32" ht="42" customHeight="1">
      <c r="A5" s="917"/>
      <c r="B5" s="918" t="s">
        <v>345</v>
      </c>
      <c r="C5" s="918" t="s">
        <v>36</v>
      </c>
      <c r="E5" s="918" t="s">
        <v>346</v>
      </c>
      <c r="F5" s="918" t="s">
        <v>36</v>
      </c>
      <c r="H5" s="918" t="s">
        <v>347</v>
      </c>
      <c r="I5" s="918" t="s">
        <v>36</v>
      </c>
      <c r="K5" s="918" t="s">
        <v>348</v>
      </c>
      <c r="L5" s="918" t="s">
        <v>36</v>
      </c>
      <c r="N5" s="918" t="s">
        <v>349</v>
      </c>
      <c r="O5" s="918" t="s">
        <v>36</v>
      </c>
      <c r="Q5" s="918" t="s">
        <v>350</v>
      </c>
      <c r="R5" s="918" t="s">
        <v>36</v>
      </c>
      <c r="T5" s="918" t="s">
        <v>351</v>
      </c>
      <c r="U5" s="918" t="s">
        <v>36</v>
      </c>
      <c r="W5" s="918" t="s">
        <v>352</v>
      </c>
      <c r="X5" s="918" t="s">
        <v>36</v>
      </c>
      <c r="Z5" s="918" t="s">
        <v>353</v>
      </c>
      <c r="AA5" s="918" t="s">
        <v>36</v>
      </c>
    </row>
    <row r="6" spans="1:32">
      <c r="A6" s="919" t="s">
        <v>354</v>
      </c>
      <c r="B6" s="920">
        <f>'[1]GLOBAL PREV AN'!C6</f>
        <v>7508792.2689460944</v>
      </c>
      <c r="C6" s="921">
        <f>'[1]GLOBAL PREV AN'!D6</f>
        <v>1.0135700207344307</v>
      </c>
      <c r="E6" s="920">
        <f>'[1]GLOBAL PREV AN'!F6</f>
        <v>5242221.8686564788</v>
      </c>
      <c r="F6" s="921">
        <f>'[1]GLOBAL PREV AN'!G6</f>
        <v>1.0175120086677949</v>
      </c>
      <c r="H6" s="920">
        <f>'[1]GLOBAL PREV AN'!I6</f>
        <v>4545046.46</v>
      </c>
      <c r="I6" s="921">
        <f>'[1]GLOBAL PREV AN'!J6</f>
        <v>1.01</v>
      </c>
      <c r="K6" s="920">
        <f>'[1]GLOBAL PREV AN'!L6</f>
        <v>5621943.722090872</v>
      </c>
      <c r="L6" s="921">
        <f>'[1]GLOBAL PREV AN'!M6</f>
        <v>1.0157079895376462</v>
      </c>
      <c r="N6" s="920">
        <f>'[1]GLOBAL PREV AN'!O6</f>
        <v>3630243</v>
      </c>
      <c r="O6" s="921">
        <f>'[1]GLOBAL PREV AN'!P6</f>
        <v>1.01</v>
      </c>
      <c r="Q6" s="920">
        <f>'[1]GLOBAL PREV AN'!R6</f>
        <v>3672653</v>
      </c>
      <c r="R6" s="921">
        <f>'[1]GLOBAL PREV AN'!S6</f>
        <v>1.0102750804610348</v>
      </c>
      <c r="T6" s="920">
        <f>'[1]GLOBAL PREV AN'!U6</f>
        <v>3426122</v>
      </c>
      <c r="U6" s="921">
        <f>'[1]GLOBAL PREV AN'!V6</f>
        <v>1.01</v>
      </c>
      <c r="W6" s="920">
        <f>'[1]GLOBAL PREV AN'!X6</f>
        <v>3080500</v>
      </c>
      <c r="X6" s="921">
        <f>'[1]GLOBAL PREV AN'!Y6</f>
        <v>1.01</v>
      </c>
      <c r="Z6" s="920">
        <f>'[1]GLOBAL PREV AN'!AA6</f>
        <v>36727522.319693446</v>
      </c>
      <c r="AA6" s="921">
        <f>'[1]GLOBAL PREV AN'!AB6</f>
        <v>1.0126950932975809</v>
      </c>
    </row>
    <row r="7" spans="1:32" s="925" customFormat="1">
      <c r="A7" s="922" t="s">
        <v>355</v>
      </c>
      <c r="B7" s="923">
        <f>'[1]GLOBAL PREV AN'!C7</f>
        <v>7408262</v>
      </c>
      <c r="C7" s="924">
        <f>'[1]GLOBAL PREV AN'!D7</f>
        <v>1</v>
      </c>
      <c r="E7" s="923">
        <f>'[1]GLOBAL PREV AN'!F7</f>
        <v>5152000</v>
      </c>
      <c r="F7" s="924">
        <f>'[1]GLOBAL PREV AN'!G7</f>
        <v>1</v>
      </c>
      <c r="H7" s="923">
        <f>'[1]GLOBAL PREV AN'!I7</f>
        <v>4500046</v>
      </c>
      <c r="I7" s="924">
        <f>'[1]GLOBAL PREV AN'!J7</f>
        <v>1</v>
      </c>
      <c r="K7" s="923">
        <f>'[1]GLOBAL PREV AN'!L7</f>
        <v>5535000</v>
      </c>
      <c r="L7" s="924">
        <f>'[1]GLOBAL PREV AN'!M7</f>
        <v>1</v>
      </c>
      <c r="N7" s="923">
        <f>'[1]GLOBAL PREV AN'!O7</f>
        <v>3594300</v>
      </c>
      <c r="O7" s="924">
        <f>'[1]GLOBAL PREV AN'!P7</f>
        <v>1</v>
      </c>
      <c r="Q7" s="923">
        <f>'[1]GLOBAL PREV AN'!R7</f>
        <v>3635300</v>
      </c>
      <c r="R7" s="924">
        <f>'[1]GLOBAL PREV AN'!S7</f>
        <v>1</v>
      </c>
      <c r="T7" s="923">
        <f>'[1]GLOBAL PREV AN'!U7</f>
        <v>3392200</v>
      </c>
      <c r="U7" s="924">
        <f>'[1]GLOBAL PREV AN'!V7</f>
        <v>1</v>
      </c>
      <c r="W7" s="923">
        <f>'[1]GLOBAL PREV AN'!X7</f>
        <v>3050000</v>
      </c>
      <c r="X7" s="924">
        <f>'[1]GLOBAL PREV AN'!Y7</f>
        <v>1</v>
      </c>
      <c r="Z7" s="923">
        <f>'[1]GLOBAL PREV AN'!AA7</f>
        <v>36267108</v>
      </c>
      <c r="AA7" s="924">
        <f>'[1]GLOBAL PREV AN'!AB7</f>
        <v>1</v>
      </c>
    </row>
    <row r="8" spans="1:32">
      <c r="A8" s="926" t="s">
        <v>356</v>
      </c>
      <c r="B8" s="927">
        <f>'[1]GLOBAL PREV AN'!C8</f>
        <v>1529806.1030000001</v>
      </c>
      <c r="C8" s="921">
        <f>'[1]GLOBAL PREV AN'!D8</f>
        <v>0.20650000000000002</v>
      </c>
      <c r="E8" s="927">
        <f>'[1]GLOBAL PREV AN'!F8</f>
        <v>1056044.5</v>
      </c>
      <c r="F8" s="921">
        <f>'[1]GLOBAL PREV AN'!G8</f>
        <v>0.20497758152173914</v>
      </c>
      <c r="H8" s="927">
        <f>'[1]GLOBAL PREV AN'!I8</f>
        <v>922509.42999999993</v>
      </c>
      <c r="I8" s="921">
        <f>'[1]GLOBAL PREV AN'!J8</f>
        <v>0.20499999999999999</v>
      </c>
      <c r="K8" s="927">
        <f>'[1]GLOBAL PREV AN'!L8</f>
        <v>1142977.5000000002</v>
      </c>
      <c r="L8" s="921">
        <f>'[1]GLOBAL PREV AN'!M8</f>
        <v>0.20650000000000004</v>
      </c>
      <c r="N8" s="927">
        <f>'[1]GLOBAL PREV AN'!O8</f>
        <v>754803</v>
      </c>
      <c r="O8" s="921">
        <f>'[1]GLOBAL PREV AN'!P8</f>
        <v>0.21</v>
      </c>
      <c r="Q8" s="927">
        <f>'[1]GLOBAL PREV AN'!R8</f>
        <v>752507.1</v>
      </c>
      <c r="R8" s="921">
        <f>'[1]GLOBAL PREV AN'!S8</f>
        <v>0.20699999999999999</v>
      </c>
      <c r="T8" s="927">
        <f>'[1]GLOBAL PREV AN'!U8</f>
        <v>712362</v>
      </c>
      <c r="U8" s="921">
        <f>'[1]GLOBAL PREV AN'!V8</f>
        <v>0.21</v>
      </c>
      <c r="W8" s="927">
        <f>'[1]GLOBAL PREV AN'!X8</f>
        <v>631349.99999999988</v>
      </c>
      <c r="X8" s="921">
        <f>'[1]GLOBAL PREV AN'!Y8</f>
        <v>0.20699999999999996</v>
      </c>
      <c r="Z8" s="927">
        <f>'[1]GLOBAL PREV AN'!AA8</f>
        <v>7502359.6329999994</v>
      </c>
      <c r="AA8" s="921">
        <f>'[1]GLOBAL PREV AN'!AB8</f>
        <v>0.20686401664560625</v>
      </c>
    </row>
    <row r="9" spans="1:32">
      <c r="A9" s="926" t="s">
        <v>357</v>
      </c>
      <c r="B9" s="927">
        <f>'[1]GLOBAL PREV AN'!C9</f>
        <v>34818.831399999995</v>
      </c>
      <c r="C9" s="921">
        <f>'[1]GLOBAL PREV AN'!D9</f>
        <v>4.6999999999999993E-3</v>
      </c>
      <c r="E9" s="927">
        <f>'[1]GLOBAL PREV AN'!F9</f>
        <v>23184</v>
      </c>
      <c r="F9" s="921">
        <f>'[1]GLOBAL PREV AN'!G9</f>
        <v>4.4999999999999997E-3</v>
      </c>
      <c r="H9" s="927">
        <f>'[1]GLOBAL PREV AN'!I9</f>
        <v>22500.23</v>
      </c>
      <c r="I9" s="921">
        <f>'[1]GLOBAL PREV AN'!J9</f>
        <v>5.0000000000000001E-3</v>
      </c>
      <c r="K9" s="927">
        <f>'[1]GLOBAL PREV AN'!L9</f>
        <v>27675</v>
      </c>
      <c r="L9" s="921">
        <f>'[1]GLOBAL PREV AN'!M9</f>
        <v>5.0000000000000001E-3</v>
      </c>
      <c r="N9" s="927">
        <f>'[1]GLOBAL PREV AN'!O9</f>
        <v>17971.5</v>
      </c>
      <c r="O9" s="921">
        <f>'[1]GLOBAL PREV AN'!P9</f>
        <v>5.0000000000000001E-3</v>
      </c>
      <c r="Q9" s="927">
        <f>'[1]GLOBAL PREV AN'!R9</f>
        <v>16358.849999999999</v>
      </c>
      <c r="R9" s="921">
        <f>'[1]GLOBAL PREV AN'!S9</f>
        <v>4.4999999999999997E-3</v>
      </c>
      <c r="T9" s="927">
        <f>'[1]GLOBAL PREV AN'!U9</f>
        <v>16961</v>
      </c>
      <c r="U9" s="921">
        <f>'[1]GLOBAL PREV AN'!V9</f>
        <v>5.0000000000000001E-3</v>
      </c>
      <c r="W9" s="927">
        <f>'[1]GLOBAL PREV AN'!X9</f>
        <v>18300</v>
      </c>
      <c r="X9" s="921">
        <f>'[1]GLOBAL PREV AN'!Y9</f>
        <v>6.0000000000000001E-3</v>
      </c>
      <c r="Z9" s="927">
        <f>'[1]GLOBAL PREV AN'!AA9</f>
        <v>177769.41139999998</v>
      </c>
      <c r="AA9" s="921">
        <f>'[1]GLOBAL PREV AN'!AB9</f>
        <v>4.9016704447456903E-3</v>
      </c>
    </row>
    <row r="10" spans="1:32">
      <c r="A10" s="926" t="s">
        <v>358</v>
      </c>
      <c r="B10" s="927">
        <f>'[1]GLOBAL PREV AN'!C10</f>
        <v>37041.31</v>
      </c>
      <c r="C10" s="921">
        <f>'[1]GLOBAL PREV AN'!D10</f>
        <v>5.0000000000000001E-3</v>
      </c>
      <c r="E10" s="927">
        <f>'[1]GLOBAL PREV AN'!F10</f>
        <v>28335.999999999996</v>
      </c>
      <c r="F10" s="921">
        <f>'[1]GLOBAL PREV AN'!G10</f>
        <v>5.4999999999999997E-3</v>
      </c>
      <c r="H10" s="927">
        <f>'[1]GLOBAL PREV AN'!I10</f>
        <v>22500.23</v>
      </c>
      <c r="I10" s="921">
        <f>'[1]GLOBAL PREV AN'!J10</f>
        <v>5.0000000000000001E-3</v>
      </c>
      <c r="K10" s="927">
        <f>'[1]GLOBAL PREV AN'!L10</f>
        <v>33210</v>
      </c>
      <c r="L10" s="921">
        <f>'[1]GLOBAL PREV AN'!M10</f>
        <v>6.0000000000000001E-3</v>
      </c>
      <c r="N10" s="927">
        <f>'[1]GLOBAL PREV AN'!O10</f>
        <v>17971.5</v>
      </c>
      <c r="O10" s="921">
        <f>'[1]GLOBAL PREV AN'!P10</f>
        <v>5.0000000000000001E-3</v>
      </c>
      <c r="Q10" s="927">
        <f>'[1]GLOBAL PREV AN'!R10</f>
        <v>19994.149999999994</v>
      </c>
      <c r="R10" s="921">
        <f>'[1]GLOBAL PREV AN'!S10</f>
        <v>5.4999999999999988E-3</v>
      </c>
      <c r="T10" s="927">
        <f>'[1]GLOBAL PREV AN'!U10</f>
        <v>16961</v>
      </c>
      <c r="U10" s="928">
        <f>'[1]GLOBAL PREV AN'!V10</f>
        <v>5.0000000000000001E-3</v>
      </c>
      <c r="W10" s="927">
        <f>'[1]GLOBAL PREV AN'!X10</f>
        <v>21350</v>
      </c>
      <c r="X10" s="921">
        <f>'[1]GLOBAL PREV AN'!Y10</f>
        <v>7.0000000000000001E-3</v>
      </c>
      <c r="Z10" s="927">
        <f>'[1]GLOBAL PREV AN'!AA10</f>
        <v>197364.18999999997</v>
      </c>
      <c r="AA10" s="921">
        <f>'[1]GLOBAL PREV AN'!AB10</f>
        <v>5.4419610739295772E-3</v>
      </c>
    </row>
    <row r="11" spans="1:32">
      <c r="A11" s="926" t="s">
        <v>359</v>
      </c>
      <c r="B11" s="927">
        <f>'[1]GLOBAL PREV AN'!C11</f>
        <v>148165.24</v>
      </c>
      <c r="C11" s="921">
        <f>'[1]GLOBAL PREV AN'!D11</f>
        <v>0.02</v>
      </c>
      <c r="E11" s="927">
        <f>'[1]GLOBAL PREV AN'!F11</f>
        <v>100464</v>
      </c>
      <c r="F11" s="921">
        <f>'[1]GLOBAL PREV AN'!G11</f>
        <v>1.95E-2</v>
      </c>
      <c r="H11" s="927">
        <f>'[1]GLOBAL PREV AN'!I11</f>
        <v>85500.873999999996</v>
      </c>
      <c r="I11" s="921">
        <f>'[1]GLOBAL PREV AN'!J11</f>
        <v>1.9E-2</v>
      </c>
      <c r="K11" s="927">
        <f>'[1]GLOBAL PREV AN'!L11</f>
        <v>116235.00000000001</v>
      </c>
      <c r="L11" s="921">
        <f>'[1]GLOBAL PREV AN'!M11</f>
        <v>2.1000000000000001E-2</v>
      </c>
      <c r="N11" s="927">
        <f>'[1]GLOBAL PREV AN'!O11</f>
        <v>73683.150000000009</v>
      </c>
      <c r="O11" s="921">
        <f>'[1]GLOBAL PREV AN'!P11</f>
        <v>2.0500000000000001E-2</v>
      </c>
      <c r="Q11" s="927">
        <f>'[1]GLOBAL PREV AN'!R11</f>
        <v>74523.650000000009</v>
      </c>
      <c r="R11" s="921">
        <f>'[1]GLOBAL PREV AN'!S11</f>
        <v>2.0500000000000001E-2</v>
      </c>
      <c r="T11" s="927">
        <f>'[1]GLOBAL PREV AN'!U11</f>
        <v>67844</v>
      </c>
      <c r="U11" s="921">
        <f>'[1]GLOBAL PREV AN'!V11</f>
        <v>0.02</v>
      </c>
      <c r="W11" s="927">
        <f>'[1]GLOBAL PREV AN'!X11</f>
        <v>61000</v>
      </c>
      <c r="X11" s="921">
        <f>'[1]GLOBAL PREV AN'!Y11</f>
        <v>0.02</v>
      </c>
      <c r="Z11" s="927">
        <f>'[1]GLOBAL PREV AN'!AA11</f>
        <v>727415.91399999999</v>
      </c>
      <c r="AA11" s="921">
        <f>'[1]GLOBAL PREV AN'!AB11</f>
        <v>2.005718002108136E-2</v>
      </c>
    </row>
    <row r="12" spans="1:32">
      <c r="A12" s="926" t="s">
        <v>360</v>
      </c>
      <c r="B12" s="927">
        <f>'[1]GLOBAL PREV AN'!C12</f>
        <v>10999.999999999998</v>
      </c>
      <c r="C12" s="921">
        <f>'[1]GLOBAL PREV AN'!D12</f>
        <v>1.4848286953134215E-3</v>
      </c>
      <c r="E12" s="927">
        <f>'[1]GLOBAL PREV AN'!F12</f>
        <v>8000.3333333333339</v>
      </c>
      <c r="F12" s="921">
        <f>'[1]GLOBAL PREV AN'!G12</f>
        <v>1.5528597308488614E-3</v>
      </c>
      <c r="H12" s="927">
        <f>'[1]GLOBAL PREV AN'!I12</f>
        <v>6458.3333333333339</v>
      </c>
      <c r="I12" s="921">
        <f>'[1]GLOBAL PREV AN'!J12</f>
        <v>1.4351705145532589E-3</v>
      </c>
      <c r="K12" s="927">
        <f>'[1]GLOBAL PREV AN'!L12</f>
        <v>8499.9999999999982</v>
      </c>
      <c r="L12" s="921">
        <f>'[1]GLOBAL PREV AN'!M12</f>
        <v>1.5356820234869012E-3</v>
      </c>
      <c r="N12" s="927">
        <f>'[1]GLOBAL PREV AN'!O12</f>
        <v>5069.7000000000007</v>
      </c>
      <c r="O12" s="921">
        <f>'[1]GLOBAL PREV AN'!P12</f>
        <v>1.4104832651698526E-3</v>
      </c>
      <c r="Q12" s="927">
        <f>'[1]GLOBAL PREV AN'!R12</f>
        <v>5041.666666666667</v>
      </c>
      <c r="R12" s="921">
        <f>'[1]GLOBAL PREV AN'!S12</f>
        <v>1.3868639910507158E-3</v>
      </c>
      <c r="T12" s="927">
        <f>'[1]GLOBAL PREV AN'!U12</f>
        <v>4500</v>
      </c>
      <c r="U12" s="921">
        <f>'[1]GLOBAL PREV AN'!V12</f>
        <v>1.3265727256647603E-3</v>
      </c>
      <c r="W12" s="927">
        <f>'[1]GLOBAL PREV AN'!X12</f>
        <v>4000.0000000000005</v>
      </c>
      <c r="X12" s="921">
        <f>'[1]GLOBAL PREV AN'!Y12</f>
        <v>1.3114754098360658E-3</v>
      </c>
      <c r="Z12" s="927">
        <f>'[1]GLOBAL PREV AN'!AA12</f>
        <v>52570.033333333333</v>
      </c>
      <c r="AA12" s="921">
        <f>'[1]GLOBAL PREV AN'!AB12</f>
        <v>1.4495237208694261E-3</v>
      </c>
    </row>
    <row r="13" spans="1:32" s="925" customFormat="1">
      <c r="A13" s="922" t="s">
        <v>361</v>
      </c>
      <c r="B13" s="923">
        <f>'[1]GLOBAL PREV AN'!C13</f>
        <v>5647430.5155999996</v>
      </c>
      <c r="C13" s="924">
        <f>'[1]GLOBAL PREV AN'!D13</f>
        <v>0.76231517130468651</v>
      </c>
      <c r="E13" s="923">
        <f>'[1]GLOBAL PREV AN'!F13</f>
        <v>3935971.166666667</v>
      </c>
      <c r="F13" s="924">
        <f>'[1]GLOBAL PREV AN'!G13</f>
        <v>0.76396955874741201</v>
      </c>
      <c r="H13" s="923">
        <f>'[1]GLOBAL PREV AN'!I13</f>
        <v>3440576.902666667</v>
      </c>
      <c r="I13" s="924">
        <f>'[1]GLOBAL PREV AN'!J13</f>
        <v>0.7645648294854468</v>
      </c>
      <c r="K13" s="923">
        <f>'[1]GLOBAL PREV AN'!L13</f>
        <v>4206402.5000000009</v>
      </c>
      <c r="L13" s="924">
        <f>'[1]GLOBAL PREV AN'!M13</f>
        <v>0.75996431797651331</v>
      </c>
      <c r="N13" s="923">
        <f>'[1]GLOBAL PREV AN'!O13</f>
        <v>2724801.15</v>
      </c>
      <c r="O13" s="924">
        <f>'[1]GLOBAL PREV AN'!P13</f>
        <v>0.75808951673483016</v>
      </c>
      <c r="Q13" s="923">
        <f>'[1]GLOBAL PREV AN'!R13</f>
        <v>2766874.5833333335</v>
      </c>
      <c r="R13" s="924">
        <f>'[1]GLOBAL PREV AN'!S13</f>
        <v>0.76111313600894936</v>
      </c>
      <c r="T13" s="923">
        <f>'[1]GLOBAL PREV AN'!U13</f>
        <v>2573572</v>
      </c>
      <c r="U13" s="924">
        <f>'[1]GLOBAL PREV AN'!V13</f>
        <v>0.75867342727433529</v>
      </c>
      <c r="W13" s="923">
        <f>'[1]GLOBAL PREV AN'!X13</f>
        <v>2314000</v>
      </c>
      <c r="X13" s="924">
        <f>'[1]GLOBAL PREV AN'!Y13</f>
        <v>0.75868852459016389</v>
      </c>
      <c r="Z13" s="923">
        <f>'[1]GLOBAL PREV AN'!AA13</f>
        <v>27609628.818266667</v>
      </c>
      <c r="AA13" s="924">
        <f>'[1]GLOBAL PREV AN'!AB13</f>
        <v>0.76128564809376775</v>
      </c>
      <c r="AF13" s="929"/>
    </row>
    <row r="14" spans="1:32">
      <c r="A14" s="926" t="s">
        <v>362</v>
      </c>
      <c r="B14" s="927">
        <f>'[1]GLOBAL PREV AN'!C14</f>
        <v>1167416.7630927833</v>
      </c>
      <c r="C14" s="921">
        <f>'[1]GLOBAL PREV AN'!D14</f>
        <v>0.15758308265727958</v>
      </c>
      <c r="E14" s="927">
        <f>'[1]GLOBAL PREV AN'!F14</f>
        <v>813194.51804123691</v>
      </c>
      <c r="F14" s="921">
        <f>'[1]GLOBAL PREV AN'!G14</f>
        <v>0.15784055086204132</v>
      </c>
      <c r="H14" s="927">
        <f>'[1]GLOBAL PREV AN'!I14</f>
        <v>714720.42680851067</v>
      </c>
      <c r="I14" s="921">
        <f>'[1]GLOBAL PREV AN'!J14</f>
        <v>0.15882513796714759</v>
      </c>
      <c r="K14" s="927">
        <f>'[1]GLOBAL PREV AN'!L14</f>
        <v>876051.75257731951</v>
      </c>
      <c r="L14" s="921">
        <f>'[1]GLOBAL PREV AN'!M14</f>
        <v>0.15827493271496287</v>
      </c>
      <c r="N14" s="927">
        <f>'[1]GLOBAL PREV AN'!O14</f>
        <v>573150.45744680846</v>
      </c>
      <c r="O14" s="921">
        <f>'[1]GLOBAL PREV AN'!P14</f>
        <v>0.15946094022391244</v>
      </c>
      <c r="Q14" s="927">
        <f>'[1]GLOBAL PREV AN'!R14</f>
        <v>575998.31578947371</v>
      </c>
      <c r="R14" s="921">
        <f>'[1]GLOBAL PREV AN'!S14</f>
        <v>0.15844588226266709</v>
      </c>
      <c r="T14" s="927">
        <f>'[1]GLOBAL PREV AN'!U14</f>
        <v>532892.14893617027</v>
      </c>
      <c r="U14" s="921">
        <f>'[1]GLOBAL PREV AN'!V14</f>
        <v>0.1570933756665793</v>
      </c>
      <c r="W14" s="927">
        <f>'[1]GLOBAL PREV AN'!X14</f>
        <v>504467.41935483867</v>
      </c>
      <c r="X14" s="921">
        <f>'[1]GLOBAL PREV AN'!Y14</f>
        <v>0.16539915388683235</v>
      </c>
      <c r="Z14" s="927">
        <f>'[1]GLOBAL PREV AN'!AA14</f>
        <v>5757891.8020471409</v>
      </c>
      <c r="AA14" s="921">
        <f>'[1]GLOBAL PREV AN'!AB14</f>
        <v>0.15876346694219845</v>
      </c>
    </row>
    <row r="15" spans="1:32">
      <c r="A15" s="926" t="s">
        <v>363</v>
      </c>
      <c r="B15" s="927">
        <f>'[1]GLOBAL PREV AN'!C15</f>
        <v>231932.5295775687</v>
      </c>
      <c r="C15" s="921">
        <f>'[1]GLOBAL PREV AN'!D15</f>
        <v>3.130727957212754E-2</v>
      </c>
      <c r="E15" s="927">
        <f>'[1]GLOBAL PREV AN'!F15</f>
        <v>145147.89955412372</v>
      </c>
      <c r="F15" s="921">
        <f>'[1]GLOBAL PREV AN'!G15</f>
        <v>2.8173117149480537E-2</v>
      </c>
      <c r="H15" s="927">
        <f>'[1]GLOBAL PREV AN'!I15</f>
        <v>123000.78892395744</v>
      </c>
      <c r="I15" s="921">
        <f>'[1]GLOBAL PREV AN'!J15</f>
        <v>2.7333229243424944E-2</v>
      </c>
      <c r="K15" s="927">
        <f>'[1]GLOBAL PREV AN'!L15</f>
        <v>152035.92845360824</v>
      </c>
      <c r="L15" s="921">
        <f>'[1]GLOBAL PREV AN'!M15</f>
        <v>2.7468099088276104E-2</v>
      </c>
      <c r="N15" s="927">
        <f>'[1]GLOBAL PREV AN'!O15</f>
        <v>97790.130235638295</v>
      </c>
      <c r="O15" s="921">
        <f>'[1]GLOBAL PREV AN'!P15</f>
        <v>2.7207002819919956E-2</v>
      </c>
      <c r="Q15" s="927">
        <f>'[1]GLOBAL PREV AN'!R15</f>
        <v>95030.719263157909</v>
      </c>
      <c r="R15" s="921">
        <f>'[1]GLOBAL PREV AN'!S15</f>
        <v>2.6141094067383134E-2</v>
      </c>
      <c r="T15" s="927">
        <f>'[1]GLOBAL PREV AN'!U15</f>
        <v>92106.71077712765</v>
      </c>
      <c r="U15" s="921">
        <f>'[1]GLOBAL PREV AN'!V15</f>
        <v>2.7152500081695553E-2</v>
      </c>
      <c r="W15" s="927">
        <f>'[1]GLOBAL PREV AN'!X15</f>
        <v>74951.827419354842</v>
      </c>
      <c r="X15" s="921">
        <f>'[1]GLOBAL PREV AN'!Y15</f>
        <v>2.4574369645690111E-2</v>
      </c>
      <c r="Z15" s="927">
        <f>'[1]GLOBAL PREV AN'!AA15</f>
        <v>1011996.5342045367</v>
      </c>
      <c r="AA15" s="921">
        <f>'[1]GLOBAL PREV AN'!AB15</f>
        <v>2.7903976633718262E-2</v>
      </c>
    </row>
    <row r="16" spans="1:32">
      <c r="A16" s="926" t="s">
        <v>364</v>
      </c>
      <c r="B16" s="927">
        <f>'[1]GLOBAL PREV AN'!C16</f>
        <v>249826.84333333327</v>
      </c>
      <c r="C16" s="921">
        <f>'[1]GLOBAL PREV AN'!D16</f>
        <v>3.3722733258263984E-2</v>
      </c>
      <c r="E16" s="927">
        <f>'[1]GLOBAL PREV AN'!F16</f>
        <v>214355.64000000004</v>
      </c>
      <c r="F16" s="921">
        <f>'[1]GLOBAL PREV AN'!G16</f>
        <v>4.1606296583850941E-2</v>
      </c>
      <c r="H16" s="927">
        <f>'[1]GLOBAL PREV AN'!I16</f>
        <v>218759.64000000004</v>
      </c>
      <c r="I16" s="921">
        <f>'[1]GLOBAL PREV AN'!J16</f>
        <v>4.8612756402934561E-2</v>
      </c>
      <c r="K16" s="927">
        <f>'[1]GLOBAL PREV AN'!L16</f>
        <v>214091.64000000004</v>
      </c>
      <c r="L16" s="921">
        <f>'[1]GLOBAL PREV AN'!M16</f>
        <v>3.867960975609757E-2</v>
      </c>
      <c r="N16" s="1416">
        <f>'[1]GLOBAL PREV AN'!O16</f>
        <v>212135.34123143679</v>
      </c>
      <c r="O16" s="921">
        <f>'[1]GLOBAL PREV AN'!P16</f>
        <v>5.901993190090888E-2</v>
      </c>
      <c r="Q16" s="927">
        <f>'[1]GLOBAL PREV AN'!R16</f>
        <v>178844.2</v>
      </c>
      <c r="R16" s="921">
        <f>'[1]GLOBAL PREV AN'!S16</f>
        <v>4.9196544989409403E-2</v>
      </c>
      <c r="T16" s="927">
        <f>'[1]GLOBAL PREV AN'!U16</f>
        <v>196267.7016</v>
      </c>
      <c r="U16" s="921">
        <f>'[1]GLOBAL PREV AN'!V16</f>
        <v>5.7858528860326629E-2</v>
      </c>
      <c r="W16" s="927">
        <f>'[1]GLOBAL PREV AN'!X16</f>
        <v>179268.65600000005</v>
      </c>
      <c r="X16" s="921">
        <f>'[1]GLOBAL PREV AN'!Y16</f>
        <v>5.8776608524590178E-2</v>
      </c>
      <c r="Z16" s="927">
        <f>'[1]GLOBAL PREV AN'!AA16</f>
        <v>1663549.6621647701</v>
      </c>
      <c r="AA16" s="921">
        <f>'[1]GLOBAL PREV AN'!AB16</f>
        <v>4.5869377347782188E-2</v>
      </c>
    </row>
    <row r="17" spans="1:27">
      <c r="A17" s="926" t="s">
        <v>365</v>
      </c>
      <c r="B17" s="927">
        <f>'[1]GLOBAL PREV AN'!C17</f>
        <v>94490.003496020538</v>
      </c>
      <c r="C17" s="921">
        <f>'[1]GLOBAL PREV AN'!D17</f>
        <v>1.275467896465062E-2</v>
      </c>
      <c r="E17" s="927">
        <f>'[1]GLOBAL PREV AN'!F17</f>
        <v>77755.517925000022</v>
      </c>
      <c r="F17" s="921">
        <f>'[1]GLOBAL PREV AN'!G17</f>
        <v>1.5092297733889756E-2</v>
      </c>
      <c r="H17" s="927">
        <f>'[1]GLOBAL PREV AN'!I17</f>
        <v>74533.232345000011</v>
      </c>
      <c r="I17" s="921">
        <f>'[1]GLOBAL PREV AN'!J17</f>
        <v>1.656277121278316E-2</v>
      </c>
      <c r="K17" s="927">
        <f>'[1]GLOBAL PREV AN'!L17</f>
        <v>72452.179170000032</v>
      </c>
      <c r="L17" s="921">
        <f>'[1]GLOBAL PREV AN'!M17</f>
        <v>1.3089824601626021E-2</v>
      </c>
      <c r="N17" s="927">
        <f>'[1]GLOBAL PREV AN'!O17</f>
        <v>67233.053968680717</v>
      </c>
      <c r="O17" s="921">
        <f>'[1]GLOBAL PREV AN'!P17</f>
        <v>1.8705465311376547E-2</v>
      </c>
      <c r="Q17" s="927">
        <f>'[1]GLOBAL PREV AN'!R17</f>
        <v>64862.875299999992</v>
      </c>
      <c r="R17" s="921">
        <f>'[1]GLOBAL PREV AN'!S17</f>
        <v>1.7842509641570158E-2</v>
      </c>
      <c r="T17" s="927">
        <f>'[1]GLOBAL PREV AN'!U17</f>
        <v>62607.868913240003</v>
      </c>
      <c r="U17" s="921">
        <f>'[1]GLOBAL PREV AN'!V17</f>
        <v>1.8456420291621957E-2</v>
      </c>
      <c r="W17" s="927">
        <f>'[1]GLOBAL PREV AN'!X17</f>
        <v>56598.91801999999</v>
      </c>
      <c r="X17" s="921">
        <f>'[1]GLOBAL PREV AN'!Y17</f>
        <v>1.8557022301639341E-2</v>
      </c>
      <c r="Z17" s="927">
        <f>'[1]GLOBAL PREV AN'!AA17</f>
        <v>570533.64913794131</v>
      </c>
      <c r="AA17" s="921">
        <f>'[1]GLOBAL PREV AN'!AB17</f>
        <v>1.5731434917224205E-2</v>
      </c>
    </row>
    <row r="18" spans="1:27">
      <c r="A18" s="926" t="s">
        <v>366</v>
      </c>
      <c r="B18" s="927">
        <f>'[1]GLOBAL PREV AN'!C18</f>
        <v>-5004</v>
      </c>
      <c r="C18" s="921">
        <f>'[1]GLOBAL PREV AN'!D18</f>
        <v>-6.7546207194076014E-4</v>
      </c>
      <c r="E18" s="927">
        <f>'[1]GLOBAL PREV AN'!F18</f>
        <v>0</v>
      </c>
      <c r="F18" s="921">
        <f>'[1]GLOBAL PREV AN'!G18</f>
        <v>0</v>
      </c>
      <c r="H18" s="927">
        <f>'[1]GLOBAL PREV AN'!I18</f>
        <v>-2400</v>
      </c>
      <c r="I18" s="921">
        <f>'[1]GLOBAL PREV AN'!J18</f>
        <v>-5.3332788153721096E-4</v>
      </c>
      <c r="K18" s="927">
        <f>'[1]GLOBAL PREV AN'!L18</f>
        <v>0</v>
      </c>
      <c r="L18" s="921">
        <f>'[1]GLOBAL PREV AN'!M18</f>
        <v>0</v>
      </c>
      <c r="N18" s="927">
        <f>'[1]GLOBAL PREV AN'!O18</f>
        <v>-8000.0000000000009</v>
      </c>
      <c r="O18" s="921">
        <f>'[1]GLOBAL PREV AN'!P18</f>
        <v>-2.225746320563114E-3</v>
      </c>
      <c r="Q18" s="927">
        <f>'[1]GLOBAL PREV AN'!R18</f>
        <v>0</v>
      </c>
      <c r="R18" s="921">
        <f>'[1]GLOBAL PREV AN'!S18</f>
        <v>0</v>
      </c>
      <c r="T18" s="927">
        <f>'[1]GLOBAL PREV AN'!U18</f>
        <v>-3499.9999999999995</v>
      </c>
      <c r="U18" s="921">
        <f>'[1]GLOBAL PREV AN'!V18</f>
        <v>-1.0317787866281469E-3</v>
      </c>
      <c r="W18" s="927">
        <f>'[1]GLOBAL PREV AN'!X18</f>
        <v>-8000.0000000000009</v>
      </c>
      <c r="X18" s="921">
        <f>'[1]GLOBAL PREV AN'!Y18</f>
        <v>-2.6229508196721316E-3</v>
      </c>
      <c r="Z18" s="927">
        <f>'[1]GLOBAL PREV AN'!AA18</f>
        <v>-26904</v>
      </c>
      <c r="AA18" s="921">
        <f>'[1]GLOBAL PREV AN'!AB18</f>
        <v>-7.4182920788721282E-4</v>
      </c>
    </row>
    <row r="19" spans="1:27">
      <c r="A19" s="926" t="s">
        <v>367</v>
      </c>
      <c r="B19" s="927">
        <f>'[1]GLOBAL PREV AN'!C19</f>
        <v>0</v>
      </c>
      <c r="C19" s="921">
        <f>'[1]GLOBAL PREV AN'!D19</f>
        <v>0</v>
      </c>
      <c r="E19" s="927">
        <f>'[1]GLOBAL PREV AN'!F19</f>
        <v>0</v>
      </c>
      <c r="F19" s="921">
        <f>'[1]GLOBAL PREV AN'!G19</f>
        <v>0</v>
      </c>
      <c r="H19" s="927">
        <f>'[1]GLOBAL PREV AN'!I19</f>
        <v>0</v>
      </c>
      <c r="I19" s="921">
        <f>'[1]GLOBAL PREV AN'!J19</f>
        <v>0</v>
      </c>
      <c r="K19" s="927">
        <f>'[1]GLOBAL PREV AN'!L19</f>
        <v>0</v>
      </c>
      <c r="L19" s="921">
        <f>'[1]GLOBAL PREV AN'!M19</f>
        <v>0</v>
      </c>
      <c r="N19" s="927">
        <f>'[1]GLOBAL PREV AN'!O19</f>
        <v>0</v>
      </c>
      <c r="O19" s="921">
        <f>'[1]GLOBAL PREV AN'!P19</f>
        <v>0</v>
      </c>
      <c r="Q19" s="927">
        <f>'[1]GLOBAL PREV AN'!R19</f>
        <v>0</v>
      </c>
      <c r="R19" s="921">
        <f>'[1]GLOBAL PREV AN'!S19</f>
        <v>0</v>
      </c>
      <c r="T19" s="927">
        <f>'[1]GLOBAL PREV AN'!U19</f>
        <v>0</v>
      </c>
      <c r="U19" s="921">
        <f>'[1]GLOBAL PREV AN'!V19</f>
        <v>0</v>
      </c>
      <c r="W19" s="927">
        <f>'[1]GLOBAL PREV AN'!X19</f>
        <v>0</v>
      </c>
      <c r="X19" s="921">
        <f>'[1]GLOBAL PREV AN'!Y19</f>
        <v>0</v>
      </c>
      <c r="Z19" s="927">
        <f>'[1]GLOBAL PREV AN'!AA19</f>
        <v>0</v>
      </c>
      <c r="AA19" s="921">
        <f>'[1]GLOBAL PREV AN'!AB19</f>
        <v>0</v>
      </c>
    </row>
    <row r="20" spans="1:27">
      <c r="A20" s="930" t="s">
        <v>368</v>
      </c>
      <c r="B20" s="931">
        <f>'[1]GLOBAL PREV AN'!C20</f>
        <v>1738662.139499706</v>
      </c>
      <c r="C20" s="932">
        <f>'[1]GLOBAL PREV AN'!D20</f>
        <v>0.23469231238038099</v>
      </c>
      <c r="E20" s="931">
        <f>'[1]GLOBAL PREV AN'!F20</f>
        <v>1250453.5755203608</v>
      </c>
      <c r="F20" s="932">
        <f>'[1]GLOBAL PREV AN'!G20</f>
        <v>0.24271226232926257</v>
      </c>
      <c r="H20" s="931">
        <f>'[1]GLOBAL PREV AN'!I20</f>
        <v>1128614.0880774681</v>
      </c>
      <c r="I20" s="932">
        <f>'[1]GLOBAL PREV AN'!J20</f>
        <v>0.25080056694475306</v>
      </c>
      <c r="K20" s="931">
        <f>'[1]GLOBAL PREV AN'!L20</f>
        <v>1314631.500200928</v>
      </c>
      <c r="L20" s="932">
        <f>'[1]GLOBAL PREV AN'!M20</f>
        <v>0.23751246616096258</v>
      </c>
      <c r="N20" s="931">
        <f>'[1]GLOBAL PREV AN'!O20</f>
        <v>942308.98288256442</v>
      </c>
      <c r="O20" s="932">
        <f>'[1]GLOBAL PREV AN'!P20</f>
        <v>0.26216759393555472</v>
      </c>
      <c r="Q20" s="931">
        <f>'[1]GLOBAL PREV AN'!R20</f>
        <v>914736.11035263166</v>
      </c>
      <c r="R20" s="932">
        <f>'[1]GLOBAL PREV AN'!S20</f>
        <v>0.25162603096102981</v>
      </c>
      <c r="T20" s="931">
        <f>'[1]GLOBAL PREV AN'!U20</f>
        <v>880374.43022653775</v>
      </c>
      <c r="U20" s="932">
        <f>'[1]GLOBAL PREV AN'!V20</f>
        <v>0.25952904611359523</v>
      </c>
      <c r="W20" s="931">
        <f>'[1]GLOBAL PREV AN'!X20</f>
        <v>807286.82079419354</v>
      </c>
      <c r="X20" s="932">
        <f>'[1]GLOBAL PREV AN'!Y20</f>
        <v>0.26468420353907984</v>
      </c>
      <c r="Z20" s="931">
        <f>'[1]GLOBAL PREV AN'!AA20</f>
        <v>8977067.6475543901</v>
      </c>
      <c r="AA20" s="932">
        <f>'[1]GLOBAL PREV AN'!AB20</f>
        <v>0.24752642663303592</v>
      </c>
    </row>
    <row r="21" spans="1:27">
      <c r="A21" s="919" t="s">
        <v>369</v>
      </c>
      <c r="B21" s="927">
        <f>'[1]GLOBAL PREV AN'!C21</f>
        <v>141015.24000000002</v>
      </c>
      <c r="C21" s="921">
        <f>'[1]GLOBAL PREV AN'!D21</f>
        <v>1.9034861348046279E-2</v>
      </c>
      <c r="E21" s="927">
        <f>'[1]GLOBAL PREV AN'!F21</f>
        <v>104300.00000000001</v>
      </c>
      <c r="F21" s="921">
        <f>'[1]GLOBAL PREV AN'!G21</f>
        <v>2.0244565217391309E-2</v>
      </c>
      <c r="H21" s="927">
        <f>'[1]GLOBAL PREV AN'!I21</f>
        <v>55753.420000000006</v>
      </c>
      <c r="I21" s="921">
        <f>'[1]GLOBAL PREV AN'!J21</f>
        <v>1.2389522240439321E-2</v>
      </c>
      <c r="K21" s="927">
        <f>'[1]GLOBAL PREV AN'!L21</f>
        <v>106662.84000000004</v>
      </c>
      <c r="L21" s="921">
        <f>'[1]GLOBAL PREV AN'!M21</f>
        <v>1.927061246612467E-2</v>
      </c>
      <c r="N21" s="927">
        <f>'[1]GLOBAL PREV AN'!O21</f>
        <v>54521.4</v>
      </c>
      <c r="O21" s="921">
        <f>'[1]GLOBAL PREV AN'!P21</f>
        <v>1.516885068024372E-2</v>
      </c>
      <c r="Q21" s="927">
        <f>'[1]GLOBAL PREV AN'!R21</f>
        <v>54521</v>
      </c>
      <c r="R21" s="921">
        <f>'[1]GLOBAL PREV AN'!S21</f>
        <v>1.4997661816081203E-2</v>
      </c>
      <c r="T21" s="927">
        <f>'[1]GLOBAL PREV AN'!U21</f>
        <v>59814.689999999995</v>
      </c>
      <c r="U21" s="921">
        <f>'[1]GLOBAL PREV AN'!V21</f>
        <v>1.7633008077353927E-2</v>
      </c>
      <c r="W21" s="927">
        <f>'[1]GLOBAL PREV AN'!X21</f>
        <v>57347.399999999987</v>
      </c>
      <c r="X21" s="921">
        <f>'[1]GLOBAL PREV AN'!Y21</f>
        <v>1.8802426229508191E-2</v>
      </c>
      <c r="Z21" s="927">
        <f>'[1]GLOBAL PREV AN'!AA21</f>
        <v>633935.99000000011</v>
      </c>
      <c r="AA21" s="921">
        <f>'[1]GLOBAL PREV AN'!AB21</f>
        <v>1.7479639953646157E-2</v>
      </c>
    </row>
    <row r="22" spans="1:27">
      <c r="A22" s="926" t="s">
        <v>370</v>
      </c>
      <c r="B22" s="927">
        <f>'[1]GLOBAL PREV AN'!C22</f>
        <v>0</v>
      </c>
      <c r="C22" s="921">
        <f>'[1]GLOBAL PREV AN'!D22</f>
        <v>0</v>
      </c>
      <c r="E22" s="927">
        <f>'[1]GLOBAL PREV AN'!F22</f>
        <v>27999.999999999996</v>
      </c>
      <c r="F22" s="921">
        <f>'[1]GLOBAL PREV AN'!G22</f>
        <v>5.4347826086956512E-3</v>
      </c>
      <c r="H22" s="927">
        <f>'[1]GLOBAL PREV AN'!I22</f>
        <v>0</v>
      </c>
      <c r="I22" s="921">
        <f>'[1]GLOBAL PREV AN'!J22</f>
        <v>0</v>
      </c>
      <c r="K22" s="927">
        <f>'[1]GLOBAL PREV AN'!L22</f>
        <v>0</v>
      </c>
      <c r="L22" s="921">
        <f>'[1]GLOBAL PREV AN'!M22</f>
        <v>0</v>
      </c>
      <c r="N22" s="927">
        <f>'[1]GLOBAL PREV AN'!O22</f>
        <v>0</v>
      </c>
      <c r="O22" s="921">
        <f>'[1]GLOBAL PREV AN'!P22</f>
        <v>0</v>
      </c>
      <c r="Q22" s="927">
        <f>'[1]GLOBAL PREV AN'!R22</f>
        <v>0</v>
      </c>
      <c r="R22" s="921">
        <f>'[1]GLOBAL PREV AN'!S22</f>
        <v>0</v>
      </c>
      <c r="T22" s="927">
        <f>'[1]GLOBAL PREV AN'!U22</f>
        <v>0</v>
      </c>
      <c r="U22" s="921">
        <f>'[1]GLOBAL PREV AN'!V22</f>
        <v>0</v>
      </c>
      <c r="W22" s="927">
        <f>'[1]GLOBAL PREV AN'!X22</f>
        <v>0</v>
      </c>
      <c r="X22" s="921">
        <f>'[1]GLOBAL PREV AN'!Y22</f>
        <v>0</v>
      </c>
      <c r="Z22" s="927">
        <f>'[1]GLOBAL PREV AN'!AA22</f>
        <v>27999.999999999996</v>
      </c>
      <c r="AA22" s="921">
        <f>'[1]GLOBAL PREV AN'!AB22</f>
        <v>7.7204942836908849E-4</v>
      </c>
    </row>
    <row r="23" spans="1:27">
      <c r="A23" s="926" t="s">
        <v>371</v>
      </c>
      <c r="B23" s="927">
        <f>'[1]GLOBAL PREV AN'!C23</f>
        <v>58999.999999999993</v>
      </c>
      <c r="C23" s="921">
        <f>'[1]GLOBAL PREV AN'!D23</f>
        <v>7.9640811839538066E-3</v>
      </c>
      <c r="E23" s="927">
        <f>'[1]GLOBAL PREV AN'!F23</f>
        <v>38800</v>
      </c>
      <c r="F23" s="921">
        <f>'[1]GLOBAL PREV AN'!G23</f>
        <v>7.5310559006211177E-3</v>
      </c>
      <c r="H23" s="927">
        <f>'[1]GLOBAL PREV AN'!I23</f>
        <v>31899.999999999996</v>
      </c>
      <c r="I23" s="921">
        <f>'[1]GLOBAL PREV AN'!J23</f>
        <v>7.0888164254320945E-3</v>
      </c>
      <c r="K23" s="927">
        <f>'[1]GLOBAL PREV AN'!L23</f>
        <v>40600</v>
      </c>
      <c r="L23" s="921">
        <f>'[1]GLOBAL PREV AN'!M23</f>
        <v>7.335140018066847E-3</v>
      </c>
      <c r="N23" s="927">
        <f>'[1]GLOBAL PREV AN'!O23</f>
        <v>24500.000000000004</v>
      </c>
      <c r="O23" s="921">
        <f>'[1]GLOBAL PREV AN'!P23</f>
        <v>6.816348106724537E-3</v>
      </c>
      <c r="Q23" s="927">
        <f>'[1]GLOBAL PREV AN'!R23</f>
        <v>27500.000000000004</v>
      </c>
      <c r="R23" s="921">
        <f>'[1]GLOBAL PREV AN'!S23</f>
        <v>7.5647126784584504E-3</v>
      </c>
      <c r="T23" s="927">
        <f>'[1]GLOBAL PREV AN'!U23</f>
        <v>26600.000000000004</v>
      </c>
      <c r="U23" s="921">
        <f>'[1]GLOBAL PREV AN'!V23</f>
        <v>7.8415187783739179E-3</v>
      </c>
      <c r="W23" s="927">
        <f>'[1]GLOBAL PREV AN'!X23</f>
        <v>24999.999999999996</v>
      </c>
      <c r="X23" s="921">
        <f>'[1]GLOBAL PREV AN'!Y23</f>
        <v>8.1967213114754085E-3</v>
      </c>
      <c r="Z23" s="927">
        <f>'[1]GLOBAL PREV AN'!AA23</f>
        <v>273900</v>
      </c>
      <c r="AA23" s="921">
        <f>'[1]GLOBAL PREV AN'!AB23</f>
        <v>7.552297801081906E-3</v>
      </c>
    </row>
    <row r="24" spans="1:27">
      <c r="A24" s="926" t="s">
        <v>372</v>
      </c>
      <c r="B24" s="927">
        <f>'[1]GLOBAL PREV AN'!C24</f>
        <v>26707.411999999993</v>
      </c>
      <c r="C24" s="921">
        <f>'[1]GLOBAL PREV AN'!D24</f>
        <v>3.605084701378001E-3</v>
      </c>
      <c r="E24" s="927">
        <f>'[1]GLOBAL PREV AN'!F24</f>
        <v>24999.999999999996</v>
      </c>
      <c r="F24" s="921">
        <f>'[1]GLOBAL PREV AN'!G24</f>
        <v>4.8524844720496891E-3</v>
      </c>
      <c r="H24" s="927">
        <f>'[1]GLOBAL PREV AN'!I24</f>
        <v>16416.276666666668</v>
      </c>
      <c r="I24" s="921">
        <f>'[1]GLOBAL PREV AN'!J24</f>
        <v>3.6480241905675337E-3</v>
      </c>
      <c r="K24" s="927">
        <f>'[1]GLOBAL PREV AN'!L24</f>
        <v>20613</v>
      </c>
      <c r="L24" s="921">
        <f>'[1]GLOBAL PREV AN'!M24</f>
        <v>3.7241192411924121E-3</v>
      </c>
      <c r="N24" s="927">
        <f>'[1]GLOBAL PREV AN'!O24</f>
        <v>17845.253333333338</v>
      </c>
      <c r="O24" s="921">
        <f>'[1]GLOBAL PREV AN'!P24</f>
        <v>4.964875868272915E-3</v>
      </c>
      <c r="Q24" s="927">
        <f>'[1]GLOBAL PREV AN'!R24</f>
        <v>17118</v>
      </c>
      <c r="R24" s="921">
        <f>'[1]GLOBAL PREV AN'!S24</f>
        <v>4.7088273319946085E-3</v>
      </c>
      <c r="T24" s="927">
        <f>'[1]GLOBAL PREV AN'!U24</f>
        <v>8751.0266666666666</v>
      </c>
      <c r="U24" s="921">
        <f>'[1]GLOBAL PREV AN'!V24</f>
        <v>2.5797496216811116E-3</v>
      </c>
      <c r="W24" s="927">
        <f>'[1]GLOBAL PREV AN'!X24</f>
        <v>13999.999999999998</v>
      </c>
      <c r="X24" s="921">
        <f>'[1]GLOBAL PREV AN'!Y24</f>
        <v>4.5901639344262286E-3</v>
      </c>
      <c r="Z24" s="927">
        <f>'[1]GLOBAL PREV AN'!AA24</f>
        <v>146450.96866666665</v>
      </c>
      <c r="AA24" s="921">
        <f>'[1]GLOBAL PREV AN'!AB24</f>
        <v>4.0381209515428316E-3</v>
      </c>
    </row>
    <row r="25" spans="1:27">
      <c r="A25" s="926" t="s">
        <v>373</v>
      </c>
      <c r="B25" s="927">
        <f>'[1]GLOBAL PREV AN'!C25</f>
        <v>109319.48199999997</v>
      </c>
      <c r="C25" s="921">
        <f>'[1]GLOBAL PREV AN'!D25</f>
        <v>1.4756427620945369E-2</v>
      </c>
      <c r="E25" s="927">
        <f>'[1]GLOBAL PREV AN'!F25</f>
        <v>81628.736000000004</v>
      </c>
      <c r="F25" s="921">
        <f>'[1]GLOBAL PREV AN'!G25</f>
        <v>1.5844086956521741E-2</v>
      </c>
      <c r="H25" s="927">
        <f>'[1]GLOBAL PREV AN'!I25</f>
        <v>71002.043333333349</v>
      </c>
      <c r="I25" s="921">
        <f>'[1]GLOBAL PREV AN'!J25</f>
        <v>1.5778070564908302E-2</v>
      </c>
      <c r="K25" s="927">
        <f>'[1]GLOBAL PREV AN'!L25</f>
        <v>93091.519999999975</v>
      </c>
      <c r="L25" s="921">
        <f>'[1]GLOBAL PREV AN'!M25</f>
        <v>1.6818702800361334E-2</v>
      </c>
      <c r="N25" s="1417">
        <f>'[1]GLOBAL PREV AN'!O25</f>
        <v>73088.100000000006</v>
      </c>
      <c r="O25" s="921">
        <f>'[1]GLOBAL PREV AN'!P25</f>
        <v>2.0334446206493616E-2</v>
      </c>
      <c r="Q25" s="927">
        <f>'[1]GLOBAL PREV AN'!R25</f>
        <v>64603.628666666664</v>
      </c>
      <c r="R25" s="921">
        <f>'[1]GLOBAL PREV AN'!S25</f>
        <v>1.7771195958151093E-2</v>
      </c>
      <c r="T25" s="927">
        <f>'[1]GLOBAL PREV AN'!U25</f>
        <v>65486.373333333344</v>
      </c>
      <c r="U25" s="921">
        <f>'[1]GLOBAL PREV AN'!V25</f>
        <v>1.9304985948155575E-2</v>
      </c>
      <c r="W25" s="927">
        <f>'[1]GLOBAL PREV AN'!X25</f>
        <v>72177.8</v>
      </c>
      <c r="X25" s="921">
        <f>'[1]GLOBAL PREV AN'!Y25</f>
        <v>2.3664852459016394E-2</v>
      </c>
      <c r="Z25" s="927">
        <f>'[1]GLOBAL PREV AN'!AA25</f>
        <v>630397.68333333335</v>
      </c>
      <c r="AA25" s="921">
        <f>'[1]GLOBAL PREV AN'!AB25</f>
        <v>1.738207753795349E-2</v>
      </c>
    </row>
    <row r="26" spans="1:27">
      <c r="A26" s="930" t="s">
        <v>374</v>
      </c>
      <c r="B26" s="931">
        <f>'[1]GLOBAL PREV AN'!C26</f>
        <v>336042.13399999996</v>
      </c>
      <c r="C26" s="932">
        <f>'[1]GLOBAL PREV AN'!D26</f>
        <v>4.5360454854323454E-2</v>
      </c>
      <c r="E26" s="931">
        <f>'[1]GLOBAL PREV AN'!F26</f>
        <v>277728.73600000009</v>
      </c>
      <c r="F26" s="932">
        <f>'[1]GLOBAL PREV AN'!G26</f>
        <v>5.3906975155279521E-2</v>
      </c>
      <c r="H26" s="931">
        <f>'[1]GLOBAL PREV AN'!I26</f>
        <v>175071.74000000002</v>
      </c>
      <c r="I26" s="932">
        <f>'[1]GLOBAL PREV AN'!J26</f>
        <v>3.8904433421347251E-2</v>
      </c>
      <c r="K26" s="931">
        <f>'[1]GLOBAL PREV AN'!L26</f>
        <v>260967.36000000002</v>
      </c>
      <c r="L26" s="932">
        <f>'[1]GLOBAL PREV AN'!M26</f>
        <v>4.7148574525745258E-2</v>
      </c>
      <c r="N26" s="931">
        <f>'[1]GLOBAL PREV AN'!O26</f>
        <v>169954.75333333336</v>
      </c>
      <c r="O26" s="932">
        <f>'[1]GLOBAL PREV AN'!P26</f>
        <v>4.7284520861734791E-2</v>
      </c>
      <c r="Q26" s="931">
        <f>'[1]GLOBAL PREV AN'!R26</f>
        <v>163742.62866666669</v>
      </c>
      <c r="R26" s="932">
        <f>'[1]GLOBAL PREV AN'!S26</f>
        <v>4.5042397784685356E-2</v>
      </c>
      <c r="T26" s="931">
        <f>'[1]GLOBAL PREV AN'!U26</f>
        <v>160652.09</v>
      </c>
      <c r="U26" s="932">
        <f>'[1]GLOBAL PREV AN'!V26</f>
        <v>4.7359262425564527E-2</v>
      </c>
      <c r="W26" s="931">
        <f>'[1]GLOBAL PREV AN'!X26</f>
        <v>168525.19999999998</v>
      </c>
      <c r="X26" s="932">
        <f>'[1]GLOBAL PREV AN'!Y26</f>
        <v>5.5254163934426226E-2</v>
      </c>
      <c r="Z26" s="931">
        <f>'[1]GLOBAL PREV AN'!AA26</f>
        <v>1712684.6420000005</v>
      </c>
      <c r="AA26" s="932">
        <f>'[1]GLOBAL PREV AN'!AB26</f>
        <v>4.7224185672593483E-2</v>
      </c>
    </row>
    <row r="27" spans="1:27">
      <c r="A27" s="926" t="s">
        <v>375</v>
      </c>
      <c r="B27" s="927">
        <f>'[1]GLOBAL PREV AN'!C27</f>
        <v>104299.00181372851</v>
      </c>
      <c r="C27" s="921">
        <f>'[1]GLOBAL PREV AN'!D27</f>
        <v>1.4078740980506427E-2</v>
      </c>
      <c r="E27" s="927">
        <f>'[1]GLOBAL PREV AN'!F27</f>
        <v>68849.782329651702</v>
      </c>
      <c r="F27" s="921">
        <f>'[1]GLOBAL PREV AN'!G27</f>
        <v>1.3363699986345439E-2</v>
      </c>
      <c r="H27" s="927">
        <f>'[1]GLOBAL PREV AN'!I27</f>
        <v>1644</v>
      </c>
      <c r="I27" s="921">
        <f>'[1]GLOBAL PREV AN'!J27</f>
        <v>3.6532959885298951E-4</v>
      </c>
      <c r="K27" s="927">
        <f>'[1]GLOBAL PREV AN'!L27</f>
        <v>120077.69047420843</v>
      </c>
      <c r="L27" s="921">
        <f>'[1]GLOBAL PREV AN'!M27</f>
        <v>2.1694253021537206E-2</v>
      </c>
      <c r="N27" s="927">
        <f>'[1]GLOBAL PREV AN'!O27</f>
        <v>0</v>
      </c>
      <c r="O27" s="921">
        <f>'[1]GLOBAL PREV AN'!P27</f>
        <v>0</v>
      </c>
      <c r="Q27" s="927">
        <f>'[1]GLOBAL PREV AN'!R27</f>
        <v>0</v>
      </c>
      <c r="R27" s="921">
        <f>'[1]GLOBAL PREV AN'!S27</f>
        <v>0</v>
      </c>
      <c r="T27" s="927">
        <f>'[1]GLOBAL PREV AN'!U27</f>
        <v>0</v>
      </c>
      <c r="U27" s="921">
        <f>'[1]GLOBAL PREV AN'!V27</f>
        <v>0</v>
      </c>
      <c r="W27" s="927">
        <f>'[1]GLOBAL PREV AN'!X27</f>
        <v>35249.391374999999</v>
      </c>
      <c r="X27" s="921">
        <f>'[1]GLOBAL PREV AN'!Y27</f>
        <v>1.15571775E-2</v>
      </c>
      <c r="Z27" s="927">
        <f>'[1]GLOBAL PREV AN'!AA27</f>
        <v>330119.86599258863</v>
      </c>
      <c r="AA27" s="921">
        <f>'[1]GLOBAL PREV AN'!AB27</f>
        <v>9.1024590654592216E-3</v>
      </c>
    </row>
    <row r="28" spans="1:27">
      <c r="A28" s="926" t="s">
        <v>376</v>
      </c>
      <c r="B28" s="927">
        <f>'[1]GLOBAL PREV AN'!C28</f>
        <v>296330.48</v>
      </c>
      <c r="C28" s="921">
        <f>'[1]GLOBAL PREV AN'!D28</f>
        <v>0.04</v>
      </c>
      <c r="E28" s="927">
        <f>'[1]GLOBAL PREV AN'!F28</f>
        <v>206080</v>
      </c>
      <c r="F28" s="921">
        <f>'[1]GLOBAL PREV AN'!G28</f>
        <v>0.04</v>
      </c>
      <c r="H28" s="927">
        <f>'[1]GLOBAL PREV AN'!I28</f>
        <v>180001.84</v>
      </c>
      <c r="I28" s="921">
        <f>'[1]GLOBAL PREV AN'!J28</f>
        <v>0.04</v>
      </c>
      <c r="K28" s="927">
        <f>'[1]GLOBAL PREV AN'!L28</f>
        <v>221400</v>
      </c>
      <c r="L28" s="921">
        <f>'[1]GLOBAL PREV AN'!M28</f>
        <v>0.04</v>
      </c>
      <c r="N28" s="927">
        <f>'[1]GLOBAL PREV AN'!O28</f>
        <v>143772</v>
      </c>
      <c r="O28" s="921">
        <f>'[1]GLOBAL PREV AN'!P28</f>
        <v>0.04</v>
      </c>
      <c r="Q28" s="927">
        <f>'[1]GLOBAL PREV AN'!R28</f>
        <v>145412</v>
      </c>
      <c r="R28" s="921">
        <f>'[1]GLOBAL PREV AN'!S28</f>
        <v>0.04</v>
      </c>
      <c r="T28" s="927">
        <f>'[1]GLOBAL PREV AN'!U28</f>
        <v>135688</v>
      </c>
      <c r="U28" s="921">
        <f>'[1]GLOBAL PREV AN'!V28</f>
        <v>0.04</v>
      </c>
      <c r="W28" s="927">
        <f>'[1]GLOBAL PREV AN'!X28</f>
        <v>122000</v>
      </c>
      <c r="X28" s="921">
        <f>'[1]GLOBAL PREV AN'!Y28</f>
        <v>0.04</v>
      </c>
      <c r="Z28" s="927">
        <f>'[1]GLOBAL PREV AN'!AA28</f>
        <v>1450684.3199999998</v>
      </c>
      <c r="AA28" s="921">
        <f>'[1]GLOBAL PREV AN'!AB28</f>
        <v>3.9999999999999994E-2</v>
      </c>
    </row>
    <row r="29" spans="1:27">
      <c r="A29" s="926" t="s">
        <v>377</v>
      </c>
      <c r="B29" s="927">
        <f>'[1]GLOBAL PREV AN'!C29</f>
        <v>66674.358000000007</v>
      </c>
      <c r="C29" s="921">
        <f>'[1]GLOBAL PREV AN'!D29</f>
        <v>9.0000000000000011E-3</v>
      </c>
      <c r="E29" s="927">
        <f>'[1]GLOBAL PREV AN'!F29</f>
        <v>51520</v>
      </c>
      <c r="F29" s="921">
        <f>'[1]GLOBAL PREV AN'!G29</f>
        <v>0.01</v>
      </c>
      <c r="H29" s="927">
        <f>'[1]GLOBAL PREV AN'!I29</f>
        <v>49500.506000000001</v>
      </c>
      <c r="I29" s="921">
        <f>'[1]GLOBAL PREV AN'!J29</f>
        <v>1.1000000000000001E-2</v>
      </c>
      <c r="K29" s="927">
        <f>'[1]GLOBAL PREV AN'!L29</f>
        <v>63652.500000000007</v>
      </c>
      <c r="L29" s="921">
        <f>'[1]GLOBAL PREV AN'!M29</f>
        <v>1.1500000000000002E-2</v>
      </c>
      <c r="N29" s="927">
        <f>'[1]GLOBAL PREV AN'!O29</f>
        <v>43131.599999999991</v>
      </c>
      <c r="O29" s="921">
        <f>'[1]GLOBAL PREV AN'!P29</f>
        <v>1.1999999999999997E-2</v>
      </c>
      <c r="Q29" s="927">
        <f>'[1]GLOBAL PREV AN'!R29</f>
        <v>47258.9</v>
      </c>
      <c r="R29" s="921">
        <f>'[1]GLOBAL PREV AN'!S29</f>
        <v>1.3000000000000001E-2</v>
      </c>
      <c r="T29" s="927">
        <f>'[1]GLOBAL PREV AN'!U29</f>
        <v>33922</v>
      </c>
      <c r="U29" s="921">
        <f>'[1]GLOBAL PREV AN'!V29</f>
        <v>0.01</v>
      </c>
      <c r="W29" s="927">
        <f>'[1]GLOBAL PREV AN'!X29</f>
        <v>30500</v>
      </c>
      <c r="X29" s="921">
        <f>'[1]GLOBAL PREV AN'!Y29</f>
        <v>0.01</v>
      </c>
      <c r="Z29" s="927">
        <f>'[1]GLOBAL PREV AN'!AA29</f>
        <v>386159.864</v>
      </c>
      <c r="AA29" s="921">
        <f>'[1]GLOBAL PREV AN'!AB29</f>
        <v>1.0647660795010179E-2</v>
      </c>
    </row>
    <row r="30" spans="1:27">
      <c r="A30" s="926" t="s">
        <v>378</v>
      </c>
      <c r="B30" s="927">
        <f>'[1]GLOBAL PREV AN'!C30</f>
        <v>132758</v>
      </c>
      <c r="C30" s="921">
        <f>'[1]GLOBAL PREV AN'!D30</f>
        <v>1.7920262539310838E-2</v>
      </c>
      <c r="E30" s="927">
        <f>'[1]GLOBAL PREV AN'!F30</f>
        <v>100997</v>
      </c>
      <c r="F30" s="921">
        <f>'[1]GLOBAL PREV AN'!G30</f>
        <v>1.9603454968944098E-2</v>
      </c>
      <c r="H30" s="927">
        <f>'[1]GLOBAL PREV AN'!I30</f>
        <v>95169</v>
      </c>
      <c r="I30" s="921">
        <f>'[1]GLOBAL PREV AN'!J30</f>
        <v>2.114845048250618E-2</v>
      </c>
      <c r="K30" s="927">
        <f>'[1]GLOBAL PREV AN'!L30</f>
        <v>100532</v>
      </c>
      <c r="L30" s="921">
        <f>'[1]GLOBAL PREV AN'!M30</f>
        <v>1.8162962962962964E-2</v>
      </c>
      <c r="N30" s="1416">
        <f>'[1]GLOBAL PREV AN'!O30</f>
        <v>87520.26999999999</v>
      </c>
      <c r="O30" s="921">
        <f>'[1]GLOBAL PREV AN'!P30</f>
        <v>2.4349739865898782E-2</v>
      </c>
      <c r="Q30" s="927">
        <f>'[1]GLOBAL PREV AN'!R30</f>
        <v>87527</v>
      </c>
      <c r="R30" s="921">
        <f>'[1]GLOBAL PREV AN'!S30</f>
        <v>2.4076967512997552E-2</v>
      </c>
      <c r="T30" s="927">
        <f>'[1]GLOBAL PREV AN'!U30</f>
        <v>72966</v>
      </c>
      <c r="U30" s="921">
        <f>'[1]GLOBAL PREV AN'!V30</f>
        <v>2.1509934555745534E-2</v>
      </c>
      <c r="W30" s="927">
        <f>'[1]GLOBAL PREV AN'!X30</f>
        <v>68644</v>
      </c>
      <c r="X30" s="921">
        <f>'[1]GLOBAL PREV AN'!Y30</f>
        <v>2.250622950819672E-2</v>
      </c>
      <c r="Z30" s="927">
        <f>'[1]GLOBAL PREV AN'!AA30</f>
        <v>746113.27</v>
      </c>
      <c r="AA30" s="921">
        <f>'[1]GLOBAL PREV AN'!AB30</f>
        <v>2.0572725842931839E-2</v>
      </c>
    </row>
    <row r="31" spans="1:27">
      <c r="A31" s="926" t="s">
        <v>379</v>
      </c>
      <c r="B31" s="927">
        <f>'[1]GLOBAL PREV AN'!C31</f>
        <v>64000.000000000007</v>
      </c>
      <c r="C31" s="921">
        <f>'[1]GLOBAL PREV AN'!D31</f>
        <v>8.6390033181871825E-3</v>
      </c>
      <c r="E31" s="927">
        <f>'[1]GLOBAL PREV AN'!F31</f>
        <v>55800</v>
      </c>
      <c r="F31" s="921">
        <f>'[1]GLOBAL PREV AN'!G31</f>
        <v>1.0830745341614907E-2</v>
      </c>
      <c r="H31" s="927">
        <f>'[1]GLOBAL PREV AN'!I31</f>
        <v>45000</v>
      </c>
      <c r="I31" s="921">
        <f>'[1]GLOBAL PREV AN'!J31</f>
        <v>9.9998977788227049E-3</v>
      </c>
      <c r="K31" s="927">
        <f>'[1]GLOBAL PREV AN'!L31</f>
        <v>58000.000000000007</v>
      </c>
      <c r="L31" s="921">
        <f>'[1]GLOBAL PREV AN'!M31</f>
        <v>1.0478771454381211E-2</v>
      </c>
      <c r="N31" s="927">
        <f>'[1]GLOBAL PREV AN'!O31</f>
        <v>40000</v>
      </c>
      <c r="O31" s="921">
        <f>'[1]GLOBAL PREV AN'!P31</f>
        <v>1.1128731602815569E-2</v>
      </c>
      <c r="Q31" s="927">
        <f>'[1]GLOBAL PREV AN'!R31</f>
        <v>35000.000000000007</v>
      </c>
      <c r="R31" s="921">
        <f>'[1]GLOBAL PREV AN'!S31</f>
        <v>9.627816136219847E-3</v>
      </c>
      <c r="T31" s="927">
        <f>'[1]GLOBAL PREV AN'!U31</f>
        <v>36000</v>
      </c>
      <c r="U31" s="921">
        <f>'[1]GLOBAL PREV AN'!V31</f>
        <v>1.0612581805318082E-2</v>
      </c>
      <c r="W31" s="927">
        <f>'[1]GLOBAL PREV AN'!X31</f>
        <v>32000.000000000004</v>
      </c>
      <c r="X31" s="921">
        <f>'[1]GLOBAL PREV AN'!Y31</f>
        <v>1.0491803278688526E-2</v>
      </c>
      <c r="Z31" s="927">
        <f>'[1]GLOBAL PREV AN'!AA31</f>
        <v>365800</v>
      </c>
      <c r="AA31" s="921">
        <f>'[1]GLOBAL PREV AN'!AB31</f>
        <v>1.0086274317764736E-2</v>
      </c>
    </row>
    <row r="32" spans="1:27">
      <c r="A32" s="926" t="s">
        <v>380</v>
      </c>
      <c r="B32" s="927">
        <f>'[1]GLOBAL PREV AN'!C32</f>
        <v>9840</v>
      </c>
      <c r="C32" s="921">
        <f>'[1]GLOBAL PREV AN'!D32</f>
        <v>1.3282467601712789E-3</v>
      </c>
      <c r="E32" s="927">
        <f>'[1]GLOBAL PREV AN'!F32</f>
        <v>10800</v>
      </c>
      <c r="F32" s="921">
        <f>'[1]GLOBAL PREV AN'!G32</f>
        <v>2.0962732919254656E-3</v>
      </c>
      <c r="H32" s="927">
        <f>'[1]GLOBAL PREV AN'!I32</f>
        <v>7317.6000000000013</v>
      </c>
      <c r="I32" s="921">
        <f>'[1]GLOBAL PREV AN'!J32</f>
        <v>1.6261167108069564E-3</v>
      </c>
      <c r="K32" s="927">
        <f>'[1]GLOBAL PREV AN'!L32</f>
        <v>7603.6800000000012</v>
      </c>
      <c r="L32" s="921">
        <f>'[1]GLOBAL PREV AN'!M32</f>
        <v>1.3737452574525747E-3</v>
      </c>
      <c r="N32" s="1416">
        <f>'[1]GLOBAL PREV AN'!O32</f>
        <v>8120.8</v>
      </c>
      <c r="O32" s="921">
        <f>'[1]GLOBAL PREV AN'!P32</f>
        <v>2.2593550900036168E-3</v>
      </c>
      <c r="Q32" s="927">
        <f>'[1]GLOBAL PREV AN'!R32</f>
        <v>6720</v>
      </c>
      <c r="R32" s="921">
        <f>'[1]GLOBAL PREV AN'!S32</f>
        <v>1.8485406981542101E-3</v>
      </c>
      <c r="T32" s="927">
        <f>'[1]GLOBAL PREV AN'!U32</f>
        <v>9980.8799999999992</v>
      </c>
      <c r="U32" s="921">
        <f>'[1]GLOBAL PREV AN'!V32</f>
        <v>2.9423029302517536E-3</v>
      </c>
      <c r="W32" s="927">
        <f>'[1]GLOBAL PREV AN'!X32</f>
        <v>12000</v>
      </c>
      <c r="X32" s="921">
        <f>'[1]GLOBAL PREV AN'!Y32</f>
        <v>3.9344262295081967E-3</v>
      </c>
      <c r="Z32" s="927">
        <f>'[1]GLOBAL PREV AN'!AA32</f>
        <v>72382.960000000006</v>
      </c>
      <c r="AA32" s="921">
        <f>'[1]GLOBAL PREV AN'!AB32</f>
        <v>1.9958293889879505E-3</v>
      </c>
    </row>
    <row r="33" spans="1:28">
      <c r="A33" s="926" t="s">
        <v>381</v>
      </c>
      <c r="B33" s="927">
        <f>'[1]GLOBAL PREV AN'!C33</f>
        <v>10000</v>
      </c>
      <c r="C33" s="921">
        <f>'[1]GLOBAL PREV AN'!D33</f>
        <v>1.3498442684667471E-3</v>
      </c>
      <c r="E33" s="927">
        <f>'[1]GLOBAL PREV AN'!F33</f>
        <v>9000</v>
      </c>
      <c r="F33" s="921">
        <f>'[1]GLOBAL PREV AN'!G33</f>
        <v>1.7468944099378882E-3</v>
      </c>
      <c r="H33" s="927">
        <f>'[1]GLOBAL PREV AN'!I33</f>
        <v>5000</v>
      </c>
      <c r="I33" s="921">
        <f>'[1]GLOBAL PREV AN'!J33</f>
        <v>1.1110997532025229E-3</v>
      </c>
      <c r="K33" s="927">
        <f>'[1]GLOBAL PREV AN'!L33</f>
        <v>6999.9999999999991</v>
      </c>
      <c r="L33" s="921">
        <f>'[1]GLOBAL PREV AN'!M33</f>
        <v>1.2646793134598012E-3</v>
      </c>
      <c r="N33" s="927">
        <f>'[1]GLOBAL PREV AN'!O33</f>
        <v>3000</v>
      </c>
      <c r="O33" s="921">
        <f>'[1]GLOBAL PREV AN'!P33</f>
        <v>8.3465487021116766E-4</v>
      </c>
      <c r="Q33" s="927">
        <f>'[1]GLOBAL PREV AN'!R33</f>
        <v>6000</v>
      </c>
      <c r="R33" s="921">
        <f>'[1]GLOBAL PREV AN'!S33</f>
        <v>1.6504827662091161E-3</v>
      </c>
      <c r="T33" s="927">
        <f>'[1]GLOBAL PREV AN'!U33</f>
        <v>4000.0000000000005</v>
      </c>
      <c r="U33" s="921">
        <f>'[1]GLOBAL PREV AN'!V33</f>
        <v>1.1791757561464538E-3</v>
      </c>
      <c r="W33" s="927">
        <f>'[1]GLOBAL PREV AN'!X33</f>
        <v>4000.0000000000005</v>
      </c>
      <c r="X33" s="921">
        <f>'[1]GLOBAL PREV AN'!Y33</f>
        <v>1.3114754098360658E-3</v>
      </c>
      <c r="Z33" s="927">
        <f>'[1]GLOBAL PREV AN'!AA33</f>
        <v>48000</v>
      </c>
      <c r="AA33" s="921">
        <f>'[1]GLOBAL PREV AN'!AB33</f>
        <v>1.3235133057755805E-3</v>
      </c>
    </row>
    <row r="34" spans="1:28" s="925" customFormat="1">
      <c r="A34" s="922" t="s">
        <v>382</v>
      </c>
      <c r="B34" s="923">
        <f>'[1]GLOBAL PREV AN'!C34</f>
        <v>2888824.4022865649</v>
      </c>
      <c r="C34" s="924">
        <f>'[1]GLOBAL PREV AN'!D34</f>
        <v>0.38994630620333959</v>
      </c>
      <c r="E34" s="923">
        <f>'[1]GLOBAL PREV AN'!F34</f>
        <v>1904742.0728166536</v>
      </c>
      <c r="F34" s="924">
        <f>'[1]GLOBAL PREV AN'!G34</f>
        <v>0.36970925326410203</v>
      </c>
      <c r="H34" s="923">
        <f>'[1]GLOBAL PREV AN'!I34</f>
        <v>1753258.1285891985</v>
      </c>
      <c r="I34" s="924">
        <f>'[1]GLOBAL PREV AN'!J34</f>
        <v>0.38960893479515507</v>
      </c>
      <c r="K34" s="923">
        <f>'[1]GLOBAL PREV AN'!L34</f>
        <v>2052537.7693248636</v>
      </c>
      <c r="L34" s="924">
        <f>'[1]GLOBAL PREV AN'!M34</f>
        <v>0.37082886528001147</v>
      </c>
      <c r="N34" s="923">
        <f>'[1]GLOBAL PREV AN'!O34</f>
        <v>1286992.7437841024</v>
      </c>
      <c r="O34" s="924">
        <f>'[1]GLOBAL PREV AN'!P34</f>
        <v>0.3580649205086115</v>
      </c>
      <c r="Q34" s="923">
        <f>'[1]GLOBAL PREV AN'!R34</f>
        <v>1360477.9443140351</v>
      </c>
      <c r="R34" s="924">
        <f>'[1]GLOBAL PREV AN'!S34</f>
        <v>0.37424090014965344</v>
      </c>
      <c r="T34" s="923">
        <f>'[1]GLOBAL PREV AN'!U34</f>
        <v>1239988.5997734619</v>
      </c>
      <c r="U34" s="924">
        <f>'[1]GLOBAL PREV AN'!V34</f>
        <v>0.36554112368771358</v>
      </c>
      <c r="W34" s="923">
        <f>'[1]GLOBAL PREV AN'!X34</f>
        <v>1033794.5878308063</v>
      </c>
      <c r="X34" s="924">
        <f>'[1]GLOBAL PREV AN'!Y34</f>
        <v>0.33894904519042829</v>
      </c>
      <c r="Z34" s="923">
        <f>'[1]GLOBAL PREV AN'!AA34</f>
        <v>13520616.248719683</v>
      </c>
      <c r="AA34" s="924">
        <f>'[1]GLOBAL PREV AN'!AB34</f>
        <v>0.37280657307220866</v>
      </c>
    </row>
    <row r="35" spans="1:28">
      <c r="A35" s="919" t="s">
        <v>383</v>
      </c>
      <c r="B35" s="927">
        <f>'[1]GLOBAL PREV AN'!C35</f>
        <v>1185321.92</v>
      </c>
      <c r="C35" s="921">
        <f>'[1]GLOBAL PREV AN'!D35</f>
        <v>0.16</v>
      </c>
      <c r="E35" s="927">
        <f>'[1]GLOBAL PREV AN'!F35</f>
        <v>927360</v>
      </c>
      <c r="F35" s="921">
        <f>'[1]GLOBAL PREV AN'!G35</f>
        <v>0.18</v>
      </c>
      <c r="G35" s="925"/>
      <c r="H35" s="927">
        <f>'[1]GLOBAL PREV AN'!I35</f>
        <v>675006.9</v>
      </c>
      <c r="I35" s="921">
        <f>'[1]GLOBAL PREV AN'!J35</f>
        <v>0.15</v>
      </c>
      <c r="J35" s="925"/>
      <c r="K35" s="927">
        <f>'[1]GLOBAL PREV AN'!L35</f>
        <v>1079325</v>
      </c>
      <c r="L35" s="921">
        <f>'[1]GLOBAL PREV AN'!M35</f>
        <v>0.19500000000000001</v>
      </c>
      <c r="M35" s="925"/>
      <c r="N35" s="927">
        <f>'[1]GLOBAL PREV AN'!O35</f>
        <v>593059.5</v>
      </c>
      <c r="O35" s="921">
        <f>'[1]GLOBAL PREV AN'!P35</f>
        <v>0.16500000000000001</v>
      </c>
      <c r="P35" s="925"/>
      <c r="Q35" s="927">
        <f>'[1]GLOBAL PREV AN'!R35</f>
        <v>545295</v>
      </c>
      <c r="R35" s="921">
        <f>'[1]GLOBAL PREV AN'!S35</f>
        <v>0.15</v>
      </c>
      <c r="S35" s="925"/>
      <c r="T35" s="927">
        <f>'[1]GLOBAL PREV AN'!U35</f>
        <v>474908.00000000006</v>
      </c>
      <c r="U35" s="921">
        <f>'[1]GLOBAL PREV AN'!V35</f>
        <v>0.14000000000000001</v>
      </c>
      <c r="V35" s="925"/>
      <c r="W35" s="927">
        <f>'[1]GLOBAL PREV AN'!X35</f>
        <v>472750</v>
      </c>
      <c r="X35" s="921">
        <f>'[1]GLOBAL PREV AN'!Y35</f>
        <v>0.155</v>
      </c>
      <c r="Y35" s="925"/>
      <c r="Z35" s="927">
        <f>'[1]GLOBAL PREV AN'!AA35</f>
        <v>5953026.3200000003</v>
      </c>
      <c r="AA35" s="921">
        <f>'[1]GLOBAL PREV AN'!AB35</f>
        <v>0.16414394883650499</v>
      </c>
    </row>
    <row r="36" spans="1:28">
      <c r="A36" s="926" t="s">
        <v>384</v>
      </c>
      <c r="B36" s="927">
        <f>'[1]GLOBAL PREV AN'!C36</f>
        <v>0</v>
      </c>
      <c r="C36" s="921">
        <f>'[1]GLOBAL PREV AN'!D36</f>
        <v>0</v>
      </c>
      <c r="E36" s="927">
        <f>'[1]GLOBAL PREV AN'!F36</f>
        <v>0</v>
      </c>
      <c r="F36" s="921">
        <f>'[1]GLOBAL PREV AN'!G36</f>
        <v>0</v>
      </c>
      <c r="G36" s="925"/>
      <c r="H36" s="927">
        <f>'[1]GLOBAL PREV AN'!I36</f>
        <v>0</v>
      </c>
      <c r="I36" s="921">
        <f>'[1]GLOBAL PREV AN'!J36</f>
        <v>0</v>
      </c>
      <c r="J36" s="925"/>
      <c r="K36" s="927">
        <f>'[1]GLOBAL PREV AN'!L36</f>
        <v>42552</v>
      </c>
      <c r="L36" s="921">
        <f>'[1]GLOBAL PREV AN'!M36</f>
        <v>7.6878048780487807E-3</v>
      </c>
      <c r="M36" s="925"/>
      <c r="N36" s="927">
        <f>'[1]GLOBAL PREV AN'!O36</f>
        <v>17124</v>
      </c>
      <c r="O36" s="921">
        <f>'[1]GLOBAL PREV AN'!P36</f>
        <v>4.7642099991653452E-3</v>
      </c>
      <c r="P36" s="925"/>
      <c r="Q36" s="927">
        <f>'[1]GLOBAL PREV AN'!R36</f>
        <v>0</v>
      </c>
      <c r="R36" s="921">
        <f>'[1]GLOBAL PREV AN'!S36</f>
        <v>0</v>
      </c>
      <c r="S36" s="925"/>
      <c r="T36" s="927">
        <f>'[1]GLOBAL PREV AN'!U36</f>
        <v>7308</v>
      </c>
      <c r="U36" s="921">
        <f>'[1]GLOBAL PREV AN'!V36</f>
        <v>2.1543541064795706E-3</v>
      </c>
      <c r="V36" s="925"/>
      <c r="W36" s="927">
        <f>'[1]GLOBAL PREV AN'!X36</f>
        <v>0</v>
      </c>
      <c r="X36" s="921">
        <f>'[1]GLOBAL PREV AN'!Y36</f>
        <v>0</v>
      </c>
      <c r="Y36" s="925"/>
      <c r="Z36" s="927">
        <f>'[1]GLOBAL PREV AN'!AA36</f>
        <v>66984</v>
      </c>
      <c r="AA36" s="921">
        <f>'[1]GLOBAL PREV AN'!AB36</f>
        <v>1.8469628182098225E-3</v>
      </c>
    </row>
    <row r="37" spans="1:28">
      <c r="A37" s="926" t="s">
        <v>385</v>
      </c>
      <c r="B37" s="927">
        <f>'[1]GLOBAL PREV AN'!C37</f>
        <v>-58525.269800000002</v>
      </c>
      <c r="C37" s="921">
        <f>'[1]GLOBAL PREV AN'!D37</f>
        <v>-7.9000000000000008E-3</v>
      </c>
      <c r="E37" s="927">
        <f>'[1]GLOBAL PREV AN'!F37</f>
        <v>-18547.2</v>
      </c>
      <c r="F37" s="921">
        <f>'[1]GLOBAL PREV AN'!G37</f>
        <v>-3.6000000000000003E-3</v>
      </c>
      <c r="G37" s="925"/>
      <c r="H37" s="927">
        <f>'[1]GLOBAL PREV AN'!I37</f>
        <v>-1800.0183999999999</v>
      </c>
      <c r="I37" s="921">
        <f>'[1]GLOBAL PREV AN'!J37</f>
        <v>-3.9999999999999996E-4</v>
      </c>
      <c r="J37" s="925"/>
      <c r="K37" s="927">
        <f>'[1]GLOBAL PREV AN'!L37</f>
        <v>-59224.499999999993</v>
      </c>
      <c r="L37" s="921">
        <f>'[1]GLOBAL PREV AN'!M37</f>
        <v>-1.0699999999999999E-2</v>
      </c>
      <c r="M37" s="925"/>
      <c r="N37" s="927">
        <f>'[1]GLOBAL PREV AN'!O37</f>
        <v>-1797.1499999999999</v>
      </c>
      <c r="O37" s="921">
        <f>'[1]GLOBAL PREV AN'!P37</f>
        <v>-5.0000000000000001E-4</v>
      </c>
      <c r="P37" s="925"/>
      <c r="Q37" s="927">
        <f>'[1]GLOBAL PREV AN'!R37</f>
        <v>-11269.43</v>
      </c>
      <c r="R37" s="921">
        <f>'[1]GLOBAL PREV AN'!S37</f>
        <v>-3.0999999999999999E-3</v>
      </c>
      <c r="S37" s="925"/>
      <c r="T37" s="927">
        <f>'[1]GLOBAL PREV AN'!U37</f>
        <v>-1017.6599999999999</v>
      </c>
      <c r="U37" s="921">
        <f>'[1]GLOBAL PREV AN'!V37</f>
        <v>-2.9999999999999997E-4</v>
      </c>
      <c r="V37" s="925"/>
      <c r="W37" s="927">
        <f>'[1]GLOBAL PREV AN'!X37</f>
        <v>-3367.46</v>
      </c>
      <c r="X37" s="921">
        <f>'[1]GLOBAL PREV AN'!Y37</f>
        <v>-1.1040852459016394E-3</v>
      </c>
      <c r="Y37" s="925"/>
      <c r="Z37" s="927">
        <f>'[1]GLOBAL PREV AN'!AA37</f>
        <v>-155548.68819999998</v>
      </c>
      <c r="AA37" s="921">
        <f>'[1]GLOBAL PREV AN'!AB37</f>
        <v>-4.288974136013271E-3</v>
      </c>
    </row>
    <row r="38" spans="1:28">
      <c r="A38" s="930" t="s">
        <v>386</v>
      </c>
      <c r="B38" s="931">
        <f>'[1]GLOBAL PREV AN'!C38</f>
        <v>1126796.6502</v>
      </c>
      <c r="C38" s="932">
        <f>'[1]GLOBAL PREV AN'!D38</f>
        <v>0.15210000000000001</v>
      </c>
      <c r="E38" s="931">
        <f>'[1]GLOBAL PREV AN'!F38</f>
        <v>908812.80000000005</v>
      </c>
      <c r="F38" s="932">
        <f>'[1]GLOBAL PREV AN'!G38</f>
        <v>0.1764</v>
      </c>
      <c r="G38" s="925"/>
      <c r="H38" s="931">
        <f>'[1]GLOBAL PREV AN'!I38</f>
        <v>673206.88160000008</v>
      </c>
      <c r="I38" s="932">
        <f>'[1]GLOBAL PREV AN'!J38</f>
        <v>0.14960000000000001</v>
      </c>
      <c r="J38" s="925"/>
      <c r="K38" s="931">
        <f>'[1]GLOBAL PREV AN'!L38</f>
        <v>1062652.5</v>
      </c>
      <c r="L38" s="932">
        <f>'[1]GLOBAL PREV AN'!M38</f>
        <v>0.19198780487804878</v>
      </c>
      <c r="M38" s="925"/>
      <c r="N38" s="931">
        <f>'[1]GLOBAL PREV AN'!O38</f>
        <v>608386.35</v>
      </c>
      <c r="O38" s="932">
        <f>'[1]GLOBAL PREV AN'!P38</f>
        <v>0.16926420999916533</v>
      </c>
      <c r="P38" s="925"/>
      <c r="Q38" s="931">
        <f>'[1]GLOBAL PREV AN'!R38</f>
        <v>534025.57000000007</v>
      </c>
      <c r="R38" s="932">
        <f>'[1]GLOBAL PREV AN'!S38</f>
        <v>0.14690000000000003</v>
      </c>
      <c r="S38" s="925"/>
      <c r="T38" s="931">
        <f>'[1]GLOBAL PREV AN'!U38</f>
        <v>481198.34000000008</v>
      </c>
      <c r="U38" s="932">
        <f>'[1]GLOBAL PREV AN'!V38</f>
        <v>0.14185435410647959</v>
      </c>
      <c r="V38" s="925"/>
      <c r="W38" s="931">
        <f>'[1]GLOBAL PREV AN'!X38</f>
        <v>469382.54000000004</v>
      </c>
      <c r="X38" s="932">
        <f>'[1]GLOBAL PREV AN'!Y38</f>
        <v>0.15389591475409836</v>
      </c>
      <c r="Y38" s="925"/>
      <c r="Z38" s="931">
        <f>'[1]GLOBAL PREV AN'!AA38</f>
        <v>5864461.6318000006</v>
      </c>
      <c r="AA38" s="932">
        <f>'[1]GLOBAL PREV AN'!AB38</f>
        <v>0.16170193751870154</v>
      </c>
    </row>
    <row r="39" spans="1:28">
      <c r="A39" s="926" t="s">
        <v>387</v>
      </c>
      <c r="B39" s="927">
        <f>'[1]GLOBAL PREV AN'!C39</f>
        <v>0</v>
      </c>
      <c r="C39" s="921">
        <f>'[1]GLOBAL PREV AN'!D39</f>
        <v>0</v>
      </c>
      <c r="E39" s="927">
        <f>'[1]GLOBAL PREV AN'!F39</f>
        <v>0</v>
      </c>
      <c r="F39" s="921">
        <f>'[1]GLOBAL PREV AN'!G39</f>
        <v>0</v>
      </c>
      <c r="G39" s="925"/>
      <c r="H39" s="927">
        <f>'[1]GLOBAL PREV AN'!I39</f>
        <v>0</v>
      </c>
      <c r="I39" s="921">
        <f>'[1]GLOBAL PREV AN'!J39</f>
        <v>0</v>
      </c>
      <c r="J39" s="925"/>
      <c r="K39" s="927">
        <f>'[1]GLOBAL PREV AN'!L39</f>
        <v>612</v>
      </c>
      <c r="L39" s="921">
        <f>'[1]GLOBAL PREV AN'!M39</f>
        <v>1.105691056910569E-4</v>
      </c>
      <c r="M39" s="925"/>
      <c r="N39" s="927">
        <f>'[1]GLOBAL PREV AN'!O39</f>
        <v>8160</v>
      </c>
      <c r="O39" s="921">
        <f>'[1]GLOBAL PREV AN'!P39</f>
        <v>2.2702612469743763E-3</v>
      </c>
      <c r="P39" s="925"/>
      <c r="Q39" s="927">
        <f>'[1]GLOBAL PREV AN'!R39</f>
        <v>0</v>
      </c>
      <c r="R39" s="921">
        <f>'[1]GLOBAL PREV AN'!S39</f>
        <v>0</v>
      </c>
      <c r="S39" s="925"/>
      <c r="T39" s="927">
        <f>'[1]GLOBAL PREV AN'!U39</f>
        <v>0</v>
      </c>
      <c r="U39" s="921">
        <f>'[1]GLOBAL PREV AN'!V39</f>
        <v>0</v>
      </c>
      <c r="V39" s="925"/>
      <c r="W39" s="927">
        <f>'[1]GLOBAL PREV AN'!X39</f>
        <v>0</v>
      </c>
      <c r="X39" s="921">
        <f>'[1]GLOBAL PREV AN'!Y39</f>
        <v>0</v>
      </c>
      <c r="Y39" s="925"/>
      <c r="Z39" s="927">
        <f>'[1]GLOBAL PREV AN'!AA39</f>
        <v>8772</v>
      </c>
      <c r="AA39" s="921">
        <f>'[1]GLOBAL PREV AN'!AB39</f>
        <v>2.4187205663048732E-4</v>
      </c>
    </row>
    <row r="40" spans="1:28">
      <c r="A40" s="926" t="s">
        <v>388</v>
      </c>
      <c r="B40" s="927">
        <f>'[1]GLOBAL PREV AN'!C40</f>
        <v>370413.1</v>
      </c>
      <c r="C40" s="921">
        <f>'[1]GLOBAL PREV AN'!D40</f>
        <v>4.9999999999999996E-2</v>
      </c>
      <c r="E40" s="927">
        <f>'[1]GLOBAL PREV AN'!F40</f>
        <v>257600</v>
      </c>
      <c r="F40" s="921">
        <f>'[1]GLOBAL PREV AN'!G40</f>
        <v>0.05</v>
      </c>
      <c r="G40" s="925"/>
      <c r="H40" s="927">
        <f>'[1]GLOBAL PREV AN'!I40</f>
        <v>225002.3</v>
      </c>
      <c r="I40" s="921">
        <f>'[1]GLOBAL PREV AN'!J40</f>
        <v>4.9999999999999996E-2</v>
      </c>
      <c r="J40" s="925"/>
      <c r="K40" s="927">
        <f>'[1]GLOBAL PREV AN'!L40</f>
        <v>276750</v>
      </c>
      <c r="L40" s="921">
        <f>'[1]GLOBAL PREV AN'!M40</f>
        <v>0.05</v>
      </c>
      <c r="M40" s="925"/>
      <c r="N40" s="927">
        <f>'[1]GLOBAL PREV AN'!O40</f>
        <v>179715</v>
      </c>
      <c r="O40" s="921">
        <f>'[1]GLOBAL PREV AN'!P40</f>
        <v>0.05</v>
      </c>
      <c r="P40" s="925"/>
      <c r="Q40" s="927">
        <f>'[1]GLOBAL PREV AN'!R40</f>
        <v>181765</v>
      </c>
      <c r="R40" s="921">
        <f>'[1]GLOBAL PREV AN'!S40</f>
        <v>0.05</v>
      </c>
      <c r="S40" s="925"/>
      <c r="T40" s="927">
        <f>'[1]GLOBAL PREV AN'!U40</f>
        <v>169610</v>
      </c>
      <c r="U40" s="921">
        <f>'[1]GLOBAL PREV AN'!V40</f>
        <v>0.05</v>
      </c>
      <c r="V40" s="925"/>
      <c r="W40" s="927">
        <f>'[1]GLOBAL PREV AN'!X40</f>
        <v>152500</v>
      </c>
      <c r="X40" s="921">
        <f>'[1]GLOBAL PREV AN'!Y40</f>
        <v>0.05</v>
      </c>
      <c r="Y40" s="925"/>
      <c r="Z40" s="927">
        <f>'[1]GLOBAL PREV AN'!AA40</f>
        <v>1813355.4</v>
      </c>
      <c r="AA40" s="921">
        <f>'[1]GLOBAL PREV AN'!AB40</f>
        <v>4.9999999999999996E-2</v>
      </c>
    </row>
    <row r="41" spans="1:28">
      <c r="A41" s="926" t="s">
        <v>389</v>
      </c>
      <c r="B41" s="927">
        <f>'[1]GLOBAL PREV AN'!C41</f>
        <v>43200</v>
      </c>
      <c r="C41" s="921">
        <f>'[1]GLOBAL PREV AN'!D41</f>
        <v>5.8313272397763471E-3</v>
      </c>
      <c r="E41" s="927">
        <f>'[1]GLOBAL PREV AN'!F41</f>
        <v>33948</v>
      </c>
      <c r="F41" s="921">
        <f>'[1]GLOBAL PREV AN'!G41</f>
        <v>6.5892857142857142E-3</v>
      </c>
      <c r="G41" s="925"/>
      <c r="H41" s="927">
        <f>'[1]GLOBAL PREV AN'!I41</f>
        <v>29148</v>
      </c>
      <c r="I41" s="921">
        <f>'[1]GLOBAL PREV AN'!J41</f>
        <v>6.4772671212694269E-3</v>
      </c>
      <c r="J41" s="925"/>
      <c r="K41" s="927">
        <f>'[1]GLOBAL PREV AN'!L41</f>
        <v>34896</v>
      </c>
      <c r="L41" s="921">
        <f>'[1]GLOBAL PREV AN'!M41</f>
        <v>6.3046070460704611E-3</v>
      </c>
      <c r="M41" s="925"/>
      <c r="N41" s="927">
        <f>'[1]GLOBAL PREV AN'!O41</f>
        <v>26952</v>
      </c>
      <c r="O41" s="921">
        <f>'[1]GLOBAL PREV AN'!P41</f>
        <v>7.4985393539771308E-3</v>
      </c>
      <c r="P41" s="925"/>
      <c r="Q41" s="927">
        <f>'[1]GLOBAL PREV AN'!R41</f>
        <v>27636</v>
      </c>
      <c r="R41" s="921">
        <f>'[1]GLOBAL PREV AN'!S41</f>
        <v>7.6021236211591889E-3</v>
      </c>
      <c r="S41" s="925"/>
      <c r="T41" s="927">
        <f>'[1]GLOBAL PREV AN'!U41</f>
        <v>27660</v>
      </c>
      <c r="U41" s="921">
        <f>'[1]GLOBAL PREV AN'!V41</f>
        <v>8.1540003537527266E-3</v>
      </c>
      <c r="V41" s="925"/>
      <c r="W41" s="927">
        <f>'[1]GLOBAL PREV AN'!X41</f>
        <v>26880</v>
      </c>
      <c r="X41" s="921">
        <f>'[1]GLOBAL PREV AN'!Y41</f>
        <v>8.8131147540983605E-3</v>
      </c>
      <c r="Y41" s="925"/>
      <c r="Z41" s="927">
        <f>'[1]GLOBAL PREV AN'!AA41</f>
        <v>250320</v>
      </c>
      <c r="AA41" s="921">
        <f>'[1]GLOBAL PREV AN'!AB41</f>
        <v>6.902121889619652E-3</v>
      </c>
      <c r="AB41" s="933"/>
    </row>
    <row r="42" spans="1:28">
      <c r="A42" s="926" t="s">
        <v>390</v>
      </c>
      <c r="B42" s="927">
        <f>'[1]GLOBAL PREV AN'!C42</f>
        <v>39480</v>
      </c>
      <c r="C42" s="921">
        <f>'[1]GLOBAL PREV AN'!D42</f>
        <v>5.3291851719067173E-3</v>
      </c>
      <c r="E42" s="927">
        <f>'[1]GLOBAL PREV AN'!F42</f>
        <v>30672</v>
      </c>
      <c r="F42" s="921">
        <f>'[1]GLOBAL PREV AN'!G42</f>
        <v>5.9534161490683232E-3</v>
      </c>
      <c r="G42" s="925"/>
      <c r="H42" s="927">
        <f>'[1]GLOBAL PREV AN'!I42</f>
        <v>23040</v>
      </c>
      <c r="I42" s="921">
        <f>'[1]GLOBAL PREV AN'!J42</f>
        <v>5.1199476627572255E-3</v>
      </c>
      <c r="J42" s="925"/>
      <c r="K42" s="927">
        <f>'[1]GLOBAL PREV AN'!L42</f>
        <v>26040</v>
      </c>
      <c r="L42" s="921">
        <f>'[1]GLOBAL PREV AN'!M42</f>
        <v>4.7046070460704604E-3</v>
      </c>
      <c r="M42" s="925"/>
      <c r="N42" s="927">
        <f>'[1]GLOBAL PREV AN'!O42</f>
        <v>18564</v>
      </c>
      <c r="O42" s="921">
        <f>'[1]GLOBAL PREV AN'!P42</f>
        <v>5.1648443368667056E-3</v>
      </c>
      <c r="P42" s="925"/>
      <c r="Q42" s="927">
        <f>'[1]GLOBAL PREV AN'!R42</f>
        <v>17844</v>
      </c>
      <c r="R42" s="921">
        <f>'[1]GLOBAL PREV AN'!S42</f>
        <v>4.9085357467059118E-3</v>
      </c>
      <c r="S42" s="925"/>
      <c r="T42" s="927">
        <f>'[1]GLOBAL PREV AN'!U42</f>
        <v>17988</v>
      </c>
      <c r="U42" s="921">
        <f>'[1]GLOBAL PREV AN'!V42</f>
        <v>5.3027533753906017E-3</v>
      </c>
      <c r="V42" s="925"/>
      <c r="W42" s="927">
        <f>'[1]GLOBAL PREV AN'!X42</f>
        <v>16020</v>
      </c>
      <c r="X42" s="921">
        <f>'[1]GLOBAL PREV AN'!Y42</f>
        <v>5.2524590163934423E-3</v>
      </c>
      <c r="Y42" s="925"/>
      <c r="Z42" s="927">
        <f>'[1]GLOBAL PREV AN'!AA42</f>
        <v>189648</v>
      </c>
      <c r="AA42" s="921">
        <f>'[1]GLOBAL PREV AN'!AB42</f>
        <v>5.2292010711193181E-3</v>
      </c>
    </row>
    <row r="43" spans="1:28">
      <c r="A43" s="926" t="s">
        <v>391</v>
      </c>
      <c r="B43" s="927">
        <f>'[1]GLOBAL PREV AN'!C43</f>
        <v>61752</v>
      </c>
      <c r="C43" s="921">
        <f>'[1]GLOBAL PREV AN'!D43</f>
        <v>8.3355583266358554E-3</v>
      </c>
      <c r="E43" s="927">
        <f>'[1]GLOBAL PREV AN'!F43</f>
        <v>39132</v>
      </c>
      <c r="F43" s="921">
        <f>'[1]GLOBAL PREV AN'!G43</f>
        <v>7.5954968944099378E-3</v>
      </c>
      <c r="G43" s="925"/>
      <c r="H43" s="927">
        <f>'[1]GLOBAL PREV AN'!I43</f>
        <v>35100</v>
      </c>
      <c r="I43" s="921">
        <f>'[1]GLOBAL PREV AN'!J43</f>
        <v>7.7999202674817105E-3</v>
      </c>
      <c r="J43" s="925"/>
      <c r="K43" s="927">
        <f>'[1]GLOBAL PREV AN'!L43</f>
        <v>36600</v>
      </c>
      <c r="L43" s="921">
        <f>'[1]GLOBAL PREV AN'!M43</f>
        <v>6.6124661246612466E-3</v>
      </c>
      <c r="M43" s="925"/>
      <c r="N43" s="927">
        <f>'[1]GLOBAL PREV AN'!O43</f>
        <v>24240</v>
      </c>
      <c r="O43" s="921">
        <f>'[1]GLOBAL PREV AN'!P43</f>
        <v>6.7440113513062352E-3</v>
      </c>
      <c r="P43" s="925"/>
      <c r="Q43" s="927">
        <f>'[1]GLOBAL PREV AN'!R43</f>
        <v>33240</v>
      </c>
      <c r="R43" s="921">
        <f>'[1]GLOBAL PREV AN'!S43</f>
        <v>9.1436745247985042E-3</v>
      </c>
      <c r="S43" s="925"/>
      <c r="T43" s="927">
        <f>'[1]GLOBAL PREV AN'!U43</f>
        <v>20736</v>
      </c>
      <c r="U43" s="921">
        <f>'[1]GLOBAL PREV AN'!V43</f>
        <v>6.112847119863216E-3</v>
      </c>
      <c r="V43" s="925"/>
      <c r="W43" s="927">
        <f>'[1]GLOBAL PREV AN'!X43</f>
        <v>31776</v>
      </c>
      <c r="X43" s="921">
        <f>'[1]GLOBAL PREV AN'!Y43</f>
        <v>1.0418360655737705E-2</v>
      </c>
      <c r="Y43" s="925"/>
      <c r="Z43" s="927">
        <f>'[1]GLOBAL PREV AN'!AA43</f>
        <v>282576</v>
      </c>
      <c r="AA43" s="921">
        <f>'[1]GLOBAL PREV AN'!AB43</f>
        <v>7.7915228311008422E-3</v>
      </c>
    </row>
    <row r="44" spans="1:28">
      <c r="A44" s="926" t="s">
        <v>392</v>
      </c>
      <c r="B44" s="927">
        <f>'[1]GLOBAL PREV AN'!C44</f>
        <v>313008</v>
      </c>
      <c r="C44" s="921">
        <f>'[1]GLOBAL PREV AN'!D44</f>
        <v>4.2251205478423953E-2</v>
      </c>
      <c r="E44" s="927">
        <f>'[1]GLOBAL PREV AN'!F44</f>
        <v>60228</v>
      </c>
      <c r="F44" s="921">
        <f>'[1]GLOBAL PREV AN'!G44</f>
        <v>1.1690217391304348E-2</v>
      </c>
      <c r="G44" s="925"/>
      <c r="H44" s="927">
        <f>'[1]GLOBAL PREV AN'!I44</f>
        <v>168252</v>
      </c>
      <c r="I44" s="921">
        <f>'[1]GLOBAL PREV AN'!J44</f>
        <v>3.7388951135166174E-2</v>
      </c>
      <c r="J44" s="925"/>
      <c r="K44" s="927">
        <f>'[1]GLOBAL PREV AN'!L44</f>
        <v>227712</v>
      </c>
      <c r="L44" s="921">
        <f>'[1]GLOBAL PREV AN'!M44</f>
        <v>4.1140379403794038E-2</v>
      </c>
      <c r="M44" s="925"/>
      <c r="N44" s="927">
        <f>'[1]GLOBAL PREV AN'!O44</f>
        <v>42000</v>
      </c>
      <c r="O44" s="921">
        <f>'[1]GLOBAL PREV AN'!P44</f>
        <v>1.1685168182956347E-2</v>
      </c>
      <c r="P44" s="925"/>
      <c r="Q44" s="927">
        <f>'[1]GLOBAL PREV AN'!R44</f>
        <v>58872</v>
      </c>
      <c r="R44" s="921">
        <f>'[1]GLOBAL PREV AN'!S44</f>
        <v>1.6194536902043848E-2</v>
      </c>
      <c r="S44" s="925"/>
      <c r="T44" s="927">
        <f>'[1]GLOBAL PREV AN'!U44</f>
        <v>32340</v>
      </c>
      <c r="U44" s="921">
        <f>'[1]GLOBAL PREV AN'!V44</f>
        <v>9.533635988444077E-3</v>
      </c>
      <c r="V44" s="925"/>
      <c r="W44" s="927">
        <f>'[1]GLOBAL PREV AN'!X44</f>
        <v>174000</v>
      </c>
      <c r="X44" s="921">
        <f>'[1]GLOBAL PREV AN'!Y44</f>
        <v>5.7049180327868855E-2</v>
      </c>
      <c r="Y44" s="925"/>
      <c r="Z44" s="927">
        <f>'[1]GLOBAL PREV AN'!AA44</f>
        <v>1076412</v>
      </c>
      <c r="AA44" s="921">
        <f>'[1]GLOBAL PREV AN'!AB44</f>
        <v>2.9680116760343836E-2</v>
      </c>
    </row>
    <row r="45" spans="1:28">
      <c r="A45" s="926" t="s">
        <v>393</v>
      </c>
      <c r="B45" s="927">
        <f>'[1]GLOBAL PREV AN'!C45</f>
        <v>11256</v>
      </c>
      <c r="C45" s="921">
        <f>'[1]GLOBAL PREV AN'!D45</f>
        <v>1.5193847085861704E-3</v>
      </c>
      <c r="E45" s="927">
        <f>'[1]GLOBAL PREV AN'!F45</f>
        <v>9072</v>
      </c>
      <c r="F45" s="921">
        <f>'[1]GLOBAL PREV AN'!G45</f>
        <v>1.7608695652173913E-3</v>
      </c>
      <c r="G45" s="925"/>
      <c r="H45" s="927">
        <f>'[1]GLOBAL PREV AN'!I45</f>
        <v>7980</v>
      </c>
      <c r="I45" s="921">
        <f>'[1]GLOBAL PREV AN'!J45</f>
        <v>1.7733152061112263E-3</v>
      </c>
      <c r="J45" s="925"/>
      <c r="K45" s="927">
        <f>'[1]GLOBAL PREV AN'!L45</f>
        <v>6372</v>
      </c>
      <c r="L45" s="921">
        <f>'[1]GLOBAL PREV AN'!M45</f>
        <v>1.151219512195122E-3</v>
      </c>
      <c r="M45" s="925"/>
      <c r="N45" s="927">
        <f>'[1]GLOBAL PREV AN'!O45</f>
        <v>9264.48</v>
      </c>
      <c r="O45" s="921">
        <f>'[1]GLOBAL PREV AN'!P45</f>
        <v>2.5775477839913193E-3</v>
      </c>
      <c r="P45" s="925"/>
      <c r="Q45" s="927">
        <f>'[1]GLOBAL PREV AN'!R45</f>
        <v>6624</v>
      </c>
      <c r="R45" s="921">
        <f>'[1]GLOBAL PREV AN'!S45</f>
        <v>1.8221329738948642E-3</v>
      </c>
      <c r="S45" s="925"/>
      <c r="T45" s="927">
        <f>'[1]GLOBAL PREV AN'!U45</f>
        <v>8376</v>
      </c>
      <c r="U45" s="921">
        <f>'[1]GLOBAL PREV AN'!V45</f>
        <v>2.4691940333706739E-3</v>
      </c>
      <c r="V45" s="925"/>
      <c r="W45" s="927">
        <f>'[1]GLOBAL PREV AN'!X45</f>
        <v>0</v>
      </c>
      <c r="X45" s="921">
        <f>'[1]GLOBAL PREV AN'!Y45</f>
        <v>0</v>
      </c>
      <c r="Y45" s="925"/>
      <c r="Z45" s="927">
        <f>'[1]GLOBAL PREV AN'!AA45</f>
        <v>58944.479999999996</v>
      </c>
      <c r="AA45" s="921">
        <f>'[1]GLOBAL PREV AN'!AB45</f>
        <v>1.6252875746254705E-3</v>
      </c>
    </row>
    <row r="46" spans="1:28">
      <c r="A46" s="926" t="s">
        <v>394</v>
      </c>
      <c r="B46" s="927">
        <f>'[1]GLOBAL PREV AN'!C46</f>
        <v>0</v>
      </c>
      <c r="C46" s="921">
        <f>'[1]GLOBAL PREV AN'!D46</f>
        <v>0</v>
      </c>
      <c r="E46" s="927">
        <f>'[1]GLOBAL PREV AN'!F46</f>
        <v>0</v>
      </c>
      <c r="F46" s="921">
        <f>'[1]GLOBAL PREV AN'!G46</f>
        <v>0</v>
      </c>
      <c r="G46" s="925"/>
      <c r="H46" s="927">
        <f>'[1]GLOBAL PREV AN'!I46</f>
        <v>0</v>
      </c>
      <c r="I46" s="921">
        <f>'[1]GLOBAL PREV AN'!J46</f>
        <v>0</v>
      </c>
      <c r="J46" s="925"/>
      <c r="K46" s="927">
        <f>'[1]GLOBAL PREV AN'!L46</f>
        <v>0</v>
      </c>
      <c r="L46" s="921">
        <f>'[1]GLOBAL PREV AN'!M46</f>
        <v>0</v>
      </c>
      <c r="M46" s="925"/>
      <c r="N46" s="927">
        <f>'[1]GLOBAL PREV AN'!O46</f>
        <v>0</v>
      </c>
      <c r="O46" s="921">
        <f>'[1]GLOBAL PREV AN'!P46</f>
        <v>0</v>
      </c>
      <c r="P46" s="925"/>
      <c r="Q46" s="927">
        <f>'[1]GLOBAL PREV AN'!R46</f>
        <v>0</v>
      </c>
      <c r="R46" s="921">
        <f>'[1]GLOBAL PREV AN'!S46</f>
        <v>0</v>
      </c>
      <c r="S46" s="925"/>
      <c r="T46" s="927">
        <f>'[1]GLOBAL PREV AN'!U46</f>
        <v>0</v>
      </c>
      <c r="U46" s="921">
        <f>'[1]GLOBAL PREV AN'!V46</f>
        <v>0</v>
      </c>
      <c r="V46" s="925"/>
      <c r="W46" s="927">
        <f>'[1]GLOBAL PREV AN'!X46</f>
        <v>0</v>
      </c>
      <c r="X46" s="921">
        <f>'[1]GLOBAL PREV AN'!Y46</f>
        <v>0</v>
      </c>
      <c r="Y46" s="925"/>
      <c r="Z46" s="927">
        <f>'[1]GLOBAL PREV AN'!AA46</f>
        <v>0</v>
      </c>
      <c r="AA46" s="921">
        <f>'[1]GLOBAL PREV AN'!AB46</f>
        <v>0</v>
      </c>
    </row>
    <row r="47" spans="1:28">
      <c r="A47" s="926" t="s">
        <v>395</v>
      </c>
      <c r="B47" s="927">
        <f>'[1]GLOBAL PREV AN'!C47</f>
        <v>100530.26894609595</v>
      </c>
      <c r="C47" s="921">
        <f>'[1]GLOBAL PREV AN'!D47</f>
        <v>1.3570020734430822E-2</v>
      </c>
      <c r="E47" s="927">
        <f>'[1]GLOBAL PREV AN'!F47</f>
        <v>90221.868656478124</v>
      </c>
      <c r="F47" s="921">
        <f>'[1]GLOBAL PREV AN'!G47</f>
        <v>1.7512008667794666E-2</v>
      </c>
      <c r="G47" s="925"/>
      <c r="H47" s="927">
        <f>'[1]GLOBAL PREV AN'!I47</f>
        <v>45000.460000000021</v>
      </c>
      <c r="I47" s="921">
        <f>'[1]GLOBAL PREV AN'!J47</f>
        <v>1.0000000000000005E-2</v>
      </c>
      <c r="J47" s="925"/>
      <c r="K47" s="927">
        <f>'[1]GLOBAL PREV AN'!L47</f>
        <v>86943.722090871597</v>
      </c>
      <c r="L47" s="921">
        <f>'[1]GLOBAL PREV AN'!M47</f>
        <v>1.570798953764618E-2</v>
      </c>
      <c r="M47" s="925"/>
      <c r="N47" s="927">
        <f>'[1]GLOBAL PREV AN'!O47</f>
        <v>35943</v>
      </c>
      <c r="O47" s="921">
        <f>'[1]GLOBAL PREV AN'!P47</f>
        <v>0.01</v>
      </c>
      <c r="P47" s="925"/>
      <c r="Q47" s="927">
        <f>'[1]GLOBAL PREV AN'!R47</f>
        <v>37353</v>
      </c>
      <c r="R47" s="921">
        <f>'[1]GLOBAL PREV AN'!S47</f>
        <v>1.0275080461034853E-2</v>
      </c>
      <c r="S47" s="925"/>
      <c r="T47" s="927">
        <f>'[1]GLOBAL PREV AN'!U47</f>
        <v>33922</v>
      </c>
      <c r="U47" s="921">
        <f>'[1]GLOBAL PREV AN'!V47</f>
        <v>0.01</v>
      </c>
      <c r="V47" s="925"/>
      <c r="W47" s="927">
        <f>'[1]GLOBAL PREV AN'!X47</f>
        <v>30500</v>
      </c>
      <c r="X47" s="921">
        <f>'[1]GLOBAL PREV AN'!Y47</f>
        <v>0.01</v>
      </c>
      <c r="Y47" s="925"/>
      <c r="Z47" s="927">
        <f>'[1]GLOBAL PREV AN'!AA47</f>
        <v>460414.31969344569</v>
      </c>
      <c r="AA47" s="921">
        <f>'[1]GLOBAL PREV AN'!AB47</f>
        <v>1.2695093297580983E-2</v>
      </c>
    </row>
    <row r="48" spans="1:28">
      <c r="A48" s="926" t="s">
        <v>396</v>
      </c>
      <c r="B48" s="927">
        <f>'[1]GLOBAL PREV AN'!C48</f>
        <v>100530.26894609595</v>
      </c>
      <c r="C48" s="921">
        <f>'[1]GLOBAL PREV AN'!D48</f>
        <v>1.3570020734430822E-2</v>
      </c>
      <c r="E48" s="927">
        <f>'[1]GLOBAL PREV AN'!F48</f>
        <v>90221.868656478124</v>
      </c>
      <c r="F48" s="921">
        <f>'[1]GLOBAL PREV AN'!G48</f>
        <v>1.7512008667794666E-2</v>
      </c>
      <c r="G48" s="925"/>
      <c r="H48" s="927">
        <f>'[1]GLOBAL PREV AN'!I48</f>
        <v>45000.460000000021</v>
      </c>
      <c r="I48" s="921">
        <f>'[1]GLOBAL PREV AN'!J48</f>
        <v>1.0000000000000005E-2</v>
      </c>
      <c r="J48" s="925"/>
      <c r="K48" s="927">
        <f>'[1]GLOBAL PREV AN'!L48</f>
        <v>86943.722090871597</v>
      </c>
      <c r="L48" s="921">
        <f>'[1]GLOBAL PREV AN'!M48</f>
        <v>1.570798953764618E-2</v>
      </c>
      <c r="M48" s="925"/>
      <c r="N48" s="927">
        <f>'[1]GLOBAL PREV AN'!O48</f>
        <v>35943</v>
      </c>
      <c r="O48" s="921">
        <f>'[1]GLOBAL PREV AN'!P48</f>
        <v>0.01</v>
      </c>
      <c r="P48" s="925"/>
      <c r="Q48" s="927">
        <f>'[1]GLOBAL PREV AN'!R48</f>
        <v>37353</v>
      </c>
      <c r="R48" s="921">
        <f>'[1]GLOBAL PREV AN'!S48</f>
        <v>1.0275080461034853E-2</v>
      </c>
      <c r="S48" s="925"/>
      <c r="T48" s="927">
        <f>'[1]GLOBAL PREV AN'!U48</f>
        <v>33922</v>
      </c>
      <c r="U48" s="921">
        <f>'[1]GLOBAL PREV AN'!V48</f>
        <v>0.01</v>
      </c>
      <c r="V48" s="925"/>
      <c r="W48" s="927">
        <f>'[1]GLOBAL PREV AN'!X48</f>
        <v>30500</v>
      </c>
      <c r="X48" s="921">
        <f>'[1]GLOBAL PREV AN'!Y48</f>
        <v>0.01</v>
      </c>
      <c r="Y48" s="925"/>
      <c r="Z48" s="927">
        <f>'[1]GLOBAL PREV AN'!AA48</f>
        <v>460414.31969344569</v>
      </c>
      <c r="AA48" s="921">
        <f>'[1]GLOBAL PREV AN'!AB48</f>
        <v>1.2695093297580983E-2</v>
      </c>
    </row>
    <row r="49" spans="1:38">
      <c r="A49" s="922" t="s">
        <v>397</v>
      </c>
      <c r="B49" s="934">
        <f>'[1]GLOBAL PREV AN'!C49</f>
        <v>0</v>
      </c>
      <c r="C49" s="935">
        <f>'[1]GLOBAL PREV AN'!D49</f>
        <v>0</v>
      </c>
      <c r="E49" s="934">
        <f>'[1]GLOBAL PREV AN'!F49</f>
        <v>0</v>
      </c>
      <c r="F49" s="935">
        <f>'[1]GLOBAL PREV AN'!G49</f>
        <v>0</v>
      </c>
      <c r="G49" s="925"/>
      <c r="H49" s="934">
        <f>'[1]GLOBAL PREV AN'!I49</f>
        <v>0</v>
      </c>
      <c r="I49" s="935">
        <f>'[1]GLOBAL PREV AN'!J49</f>
        <v>0</v>
      </c>
      <c r="J49" s="925"/>
      <c r="K49" s="934">
        <f>'[1]GLOBAL PREV AN'!L49</f>
        <v>0</v>
      </c>
      <c r="L49" s="935">
        <f>'[1]GLOBAL PREV AN'!M49</f>
        <v>0</v>
      </c>
      <c r="M49" s="925"/>
      <c r="N49" s="934">
        <f>'[1]GLOBAL PREV AN'!O49</f>
        <v>0</v>
      </c>
      <c r="O49" s="935">
        <f>'[1]GLOBAL PREV AN'!P49</f>
        <v>0</v>
      </c>
      <c r="P49" s="925"/>
      <c r="Q49" s="934">
        <f>'[1]GLOBAL PREV AN'!R49</f>
        <v>0</v>
      </c>
      <c r="R49" s="935">
        <f>'[1]GLOBAL PREV AN'!S49</f>
        <v>0</v>
      </c>
      <c r="S49" s="925"/>
      <c r="T49" s="934">
        <f>'[1]GLOBAL PREV AN'!U49</f>
        <v>0</v>
      </c>
      <c r="U49" s="935">
        <f>'[1]GLOBAL PREV AN'!V49</f>
        <v>0</v>
      </c>
      <c r="V49" s="925"/>
      <c r="W49" s="934">
        <f>'[1]GLOBAL PREV AN'!X49</f>
        <v>0</v>
      </c>
      <c r="X49" s="935">
        <f>'[1]GLOBAL PREV AN'!Y49</f>
        <v>0</v>
      </c>
      <c r="Y49" s="925"/>
      <c r="Z49" s="934">
        <f>'[1]GLOBAL PREV AN'!AA49</f>
        <v>0</v>
      </c>
      <c r="AA49" s="935">
        <f>'[1]GLOBAL PREV AN'!AB49</f>
        <v>0</v>
      </c>
    </row>
    <row r="50" spans="1:38">
      <c r="A50" s="926" t="s">
        <v>398</v>
      </c>
      <c r="B50" s="936">
        <f>'[1]GLOBAL PREV AN'!C50</f>
        <v>27000</v>
      </c>
      <c r="C50" s="937">
        <f>'[1]GLOBAL PREV AN'!D50</f>
        <v>3.6445795248602167E-3</v>
      </c>
      <c r="E50" s="936">
        <f>'[1]GLOBAL PREV AN'!F50</f>
        <v>600</v>
      </c>
      <c r="F50" s="937">
        <f>'[1]GLOBAL PREV AN'!G50</f>
        <v>1.1645962732919254E-4</v>
      </c>
      <c r="G50" s="925"/>
      <c r="H50" s="936">
        <f>'[1]GLOBAL PREV AN'!I50</f>
        <v>5640</v>
      </c>
      <c r="I50" s="937">
        <f>'[1]GLOBAL PREV AN'!J50</f>
        <v>1.2533205216124458E-3</v>
      </c>
      <c r="J50" s="925"/>
      <c r="K50" s="936">
        <f>'[1]GLOBAL PREV AN'!L50</f>
        <v>1440</v>
      </c>
      <c r="L50" s="937">
        <f>'[1]GLOBAL PREV AN'!M50</f>
        <v>2.6016260162601624E-4</v>
      </c>
      <c r="M50" s="925"/>
      <c r="N50" s="936">
        <f>'[1]GLOBAL PREV AN'!O50</f>
        <v>1320</v>
      </c>
      <c r="O50" s="937">
        <f>'[1]GLOBAL PREV AN'!P50</f>
        <v>3.6724814289291379E-4</v>
      </c>
      <c r="P50" s="925"/>
      <c r="Q50" s="936">
        <f>'[1]GLOBAL PREV AN'!R50</f>
        <v>1320</v>
      </c>
      <c r="R50" s="937">
        <f>'[1]GLOBAL PREV AN'!S50</f>
        <v>3.6310620856600553E-4</v>
      </c>
      <c r="S50" s="925"/>
      <c r="T50" s="936">
        <f>'[1]GLOBAL PREV AN'!U50</f>
        <v>0</v>
      </c>
      <c r="U50" s="937">
        <f>'[1]GLOBAL PREV AN'!V50</f>
        <v>0</v>
      </c>
      <c r="V50" s="925"/>
      <c r="W50" s="936">
        <f>'[1]GLOBAL PREV AN'!X50</f>
        <v>32760</v>
      </c>
      <c r="X50" s="937">
        <f>'[1]GLOBAL PREV AN'!Y50</f>
        <v>1.0740983606557376E-2</v>
      </c>
      <c r="Y50" s="925"/>
      <c r="Z50" s="936">
        <f>'[1]GLOBAL PREV AN'!AA50</f>
        <v>70080</v>
      </c>
      <c r="AA50" s="937">
        <f>'[1]GLOBAL PREV AN'!AB50</f>
        <v>1.9323294264323475E-3</v>
      </c>
      <c r="AD50" s="933"/>
    </row>
    <row r="51" spans="1:38">
      <c r="A51" s="922" t="s">
        <v>399</v>
      </c>
      <c r="B51" s="934">
        <f>'[1]GLOBAL PREV AN'!C51</f>
        <v>895918.65208656515</v>
      </c>
      <c r="C51" s="935">
        <f>'[1]GLOBAL PREV AN'!D51</f>
        <v>0.12093506575315036</v>
      </c>
      <c r="E51" s="934">
        <f>'[1]GLOBAL PREV AN'!F51</f>
        <v>564677.27281665371</v>
      </c>
      <c r="F51" s="935">
        <f>'[1]GLOBAL PREV AN'!G51</f>
        <v>0.10960350792248713</v>
      </c>
      <c r="G51" s="925"/>
      <c r="H51" s="934">
        <f>'[1]GLOBAL PREV AN'!I51</f>
        <v>585888.94698919856</v>
      </c>
      <c r="I51" s="935">
        <f>'[1]GLOBAL PREV AN'!J51</f>
        <v>0.13019621288075689</v>
      </c>
      <c r="J51" s="925"/>
      <c r="K51" s="934">
        <f>'[1]GLOBAL PREV AN'!L51</f>
        <v>379463.26932486368</v>
      </c>
      <c r="L51" s="935">
        <f>'[1]GLOBAL PREV AN'!M51</f>
        <v>6.8557049561854322E-2</v>
      </c>
      <c r="M51" s="925"/>
      <c r="N51" s="934">
        <f>'[1]GLOBAL PREV AN'!O51</f>
        <v>368390.91378410236</v>
      </c>
      <c r="O51" s="935">
        <f>'[1]GLOBAL PREV AN'!P51</f>
        <v>0.10249309011048115</v>
      </c>
      <c r="P51" s="925"/>
      <c r="Q51" s="934">
        <f>'[1]GLOBAL PREV AN'!R51</f>
        <v>499151.374314035</v>
      </c>
      <c r="R51" s="935">
        <f>'[1]GLOBAL PREV AN'!S51</f>
        <v>0.13730679017248507</v>
      </c>
      <c r="S51" s="925"/>
      <c r="T51" s="934">
        <f>'[1]GLOBAL PREV AN'!U51</f>
        <v>482080.25977346208</v>
      </c>
      <c r="U51" s="935">
        <f>'[1]GLOBAL PREV AN'!V51</f>
        <v>0.14211433871041274</v>
      </c>
      <c r="V51" s="925"/>
      <c r="W51" s="934">
        <f>'[1]GLOBAL PREV AN'!X51</f>
        <v>130476.04783080635</v>
      </c>
      <c r="X51" s="935">
        <f>'[1]GLOBAL PREV AN'!Y51</f>
        <v>4.2779032075674212E-2</v>
      </c>
      <c r="Y51" s="925"/>
      <c r="Z51" s="934">
        <f>'[1]GLOBAL PREV AN'!AA51</f>
        <v>3906046.7369196871</v>
      </c>
      <c r="AA51" s="935">
        <f>'[1]GLOBAL PREV AN'!AB51</f>
        <v>0.10770218394363529</v>
      </c>
      <c r="AD51" s="933"/>
    </row>
    <row r="52" spans="1:38">
      <c r="A52" s="922" t="s">
        <v>400</v>
      </c>
      <c r="B52" s="934">
        <f>'[1]GLOBAL PREV AN'!C52</f>
        <v>1320712.9210326611</v>
      </c>
      <c r="C52" s="935">
        <f>'[1]GLOBAL PREV AN'!D52</f>
        <v>0.17827567667459129</v>
      </c>
      <c r="E52" s="934">
        <f>'[1]GLOBAL PREV AN'!F52</f>
        <v>724199.14147313195</v>
      </c>
      <c r="F52" s="935">
        <f>'[1]GLOBAL PREV AN'!G52</f>
        <v>0.14056660354680356</v>
      </c>
      <c r="G52" s="925"/>
      <c r="H52" s="934">
        <f>'[1]GLOBAL PREV AN'!I52</f>
        <v>807121.40698919853</v>
      </c>
      <c r="I52" s="935">
        <f>'[1]GLOBAL PREV AN'!J52</f>
        <v>0.17935847922203429</v>
      </c>
      <c r="J52" s="925"/>
      <c r="K52" s="934">
        <f>'[1]GLOBAL PREV AN'!L52</f>
        <v>700490.99141573522</v>
      </c>
      <c r="L52" s="935">
        <f>'[1]GLOBAL PREV AN'!M52</f>
        <v>0.12655663801548966</v>
      </c>
      <c r="M52" s="925"/>
      <c r="N52" s="934">
        <f>'[1]GLOBAL PREV AN'!O52</f>
        <v>455598.39378410234</v>
      </c>
      <c r="O52" s="935">
        <f>'[1]GLOBAL PREV AN'!P52</f>
        <v>0.12675580607742881</v>
      </c>
      <c r="P52" s="925"/>
      <c r="Q52" s="934">
        <f>'[1]GLOBAL PREV AN'!R52</f>
        <v>602000.37431403506</v>
      </c>
      <c r="R52" s="935">
        <f>'[1]GLOBAL PREV AN'!S52</f>
        <v>0.16559854050945866</v>
      </c>
      <c r="S52" s="925"/>
      <c r="T52" s="934">
        <f>'[1]GLOBAL PREV AN'!U52</f>
        <v>556718.25977346208</v>
      </c>
      <c r="U52" s="935">
        <f>'[1]GLOBAL PREV AN'!V52</f>
        <v>0.16411716873222748</v>
      </c>
      <c r="V52" s="925"/>
      <c r="W52" s="934">
        <f>'[1]GLOBAL PREV AN'!X52</f>
        <v>334976.04783080635</v>
      </c>
      <c r="X52" s="935">
        <f>'[1]GLOBAL PREV AN'!Y52</f>
        <v>0.10982821240354307</v>
      </c>
      <c r="Y52" s="925"/>
      <c r="Z52" s="934">
        <f>'[1]GLOBAL PREV AN'!AA52</f>
        <v>5501817.5366131328</v>
      </c>
      <c r="AA52" s="935">
        <f>'[1]GLOBAL PREV AN'!AB52</f>
        <v>0.15170268157618558</v>
      </c>
    </row>
    <row r="53" spans="1:38">
      <c r="A53" s="926" t="s">
        <v>401</v>
      </c>
      <c r="B53" s="927">
        <f>'[1]GLOBAL PREV AN'!C53</f>
        <v>0</v>
      </c>
      <c r="C53" s="921">
        <f>'[1]GLOBAL PREV AN'!D53</f>
        <v>0</v>
      </c>
      <c r="E53" s="927">
        <f>'[1]GLOBAL PREV AN'!F53</f>
        <v>0</v>
      </c>
      <c r="F53" s="921">
        <f>'[1]GLOBAL PREV AN'!G53</f>
        <v>0</v>
      </c>
      <c r="G53" s="925"/>
      <c r="H53" s="927">
        <f>'[1]GLOBAL PREV AN'!I53</f>
        <v>0</v>
      </c>
      <c r="I53" s="921">
        <f>'[1]GLOBAL PREV AN'!J53</f>
        <v>0</v>
      </c>
      <c r="J53" s="925"/>
      <c r="K53" s="927">
        <f>'[1]GLOBAL PREV AN'!L53</f>
        <v>0</v>
      </c>
      <c r="L53" s="921">
        <f>'[1]GLOBAL PREV AN'!M53</f>
        <v>0</v>
      </c>
      <c r="M53" s="925"/>
      <c r="N53" s="927">
        <f>'[1]GLOBAL PREV AN'!O53</f>
        <v>0</v>
      </c>
      <c r="O53" s="921">
        <f>'[1]GLOBAL PREV AN'!P53</f>
        <v>0</v>
      </c>
      <c r="P53" s="925"/>
      <c r="Q53" s="927">
        <f>'[1]GLOBAL PREV AN'!R53</f>
        <v>0</v>
      </c>
      <c r="R53" s="921">
        <f>'[1]GLOBAL PREV AN'!S53</f>
        <v>0</v>
      </c>
      <c r="S53" s="925"/>
      <c r="T53" s="927">
        <f>'[1]GLOBAL PREV AN'!U53</f>
        <v>0</v>
      </c>
      <c r="U53" s="921">
        <f>'[1]GLOBAL PREV AN'!V53</f>
        <v>0</v>
      </c>
      <c r="V53" s="925"/>
      <c r="W53" s="927">
        <f>'[1]GLOBAL PREV AN'!X53</f>
        <v>0</v>
      </c>
      <c r="X53" s="921">
        <f>'[1]GLOBAL PREV AN'!Y53</f>
        <v>0</v>
      </c>
      <c r="Y53" s="925"/>
      <c r="Z53" s="927">
        <f>'[1]GLOBAL PREV AN'!AA53</f>
        <v>0</v>
      </c>
      <c r="AA53" s="921">
        <f>'[1]GLOBAL PREV AN'!AB53</f>
        <v>0</v>
      </c>
    </row>
    <row r="54" spans="1:38">
      <c r="A54" s="926" t="s">
        <v>402</v>
      </c>
      <c r="B54" s="927">
        <f>'[1]GLOBAL PREV AN'!C54</f>
        <v>296330.48</v>
      </c>
      <c r="C54" s="921">
        <f>'[1]GLOBAL PREV AN'!D54</f>
        <v>0.04</v>
      </c>
      <c r="E54" s="927">
        <f>'[1]GLOBAL PREV AN'!F54</f>
        <v>206080</v>
      </c>
      <c r="F54" s="921">
        <f>'[1]GLOBAL PREV AN'!G54</f>
        <v>0.04</v>
      </c>
      <c r="G54" s="925"/>
      <c r="H54" s="927">
        <f>'[1]GLOBAL PREV AN'!I54</f>
        <v>180001.84</v>
      </c>
      <c r="I54" s="921">
        <f>'[1]GLOBAL PREV AN'!J54</f>
        <v>0.04</v>
      </c>
      <c r="J54" s="925"/>
      <c r="K54" s="927">
        <f>'[1]GLOBAL PREV AN'!L54</f>
        <v>221400</v>
      </c>
      <c r="L54" s="921">
        <f>'[1]GLOBAL PREV AN'!M54</f>
        <v>0.04</v>
      </c>
      <c r="M54" s="925"/>
      <c r="N54" s="927">
        <f>'[1]GLOBAL PREV AN'!O54</f>
        <v>143772</v>
      </c>
      <c r="O54" s="921">
        <f>'[1]GLOBAL PREV AN'!P54</f>
        <v>0.04</v>
      </c>
      <c r="P54" s="925"/>
      <c r="Q54" s="927">
        <f>'[1]GLOBAL PREV AN'!R54</f>
        <v>145412</v>
      </c>
      <c r="R54" s="921">
        <f>'[1]GLOBAL PREV AN'!S54</f>
        <v>0.04</v>
      </c>
      <c r="S54" s="925"/>
      <c r="T54" s="927">
        <f>'[1]GLOBAL PREV AN'!U54</f>
        <v>135688</v>
      </c>
      <c r="U54" s="921">
        <f>'[1]GLOBAL PREV AN'!V54</f>
        <v>0.04</v>
      </c>
      <c r="V54" s="925"/>
      <c r="W54" s="927">
        <f>'[1]GLOBAL PREV AN'!X54</f>
        <v>119560</v>
      </c>
      <c r="X54" s="921">
        <f>'[1]GLOBAL PREV AN'!Y54</f>
        <v>3.9199999999999999E-2</v>
      </c>
      <c r="Y54" s="925"/>
      <c r="Z54" s="927">
        <f>'[1]GLOBAL PREV AN'!AA54</f>
        <v>1448244.3199999998</v>
      </c>
      <c r="AA54" s="921">
        <f>'[1]GLOBAL PREV AN'!AB54</f>
        <v>3.9932721406956403E-2</v>
      </c>
    </row>
    <row r="55" spans="1:38">
      <c r="A55" s="922" t="s">
        <v>403</v>
      </c>
      <c r="B55" s="934">
        <f>'[1]GLOBAL PREV AN'!C55</f>
        <v>599588.17208656506</v>
      </c>
      <c r="C55" s="935">
        <f>'[1]GLOBAL PREV AN'!D55</f>
        <v>8.0935065753150348E-2</v>
      </c>
      <c r="E55" s="934">
        <f>'[1]GLOBAL PREV AN'!F55</f>
        <v>358597.27281665377</v>
      </c>
      <c r="F55" s="935">
        <f>'[1]GLOBAL PREV AN'!G55</f>
        <v>6.9603507922487151E-2</v>
      </c>
      <c r="G55" s="925"/>
      <c r="H55" s="934">
        <f>'[1]GLOBAL PREV AN'!I55</f>
        <v>405887.10698919848</v>
      </c>
      <c r="I55" s="935">
        <f>'[1]GLOBAL PREV AN'!J55</f>
        <v>9.0196212880756882E-2</v>
      </c>
      <c r="J55" s="925"/>
      <c r="K55" s="934">
        <f>'[1]GLOBAL PREV AN'!L55</f>
        <v>158063.26932486362</v>
      </c>
      <c r="L55" s="935">
        <f>'[1]GLOBAL PREV AN'!M55</f>
        <v>2.8557049561854314E-2</v>
      </c>
      <c r="M55" s="925"/>
      <c r="N55" s="934">
        <f>'[1]GLOBAL PREV AN'!O55</f>
        <v>224618.91378410236</v>
      </c>
      <c r="O55" s="935">
        <f>'[1]GLOBAL PREV AN'!P55</f>
        <v>6.2493090110481139E-2</v>
      </c>
      <c r="P55" s="925"/>
      <c r="Q55" s="934">
        <f>'[1]GLOBAL PREV AN'!R55</f>
        <v>353739.374314035</v>
      </c>
      <c r="R55" s="935">
        <f>'[1]GLOBAL PREV AN'!S55</f>
        <v>9.7306790172485072E-2</v>
      </c>
      <c r="S55" s="925"/>
      <c r="T55" s="934">
        <f>'[1]GLOBAL PREV AN'!U55</f>
        <v>346392.25977346214</v>
      </c>
      <c r="U55" s="935">
        <f>'[1]GLOBAL PREV AN'!V55</f>
        <v>0.10211433871041276</v>
      </c>
      <c r="V55" s="925"/>
      <c r="W55" s="934">
        <f>'[1]GLOBAL PREV AN'!X55</f>
        <v>10916.04783080635</v>
      </c>
      <c r="X55" s="935">
        <f>'[1]GLOBAL PREV AN'!Y55</f>
        <v>3.5790320756742132E-3</v>
      </c>
      <c r="Y55" s="925"/>
      <c r="Z55" s="934">
        <f>'[1]GLOBAL PREV AN'!AA55</f>
        <v>2457802.4169196868</v>
      </c>
      <c r="AA55" s="935">
        <f>'[1]GLOBAL PREV AN'!AB55</f>
        <v>6.7769462536678884E-2</v>
      </c>
    </row>
    <row r="56" spans="1:38">
      <c r="A56" s="926" t="s">
        <v>404</v>
      </c>
      <c r="B56" s="927">
        <f>'[1]GLOBAL PREV AN'!C56</f>
        <v>120000</v>
      </c>
      <c r="C56" s="921">
        <f>'[1]GLOBAL PREV AN'!D56</f>
        <v>1.6198131221600964E-2</v>
      </c>
      <c r="E56" s="927">
        <f>'[1]GLOBAL PREV AN'!F56</f>
        <v>0</v>
      </c>
      <c r="F56" s="921">
        <f>'[1]GLOBAL PREV AN'!G56</f>
        <v>0</v>
      </c>
      <c r="G56" s="925"/>
      <c r="H56" s="927">
        <f>'[1]GLOBAL PREV AN'!I56</f>
        <v>0</v>
      </c>
      <c r="I56" s="921">
        <f>'[1]GLOBAL PREV AN'!J56</f>
        <v>0</v>
      </c>
      <c r="J56" s="925"/>
      <c r="K56" s="927">
        <f>'[1]GLOBAL PREV AN'!L56</f>
        <v>0</v>
      </c>
      <c r="L56" s="921">
        <f>'[1]GLOBAL PREV AN'!M56</f>
        <v>0</v>
      </c>
      <c r="M56" s="925"/>
      <c r="N56" s="927">
        <f>'[1]GLOBAL PREV AN'!O56</f>
        <v>0</v>
      </c>
      <c r="O56" s="921">
        <f>'[1]GLOBAL PREV AN'!P56</f>
        <v>0</v>
      </c>
      <c r="P56" s="925"/>
      <c r="Q56" s="927">
        <f>'[1]GLOBAL PREV AN'!R56</f>
        <v>0</v>
      </c>
      <c r="R56" s="921">
        <f>'[1]GLOBAL PREV AN'!S56</f>
        <v>0</v>
      </c>
      <c r="S56" s="925"/>
      <c r="T56" s="927">
        <f>'[1]GLOBAL PREV AN'!U56</f>
        <v>0</v>
      </c>
      <c r="U56" s="921">
        <f>'[1]GLOBAL PREV AN'!V56</f>
        <v>0</v>
      </c>
      <c r="V56" s="925"/>
      <c r="W56" s="927">
        <f>'[1]GLOBAL PREV AN'!X56</f>
        <v>0</v>
      </c>
      <c r="X56" s="921">
        <f>'[1]GLOBAL PREV AN'!Y56</f>
        <v>0</v>
      </c>
      <c r="Y56" s="925"/>
      <c r="Z56" s="927">
        <f>'[1]GLOBAL PREV AN'!AA56</f>
        <v>120000</v>
      </c>
      <c r="AA56" s="921">
        <f>'[1]GLOBAL PREV AN'!AB56</f>
        <v>3.3087832644389512E-3</v>
      </c>
    </row>
    <row r="57" spans="1:38">
      <c r="A57" s="926" t="s">
        <v>405</v>
      </c>
      <c r="B57" s="927">
        <f>'[1]GLOBAL PREV AN'!C57</f>
        <v>119897.04302164126</v>
      </c>
      <c r="C57" s="921">
        <f>'[1]GLOBAL PREV AN'!D57</f>
        <v>1.6184233632887346E-2</v>
      </c>
      <c r="E57" s="927">
        <f>'[1]GLOBAL PREV AN'!F57</f>
        <v>89649.318204163443</v>
      </c>
      <c r="F57" s="921">
        <f>'[1]GLOBAL PREV AN'!G57</f>
        <v>1.7400876980621788E-2</v>
      </c>
      <c r="G57" s="925"/>
      <c r="H57" s="927">
        <f>'[1]GLOBAL PREV AN'!I57</f>
        <v>101471.77674729962</v>
      </c>
      <c r="I57" s="921">
        <f>'[1]GLOBAL PREV AN'!J57</f>
        <v>2.254905322018922E-2</v>
      </c>
      <c r="J57" s="925"/>
      <c r="K57" s="927">
        <f>'[1]GLOBAL PREV AN'!L57</f>
        <v>39515.817331215905</v>
      </c>
      <c r="L57" s="921">
        <f>'[1]GLOBAL PREV AN'!M57</f>
        <v>7.1392623904635785E-3</v>
      </c>
      <c r="M57" s="925"/>
      <c r="N57" s="927">
        <f>'[1]GLOBAL PREV AN'!O57</f>
        <v>56154.728446025591</v>
      </c>
      <c r="O57" s="921">
        <f>'[1]GLOBAL PREV AN'!P57</f>
        <v>1.5623272527620285E-2</v>
      </c>
      <c r="P57" s="925"/>
      <c r="Q57" s="927">
        <f>'[1]GLOBAL PREV AN'!R57</f>
        <v>88434.843578508749</v>
      </c>
      <c r="R57" s="921">
        <f>'[1]GLOBAL PREV AN'!S57</f>
        <v>2.4326697543121268E-2</v>
      </c>
      <c r="S57" s="925"/>
      <c r="T57" s="927">
        <f>'[1]GLOBAL PREV AN'!U57</f>
        <v>86598.064943365534</v>
      </c>
      <c r="U57" s="921">
        <f>'[1]GLOBAL PREV AN'!V57</f>
        <v>2.5528584677603189E-2</v>
      </c>
      <c r="V57" s="925"/>
      <c r="W57" s="927">
        <f>'[1]GLOBAL PREV AN'!X57</f>
        <v>7074.6880359482484</v>
      </c>
      <c r="X57" s="921">
        <f>'[1]GLOBAL PREV AN'!Y57</f>
        <v>2.3195698478518847E-3</v>
      </c>
      <c r="Y57" s="925"/>
      <c r="Z57" s="927">
        <f>'[1]GLOBAL PREV AN'!AA57</f>
        <v>588796.28030816838</v>
      </c>
      <c r="AA57" s="921">
        <f>'[1]GLOBAL PREV AN'!AB57</f>
        <v>1.6234993987063108E-2</v>
      </c>
    </row>
    <row r="58" spans="1:38" s="925" customFormat="1">
      <c r="A58" s="922" t="s">
        <v>406</v>
      </c>
      <c r="B58" s="923">
        <f>'[1]GLOBAL PREV AN'!C58</f>
        <v>359691.12906492379</v>
      </c>
      <c r="C58" s="924">
        <f>'[1]GLOBAL PREV AN'!D58</f>
        <v>4.8552700898662031E-2</v>
      </c>
      <c r="E58" s="923">
        <f>'[1]GLOBAL PREV AN'!F58</f>
        <v>268947.95461249037</v>
      </c>
      <c r="F58" s="924">
        <f>'[1]GLOBAL PREV AN'!G58</f>
        <v>5.220263094186537E-2</v>
      </c>
      <c r="H58" s="923">
        <f>'[1]GLOBAL PREV AN'!I58</f>
        <v>304415.33024189889</v>
      </c>
      <c r="I58" s="924">
        <f>'[1]GLOBAL PREV AN'!J58</f>
        <v>6.7647159660567668E-2</v>
      </c>
      <c r="K58" s="923">
        <f>'[1]GLOBAL PREV AN'!L58</f>
        <v>118547.45199364774</v>
      </c>
      <c r="L58" s="924">
        <f>'[1]GLOBAL PREV AN'!M58</f>
        <v>2.1417787171390739E-2</v>
      </c>
      <c r="N58" s="923">
        <f>'[1]GLOBAL PREV AN'!O58</f>
        <v>168464.18533807676</v>
      </c>
      <c r="O58" s="924">
        <f>'[1]GLOBAL PREV AN'!P58</f>
        <v>4.6869817582860851E-2</v>
      </c>
      <c r="Q58" s="923">
        <f>'[1]GLOBAL PREV AN'!R58</f>
        <v>265304.53073552618</v>
      </c>
      <c r="R58" s="924">
        <f>'[1]GLOBAL PREV AN'!S58</f>
        <v>7.2980092629363794E-2</v>
      </c>
      <c r="T58" s="923">
        <f>'[1]GLOBAL PREV AN'!U58</f>
        <v>259794.19483009662</v>
      </c>
      <c r="U58" s="924">
        <f>'[1]GLOBAL PREV AN'!V58</f>
        <v>7.6585754032809567E-2</v>
      </c>
      <c r="W58" s="923">
        <f>'[1]GLOBAL PREV AN'!X58</f>
        <v>3841.3597948581009</v>
      </c>
      <c r="X58" s="924">
        <f>'[1]GLOBAL PREV AN'!Y58</f>
        <v>1.2594622278223281E-3</v>
      </c>
      <c r="Z58" s="923">
        <f>'[1]GLOBAL PREV AN'!AA58</f>
        <v>1749006.1366115185</v>
      </c>
      <c r="AA58" s="924">
        <f>'[1]GLOBAL PREV AN'!AB58</f>
        <v>4.8225685285176817E-2</v>
      </c>
    </row>
    <row r="59" spans="1:38" ht="18" thickBot="1"/>
    <row r="60" spans="1:38" s="943" customFormat="1" ht="18" thickTop="1">
      <c r="A60" s="938" t="s">
        <v>407</v>
      </c>
      <c r="B60" s="1415">
        <f>'[1]GLOBAL PREV AN'!C60</f>
        <v>76373.835051546397</v>
      </c>
      <c r="C60" s="939">
        <f>'[1]GLOBAL PREV AN'!D60</f>
        <v>97</v>
      </c>
      <c r="D60" s="940"/>
      <c r="E60" s="1415">
        <f>'[1]GLOBAL PREV AN'!F60</f>
        <v>53113.402061855675</v>
      </c>
      <c r="F60" s="939">
        <f>'[1]GLOBAL PREV AN'!G60</f>
        <v>96.999999999999986</v>
      </c>
      <c r="G60" s="940"/>
      <c r="H60" s="1415">
        <f>'[1]GLOBAL PREV AN'!I60</f>
        <v>47872.829787234041</v>
      </c>
      <c r="I60" s="939">
        <f>'[1]GLOBAL PREV AN'!J60</f>
        <v>94</v>
      </c>
      <c r="J60" s="940"/>
      <c r="K60" s="1415">
        <f>'[1]GLOBAL PREV AN'!L60</f>
        <v>57061.855670103098</v>
      </c>
      <c r="L60" s="939">
        <f>'[1]GLOBAL PREV AN'!M60</f>
        <v>96.999999999999986</v>
      </c>
      <c r="M60" s="940"/>
      <c r="N60" s="1415">
        <f>'[1]GLOBAL PREV AN'!O60</f>
        <v>38237.234042553195</v>
      </c>
      <c r="O60" s="939">
        <f>'[1]GLOBAL PREV AN'!P60</f>
        <v>93.999999999999986</v>
      </c>
      <c r="P60" s="940"/>
      <c r="Q60" s="1415">
        <f>'[1]GLOBAL PREV AN'!R60</f>
        <v>38266.315789473687</v>
      </c>
      <c r="R60" s="939">
        <f>'[1]GLOBAL PREV AN'!S60</f>
        <v>95</v>
      </c>
      <c r="S60" s="940"/>
      <c r="T60" s="1415">
        <f>'[1]GLOBAL PREV AN'!U60</f>
        <v>36087.234042553187</v>
      </c>
      <c r="U60" s="939">
        <f>'[1]GLOBAL PREV AN'!V60</f>
        <v>94.000000000000014</v>
      </c>
      <c r="V60" s="940"/>
      <c r="W60" s="1415">
        <f>'[1]GLOBAL PREV AN'!X60</f>
        <v>32795.698924731187</v>
      </c>
      <c r="X60" s="939">
        <f>'[1]GLOBAL PREV AN'!Y60</f>
        <v>92.999999999999986</v>
      </c>
      <c r="Y60" s="940"/>
      <c r="Z60" s="1415">
        <f>'[1]GLOBAL PREV AN'!AA60</f>
        <v>379808.40537005046</v>
      </c>
      <c r="AA60" s="939">
        <f>'[1]GLOBAL PREV AN'!AB60</f>
        <v>95.487902550931324</v>
      </c>
      <c r="AB60" s="941"/>
      <c r="AC60" s="942"/>
      <c r="AE60" s="944"/>
      <c r="AF60" s="942"/>
      <c r="AH60" s="944"/>
      <c r="AI60" s="942"/>
      <c r="AK60" s="944"/>
      <c r="AL60" s="942"/>
    </row>
    <row r="61" spans="1:38" s="943" customFormat="1">
      <c r="A61" s="945" t="s">
        <v>408</v>
      </c>
      <c r="B61" s="946">
        <f>'[1]GLOBAL PREV AN'!C61</f>
        <v>15.285559017756118</v>
      </c>
      <c r="C61" s="947"/>
      <c r="D61" s="946"/>
      <c r="E61" s="946">
        <f>'[1]GLOBAL PREV AN'!F61</f>
        <v>15.310533433618007</v>
      </c>
      <c r="F61" s="947"/>
      <c r="G61" s="946"/>
      <c r="H61" s="946">
        <f>'[1]GLOBAL PREV AN'!I61</f>
        <v>14.929562968911874</v>
      </c>
      <c r="I61" s="947"/>
      <c r="J61" s="946"/>
      <c r="K61" s="946">
        <f>'[1]GLOBAL PREV AN'!L61</f>
        <v>15.352668473351397</v>
      </c>
      <c r="L61" s="947"/>
      <c r="M61" s="946"/>
      <c r="N61" s="946">
        <f>'[1]GLOBAL PREV AN'!O61</f>
        <v>14.989328381047768</v>
      </c>
      <c r="O61" s="947"/>
      <c r="P61" s="946"/>
      <c r="Q61" s="946">
        <f>'[1]GLOBAL PREV AN'!R61</f>
        <v>15.052358814953374</v>
      </c>
      <c r="R61" s="947"/>
      <c r="S61" s="946"/>
      <c r="T61" s="946">
        <f>'[1]GLOBAL PREV AN'!U61</f>
        <v>14.766777312658455</v>
      </c>
      <c r="U61" s="947"/>
      <c r="V61" s="946"/>
      <c r="W61" s="946">
        <f>'[1]GLOBAL PREV AN'!X61</f>
        <v>15.382121311475407</v>
      </c>
      <c r="X61" s="947"/>
      <c r="Y61" s="946"/>
      <c r="Z61" s="946">
        <f>'[1]GLOBAL PREV AN'!AA61</f>
        <v>15.159990460024652</v>
      </c>
      <c r="AA61" s="947"/>
      <c r="AB61" s="941"/>
      <c r="AC61" s="948"/>
      <c r="AE61" s="944"/>
      <c r="AF61" s="948"/>
      <c r="AH61" s="944"/>
      <c r="AI61" s="948"/>
      <c r="AK61" s="944"/>
    </row>
    <row r="62" spans="1:38" s="943" customFormat="1">
      <c r="A62" s="945" t="s">
        <v>409</v>
      </c>
      <c r="B62" s="949">
        <f>'[1]GLOBAL PREV AN'!C62</f>
        <v>0.1983083527705215</v>
      </c>
      <c r="C62" s="950"/>
      <c r="D62" s="949"/>
      <c r="E62" s="949">
        <f>'[1]GLOBAL PREV AN'!F62</f>
        <v>0.17916666666666667</v>
      </c>
      <c r="F62" s="950"/>
      <c r="G62" s="949"/>
      <c r="H62" s="949">
        <f>'[1]GLOBAL PREV AN'!I62</f>
        <v>0.171875</v>
      </c>
      <c r="I62" s="950"/>
      <c r="J62" s="949"/>
      <c r="K62" s="949">
        <f>'[1]GLOBAL PREV AN'!L62</f>
        <v>0.17341666666666666</v>
      </c>
      <c r="L62" s="950"/>
      <c r="M62" s="949"/>
      <c r="N62" s="949">
        <f>'[1]GLOBAL PREV AN'!O62</f>
        <v>0.16837500000000002</v>
      </c>
      <c r="O62" s="950"/>
      <c r="P62" s="949"/>
      <c r="Q62" s="949">
        <f>'[1]GLOBAL PREV AN'!R62</f>
        <v>0.16399999999999998</v>
      </c>
      <c r="R62" s="950"/>
      <c r="S62" s="949"/>
      <c r="T62" s="949">
        <f>'[1]GLOBAL PREV AN'!U62</f>
        <v>0.17216666666666669</v>
      </c>
      <c r="U62" s="950"/>
      <c r="V62" s="949"/>
      <c r="W62" s="949">
        <f>'[1]GLOBAL PREV AN'!X62</f>
        <v>0.14833333333333334</v>
      </c>
      <c r="X62" s="950"/>
      <c r="Y62" s="949"/>
      <c r="Z62" s="949">
        <f>'[1]GLOBAL PREV AN'!AA62</f>
        <v>0.17195521076298187</v>
      </c>
      <c r="AA62" s="950"/>
      <c r="AB62" s="951"/>
      <c r="AC62" s="952"/>
      <c r="AD62" s="953"/>
      <c r="AE62" s="952"/>
      <c r="AF62" s="952"/>
      <c r="AG62" s="953"/>
      <c r="AH62" s="952"/>
      <c r="AI62" s="952"/>
      <c r="AJ62" s="953"/>
      <c r="AK62" s="952"/>
      <c r="AL62" s="953"/>
    </row>
    <row r="63" spans="1:38" s="943" customFormat="1" ht="18" thickBot="1">
      <c r="A63" s="954" t="s">
        <v>410</v>
      </c>
      <c r="B63" s="955">
        <f>'[1]GLOBAL PREV AN'!C63</f>
        <v>0.37803461340862943</v>
      </c>
      <c r="C63" s="956"/>
      <c r="D63" s="955"/>
      <c r="E63" s="955">
        <f>'[1]GLOBAL PREV AN'!F63</f>
        <v>0.36270833333333335</v>
      </c>
      <c r="F63" s="956"/>
      <c r="G63" s="955"/>
      <c r="H63" s="955">
        <f>'[1]GLOBAL PREV AN'!I63</f>
        <v>0.34070833333333334</v>
      </c>
      <c r="I63" s="956"/>
      <c r="J63" s="955"/>
      <c r="K63" s="955">
        <f>'[1]GLOBAL PREV AN'!L63</f>
        <v>0.33841666666666664</v>
      </c>
      <c r="L63" s="956"/>
      <c r="M63" s="955"/>
      <c r="N63" s="955">
        <f>'[1]GLOBAL PREV AN'!O63</f>
        <v>0.31685000000000002</v>
      </c>
      <c r="O63" s="956"/>
      <c r="P63" s="955"/>
      <c r="Q63" s="955">
        <f>'[1]GLOBAL PREV AN'!R63</f>
        <v>0.36266666666666669</v>
      </c>
      <c r="R63" s="956"/>
      <c r="S63" s="955"/>
      <c r="T63" s="955">
        <f>'[1]GLOBAL PREV AN'!U63</f>
        <v>0.31765000000000004</v>
      </c>
      <c r="U63" s="956"/>
      <c r="V63" s="955"/>
      <c r="W63" s="955">
        <f>'[1]GLOBAL PREV AN'!X63</f>
        <v>0.31583333333333335</v>
      </c>
      <c r="X63" s="956"/>
      <c r="Y63" s="955"/>
      <c r="Z63" s="955">
        <f>'[1]GLOBAL PREV AN'!AA63</f>
        <v>0.34160849334274535</v>
      </c>
      <c r="AA63" s="956"/>
      <c r="AB63" s="951"/>
      <c r="AC63" s="952"/>
      <c r="AD63" s="953"/>
      <c r="AE63" s="952"/>
      <c r="AF63" s="952"/>
      <c r="AG63" s="953"/>
      <c r="AH63" s="952"/>
      <c r="AI63" s="952"/>
      <c r="AJ63" s="953"/>
      <c r="AK63" s="952"/>
      <c r="AL63" s="953"/>
    </row>
    <row r="64" spans="1:38" ht="18" thickTop="1"/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1782A-FEB4-6443-B203-75C015A0E9DB}">
  <sheetPr codeName="Feuil5"/>
  <dimension ref="A1:Z401"/>
  <sheetViews>
    <sheetView showGridLines="0" topLeftCell="A136" zoomScaleNormal="100" workbookViewId="0">
      <selection activeCell="M157" sqref="M157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5" width="10.83203125" style="70"/>
    <col min="6" max="6" width="10.83203125" style="38"/>
    <col min="7" max="7" width="10.83203125" style="70"/>
    <col min="8" max="8" width="11.5" style="44" bestFit="1" customWidth="1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22" width="12.1640625" style="38" bestFit="1" customWidth="1"/>
    <col min="23" max="23" width="15.1640625" style="38" bestFit="1" customWidth="1"/>
    <col min="24" max="24" width="15.83203125" style="38" bestFit="1" customWidth="1"/>
    <col min="25" max="16384" width="10.83203125" style="38"/>
  </cols>
  <sheetData>
    <row r="1" spans="1:22" ht="16" customHeight="1">
      <c r="A1" s="1740"/>
      <c r="B1" s="1"/>
      <c r="C1" s="206"/>
      <c r="D1" s="1741" t="s">
        <v>0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2" s="39" customFormat="1" ht="37" customHeight="1" thickBot="1">
      <c r="A2" s="1740"/>
      <c r="B2" s="2"/>
      <c r="C2" s="203"/>
      <c r="D2" s="5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2" ht="17" customHeight="1" thickTop="1">
      <c r="A3" s="10" t="s">
        <v>9</v>
      </c>
      <c r="B3" s="11"/>
      <c r="C3" s="207"/>
      <c r="D3" s="68"/>
      <c r="E3" s="68"/>
      <c r="F3" s="20"/>
      <c r="G3" s="73"/>
      <c r="H3" s="42"/>
      <c r="I3" s="13"/>
      <c r="J3" s="14"/>
      <c r="K3" s="15"/>
      <c r="L3" s="15"/>
      <c r="M3" s="15"/>
      <c r="N3" s="16" t="str">
        <f>IF(M3=0,"",M3/I3)</f>
        <v/>
      </c>
      <c r="O3" s="17" t="str">
        <f>IF(I3=0,"",(I3-E3)/E3)</f>
        <v/>
      </c>
      <c r="P3" s="17" t="str">
        <f>IF(J3=0,"",(J3-F3)/F3)</f>
        <v/>
      </c>
      <c r="Q3" s="18" t="str">
        <f>IF(I3=0,"",I3/K3)</f>
        <v/>
      </c>
      <c r="R3" s="18" t="e">
        <f>I3/L3</f>
        <v>#DIV/0!</v>
      </c>
      <c r="S3" s="33" t="s">
        <v>39</v>
      </c>
      <c r="T3" s="31" t="s">
        <v>42</v>
      </c>
      <c r="U3" s="1737" t="s">
        <v>83</v>
      </c>
      <c r="V3" s="1736"/>
    </row>
    <row r="4" spans="1:22">
      <c r="A4" s="10" t="s">
        <v>11</v>
      </c>
      <c r="B4" s="11"/>
      <c r="C4" s="207"/>
      <c r="D4" s="68"/>
      <c r="E4" s="68"/>
      <c r="F4" s="20"/>
      <c r="G4" s="73"/>
      <c r="H4" s="42"/>
      <c r="I4" s="13"/>
      <c r="J4" s="14"/>
      <c r="K4" s="15"/>
      <c r="L4" s="15"/>
      <c r="M4" s="15"/>
      <c r="N4" s="16" t="str">
        <f t="shared" ref="N4:N67" si="0">IF(M4=0,"",M4/I4)</f>
        <v/>
      </c>
      <c r="O4" s="17" t="str">
        <f t="shared" ref="O4:O67" si="1">IF(I4=0,"",(I4-E4)/E4)</f>
        <v/>
      </c>
      <c r="P4" s="17" t="str">
        <f t="shared" ref="P4:P67" si="2">IF(J4=0,"",(J4-F4)/F4)</f>
        <v/>
      </c>
      <c r="Q4" s="18" t="str">
        <f t="shared" ref="Q4:Q67" si="3">IF(I4=0,"",I4/K4)</f>
        <v/>
      </c>
      <c r="R4" s="18" t="e">
        <f t="shared" ref="R4:R67" si="4">I4/L4</f>
        <v>#DIV/0!</v>
      </c>
      <c r="S4" s="34">
        <f>SUM(I3:I9)</f>
        <v>117485.39</v>
      </c>
      <c r="T4" s="45" t="s">
        <v>41</v>
      </c>
      <c r="U4" s="1738"/>
      <c r="V4" s="1736"/>
    </row>
    <row r="5" spans="1:22">
      <c r="A5" s="10" t="s">
        <v>12</v>
      </c>
      <c r="B5" s="11"/>
      <c r="C5" s="75" t="str">
        <f>IF(H5=0,"",D3)</f>
        <v/>
      </c>
      <c r="D5" s="68"/>
      <c r="E5" s="68"/>
      <c r="F5" s="20"/>
      <c r="G5" s="73"/>
      <c r="H5" s="42"/>
      <c r="I5" s="13"/>
      <c r="J5" s="14"/>
      <c r="K5" s="15"/>
      <c r="L5" s="15"/>
      <c r="M5" s="15"/>
      <c r="N5" s="16"/>
      <c r="O5" s="17" t="str">
        <f t="shared" si="1"/>
        <v/>
      </c>
      <c r="P5" s="17" t="str">
        <f t="shared" si="2"/>
        <v/>
      </c>
      <c r="Q5" s="18" t="str">
        <f t="shared" si="3"/>
        <v/>
      </c>
      <c r="R5" s="18" t="e">
        <f t="shared" si="4"/>
        <v>#DIV/0!</v>
      </c>
      <c r="S5" s="35">
        <f>(S4-SUM(E3:E9))/SUM(E3:E9)</f>
        <v>9.1311089554649866E-2</v>
      </c>
      <c r="T5" s="48">
        <f>SUM(I3:I9)/SUM(K3:K9)</f>
        <v>125.88979255068364</v>
      </c>
      <c r="U5" s="1738"/>
      <c r="V5" s="1736"/>
    </row>
    <row r="6" spans="1:22">
      <c r="A6" s="10" t="s">
        <v>13</v>
      </c>
      <c r="B6" s="11">
        <v>46023</v>
      </c>
      <c r="C6" s="75">
        <f>IF(H6=0,"",'[2]2025-2026'!C5)</f>
        <v>38329.919999999998</v>
      </c>
      <c r="D6" s="68">
        <f>'[2]2025'!C6</f>
        <v>24702.73</v>
      </c>
      <c r="E6" s="68">
        <f>'[2]2025'!D6</f>
        <v>24194.26</v>
      </c>
      <c r="F6" s="20">
        <f>'[2]2025'!E6</f>
        <v>1229</v>
      </c>
      <c r="G6" s="73">
        <f>'[2]2025'!F6</f>
        <v>41900</v>
      </c>
      <c r="H6" s="42">
        <f>'[2]2025'!G6</f>
        <v>35452.730000000003</v>
      </c>
      <c r="I6" s="13">
        <f>'[2]2025'!H6</f>
        <v>34755.879999999997</v>
      </c>
      <c r="J6" s="14">
        <f>'[2]2025'!I6</f>
        <v>1539</v>
      </c>
      <c r="K6" s="15">
        <f>'[2]2025'!J6</f>
        <v>235.22</v>
      </c>
      <c r="L6" s="15">
        <f>'[2]2025'!K6</f>
        <v>262.77</v>
      </c>
      <c r="M6" s="15">
        <f>'[2]2025'!L6</f>
        <v>56.6</v>
      </c>
      <c r="N6" s="16">
        <f t="shared" si="0"/>
        <v>1.6285014219176728E-3</v>
      </c>
      <c r="O6" s="17">
        <f t="shared" si="1"/>
        <v>0.43653412007641479</v>
      </c>
      <c r="P6" s="17">
        <f t="shared" si="2"/>
        <v>0.25223759153783565</v>
      </c>
      <c r="Q6" s="18">
        <f t="shared" si="3"/>
        <v>147.75903409574013</v>
      </c>
      <c r="R6" s="18">
        <f t="shared" si="4"/>
        <v>132.26730600905734</v>
      </c>
      <c r="S6" s="34"/>
      <c r="T6" s="29" t="s">
        <v>8</v>
      </c>
      <c r="U6" s="1738"/>
      <c r="V6" s="1736"/>
    </row>
    <row r="7" spans="1:22">
      <c r="A7" s="10" t="s">
        <v>14</v>
      </c>
      <c r="B7" s="11">
        <v>46024</v>
      </c>
      <c r="C7" s="75">
        <f>IF(H7=0,"",'[2]2025-2026'!C6)</f>
        <v>24702.73</v>
      </c>
      <c r="D7" s="68">
        <f>'[2]2025'!C7</f>
        <v>30225.89</v>
      </c>
      <c r="E7" s="68">
        <f>'[2]2025'!D7</f>
        <v>29639.62</v>
      </c>
      <c r="F7" s="20">
        <f>'[2]2025'!E7</f>
        <v>1377</v>
      </c>
      <c r="G7" s="73">
        <f>'[2]2025'!F7</f>
        <v>29900</v>
      </c>
      <c r="H7" s="42">
        <f>'[2]2025'!G7</f>
        <v>29777.37</v>
      </c>
      <c r="I7" s="13">
        <f>'[2]2025'!H7</f>
        <v>29326.59</v>
      </c>
      <c r="J7" s="14">
        <f>'[2]2025'!I7</f>
        <v>1321</v>
      </c>
      <c r="K7" s="15">
        <f>'[2]2025'!J7</f>
        <v>189.73</v>
      </c>
      <c r="L7" s="15">
        <f>'[2]2025'!K7</f>
        <v>219.84</v>
      </c>
      <c r="M7" s="15">
        <f>'[2]2025'!L7</f>
        <v>149.01</v>
      </c>
      <c r="N7" s="16">
        <f t="shared" si="0"/>
        <v>5.0810544287624299E-3</v>
      </c>
      <c r="O7" s="17">
        <f t="shared" si="1"/>
        <v>-1.0561201526875136E-2</v>
      </c>
      <c r="P7" s="17">
        <f t="shared" si="2"/>
        <v>-4.0668119099491647E-2</v>
      </c>
      <c r="Q7" s="18">
        <f t="shared" si="3"/>
        <v>154.57012596848153</v>
      </c>
      <c r="R7" s="18">
        <f t="shared" si="4"/>
        <v>133.39969978165939</v>
      </c>
      <c r="S7" s="36" t="s">
        <v>40</v>
      </c>
      <c r="T7" s="48">
        <f>SUM(I3:I9)/SUM(L3:L9)</f>
        <v>114.20541060735671</v>
      </c>
      <c r="U7" s="1738"/>
      <c r="V7" s="1736"/>
    </row>
    <row r="8" spans="1:22">
      <c r="A8" s="10" t="s">
        <v>15</v>
      </c>
      <c r="B8" s="11">
        <v>46025</v>
      </c>
      <c r="C8" s="75">
        <f>IF(H8=0,"",'[2]2025-2026'!C7)</f>
        <v>30225.89</v>
      </c>
      <c r="D8" s="68">
        <f>'[2]2025'!C8</f>
        <v>30511.54</v>
      </c>
      <c r="E8" s="68">
        <f>'[2]2025'!D8</f>
        <v>29987.99</v>
      </c>
      <c r="F8" s="20">
        <f>'[2]2025'!E8</f>
        <v>1483</v>
      </c>
      <c r="G8" s="73">
        <f>'[2]2025'!F8</f>
        <v>30300</v>
      </c>
      <c r="H8" s="42">
        <f>'[2]2025'!G8</f>
        <v>30478.2</v>
      </c>
      <c r="I8" s="13">
        <f>'[2]2025'!H8</f>
        <v>30086.43</v>
      </c>
      <c r="J8" s="14">
        <f>'[2]2025'!I8</f>
        <v>1444</v>
      </c>
      <c r="K8" s="15">
        <f>'[2]2025'!J8</f>
        <v>302.88000000000005</v>
      </c>
      <c r="L8" s="15">
        <f>'[2]2025'!K8</f>
        <v>322.16000000000003</v>
      </c>
      <c r="M8" s="15">
        <f>'[2]2025'!L8</f>
        <v>59.97</v>
      </c>
      <c r="N8" s="16">
        <f t="shared" si="0"/>
        <v>1.9932574253575448E-3</v>
      </c>
      <c r="O8" s="17">
        <f t="shared" si="1"/>
        <v>3.2826474865437359E-3</v>
      </c>
      <c r="P8" s="17">
        <f t="shared" si="2"/>
        <v>-2.6298044504383007E-2</v>
      </c>
      <c r="Q8" s="18">
        <f t="shared" si="3"/>
        <v>99.334488906497612</v>
      </c>
      <c r="R8" s="18">
        <f t="shared" si="4"/>
        <v>93.389713185994538</v>
      </c>
      <c r="S8" s="36">
        <f>SUM(J3:J9)</f>
        <v>5384</v>
      </c>
      <c r="T8" s="30" t="s">
        <v>3</v>
      </c>
      <c r="U8" s="1738"/>
      <c r="V8" s="1736"/>
    </row>
    <row r="9" spans="1:22" ht="18" thickBot="1">
      <c r="A9" s="10" t="s">
        <v>16</v>
      </c>
      <c r="B9" s="11">
        <v>46026</v>
      </c>
      <c r="C9" s="75">
        <f>IF(H9=0,"",'[2]2025-2026'!C8)</f>
        <v>30511.54</v>
      </c>
      <c r="D9" s="68">
        <f>'[2]2025'!C9</f>
        <v>24222.240000000002</v>
      </c>
      <c r="E9" s="68">
        <f>'[2]2025'!D9</f>
        <v>23833.4</v>
      </c>
      <c r="F9" s="20">
        <f>'[2]2025'!E9</f>
        <v>1173</v>
      </c>
      <c r="G9" s="73">
        <f>'[2]2025'!F9</f>
        <v>24000</v>
      </c>
      <c r="H9" s="42">
        <f>'[2]2025'!G9</f>
        <v>23658.400000000001</v>
      </c>
      <c r="I9" s="13">
        <f>'[2]2025'!H9</f>
        <v>23316.49</v>
      </c>
      <c r="J9" s="14">
        <f>'[2]2025'!I9</f>
        <v>1080</v>
      </c>
      <c r="K9" s="15">
        <f>'[2]2025'!J9</f>
        <v>205.41</v>
      </c>
      <c r="L9" s="15">
        <f>'[2]2025'!K9</f>
        <v>223.95</v>
      </c>
      <c r="M9" s="15">
        <f>'[2]2025'!L9</f>
        <v>100.81</v>
      </c>
      <c r="N9" s="16">
        <f t="shared" si="0"/>
        <v>4.3235495565584698E-3</v>
      </c>
      <c r="O9" s="17">
        <f t="shared" si="1"/>
        <v>-2.1688470801480269E-2</v>
      </c>
      <c r="P9" s="17">
        <f t="shared" si="2"/>
        <v>-7.9283887468030695E-2</v>
      </c>
      <c r="Q9" s="18">
        <f t="shared" si="3"/>
        <v>113.51195170634342</v>
      </c>
      <c r="R9" s="18">
        <f t="shared" si="4"/>
        <v>104.11471310560394</v>
      </c>
      <c r="S9" s="37">
        <f>(S8-SUM(F3:F9))/SUM(F3:F9)</f>
        <v>2.3185100722158875E-2</v>
      </c>
      <c r="T9" s="47">
        <f>SUM(M3:M9)/SUM(I3:I9)</f>
        <v>3.1186005340749176E-3</v>
      </c>
      <c r="U9" s="1739"/>
      <c r="V9" s="1736"/>
    </row>
    <row r="10" spans="1:22" ht="17" customHeight="1" thickTop="1">
      <c r="A10" s="10" t="s">
        <v>9</v>
      </c>
      <c r="B10" s="19">
        <v>46027</v>
      </c>
      <c r="C10" s="75">
        <f>IF(H10=0,"",'[2]2025-2026'!C9)</f>
        <v>24222.240000000002</v>
      </c>
      <c r="D10" s="68">
        <f>'[2]2025'!C10</f>
        <v>14236.3</v>
      </c>
      <c r="E10" s="68">
        <f>'[2]2025'!D10</f>
        <v>13994.55</v>
      </c>
      <c r="F10" s="20">
        <f>'[2]2025'!E10</f>
        <v>892</v>
      </c>
      <c r="G10" s="73">
        <f>'[2]2025'!F10</f>
        <v>14100</v>
      </c>
      <c r="H10" s="42">
        <f>'[2]2025'!G10</f>
        <v>14020.33</v>
      </c>
      <c r="I10" s="13">
        <f>'[2]2025'!H10</f>
        <v>13851.73</v>
      </c>
      <c r="J10" s="14">
        <f>'[2]2025'!I10</f>
        <v>812</v>
      </c>
      <c r="K10" s="15">
        <f>'[2]2025'!J10</f>
        <v>117.92</v>
      </c>
      <c r="L10" s="15">
        <f>'[2]2025'!K10</f>
        <v>137.12</v>
      </c>
      <c r="M10" s="15">
        <f>'[2]2025'!L10</f>
        <v>94.76</v>
      </c>
      <c r="N10" s="16">
        <f t="shared" si="0"/>
        <v>6.8410227458952783E-3</v>
      </c>
      <c r="O10" s="17">
        <f t="shared" si="1"/>
        <v>-1.0205401388397605E-2</v>
      </c>
      <c r="P10" s="17">
        <f t="shared" si="2"/>
        <v>-8.9686098654708515E-2</v>
      </c>
      <c r="Q10" s="18">
        <f t="shared" si="3"/>
        <v>117.46718113975577</v>
      </c>
      <c r="R10" s="18">
        <f t="shared" si="4"/>
        <v>101.01903442240372</v>
      </c>
      <c r="S10" s="33" t="s">
        <v>39</v>
      </c>
      <c r="T10" s="31" t="s">
        <v>42</v>
      </c>
      <c r="U10" s="1737" t="s">
        <v>84</v>
      </c>
    </row>
    <row r="11" spans="1:22">
      <c r="A11" s="10" t="s">
        <v>11</v>
      </c>
      <c r="B11" s="19">
        <v>46028</v>
      </c>
      <c r="C11" s="75">
        <f>IF(H11=0,"",'[2]2025-2026'!C10)</f>
        <v>14236.3</v>
      </c>
      <c r="D11" s="68">
        <f>'[2]2025'!C11</f>
        <v>17072.060000000001</v>
      </c>
      <c r="E11" s="68">
        <f>'[2]2025'!D11</f>
        <v>16861.669999999998</v>
      </c>
      <c r="F11" s="20">
        <f>'[2]2025'!E11</f>
        <v>1001</v>
      </c>
      <c r="G11" s="73">
        <f>'[2]2025'!F11</f>
        <v>17000</v>
      </c>
      <c r="H11" s="42">
        <f>'[2]2025'!G11</f>
        <v>13690.19</v>
      </c>
      <c r="I11" s="13">
        <f>'[2]2025'!H11</f>
        <v>13497.18</v>
      </c>
      <c r="J11" s="14">
        <f>'[2]2025'!I11</f>
        <v>831</v>
      </c>
      <c r="K11" s="15">
        <f>'[2]2025'!J11</f>
        <v>129.71</v>
      </c>
      <c r="L11" s="15">
        <f>'[2]2025'!K11</f>
        <v>144.55000000000001</v>
      </c>
      <c r="M11" s="15">
        <f>'[2]2025'!L11</f>
        <v>114.64</v>
      </c>
      <c r="N11" s="16">
        <f t="shared" si="0"/>
        <v>8.4936260759654984E-3</v>
      </c>
      <c r="O11" s="17">
        <f t="shared" si="1"/>
        <v>-0.19953480289911962</v>
      </c>
      <c r="P11" s="17">
        <f t="shared" si="2"/>
        <v>-0.16983016983016982</v>
      </c>
      <c r="Q11" s="18">
        <f t="shared" si="3"/>
        <v>104.05658777272376</v>
      </c>
      <c r="R11" s="18">
        <f t="shared" si="4"/>
        <v>93.373780698720154</v>
      </c>
      <c r="S11" s="34">
        <f>SUM(I10:I16)</f>
        <v>136302.65999999997</v>
      </c>
      <c r="T11" s="45" t="s">
        <v>41</v>
      </c>
      <c r="U11" s="1738"/>
    </row>
    <row r="12" spans="1:22">
      <c r="A12" s="10" t="s">
        <v>12</v>
      </c>
      <c r="B12" s="19">
        <v>46029</v>
      </c>
      <c r="C12" s="75">
        <f>IF(H12=0,"",'[2]2025-2026'!C11)</f>
        <v>17072.060000000001</v>
      </c>
      <c r="D12" s="68">
        <f>'[2]2025'!C12</f>
        <v>19941.86</v>
      </c>
      <c r="E12" s="68">
        <f>'[2]2025'!D12</f>
        <v>19588.849999999999</v>
      </c>
      <c r="F12" s="20">
        <f>'[2]2025'!E12</f>
        <v>1186</v>
      </c>
      <c r="G12" s="73">
        <f>'[2]2025'!F12</f>
        <v>19800</v>
      </c>
      <c r="H12" s="42">
        <f>'[2]2025'!G12</f>
        <v>17500.080000000002</v>
      </c>
      <c r="I12" s="13">
        <f>'[2]2025'!H12</f>
        <v>17150.57</v>
      </c>
      <c r="J12" s="14">
        <f>'[2]2025'!I12</f>
        <v>1023</v>
      </c>
      <c r="K12" s="15">
        <f>'[2]2025'!J12</f>
        <v>149.43</v>
      </c>
      <c r="L12" s="15">
        <f>'[2]2025'!K12</f>
        <v>167.94</v>
      </c>
      <c r="M12" s="15">
        <f>'[2]2025'!L12</f>
        <v>166.18</v>
      </c>
      <c r="N12" s="16">
        <f t="shared" si="0"/>
        <v>9.6894738775445948E-3</v>
      </c>
      <c r="O12" s="17">
        <f t="shared" si="1"/>
        <v>-0.12447285062675956</v>
      </c>
      <c r="P12" s="17">
        <f t="shared" si="2"/>
        <v>-0.13743676222596965</v>
      </c>
      <c r="Q12" s="18">
        <f t="shared" si="3"/>
        <v>114.77327176604429</v>
      </c>
      <c r="R12" s="18">
        <f t="shared" si="4"/>
        <v>102.12319876146243</v>
      </c>
      <c r="S12" s="35">
        <f>(S11-SUM(E10:E16))/SUM(E10:E16)</f>
        <v>-8.9557657228420587E-2</v>
      </c>
      <c r="T12" s="48">
        <f>SUM(I10:I16)/SUM(K10:K16)</f>
        <v>107.88047108733159</v>
      </c>
      <c r="U12" s="1738"/>
    </row>
    <row r="13" spans="1:22">
      <c r="A13" s="10" t="s">
        <v>13</v>
      </c>
      <c r="B13" s="19">
        <v>46030</v>
      </c>
      <c r="C13" s="75">
        <f>IF(H13=0,"",'[2]2025-2026'!C12)</f>
        <v>19941.86</v>
      </c>
      <c r="D13" s="68">
        <f>'[2]2025'!C13</f>
        <v>17264.669999999998</v>
      </c>
      <c r="E13" s="68">
        <f>'[2]2025'!D13</f>
        <v>17054.98</v>
      </c>
      <c r="F13" s="20">
        <f>'[2]2025'!E13</f>
        <v>1037</v>
      </c>
      <c r="G13" s="73">
        <f>'[2]2025'!F13</f>
        <v>17200</v>
      </c>
      <c r="H13" s="42">
        <f>'[2]2025'!G13</f>
        <v>14561.78</v>
      </c>
      <c r="I13" s="13">
        <f>'[2]2025'!H13</f>
        <v>14401.18</v>
      </c>
      <c r="J13" s="14">
        <f>'[2]2025'!I13</f>
        <v>788</v>
      </c>
      <c r="K13" s="15">
        <f>'[2]2025'!J13</f>
        <v>150.65</v>
      </c>
      <c r="L13" s="15">
        <f>'[2]2025'!K13</f>
        <v>160.30000000000001</v>
      </c>
      <c r="M13" s="15">
        <f>'[2]2025'!L13</f>
        <v>97.87</v>
      </c>
      <c r="N13" s="16">
        <f t="shared" si="0"/>
        <v>6.7959708857190868E-3</v>
      </c>
      <c r="O13" s="17">
        <f t="shared" si="1"/>
        <v>-0.15560264509251839</v>
      </c>
      <c r="P13" s="17">
        <f t="shared" si="2"/>
        <v>-0.24011571841851495</v>
      </c>
      <c r="Q13" s="18">
        <f t="shared" si="3"/>
        <v>95.593627613674073</v>
      </c>
      <c r="R13" s="18">
        <f t="shared" si="4"/>
        <v>89.838927011852775</v>
      </c>
      <c r="S13" s="34"/>
      <c r="T13" s="29" t="s">
        <v>8</v>
      </c>
      <c r="U13" s="1738"/>
    </row>
    <row r="14" spans="1:22">
      <c r="A14" s="10" t="s">
        <v>14</v>
      </c>
      <c r="B14" s="19">
        <v>46031</v>
      </c>
      <c r="C14" s="75">
        <f>IF(H14=0,"",'[2]2025-2026'!C13)</f>
        <v>17264.669999999998</v>
      </c>
      <c r="D14" s="68">
        <f>'[2]2025'!C14</f>
        <v>26948.38</v>
      </c>
      <c r="E14" s="68">
        <f>'[2]2025'!D14</f>
        <v>26581.4</v>
      </c>
      <c r="F14" s="20">
        <f>'[2]2025'!E14</f>
        <v>1462</v>
      </c>
      <c r="G14" s="73">
        <f>'[2]2025'!F14</f>
        <v>26800</v>
      </c>
      <c r="H14" s="42">
        <f>'[2]2025'!G14</f>
        <v>25183.73</v>
      </c>
      <c r="I14" s="13">
        <f>'[2]2025'!H14</f>
        <v>24922.66</v>
      </c>
      <c r="J14" s="14">
        <f>'[2]2025'!I14</f>
        <v>1317</v>
      </c>
      <c r="K14" s="15">
        <f>'[2]2025'!J14</f>
        <v>248.91</v>
      </c>
      <c r="L14" s="15">
        <f>'[2]2025'!K14</f>
        <v>258.24</v>
      </c>
      <c r="M14" s="15">
        <f>'[2]2025'!L14</f>
        <v>146.66</v>
      </c>
      <c r="N14" s="16">
        <f t="shared" si="0"/>
        <v>5.8846046128302517E-3</v>
      </c>
      <c r="O14" s="17">
        <f t="shared" si="1"/>
        <v>-6.2402281294439026E-2</v>
      </c>
      <c r="P14" s="17">
        <f t="shared" si="2"/>
        <v>-9.9179206566347475E-2</v>
      </c>
      <c r="Q14" s="18">
        <f t="shared" si="3"/>
        <v>100.12719456831786</v>
      </c>
      <c r="R14" s="18">
        <f t="shared" si="4"/>
        <v>96.50968091697645</v>
      </c>
      <c r="S14" s="36" t="s">
        <v>40</v>
      </c>
      <c r="T14" s="48">
        <f>SUM(I10:I16)/SUM(L10:L16)</f>
        <v>99.979945719944226</v>
      </c>
      <c r="U14" s="1738"/>
    </row>
    <row r="15" spans="1:22">
      <c r="A15" s="10" t="s">
        <v>15</v>
      </c>
      <c r="B15" s="19">
        <v>46032</v>
      </c>
      <c r="C15" s="75">
        <f>IF(H15=0,"",'[2]2025-2026'!C14)</f>
        <v>26948.38</v>
      </c>
      <c r="D15" s="68">
        <f>'[2]2025'!C15</f>
        <v>30596.63</v>
      </c>
      <c r="E15" s="68">
        <f>'[2]2025'!D15</f>
        <v>30123.19</v>
      </c>
      <c r="F15" s="20">
        <f>'[2]2025'!E15</f>
        <v>1609</v>
      </c>
      <c r="G15" s="73">
        <f>'[2]2025'!F15</f>
        <v>30400</v>
      </c>
      <c r="H15" s="42">
        <f>'[2]2025'!G15</f>
        <v>28987.31</v>
      </c>
      <c r="I15" s="13">
        <f>'[2]2025'!H15</f>
        <v>28589.06</v>
      </c>
      <c r="J15" s="14">
        <f>'[2]2025'!I15</f>
        <v>1405</v>
      </c>
      <c r="K15" s="15">
        <f>'[2]2025'!J15</f>
        <v>265.02999999999997</v>
      </c>
      <c r="L15" s="15">
        <f>'[2]2025'!K15</f>
        <v>274.77999999999997</v>
      </c>
      <c r="M15" s="15">
        <f>'[2]2025'!L15</f>
        <v>53.59</v>
      </c>
      <c r="N15" s="16">
        <f t="shared" si="0"/>
        <v>1.8744932502152921E-3</v>
      </c>
      <c r="O15" s="17">
        <f t="shared" si="1"/>
        <v>-5.0928537117084789E-2</v>
      </c>
      <c r="P15" s="17">
        <f t="shared" si="2"/>
        <v>-0.12678682411435674</v>
      </c>
      <c r="Q15" s="18">
        <f t="shared" si="3"/>
        <v>107.87103346790931</v>
      </c>
      <c r="R15" s="18">
        <f t="shared" si="4"/>
        <v>104.04345294417354</v>
      </c>
      <c r="S15" s="36">
        <f>SUM(J10:J16)</f>
        <v>7335</v>
      </c>
      <c r="T15" s="30" t="s">
        <v>3</v>
      </c>
      <c r="U15" s="1738"/>
    </row>
    <row r="16" spans="1:22" ht="18" thickBot="1">
      <c r="A16" s="10" t="s">
        <v>16</v>
      </c>
      <c r="B16" s="19">
        <v>46033</v>
      </c>
      <c r="C16" s="75">
        <f>IF(H16=0,"",'[2]2025-2026'!C15)</f>
        <v>30596.63</v>
      </c>
      <c r="D16" s="68">
        <f>'[2]2025'!C16</f>
        <v>25911.47</v>
      </c>
      <c r="E16" s="68">
        <f>'[2]2025'!D16</f>
        <v>25505.73</v>
      </c>
      <c r="F16" s="20">
        <f>'[2]2025'!E16</f>
        <v>1251</v>
      </c>
      <c r="G16" s="73">
        <f>'[2]2025'!F16</f>
        <v>25700</v>
      </c>
      <c r="H16" s="42">
        <f>'[2]2025'!G16</f>
        <v>24295.42</v>
      </c>
      <c r="I16" s="13">
        <f>'[2]2025'!H16</f>
        <v>23890.28</v>
      </c>
      <c r="J16" s="14">
        <f>'[2]2025'!I16</f>
        <v>1159</v>
      </c>
      <c r="K16" s="15">
        <f>'[2]2025'!J16</f>
        <v>201.81</v>
      </c>
      <c r="L16" s="15">
        <f>'[2]2025'!K16</f>
        <v>220.37</v>
      </c>
      <c r="M16" s="15">
        <f>'[2]2025'!L16</f>
        <v>110.52</v>
      </c>
      <c r="N16" s="16">
        <f t="shared" si="0"/>
        <v>4.6261492121482039E-3</v>
      </c>
      <c r="O16" s="17">
        <f t="shared" si="1"/>
        <v>-6.3336748252255506E-2</v>
      </c>
      <c r="P16" s="17">
        <f t="shared" si="2"/>
        <v>-7.3541167066346919E-2</v>
      </c>
      <c r="Q16" s="18">
        <f t="shared" si="3"/>
        <v>118.38006045290123</v>
      </c>
      <c r="R16" s="18">
        <f t="shared" si="4"/>
        <v>108.40985615101873</v>
      </c>
      <c r="S16" s="37">
        <f>(S15-SUM(F10:F16))/SUM(F10:F16)</f>
        <v>-0.13071817966342736</v>
      </c>
      <c r="T16" s="47">
        <f>SUM(M10:M16)/SUM(I10:I16)</f>
        <v>5.753519410406225E-3</v>
      </c>
      <c r="U16" s="1739"/>
    </row>
    <row r="17" spans="1:21" ht="17" customHeight="1" thickTop="1">
      <c r="A17" s="10" t="s">
        <v>9</v>
      </c>
      <c r="B17" s="19">
        <v>46034</v>
      </c>
      <c r="C17" s="75">
        <f>IF(H17=0,"",'[2]2025-2026'!C16)</f>
        <v>25911.47</v>
      </c>
      <c r="D17" s="68">
        <f>'[2]2025'!C17</f>
        <v>13199.37</v>
      </c>
      <c r="E17" s="68">
        <f>'[2]2025'!D17</f>
        <v>13060.23</v>
      </c>
      <c r="F17" s="20">
        <f>'[2]2025'!E17</f>
        <v>846</v>
      </c>
      <c r="G17" s="73">
        <f>'[2]2025'!F17</f>
        <v>13200</v>
      </c>
      <c r="H17" s="42">
        <f>'[2]2025'!G17</f>
        <v>12459.53</v>
      </c>
      <c r="I17" s="13">
        <f>'[2]2025'!H17</f>
        <v>12302.34</v>
      </c>
      <c r="J17" s="14">
        <f>'[2]2025'!I17</f>
        <v>747</v>
      </c>
      <c r="K17" s="15">
        <f>'[2]2025'!J17</f>
        <v>118.96</v>
      </c>
      <c r="L17" s="15">
        <f>'[2]2025'!K17</f>
        <v>127.33</v>
      </c>
      <c r="M17" s="15">
        <f>'[2]2025'!L17</f>
        <v>124.84</v>
      </c>
      <c r="N17" s="16">
        <f t="shared" si="0"/>
        <v>1.0147662964931876E-2</v>
      </c>
      <c r="O17" s="17">
        <f t="shared" si="1"/>
        <v>-5.8030371593762085E-2</v>
      </c>
      <c r="P17" s="17">
        <f t="shared" si="2"/>
        <v>-0.11702127659574468</v>
      </c>
      <c r="Q17" s="18">
        <f t="shared" si="3"/>
        <v>103.41577000672496</v>
      </c>
      <c r="R17" s="18">
        <f t="shared" si="4"/>
        <v>96.61776486295453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19">
        <v>46035</v>
      </c>
      <c r="C18" s="75">
        <f>IF(H18=0,"",'[2]2025-2026'!C17)</f>
        <v>13199.37</v>
      </c>
      <c r="D18" s="68">
        <f>'[2]2025'!C18</f>
        <v>14707.89</v>
      </c>
      <c r="E18" s="68">
        <f>'[2]2025'!D18</f>
        <v>14519.11</v>
      </c>
      <c r="F18" s="20">
        <f>'[2]2025'!E18</f>
        <v>903</v>
      </c>
      <c r="G18" s="73">
        <f>'[2]2025'!F18</f>
        <v>14600</v>
      </c>
      <c r="H18" s="42">
        <f>'[2]2025'!G18</f>
        <v>16074.3</v>
      </c>
      <c r="I18" s="13">
        <f>'[2]2025'!H18</f>
        <v>15884.71</v>
      </c>
      <c r="J18" s="14">
        <f>'[2]2025'!I18</f>
        <v>908</v>
      </c>
      <c r="K18" s="15">
        <f>'[2]2025'!J18</f>
        <v>132.16999999999999</v>
      </c>
      <c r="L18" s="15">
        <f>'[2]2025'!K18</f>
        <v>142.38999999999999</v>
      </c>
      <c r="M18" s="15">
        <f>'[2]2025'!L18</f>
        <v>86.34</v>
      </c>
      <c r="N18" s="16">
        <f t="shared" si="0"/>
        <v>5.4354155662898482E-3</v>
      </c>
      <c r="O18" s="17">
        <f t="shared" si="1"/>
        <v>9.4055351877628757E-2</v>
      </c>
      <c r="P18" s="17">
        <f t="shared" si="2"/>
        <v>5.5370985603543747E-3</v>
      </c>
      <c r="Q18" s="18">
        <f t="shared" si="3"/>
        <v>120.18392978739503</v>
      </c>
      <c r="R18" s="18">
        <f t="shared" si="4"/>
        <v>111.55776388791348</v>
      </c>
      <c r="S18" s="34">
        <f>SUM(I17:I23)</f>
        <v>142705.96</v>
      </c>
      <c r="T18" s="45" t="s">
        <v>41</v>
      </c>
      <c r="U18" s="1738"/>
    </row>
    <row r="19" spans="1:21">
      <c r="A19" s="10" t="s">
        <v>12</v>
      </c>
      <c r="B19" s="19">
        <v>46036</v>
      </c>
      <c r="C19" s="75">
        <f>IF(H19=0,"",'[2]2025-2026'!C18)</f>
        <v>14707.89</v>
      </c>
      <c r="D19" s="68">
        <f>'[2]2025'!C19</f>
        <v>19998.82</v>
      </c>
      <c r="E19" s="68">
        <f>'[2]2025'!D19</f>
        <v>19759.669999999998</v>
      </c>
      <c r="F19" s="20">
        <f>'[2]2025'!E19</f>
        <v>1187</v>
      </c>
      <c r="G19" s="73">
        <f>'[2]2025'!F19</f>
        <v>19900</v>
      </c>
      <c r="H19" s="42">
        <f>'[2]2025'!G19</f>
        <v>18153.47</v>
      </c>
      <c r="I19" s="13">
        <f>'[2]2025'!H19</f>
        <v>17905.810000000001</v>
      </c>
      <c r="J19" s="14">
        <f>'[2]2025'!I19</f>
        <v>1028</v>
      </c>
      <c r="K19" s="15">
        <f>'[2]2025'!J19</f>
        <v>231.03000000000003</v>
      </c>
      <c r="L19" s="15">
        <f>'[2]2025'!K19</f>
        <v>249.77</v>
      </c>
      <c r="M19" s="15">
        <f>'[2]2025'!L19</f>
        <v>173.31</v>
      </c>
      <c r="N19" s="16">
        <f t="shared" si="0"/>
        <v>9.6789812915472687E-3</v>
      </c>
      <c r="O19" s="17">
        <f t="shared" si="1"/>
        <v>-9.3820392749473902E-2</v>
      </c>
      <c r="P19" s="17">
        <f t="shared" si="2"/>
        <v>-0.13395113732097724</v>
      </c>
      <c r="Q19" s="18">
        <f t="shared" si="3"/>
        <v>77.504263515560751</v>
      </c>
      <c r="R19" s="18">
        <f t="shared" si="4"/>
        <v>71.689194058533857</v>
      </c>
      <c r="S19" s="35">
        <f>(S18-SUM(E17:E23))/SUM(E17:E23)</f>
        <v>-4.6244005773625148E-2</v>
      </c>
      <c r="T19" s="48">
        <f>SUM(I17:I23)/SUM(K17:K23)</f>
        <v>103.55945167306476</v>
      </c>
      <c r="U19" s="1738"/>
    </row>
    <row r="20" spans="1:21">
      <c r="A20" s="10" t="s">
        <v>13</v>
      </c>
      <c r="B20" s="19">
        <v>46037</v>
      </c>
      <c r="C20" s="75">
        <f>IF(H20=0,"",'[2]2025-2026'!C19)</f>
        <v>19998.82</v>
      </c>
      <c r="D20" s="68">
        <f>'[2]2025'!C20</f>
        <v>19661.060000000001</v>
      </c>
      <c r="E20" s="68">
        <f>'[2]2025'!D20</f>
        <v>19498.04</v>
      </c>
      <c r="F20" s="20">
        <f>'[2]2025'!E20</f>
        <v>1163</v>
      </c>
      <c r="G20" s="73">
        <f>'[2]2025'!F20</f>
        <v>19700</v>
      </c>
      <c r="H20" s="42">
        <f>'[2]2025'!G20</f>
        <v>17835.849999999999</v>
      </c>
      <c r="I20" s="13">
        <f>'[2]2025'!H20</f>
        <v>17654.27</v>
      </c>
      <c r="J20" s="14">
        <f>'[2]2025'!I20</f>
        <v>1017</v>
      </c>
      <c r="K20" s="15">
        <f>'[2]2025'!J20</f>
        <v>175.26</v>
      </c>
      <c r="L20" s="15">
        <f>'[2]2025'!K20</f>
        <v>195.04</v>
      </c>
      <c r="M20" s="15">
        <f>'[2]2025'!L20</f>
        <v>73.27</v>
      </c>
      <c r="N20" s="16">
        <f t="shared" si="0"/>
        <v>4.1502707277049685E-3</v>
      </c>
      <c r="O20" s="17">
        <f t="shared" si="1"/>
        <v>-9.4561812366781503E-2</v>
      </c>
      <c r="P20" s="17">
        <f t="shared" si="2"/>
        <v>-0.12553740326741186</v>
      </c>
      <c r="Q20" s="18">
        <f t="shared" si="3"/>
        <v>100.73188405797102</v>
      </c>
      <c r="R20" s="18">
        <f t="shared" si="4"/>
        <v>90.516150533223964</v>
      </c>
      <c r="S20" s="34"/>
      <c r="T20" s="29" t="s">
        <v>8</v>
      </c>
      <c r="U20" s="1738"/>
    </row>
    <row r="21" spans="1:21">
      <c r="A21" s="10" t="s">
        <v>14</v>
      </c>
      <c r="B21" s="19">
        <v>46038</v>
      </c>
      <c r="C21" s="75">
        <f>IF(H21=0,"",'[2]2025-2026'!C20)</f>
        <v>19661.060000000001</v>
      </c>
      <c r="D21" s="68">
        <f>'[2]2025'!C21</f>
        <v>27384.2</v>
      </c>
      <c r="E21" s="68">
        <f>'[2]2025'!D21</f>
        <v>27181.22</v>
      </c>
      <c r="F21" s="20">
        <f>'[2]2025'!E21</f>
        <v>1496</v>
      </c>
      <c r="G21" s="73">
        <f>'[2]2025'!F21</f>
        <v>27400</v>
      </c>
      <c r="H21" s="42">
        <f>'[2]2025'!G21</f>
        <v>26687.200000000001</v>
      </c>
      <c r="I21" s="13">
        <f>'[2]2025'!H21</f>
        <v>26320.01</v>
      </c>
      <c r="J21" s="14">
        <f>'[2]2025'!I21</f>
        <v>1391</v>
      </c>
      <c r="K21" s="15">
        <f>'[2]2025'!J21</f>
        <v>245.34</v>
      </c>
      <c r="L21" s="15">
        <f>'[2]2025'!K21</f>
        <v>263.89</v>
      </c>
      <c r="M21" s="15">
        <f>'[2]2025'!L21</f>
        <v>115.78</v>
      </c>
      <c r="N21" s="16">
        <f t="shared" si="0"/>
        <v>4.3989344988850689E-3</v>
      </c>
      <c r="O21" s="17">
        <f t="shared" si="1"/>
        <v>-3.1684008296905097E-2</v>
      </c>
      <c r="P21" s="17">
        <f t="shared" si="2"/>
        <v>-7.0187165775401072E-2</v>
      </c>
      <c r="Q21" s="18">
        <f t="shared" si="3"/>
        <v>107.27973424635199</v>
      </c>
      <c r="R21" s="18">
        <f t="shared" si="4"/>
        <v>99.738565311303958</v>
      </c>
      <c r="S21" s="36" t="s">
        <v>40</v>
      </c>
      <c r="T21" s="48">
        <f>SUM(I17:I23)/SUM(L17:L23)</f>
        <v>96.314267009523036</v>
      </c>
      <c r="U21" s="1738"/>
    </row>
    <row r="22" spans="1:21">
      <c r="A22" s="10" t="s">
        <v>15</v>
      </c>
      <c r="B22" s="19">
        <v>46039</v>
      </c>
      <c r="C22" s="75">
        <f>IF(H22=0,"",'[2]2025-2026'!C21)</f>
        <v>27384.2</v>
      </c>
      <c r="D22" s="68">
        <f>'[2]2025'!C22</f>
        <v>31699.71</v>
      </c>
      <c r="E22" s="68">
        <f>'[2]2025'!D22</f>
        <v>31403.78</v>
      </c>
      <c r="F22" s="20">
        <f>'[2]2025'!E22</f>
        <v>1712</v>
      </c>
      <c r="G22" s="73">
        <f>'[2]2025'!F22</f>
        <v>31700</v>
      </c>
      <c r="H22" s="42">
        <f>'[2]2025'!G22</f>
        <v>30558.35</v>
      </c>
      <c r="I22" s="13">
        <f>'[2]2025'!H22</f>
        <v>30120.91</v>
      </c>
      <c r="J22" s="14">
        <f>'[2]2025'!I22</f>
        <v>1514</v>
      </c>
      <c r="K22" s="15">
        <f>'[2]2025'!J22</f>
        <v>272.54000000000002</v>
      </c>
      <c r="L22" s="15">
        <f>'[2]2025'!K22</f>
        <v>291.01</v>
      </c>
      <c r="M22" s="15">
        <f>'[2]2025'!L22</f>
        <v>105.24</v>
      </c>
      <c r="N22" s="16">
        <f t="shared" si="0"/>
        <v>3.493918344432489E-3</v>
      </c>
      <c r="O22" s="17">
        <f t="shared" si="1"/>
        <v>-4.0850814774527115E-2</v>
      </c>
      <c r="P22" s="17">
        <f t="shared" si="2"/>
        <v>-0.11565420560747663</v>
      </c>
      <c r="Q22" s="18">
        <f t="shared" si="3"/>
        <v>110.51922653555441</v>
      </c>
      <c r="R22" s="18">
        <f t="shared" si="4"/>
        <v>103.50472492354216</v>
      </c>
      <c r="S22" s="36">
        <f>SUM(J17:J23)</f>
        <v>7692</v>
      </c>
      <c r="T22" s="30" t="s">
        <v>3</v>
      </c>
      <c r="U22" s="1738"/>
    </row>
    <row r="23" spans="1:21" ht="18" thickBot="1">
      <c r="A23" s="10" t="s">
        <v>16</v>
      </c>
      <c r="B23" s="19">
        <v>46040</v>
      </c>
      <c r="C23" s="75">
        <f>IF(H23=0,"",'[2]2025-2026'!C22)</f>
        <v>31699.71</v>
      </c>
      <c r="D23" s="68">
        <f>'[2]2025'!C23</f>
        <v>24524.720000000001</v>
      </c>
      <c r="E23" s="68">
        <f>'[2]2025'!D23</f>
        <v>24203.18</v>
      </c>
      <c r="F23" s="20">
        <f>'[2]2025'!E23</f>
        <v>1241</v>
      </c>
      <c r="G23" s="73">
        <f>'[2]2025'!F23</f>
        <v>24400</v>
      </c>
      <c r="H23" s="42">
        <f>'[2]2025'!G23</f>
        <v>22921.01</v>
      </c>
      <c r="I23" s="13">
        <f>'[2]2025'!H23</f>
        <v>22517.91</v>
      </c>
      <c r="J23" s="14">
        <f>'[2]2025'!I23</f>
        <v>1087</v>
      </c>
      <c r="K23" s="15">
        <f>'[2]2025'!J23</f>
        <v>202.71</v>
      </c>
      <c r="L23" s="15">
        <f>'[2]2025'!K23</f>
        <v>212.24</v>
      </c>
      <c r="M23" s="15">
        <f>'[2]2025'!L23</f>
        <v>170.58</v>
      </c>
      <c r="N23" s="16">
        <f t="shared" si="0"/>
        <v>7.5753033918334349E-3</v>
      </c>
      <c r="O23" s="17">
        <f t="shared" si="1"/>
        <v>-6.9630106457085408E-2</v>
      </c>
      <c r="P23" s="17">
        <f t="shared" si="2"/>
        <v>-0.12409347300564061</v>
      </c>
      <c r="Q23" s="18">
        <f t="shared" si="3"/>
        <v>111.08435696314932</v>
      </c>
      <c r="R23" s="18">
        <f t="shared" si="4"/>
        <v>106.09644741801733</v>
      </c>
      <c r="S23" s="37">
        <f>(S22-SUM(F17:F23))/SUM(F17:F23)</f>
        <v>-0.100140383715489</v>
      </c>
      <c r="T23" s="47">
        <f>SUM(M17:M23)/SUM(I17:I23)</f>
        <v>5.9518186906839772E-3</v>
      </c>
      <c r="U23" s="1739"/>
    </row>
    <row r="24" spans="1:21" ht="17" customHeight="1" thickTop="1">
      <c r="A24" s="10" t="s">
        <v>9</v>
      </c>
      <c r="B24" s="19">
        <v>46041</v>
      </c>
      <c r="C24" s="75">
        <f>IF(H24=0,"",'[2]2025-2026'!C23)</f>
        <v>24524.720000000001</v>
      </c>
      <c r="D24" s="68">
        <f>'[2]2025'!C24</f>
        <v>13091.36</v>
      </c>
      <c r="E24" s="68">
        <f>'[2]2025'!D24</f>
        <v>12935.95</v>
      </c>
      <c r="F24" s="20">
        <f>'[2]2025'!E24</f>
        <v>845</v>
      </c>
      <c r="G24" s="73">
        <f>'[2]2025'!F24</f>
        <v>13100</v>
      </c>
      <c r="H24" s="42">
        <f>'[2]2025'!G24</f>
        <v>13024.01</v>
      </c>
      <c r="I24" s="13">
        <f>'[2]2025'!H24</f>
        <v>12877.08</v>
      </c>
      <c r="J24" s="14">
        <f>'[2]2025'!I24</f>
        <v>792</v>
      </c>
      <c r="K24" s="15">
        <f>'[2]2025'!J24</f>
        <v>185.18</v>
      </c>
      <c r="L24" s="15">
        <f>'[2]2025'!K24</f>
        <v>194.46</v>
      </c>
      <c r="M24" s="15">
        <f>'[2]2025'!L24</f>
        <v>74.95</v>
      </c>
      <c r="N24" s="16">
        <f t="shared" si="0"/>
        <v>5.8204189148471554E-3</v>
      </c>
      <c r="O24" s="17">
        <f t="shared" si="1"/>
        <v>-4.5508833908604156E-3</v>
      </c>
      <c r="P24" s="17">
        <f t="shared" si="2"/>
        <v>-6.2721893491124267E-2</v>
      </c>
      <c r="Q24" s="18">
        <f t="shared" si="3"/>
        <v>69.538179069013935</v>
      </c>
      <c r="R24" s="18">
        <f t="shared" si="4"/>
        <v>66.21968528232027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19">
        <v>46042</v>
      </c>
      <c r="C25" s="75">
        <f>IF(H25=0,"",'[2]2025-2026'!C24)</f>
        <v>13091.36</v>
      </c>
      <c r="D25" s="68">
        <f>'[2]2025'!C25</f>
        <v>14961.4</v>
      </c>
      <c r="E25" s="68">
        <f>'[2]2025'!D25</f>
        <v>14776.38</v>
      </c>
      <c r="F25" s="20">
        <f>'[2]2025'!E25</f>
        <v>918</v>
      </c>
      <c r="G25" s="73">
        <f>'[2]2025'!F25</f>
        <v>14900</v>
      </c>
      <c r="H25" s="42">
        <f>'[2]2025'!G25</f>
        <v>13633.75</v>
      </c>
      <c r="I25" s="13">
        <f>'[2]2025'!H25</f>
        <v>13461.86</v>
      </c>
      <c r="J25" s="14">
        <f>'[2]2025'!I25</f>
        <v>823</v>
      </c>
      <c r="K25" s="15">
        <f>'[2]2025'!J25</f>
        <v>135.53</v>
      </c>
      <c r="L25" s="15">
        <f>'[2]2025'!K25</f>
        <v>153.6</v>
      </c>
      <c r="M25" s="15">
        <f>'[2]2025'!L25</f>
        <v>106.62</v>
      </c>
      <c r="N25" s="16">
        <f t="shared" si="0"/>
        <v>7.9201536786149915E-3</v>
      </c>
      <c r="O25" s="17">
        <f t="shared" si="1"/>
        <v>-8.8960895699758583E-2</v>
      </c>
      <c r="P25" s="17">
        <f t="shared" si="2"/>
        <v>-0.10348583877995643</v>
      </c>
      <c r="Q25" s="18">
        <f t="shared" si="3"/>
        <v>99.327528960377776</v>
      </c>
      <c r="R25" s="18">
        <f t="shared" si="4"/>
        <v>87.642317708333337</v>
      </c>
      <c r="S25" s="34">
        <f>SUM(I24:I30)</f>
        <v>135142.32</v>
      </c>
      <c r="T25" s="45" t="s">
        <v>41</v>
      </c>
      <c r="U25" s="1738"/>
    </row>
    <row r="26" spans="1:21">
      <c r="A26" s="10" t="s">
        <v>12</v>
      </c>
      <c r="B26" s="19">
        <v>46043</v>
      </c>
      <c r="C26" s="75">
        <f>IF(H26=0,"",'[2]2025-2026'!C25)</f>
        <v>14961.4</v>
      </c>
      <c r="D26" s="68">
        <f>'[2]2025'!C26</f>
        <v>19588.03</v>
      </c>
      <c r="E26" s="68">
        <f>'[2]2025'!D26</f>
        <v>19340.41</v>
      </c>
      <c r="F26" s="20">
        <f>'[2]2025'!E26</f>
        <v>1198</v>
      </c>
      <c r="G26" s="73">
        <f>'[2]2025'!F26</f>
        <v>19500</v>
      </c>
      <c r="H26" s="42">
        <f>'[2]2025'!G26</f>
        <v>17361.53</v>
      </c>
      <c r="I26" s="13">
        <f>'[2]2025'!H26</f>
        <v>17117.91</v>
      </c>
      <c r="J26" s="14">
        <f>'[2]2025'!I26</f>
        <v>989</v>
      </c>
      <c r="K26" s="15">
        <f>'[2]2025'!J26</f>
        <v>220.22</v>
      </c>
      <c r="L26" s="15">
        <f>'[2]2025'!K26</f>
        <v>237.5</v>
      </c>
      <c r="M26" s="15">
        <f>'[2]2025'!L26</f>
        <v>176.8</v>
      </c>
      <c r="N26" s="16">
        <f t="shared" si="0"/>
        <v>1.0328363684585326E-2</v>
      </c>
      <c r="O26" s="17">
        <f t="shared" si="1"/>
        <v>-0.11491483375998751</v>
      </c>
      <c r="P26" s="17">
        <f t="shared" si="2"/>
        <v>-0.17445742904841402</v>
      </c>
      <c r="Q26" s="18">
        <f t="shared" si="3"/>
        <v>77.730950867314505</v>
      </c>
      <c r="R26" s="18">
        <f t="shared" si="4"/>
        <v>72.075410526315792</v>
      </c>
      <c r="S26" s="35">
        <f>(S25-SUM(E24:E30))/SUM(E24:E30)</f>
        <v>-8.7796186089623404E-2</v>
      </c>
      <c r="T26" s="48">
        <f>SUM(I24:I30)/SUM(K24:K30)</f>
        <v>94.648746699537043</v>
      </c>
      <c r="U26" s="1738"/>
    </row>
    <row r="27" spans="1:21">
      <c r="A27" s="10" t="s">
        <v>13</v>
      </c>
      <c r="B27" s="19">
        <v>46044</v>
      </c>
      <c r="C27" s="75">
        <f>IF(H27=0,"",'[2]2025-2026'!C26)</f>
        <v>19588.03</v>
      </c>
      <c r="D27" s="68">
        <f>'[2]2025'!C27</f>
        <v>17182.349999999999</v>
      </c>
      <c r="E27" s="68">
        <f>'[2]2025'!D27</f>
        <v>17045.580000000002</v>
      </c>
      <c r="F27" s="20">
        <f>'[2]2025'!E27</f>
        <v>1034</v>
      </c>
      <c r="G27" s="73">
        <f>'[2]2025'!F27</f>
        <v>17200</v>
      </c>
      <c r="H27" s="42">
        <f>'[2]2025'!G27</f>
        <v>15922.56</v>
      </c>
      <c r="I27" s="13">
        <f>'[2]2025'!H27</f>
        <v>15763.96</v>
      </c>
      <c r="J27" s="14">
        <f>'[2]2025'!I27</f>
        <v>892</v>
      </c>
      <c r="K27" s="15">
        <f>'[2]2025'!J27</f>
        <v>175.96</v>
      </c>
      <c r="L27" s="15">
        <f>'[2]2025'!K27</f>
        <v>194.41</v>
      </c>
      <c r="M27" s="15">
        <f>'[2]2025'!L27</f>
        <v>77.510000000000005</v>
      </c>
      <c r="N27" s="16">
        <f t="shared" si="0"/>
        <v>4.9169117404510038E-3</v>
      </c>
      <c r="O27" s="17">
        <f t="shared" si="1"/>
        <v>-7.5187819950978646E-2</v>
      </c>
      <c r="P27" s="17">
        <f t="shared" si="2"/>
        <v>-0.13733075435203096</v>
      </c>
      <c r="Q27" s="18">
        <f t="shared" si="3"/>
        <v>89.588315526255954</v>
      </c>
      <c r="R27" s="18">
        <f t="shared" si="4"/>
        <v>81.086158119438295</v>
      </c>
      <c r="S27" s="34"/>
      <c r="T27" s="29" t="s">
        <v>8</v>
      </c>
      <c r="U27" s="1738"/>
    </row>
    <row r="28" spans="1:21">
      <c r="A28" s="10" t="s">
        <v>14</v>
      </c>
      <c r="B28" s="19">
        <v>46045</v>
      </c>
      <c r="C28" s="75">
        <f>IF(H28=0,"",'[2]2025-2026'!C27)</f>
        <v>17182.349999999999</v>
      </c>
      <c r="D28" s="68">
        <f>'[2]2025'!C28</f>
        <v>28146.5</v>
      </c>
      <c r="E28" s="68">
        <f>'[2]2025'!D28</f>
        <v>27860.85</v>
      </c>
      <c r="F28" s="20">
        <f>'[2]2025'!E28</f>
        <v>1550</v>
      </c>
      <c r="G28" s="73">
        <f>'[2]2025'!F28</f>
        <v>28100</v>
      </c>
      <c r="H28" s="42">
        <f>'[2]2025'!G28</f>
        <v>24513.599999999999</v>
      </c>
      <c r="I28" s="13">
        <f>'[2]2025'!H28</f>
        <v>24256.03</v>
      </c>
      <c r="J28" s="14">
        <f>'[2]2025'!I28</f>
        <v>1246</v>
      </c>
      <c r="K28" s="15">
        <f>'[2]2025'!J28</f>
        <v>205.69</v>
      </c>
      <c r="L28" s="15">
        <f>'[2]2025'!K28</f>
        <v>231.59</v>
      </c>
      <c r="M28" s="15">
        <f>'[2]2025'!L28</f>
        <v>117.32</v>
      </c>
      <c r="N28" s="16">
        <f t="shared" si="0"/>
        <v>4.836735442691982E-3</v>
      </c>
      <c r="O28" s="17">
        <f t="shared" si="1"/>
        <v>-0.12938657650430621</v>
      </c>
      <c r="P28" s="17">
        <f t="shared" si="2"/>
        <v>-0.19612903225806452</v>
      </c>
      <c r="Q28" s="18">
        <f t="shared" si="3"/>
        <v>117.92517866692596</v>
      </c>
      <c r="R28" s="18">
        <f t="shared" si="4"/>
        <v>104.73694891834707</v>
      </c>
      <c r="S28" s="36" t="s">
        <v>40</v>
      </c>
      <c r="T28" s="48">
        <f>SUM(I24:I30)/SUM(L24:L30)</f>
        <v>87.476985416437415</v>
      </c>
      <c r="U28" s="1738"/>
    </row>
    <row r="29" spans="1:21">
      <c r="A29" s="10" t="s">
        <v>15</v>
      </c>
      <c r="B29" s="19">
        <v>46046</v>
      </c>
      <c r="C29" s="75">
        <f>IF(H29=0,"",'[2]2025-2026'!C28)</f>
        <v>28146.5</v>
      </c>
      <c r="D29" s="68">
        <f>'[2]2025'!C29</f>
        <v>31098.39</v>
      </c>
      <c r="E29" s="68">
        <f>'[2]2025'!D29</f>
        <v>30792.81</v>
      </c>
      <c r="F29" s="20">
        <f>'[2]2025'!E29</f>
        <v>1650</v>
      </c>
      <c r="G29" s="73">
        <f>'[2]2025'!F29</f>
        <v>31100</v>
      </c>
      <c r="H29" s="42">
        <f>'[2]2025'!G29</f>
        <v>28946.23</v>
      </c>
      <c r="I29" s="13">
        <f>'[2]2025'!H29</f>
        <v>28615.5</v>
      </c>
      <c r="J29" s="14">
        <f>'[2]2025'!I29</f>
        <v>1410</v>
      </c>
      <c r="K29" s="15">
        <f>'[2]2025'!J29</f>
        <v>268.33000000000004</v>
      </c>
      <c r="L29" s="15">
        <f>'[2]2025'!K29</f>
        <v>287.36</v>
      </c>
      <c r="M29" s="15">
        <f>'[2]2025'!L29</f>
        <v>115.58</v>
      </c>
      <c r="N29" s="16">
        <f t="shared" si="0"/>
        <v>4.0390697349338648E-3</v>
      </c>
      <c r="O29" s="17">
        <f t="shared" si="1"/>
        <v>-7.0708389393498064E-2</v>
      </c>
      <c r="P29" s="17">
        <f t="shared" si="2"/>
        <v>-0.14545454545454545</v>
      </c>
      <c r="Q29" s="18">
        <f t="shared" si="3"/>
        <v>106.64293966384675</v>
      </c>
      <c r="R29" s="18">
        <f t="shared" si="4"/>
        <v>99.580665367483292</v>
      </c>
      <c r="S29" s="36">
        <f>SUM(J24:J30)</f>
        <v>7286</v>
      </c>
      <c r="T29" s="30" t="s">
        <v>3</v>
      </c>
      <c r="U29" s="1738"/>
    </row>
    <row r="30" spans="1:21" ht="18" thickBot="1">
      <c r="A30" s="10" t="s">
        <v>16</v>
      </c>
      <c r="B30" s="19">
        <v>46047</v>
      </c>
      <c r="C30" s="75">
        <f>IF(H30=0,"",'[2]2025-2026'!C29)</f>
        <v>31098.39</v>
      </c>
      <c r="D30" s="68">
        <f>'[2]2025'!C30</f>
        <v>25696.78</v>
      </c>
      <c r="E30" s="68">
        <f>'[2]2025'!D30</f>
        <v>25397.279999999999</v>
      </c>
      <c r="F30" s="20">
        <f>'[2]2025'!E30</f>
        <v>1320</v>
      </c>
      <c r="G30" s="73">
        <f>'[2]2025'!F30</f>
        <v>25600</v>
      </c>
      <c r="H30" s="42">
        <f>'[2]2025'!G30</f>
        <v>23326.28</v>
      </c>
      <c r="I30" s="13">
        <f>'[2]2025'!H30</f>
        <v>23049.98</v>
      </c>
      <c r="J30" s="14">
        <f>'[2]2025'!I30</f>
        <v>1134</v>
      </c>
      <c r="K30" s="15">
        <f>'[2]2025'!J30</f>
        <v>236.92</v>
      </c>
      <c r="L30" s="15">
        <f>'[2]2025'!K30</f>
        <v>245.97</v>
      </c>
      <c r="M30" s="15">
        <f>'[2]2025'!L30</f>
        <v>130.72999999999999</v>
      </c>
      <c r="N30" s="16">
        <f t="shared" si="0"/>
        <v>5.6715884352177308E-3</v>
      </c>
      <c r="O30" s="17">
        <f t="shared" si="1"/>
        <v>-9.2423283123232072E-2</v>
      </c>
      <c r="P30" s="17">
        <f t="shared" si="2"/>
        <v>-0.1409090909090909</v>
      </c>
      <c r="Q30" s="18">
        <f t="shared" si="3"/>
        <v>97.290140131690023</v>
      </c>
      <c r="R30" s="18">
        <f t="shared" si="4"/>
        <v>93.710533804935565</v>
      </c>
      <c r="S30" s="37">
        <f>(S29-SUM(F24:F30))/SUM(F24:F30)</f>
        <v>-0.14433352906635349</v>
      </c>
      <c r="T30" s="47">
        <f>SUM(M24:M30)/SUM(I24:I30)</f>
        <v>5.9160594549508994E-3</v>
      </c>
      <c r="U30" s="1739"/>
    </row>
    <row r="31" spans="1:21" ht="17" customHeight="1" thickTop="1">
      <c r="A31" s="10" t="s">
        <v>9</v>
      </c>
      <c r="B31" s="19">
        <v>46048</v>
      </c>
      <c r="C31" s="75">
        <f>IF(H31=0,"",'[2]2025-2026'!C30)</f>
        <v>25696.78</v>
      </c>
      <c r="D31" s="68">
        <f>'[2]2025'!C31</f>
        <v>13862.2</v>
      </c>
      <c r="E31" s="68">
        <f>'[2]2025'!D31</f>
        <v>13736.89</v>
      </c>
      <c r="F31" s="20">
        <f>'[2]2025'!E31</f>
        <v>877</v>
      </c>
      <c r="G31" s="73">
        <f>'[2]2025'!F31</f>
        <v>13900</v>
      </c>
      <c r="H31" s="42">
        <f>'[2]2025'!G31</f>
        <v>13199.75</v>
      </c>
      <c r="I31" s="13">
        <f>'[2]2025'!H31</f>
        <v>13060.9</v>
      </c>
      <c r="J31" s="14">
        <f>'[2]2025'!I31</f>
        <v>815</v>
      </c>
      <c r="K31" s="15">
        <f>'[2]2025'!J31</f>
        <v>171.92999999999998</v>
      </c>
      <c r="L31" s="15">
        <f>'[2]2025'!K31</f>
        <v>189.63</v>
      </c>
      <c r="M31" s="15">
        <f>'[2]2025'!L31</f>
        <v>182.88</v>
      </c>
      <c r="N31" s="16">
        <f t="shared" si="0"/>
        <v>1.4002097864618824E-2</v>
      </c>
      <c r="O31" s="17">
        <f t="shared" si="1"/>
        <v>-4.9209828425502408E-2</v>
      </c>
      <c r="P31" s="17">
        <f t="shared" si="2"/>
        <v>-7.0695553021664762E-2</v>
      </c>
      <c r="Q31" s="18">
        <f t="shared" si="3"/>
        <v>75.966381666957489</v>
      </c>
      <c r="R31" s="18">
        <f t="shared" si="4"/>
        <v>68.875705320888045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19">
        <v>46049</v>
      </c>
      <c r="C32" s="75">
        <f>IF(H32=0,"",'[2]2025-2026'!C31)</f>
        <v>13862.2</v>
      </c>
      <c r="D32" s="68">
        <f>'[2]2025'!C32</f>
        <v>14604.39</v>
      </c>
      <c r="E32" s="68">
        <f>'[2]2025'!D32</f>
        <v>14477.2</v>
      </c>
      <c r="F32" s="20">
        <f>'[2]2025'!E32</f>
        <v>949</v>
      </c>
      <c r="G32" s="73">
        <f>'[2]2025'!F32</f>
        <v>14600</v>
      </c>
      <c r="H32" s="42">
        <f>'[2]2025'!G32</f>
        <v>14185.83</v>
      </c>
      <c r="I32" s="13">
        <f>'[2]2025'!H32</f>
        <v>14008.87</v>
      </c>
      <c r="J32" s="14">
        <f>'[2]2025'!I32</f>
        <v>819</v>
      </c>
      <c r="K32" s="15">
        <f>'[2]2025'!J32</f>
        <v>165.57</v>
      </c>
      <c r="L32" s="15">
        <f>'[2]2025'!K32</f>
        <v>175.4</v>
      </c>
      <c r="M32" s="15">
        <f>'[2]2025'!L32</f>
        <v>130.91999999999999</v>
      </c>
      <c r="N32" s="16">
        <f t="shared" si="0"/>
        <v>9.3455075248753093E-3</v>
      </c>
      <c r="O32" s="17">
        <f t="shared" si="1"/>
        <v>-3.2349487469952747E-2</v>
      </c>
      <c r="P32" s="17">
        <f t="shared" si="2"/>
        <v>-0.13698630136986301</v>
      </c>
      <c r="Q32" s="18">
        <f t="shared" si="3"/>
        <v>84.60995349399046</v>
      </c>
      <c r="R32" s="18">
        <f t="shared" si="4"/>
        <v>79.868129988597488</v>
      </c>
      <c r="S32" s="34">
        <f>SUM(I31:I37)</f>
        <v>142367.47</v>
      </c>
      <c r="T32" s="45" t="s">
        <v>41</v>
      </c>
      <c r="U32" s="1738"/>
    </row>
    <row r="33" spans="1:21">
      <c r="A33" s="10" t="s">
        <v>12</v>
      </c>
      <c r="B33" s="19">
        <v>46050</v>
      </c>
      <c r="C33" s="75">
        <f>IF(H33=0,"",'[2]2025-2026'!C32)</f>
        <v>14604.39</v>
      </c>
      <c r="D33" s="68">
        <f>'[2]2025'!C33</f>
        <v>18462.43</v>
      </c>
      <c r="E33" s="68">
        <f>'[2]2025'!D33</f>
        <v>18237.16</v>
      </c>
      <c r="F33" s="20">
        <f>'[2]2025'!E33</f>
        <v>1120</v>
      </c>
      <c r="G33" s="73">
        <f>'[2]2025'!F33</f>
        <v>18400</v>
      </c>
      <c r="H33" s="42">
        <f>'[2]2025'!G33</f>
        <v>17025.93</v>
      </c>
      <c r="I33" s="13">
        <f>'[2]2025'!H33</f>
        <v>16747.71</v>
      </c>
      <c r="J33" s="14">
        <f>'[2]2025'!I33</f>
        <v>949</v>
      </c>
      <c r="K33" s="15">
        <f>'[2]2025'!J33</f>
        <v>210.32999999999998</v>
      </c>
      <c r="L33" s="15">
        <f>'[2]2025'!K33</f>
        <v>216.23</v>
      </c>
      <c r="M33" s="15">
        <f>'[2]2025'!L33</f>
        <v>97.07</v>
      </c>
      <c r="N33" s="16">
        <f t="shared" si="0"/>
        <v>5.7960162911824958E-3</v>
      </c>
      <c r="O33" s="17">
        <f t="shared" si="1"/>
        <v>-8.1671159325245851E-2</v>
      </c>
      <c r="P33" s="17">
        <f t="shared" si="2"/>
        <v>-0.15267857142857144</v>
      </c>
      <c r="Q33" s="18">
        <f t="shared" si="3"/>
        <v>79.625873627157333</v>
      </c>
      <c r="R33" s="18">
        <f t="shared" si="4"/>
        <v>77.45322110715442</v>
      </c>
      <c r="S33" s="35">
        <f>(S32-SUM(E31:E37))/SUM(E31:E37)</f>
        <v>-3.1053131315290063E-2</v>
      </c>
      <c r="T33" s="48">
        <f>SUM(I31:I37)/SUM(K31:K37)</f>
        <v>97.113534198732594</v>
      </c>
      <c r="U33" s="1738"/>
    </row>
    <row r="34" spans="1:21">
      <c r="A34" s="10" t="s">
        <v>13</v>
      </c>
      <c r="B34" s="19">
        <v>46051</v>
      </c>
      <c r="C34" s="75">
        <f>IF(H34=0,"",'[2]2025-2026'!C33)</f>
        <v>18462.43</v>
      </c>
      <c r="D34" s="68">
        <f>'[2]2025'!C34</f>
        <v>18065</v>
      </c>
      <c r="E34" s="68">
        <f>'[2]2025'!D34</f>
        <v>17910.47</v>
      </c>
      <c r="F34" s="20">
        <f>'[2]2025'!E34</f>
        <v>1063</v>
      </c>
      <c r="G34" s="73">
        <f>'[2]2025'!F34</f>
        <v>18100</v>
      </c>
      <c r="H34" s="42">
        <f>'[2]2025'!G34</f>
        <v>17482.07</v>
      </c>
      <c r="I34" s="13">
        <f>'[2]2025'!H34</f>
        <v>17273.060000000001</v>
      </c>
      <c r="J34" s="14">
        <f>'[2]2025'!I34</f>
        <v>983</v>
      </c>
      <c r="K34" s="15">
        <f>'[2]2025'!J34</f>
        <v>183.4</v>
      </c>
      <c r="L34" s="15">
        <f>'[2]2025'!K34</f>
        <v>201.38</v>
      </c>
      <c r="M34" s="15">
        <f>'[2]2025'!L34</f>
        <v>143.69</v>
      </c>
      <c r="N34" s="16">
        <f t="shared" si="0"/>
        <v>8.3187344917461051E-3</v>
      </c>
      <c r="O34" s="17">
        <f t="shared" si="1"/>
        <v>-3.5588680810721314E-2</v>
      </c>
      <c r="P34" s="17">
        <f t="shared" si="2"/>
        <v>-7.5258701787394161E-2</v>
      </c>
      <c r="Q34" s="18">
        <f t="shared" si="3"/>
        <v>94.182442748091603</v>
      </c>
      <c r="R34" s="18">
        <f t="shared" si="4"/>
        <v>85.773463104578411</v>
      </c>
      <c r="S34" s="34"/>
      <c r="T34" s="29" t="s">
        <v>8</v>
      </c>
      <c r="U34" s="1738"/>
    </row>
    <row r="35" spans="1:21">
      <c r="A35" s="10" t="s">
        <v>14</v>
      </c>
      <c r="B35" s="19">
        <v>46052</v>
      </c>
      <c r="C35" s="75">
        <f>IF(H35=0,"",'[2]2025-2026'!C34)</f>
        <v>18065</v>
      </c>
      <c r="D35" s="68">
        <f>'[2]2025'!C35</f>
        <v>26085.4</v>
      </c>
      <c r="E35" s="68">
        <f>'[2]2025'!D35</f>
        <v>25823.05</v>
      </c>
      <c r="F35" s="20">
        <f>'[2]2025'!E35</f>
        <v>1498</v>
      </c>
      <c r="G35" s="73">
        <f>'[2]2025'!F35</f>
        <v>26000</v>
      </c>
      <c r="H35" s="42">
        <f>'[2]2025'!G35</f>
        <v>25158.45</v>
      </c>
      <c r="I35" s="13">
        <f>'[2]2025'!H35</f>
        <v>24877.91</v>
      </c>
      <c r="J35" s="14">
        <f>'[2]2025'!I35</f>
        <v>1295</v>
      </c>
      <c r="K35" s="15">
        <f>'[2]2025'!J35</f>
        <v>219.35000000000002</v>
      </c>
      <c r="L35" s="15">
        <f>'[2]2025'!K35</f>
        <v>228.55</v>
      </c>
      <c r="M35" s="15">
        <f>'[2]2025'!L35</f>
        <v>83.27</v>
      </c>
      <c r="N35" s="16">
        <f t="shared" si="0"/>
        <v>3.3471461228053319E-3</v>
      </c>
      <c r="O35" s="17">
        <f t="shared" si="1"/>
        <v>-3.660063392976428E-2</v>
      </c>
      <c r="P35" s="17">
        <f t="shared" si="2"/>
        <v>-0.13551401869158877</v>
      </c>
      <c r="Q35" s="18">
        <f t="shared" si="3"/>
        <v>113.41650330521996</v>
      </c>
      <c r="R35" s="18">
        <f t="shared" si="4"/>
        <v>108.85106103697221</v>
      </c>
      <c r="S35" s="36" t="s">
        <v>40</v>
      </c>
      <c r="T35" s="48">
        <f>SUM(I31:I37)/SUM(L31:L37)</f>
        <v>92.149615524026515</v>
      </c>
      <c r="U35" s="1738"/>
    </row>
    <row r="36" spans="1:21">
      <c r="A36" s="10" t="s">
        <v>15</v>
      </c>
      <c r="B36" s="19">
        <v>46053</v>
      </c>
      <c r="C36" s="75">
        <f>IF(H36=0,"",'[2]2025-2026'!C35)</f>
        <v>26085.4</v>
      </c>
      <c r="D36" s="68">
        <f>'[2]2025'!C36</f>
        <v>31176.74</v>
      </c>
      <c r="E36" s="68">
        <f>'[2]2025'!D36</f>
        <v>30828.43</v>
      </c>
      <c r="F36" s="20">
        <f>'[2]2025'!E36</f>
        <v>1551</v>
      </c>
      <c r="G36" s="73">
        <f>'[2]2025'!F36</f>
        <v>31100</v>
      </c>
      <c r="H36" s="42">
        <f>'[2]2025'!G36</f>
        <v>32604.25</v>
      </c>
      <c r="I36" s="13">
        <f>'[2]2025'!H36</f>
        <v>32046.22</v>
      </c>
      <c r="J36" s="14">
        <f>'[2]2025'!I36</f>
        <v>1517</v>
      </c>
      <c r="K36" s="15">
        <f>'[2]2025'!J36</f>
        <v>281.47999999999996</v>
      </c>
      <c r="L36" s="15">
        <f>'[2]2025'!K36</f>
        <v>290.95999999999998</v>
      </c>
      <c r="M36" s="15">
        <f>'[2]2025'!L36</f>
        <v>356.02</v>
      </c>
      <c r="N36" s="16">
        <f t="shared" si="0"/>
        <v>1.1109578602406149E-2</v>
      </c>
      <c r="O36" s="17">
        <f t="shared" si="1"/>
        <v>3.9502173805153258E-2</v>
      </c>
      <c r="P36" s="17">
        <f t="shared" si="2"/>
        <v>-2.1921341070277239E-2</v>
      </c>
      <c r="Q36" s="18">
        <f t="shared" si="3"/>
        <v>113.84901236322298</v>
      </c>
      <c r="R36" s="18">
        <f t="shared" si="4"/>
        <v>110.13960681880673</v>
      </c>
      <c r="S36" s="36">
        <f>SUM(J31:J37)</f>
        <v>7525</v>
      </c>
      <c r="T36" s="30" t="s">
        <v>3</v>
      </c>
      <c r="U36" s="1738"/>
    </row>
    <row r="37" spans="1:21" ht="18" thickBot="1">
      <c r="A37" s="10" t="s">
        <v>16</v>
      </c>
      <c r="B37" s="19">
        <v>46054</v>
      </c>
      <c r="C37" s="75">
        <f>IF(H37=0,"",'[2]2025-2026'!C36)</f>
        <v>31176.74</v>
      </c>
      <c r="D37" s="68">
        <f>'[2]2025'!C37</f>
        <v>26252.720000000001</v>
      </c>
      <c r="E37" s="68">
        <f>'[2]2025'!D37</f>
        <v>25916.91</v>
      </c>
      <c r="F37" s="20">
        <f>'[2]2025'!E37</f>
        <v>1370</v>
      </c>
      <c r="G37" s="73">
        <f>'[2]2025'!F37</f>
        <v>26100</v>
      </c>
      <c r="H37" s="42">
        <f>'[2]2025'!G37</f>
        <v>24679.64</v>
      </c>
      <c r="I37" s="13">
        <f>'[2]2025'!H37</f>
        <v>24352.799999999999</v>
      </c>
      <c r="J37" s="14">
        <f>'[2]2025'!I37</f>
        <v>1147</v>
      </c>
      <c r="K37" s="15">
        <f>'[2]2025'!J37</f>
        <v>233.93</v>
      </c>
      <c r="L37" s="15">
        <f>'[2]2025'!K37</f>
        <v>242.81</v>
      </c>
      <c r="M37" s="15">
        <f>'[2]2025'!L37</f>
        <v>81.31</v>
      </c>
      <c r="N37" s="16">
        <f t="shared" si="0"/>
        <v>3.3388357806905162E-3</v>
      </c>
      <c r="O37" s="17">
        <f t="shared" si="1"/>
        <v>-6.0350944614925184E-2</v>
      </c>
      <c r="P37" s="17">
        <f t="shared" si="2"/>
        <v>-0.16277372262773723</v>
      </c>
      <c r="Q37" s="18">
        <f t="shared" si="3"/>
        <v>104.10293677595861</v>
      </c>
      <c r="R37" s="18">
        <f t="shared" si="4"/>
        <v>100.29570446027758</v>
      </c>
      <c r="S37" s="37">
        <f>(S36-SUM(F31:F37))/SUM(F31:F37)</f>
        <v>-0.10714285714285714</v>
      </c>
      <c r="T37" s="47">
        <f>SUM(M31:M37)/SUM(I31:I37)</f>
        <v>7.5520060867837286E-3</v>
      </c>
      <c r="U37" s="1739"/>
    </row>
    <row r="38" spans="1:21" ht="17" customHeight="1" thickTop="1">
      <c r="A38" s="10" t="s">
        <v>9</v>
      </c>
      <c r="B38" s="19">
        <v>46055</v>
      </c>
      <c r="C38" s="75">
        <f>IF(H38=0,"",'[2]2025-2026'!C37)</f>
        <v>26252.720000000001</v>
      </c>
      <c r="D38" s="68">
        <f>'[2]2025'!C38</f>
        <v>15051.93</v>
      </c>
      <c r="E38" s="68">
        <f>'[2]2025'!D38</f>
        <v>14866.75</v>
      </c>
      <c r="F38" s="20">
        <f>'[2]2025'!E38</f>
        <v>946</v>
      </c>
      <c r="G38" s="73">
        <f>'[2]2025'!F38</f>
        <v>15000</v>
      </c>
      <c r="H38" s="42">
        <f>'[2]2025'!G38</f>
        <v>13315.67</v>
      </c>
      <c r="I38" s="13">
        <f>'[2]2025'!H38</f>
        <v>13214.7</v>
      </c>
      <c r="J38" s="14">
        <f>'[2]2025'!I38</f>
        <v>808</v>
      </c>
      <c r="K38" s="15">
        <f>'[2]2025'!J38</f>
        <v>155.70000000000002</v>
      </c>
      <c r="L38" s="15">
        <f>'[2]2025'!K38</f>
        <v>174.02</v>
      </c>
      <c r="M38" s="15">
        <f>'[2]2025'!L38</f>
        <v>137.76</v>
      </c>
      <c r="N38" s="16">
        <f t="shared" si="0"/>
        <v>1.0424754250947807E-2</v>
      </c>
      <c r="O38" s="17">
        <f t="shared" si="1"/>
        <v>-0.11112381657053487</v>
      </c>
      <c r="P38" s="17">
        <f t="shared" si="2"/>
        <v>-0.14587737843551796</v>
      </c>
      <c r="Q38" s="18">
        <f t="shared" si="3"/>
        <v>84.872832369942188</v>
      </c>
      <c r="R38" s="18">
        <f t="shared" si="4"/>
        <v>75.937823238708191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19">
        <v>46056</v>
      </c>
      <c r="C39" s="75">
        <f>IF(H39=0,"",'[2]2025-2026'!C38)</f>
        <v>15051.93</v>
      </c>
      <c r="D39" s="68">
        <f>'[2]2025'!C39</f>
        <v>15949.5</v>
      </c>
      <c r="E39" s="68">
        <f>'[2]2025'!D39</f>
        <v>15778.46</v>
      </c>
      <c r="F39" s="20">
        <f>'[2]2025'!E39</f>
        <v>980</v>
      </c>
      <c r="G39" s="73">
        <f>'[2]2025'!F39</f>
        <v>15900</v>
      </c>
      <c r="H39" s="42">
        <f>'[2]2025'!G39</f>
        <v>15351.35</v>
      </c>
      <c r="I39" s="13">
        <f>'[2]2025'!H39</f>
        <v>15171.34</v>
      </c>
      <c r="J39" s="14">
        <f>'[2]2025'!I39</f>
        <v>899</v>
      </c>
      <c r="K39" s="15">
        <f>'[2]2025'!J39</f>
        <v>125.7</v>
      </c>
      <c r="L39" s="15">
        <f>'[2]2025'!K39</f>
        <v>144.13999999999999</v>
      </c>
      <c r="M39" s="15">
        <f>'[2]2025'!L39</f>
        <v>105.11</v>
      </c>
      <c r="N39" s="16">
        <f t="shared" si="0"/>
        <v>6.9281948727007636E-3</v>
      </c>
      <c r="O39" s="17">
        <f t="shared" si="1"/>
        <v>-3.8477772862497289E-2</v>
      </c>
      <c r="P39" s="17">
        <f t="shared" si="2"/>
        <v>-8.2653061224489802E-2</v>
      </c>
      <c r="Q39" s="18">
        <f t="shared" si="3"/>
        <v>120.69482895783612</v>
      </c>
      <c r="R39" s="18">
        <f t="shared" si="4"/>
        <v>105.25419730817262</v>
      </c>
      <c r="S39" s="34">
        <f>SUM(I38:I44)</f>
        <v>150246.47</v>
      </c>
      <c r="T39" s="45" t="s">
        <v>41</v>
      </c>
      <c r="U39" s="1738"/>
    </row>
    <row r="40" spans="1:21">
      <c r="A40" s="10" t="s">
        <v>12</v>
      </c>
      <c r="B40" s="19">
        <v>46057</v>
      </c>
      <c r="C40" s="75">
        <f>IF(H40=0,"",'[2]2025-2026'!C39)</f>
        <v>15949.5</v>
      </c>
      <c r="D40" s="68">
        <f>'[2]2025'!C40</f>
        <v>20514.25</v>
      </c>
      <c r="E40" s="68">
        <f>'[2]2025'!D40</f>
        <v>20274.650000000001</v>
      </c>
      <c r="F40" s="20">
        <f>'[2]2025'!E40</f>
        <v>1212</v>
      </c>
      <c r="G40" s="73">
        <f>'[2]2025'!F40</f>
        <v>20500</v>
      </c>
      <c r="H40" s="42">
        <f>'[2]2025'!G40</f>
        <v>18464.27</v>
      </c>
      <c r="I40" s="13">
        <f>'[2]2025'!H40</f>
        <v>18194.3</v>
      </c>
      <c r="J40" s="14">
        <f>'[2]2025'!I40</f>
        <v>1071</v>
      </c>
      <c r="K40" s="15">
        <f>'[2]2025'!J40</f>
        <v>204.06</v>
      </c>
      <c r="L40" s="15">
        <f>'[2]2025'!K40</f>
        <v>221.98</v>
      </c>
      <c r="M40" s="15">
        <f>'[2]2025'!L40</f>
        <v>154.41999999999999</v>
      </c>
      <c r="N40" s="16">
        <f t="shared" si="0"/>
        <v>8.4872734867513441E-3</v>
      </c>
      <c r="O40" s="17">
        <f t="shared" si="1"/>
        <v>-0.10260842973861457</v>
      </c>
      <c r="P40" s="17">
        <f t="shared" si="2"/>
        <v>-0.11633663366336634</v>
      </c>
      <c r="Q40" s="18">
        <f t="shared" si="3"/>
        <v>89.161521121238849</v>
      </c>
      <c r="R40" s="18">
        <f t="shared" si="4"/>
        <v>81.963690422560589</v>
      </c>
      <c r="S40" s="35">
        <f>(S39-SUM(E38:E44))/SUM(E38:E44)</f>
        <v>-2.7797177355508639E-2</v>
      </c>
      <c r="T40" s="48">
        <f>SUM(I38:I44)/SUM(K38:K44)</f>
        <v>106.92557378215848</v>
      </c>
      <c r="U40" s="1738"/>
    </row>
    <row r="41" spans="1:21">
      <c r="A41" s="10" t="s">
        <v>13</v>
      </c>
      <c r="B41" s="19">
        <v>46058</v>
      </c>
      <c r="C41" s="75">
        <f>IF(H41=0,"",'[2]2025-2026'!C40)</f>
        <v>20514.25</v>
      </c>
      <c r="D41" s="68">
        <f>'[2]2025'!C41</f>
        <v>18069.7</v>
      </c>
      <c r="E41" s="68">
        <f>'[2]2025'!D41</f>
        <v>17880.03</v>
      </c>
      <c r="F41" s="20">
        <f>'[2]2025'!E41</f>
        <v>1103</v>
      </c>
      <c r="G41" s="73">
        <f>'[2]2025'!F41</f>
        <v>18000</v>
      </c>
      <c r="H41" s="42">
        <f>'[2]2025'!G41</f>
        <v>18598.78</v>
      </c>
      <c r="I41" s="13">
        <f>'[2]2025'!H41</f>
        <v>18450.86</v>
      </c>
      <c r="J41" s="14">
        <f>'[2]2025'!I41</f>
        <v>1044</v>
      </c>
      <c r="K41" s="15">
        <f>'[2]2025'!J41</f>
        <v>164.33</v>
      </c>
      <c r="L41" s="15">
        <f>'[2]2025'!K41</f>
        <v>182.83</v>
      </c>
      <c r="M41" s="15">
        <f>'[2]2025'!L41</f>
        <v>78.22</v>
      </c>
      <c r="N41" s="16">
        <f t="shared" si="0"/>
        <v>4.2393687882299252E-3</v>
      </c>
      <c r="O41" s="17">
        <f t="shared" si="1"/>
        <v>3.1925561646149465E-2</v>
      </c>
      <c r="P41" s="17">
        <f t="shared" si="2"/>
        <v>-5.3490480507706259E-2</v>
      </c>
      <c r="Q41" s="18">
        <f t="shared" si="3"/>
        <v>112.27931601046674</v>
      </c>
      <c r="R41" s="18">
        <f t="shared" si="4"/>
        <v>100.91812065853524</v>
      </c>
      <c r="S41" s="34"/>
      <c r="T41" s="29" t="s">
        <v>8</v>
      </c>
      <c r="U41" s="1738"/>
    </row>
    <row r="42" spans="1:21">
      <c r="A42" s="10" t="s">
        <v>14</v>
      </c>
      <c r="B42" s="19">
        <v>46059</v>
      </c>
      <c r="C42" s="75">
        <f>IF(H42=0,"",'[2]2025-2026'!C41)</f>
        <v>18069.7</v>
      </c>
      <c r="D42" s="68">
        <f>'[2]2025'!C42</f>
        <v>29398.54</v>
      </c>
      <c r="E42" s="68">
        <f>'[2]2025'!D42</f>
        <v>29109.53</v>
      </c>
      <c r="F42" s="20">
        <f>'[2]2025'!E42</f>
        <v>1577</v>
      </c>
      <c r="G42" s="73">
        <f>'[2]2025'!F42</f>
        <v>29400</v>
      </c>
      <c r="H42" s="42">
        <f>'[2]2025'!G42</f>
        <v>28945.05</v>
      </c>
      <c r="I42" s="13">
        <f>'[2]2025'!H42</f>
        <v>28568.49</v>
      </c>
      <c r="J42" s="14">
        <f>'[2]2025'!I42</f>
        <v>1478</v>
      </c>
      <c r="K42" s="15">
        <f>'[2]2025'!J42</f>
        <v>281.44</v>
      </c>
      <c r="L42" s="15">
        <f>'[2]2025'!K42</f>
        <v>298.11</v>
      </c>
      <c r="M42" s="15">
        <f>'[2]2025'!L42</f>
        <v>106.93</v>
      </c>
      <c r="N42" s="16">
        <f t="shared" si="0"/>
        <v>3.7429349608607246E-3</v>
      </c>
      <c r="O42" s="17">
        <f t="shared" si="1"/>
        <v>-1.858635299161468E-2</v>
      </c>
      <c r="P42" s="17">
        <f t="shared" si="2"/>
        <v>-6.2777425491439443E-2</v>
      </c>
      <c r="Q42" s="18">
        <f t="shared" si="3"/>
        <v>101.50827885162025</v>
      </c>
      <c r="R42" s="18">
        <f t="shared" si="4"/>
        <v>95.83204186374158</v>
      </c>
      <c r="S42" s="36" t="s">
        <v>40</v>
      </c>
      <c r="T42" s="48">
        <f>SUM(I38:I44)/SUM(L38:L44)</f>
        <v>98.031155392003356</v>
      </c>
      <c r="U42" s="1738"/>
    </row>
    <row r="43" spans="1:21">
      <c r="A43" s="10" t="s">
        <v>15</v>
      </c>
      <c r="B43" s="19">
        <v>46060</v>
      </c>
      <c r="C43" s="75">
        <f>IF(H43=0,"",'[2]2025-2026'!C42)</f>
        <v>29398.54</v>
      </c>
      <c r="D43" s="68">
        <f>'[2]2025'!C43</f>
        <v>32194.9</v>
      </c>
      <c r="E43" s="68">
        <f>'[2]2025'!D43</f>
        <v>31853.18</v>
      </c>
      <c r="F43" s="20">
        <f>'[2]2025'!E43</f>
        <v>1647</v>
      </c>
      <c r="G43" s="73">
        <f>'[2]2025'!F43</f>
        <v>32100</v>
      </c>
      <c r="H43" s="42">
        <f>'[2]2025'!G43</f>
        <v>30509.83</v>
      </c>
      <c r="I43" s="13">
        <f>'[2]2025'!H43</f>
        <v>30154.18</v>
      </c>
      <c r="J43" s="14">
        <f>'[2]2025'!I43</f>
        <v>1508</v>
      </c>
      <c r="K43" s="15">
        <f>'[2]2025'!J43</f>
        <v>273.02</v>
      </c>
      <c r="L43" s="15">
        <f>'[2]2025'!K43</f>
        <v>291.75</v>
      </c>
      <c r="M43" s="15">
        <f>'[2]2025'!L43</f>
        <v>95.41</v>
      </c>
      <c r="N43" s="16">
        <f t="shared" si="0"/>
        <v>3.1640721120587594E-3</v>
      </c>
      <c r="O43" s="17">
        <f t="shared" si="1"/>
        <v>-5.3338473584113109E-2</v>
      </c>
      <c r="P43" s="17">
        <f t="shared" si="2"/>
        <v>-8.4395871281117182E-2</v>
      </c>
      <c r="Q43" s="18">
        <f t="shared" si="3"/>
        <v>110.44678045564429</v>
      </c>
      <c r="R43" s="18">
        <f t="shared" si="4"/>
        <v>103.35622964867181</v>
      </c>
      <c r="S43" s="36">
        <f>SUM(J38:J44)</f>
        <v>8123</v>
      </c>
      <c r="T43" s="30" t="s">
        <v>3</v>
      </c>
      <c r="U43" s="1738"/>
    </row>
    <row r="44" spans="1:21" ht="18" thickBot="1">
      <c r="A44" s="10" t="s">
        <v>16</v>
      </c>
      <c r="B44" s="19">
        <v>46061</v>
      </c>
      <c r="C44" s="75">
        <f>IF(H44=0,"",'[2]2025-2026'!C43)</f>
        <v>32194.9</v>
      </c>
      <c r="D44" s="68">
        <f>'[2]2025'!C44</f>
        <v>25075.46</v>
      </c>
      <c r="E44" s="68">
        <f>'[2]2025'!D44</f>
        <v>24779.71</v>
      </c>
      <c r="F44" s="20">
        <f>'[2]2025'!E44</f>
        <v>1269</v>
      </c>
      <c r="G44" s="73">
        <f>'[2]2025'!F44</f>
        <v>25000</v>
      </c>
      <c r="H44" s="42">
        <f>'[2]2025'!G44</f>
        <v>26941.47</v>
      </c>
      <c r="I44" s="13">
        <f>'[2]2025'!H44</f>
        <v>26492.6</v>
      </c>
      <c r="J44" s="14">
        <f>'[2]2025'!I44</f>
        <v>1315</v>
      </c>
      <c r="K44" s="15">
        <f>'[2]2025'!J44</f>
        <v>200.9</v>
      </c>
      <c r="L44" s="15">
        <f>'[2]2025'!K44</f>
        <v>219.81</v>
      </c>
      <c r="M44" s="15">
        <f>'[2]2025'!L44</f>
        <v>243.93</v>
      </c>
      <c r="N44" s="16">
        <f t="shared" si="0"/>
        <v>9.207476804843618E-3</v>
      </c>
      <c r="O44" s="17">
        <f t="shared" si="1"/>
        <v>6.9124699199465997E-2</v>
      </c>
      <c r="P44" s="17">
        <f t="shared" si="2"/>
        <v>3.6249014972419225E-2</v>
      </c>
      <c r="Q44" s="18">
        <f t="shared" si="3"/>
        <v>131.86958685913388</v>
      </c>
      <c r="R44" s="18">
        <f t="shared" si="4"/>
        <v>120.5249988626541</v>
      </c>
      <c r="S44" s="37">
        <f>(S43-SUM(F38:F44))/SUM(F38:F44)</f>
        <v>-6.9956491870849555E-2</v>
      </c>
      <c r="T44" s="47">
        <f>SUM(M38:M44)/SUM(I38:I44)</f>
        <v>6.1351191811694471E-3</v>
      </c>
      <c r="U44" s="1739"/>
    </row>
    <row r="45" spans="1:21" ht="17" customHeight="1" thickTop="1">
      <c r="A45" s="10" t="s">
        <v>9</v>
      </c>
      <c r="B45" s="19">
        <v>46062</v>
      </c>
      <c r="C45" s="75">
        <f>IF(H45=0,"",'[2]2025-2026'!C44)</f>
        <v>25075.46</v>
      </c>
      <c r="D45" s="68">
        <f>'[2]2025'!C45</f>
        <v>14088.47</v>
      </c>
      <c r="E45" s="68">
        <f>'[2]2025'!D45</f>
        <v>13945.49</v>
      </c>
      <c r="F45" s="20">
        <f>'[2]2025'!E45</f>
        <v>877</v>
      </c>
      <c r="G45" s="73">
        <f>'[2]2025'!F45</f>
        <v>14100</v>
      </c>
      <c r="H45" s="42">
        <f>'[2]2025'!G45</f>
        <v>15462.78</v>
      </c>
      <c r="I45" s="13">
        <f>'[2]2025'!H45</f>
        <v>15218.89</v>
      </c>
      <c r="J45" s="14">
        <f>'[2]2025'!I45</f>
        <v>874</v>
      </c>
      <c r="K45" s="15">
        <f>'[2]2025'!J45</f>
        <v>166.57</v>
      </c>
      <c r="L45" s="15">
        <f>'[2]2025'!K45</f>
        <v>184.09</v>
      </c>
      <c r="M45" s="15">
        <f>'[2]2025'!L45</f>
        <v>90.1</v>
      </c>
      <c r="N45" s="16">
        <f t="shared" si="0"/>
        <v>5.9202740804355641E-3</v>
      </c>
      <c r="O45" s="17">
        <f t="shared" si="1"/>
        <v>9.1312675280682112E-2</v>
      </c>
      <c r="P45" s="17">
        <f t="shared" si="2"/>
        <v>-3.4207525655644243E-3</v>
      </c>
      <c r="Q45" s="18">
        <f t="shared" si="3"/>
        <v>91.366332472834245</v>
      </c>
      <c r="R45" s="18">
        <f t="shared" si="4"/>
        <v>82.670921831712747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19">
        <v>46063</v>
      </c>
      <c r="C46" s="75">
        <f>IF(H46=0,"",'[2]2025-2026'!C45)</f>
        <v>14088.47</v>
      </c>
      <c r="D46" s="68">
        <f>'[2]2025'!C46</f>
        <v>15600.78</v>
      </c>
      <c r="E46" s="68">
        <f>'[2]2025'!D46</f>
        <v>15414.87</v>
      </c>
      <c r="F46" s="20">
        <f>'[2]2025'!E46</f>
        <v>958</v>
      </c>
      <c r="G46" s="73">
        <f>'[2]2025'!F46</f>
        <v>15500</v>
      </c>
      <c r="H46" s="42">
        <f>'[2]2025'!G46</f>
        <v>18006.599999999999</v>
      </c>
      <c r="I46" s="13">
        <f>'[2]2025'!H46</f>
        <v>17680.490000000002</v>
      </c>
      <c r="J46" s="14">
        <f>'[2]2025'!I46</f>
        <v>1027</v>
      </c>
      <c r="K46" s="15">
        <f>'[2]2025'!J46</f>
        <v>134.66</v>
      </c>
      <c r="L46" s="15">
        <f>'[2]2025'!K46</f>
        <v>152.16</v>
      </c>
      <c r="M46" s="15">
        <f>'[2]2025'!L46</f>
        <v>108.01</v>
      </c>
      <c r="N46" s="16">
        <f t="shared" si="0"/>
        <v>6.1089935855850146E-3</v>
      </c>
      <c r="O46" s="17">
        <f t="shared" si="1"/>
        <v>0.14697626382836837</v>
      </c>
      <c r="P46" s="17">
        <f t="shared" si="2"/>
        <v>7.2025052192066799E-2</v>
      </c>
      <c r="Q46" s="18">
        <f t="shared" si="3"/>
        <v>131.29726719144514</v>
      </c>
      <c r="R46" s="18">
        <f t="shared" si="4"/>
        <v>116.19670084121978</v>
      </c>
      <c r="S46" s="34">
        <f>SUM(I45:I51)</f>
        <v>161086.87000000002</v>
      </c>
      <c r="T46" s="45" t="s">
        <v>41</v>
      </c>
      <c r="U46" s="1738"/>
    </row>
    <row r="47" spans="1:21">
      <c r="A47" s="10" t="s">
        <v>12</v>
      </c>
      <c r="B47" s="19">
        <v>46064</v>
      </c>
      <c r="C47" s="75">
        <f>IF(H47=0,"",'[2]2025-2026'!C46)</f>
        <v>15600.78</v>
      </c>
      <c r="D47" s="68">
        <f>'[2]2025'!C47</f>
        <v>17958.150000000001</v>
      </c>
      <c r="E47" s="68">
        <f>'[2]2025'!D47</f>
        <v>17720.39</v>
      </c>
      <c r="F47" s="20">
        <f>'[2]2025'!E47</f>
        <v>1068</v>
      </c>
      <c r="G47" s="73">
        <f>'[2]2025'!F47</f>
        <v>17900</v>
      </c>
      <c r="H47" s="42">
        <f>'[2]2025'!G47</f>
        <v>18736.27</v>
      </c>
      <c r="I47" s="13">
        <f>'[2]2025'!H47</f>
        <v>18527.5</v>
      </c>
      <c r="J47" s="14">
        <f>'[2]2025'!I47</f>
        <v>1048</v>
      </c>
      <c r="K47" s="15">
        <f>'[2]2025'!J47</f>
        <v>173.26</v>
      </c>
      <c r="L47" s="15">
        <f>'[2]2025'!K47</f>
        <v>191.76</v>
      </c>
      <c r="M47" s="15">
        <f>'[2]2025'!L47</f>
        <v>126.39</v>
      </c>
      <c r="N47" s="16">
        <f t="shared" si="0"/>
        <v>6.8217514505464847E-3</v>
      </c>
      <c r="O47" s="17">
        <f t="shared" si="1"/>
        <v>4.5546965952780981E-2</v>
      </c>
      <c r="P47" s="17">
        <f t="shared" si="2"/>
        <v>-1.8726591760299626E-2</v>
      </c>
      <c r="Q47" s="18">
        <f t="shared" si="3"/>
        <v>106.93466466582016</v>
      </c>
      <c r="R47" s="18">
        <f t="shared" si="4"/>
        <v>96.618168544013358</v>
      </c>
      <c r="S47" s="35">
        <f>(S46-SUM(E45:E51))/SUM(E45:E51)</f>
        <v>8.3293645194901858E-2</v>
      </c>
      <c r="T47" s="48">
        <f>SUM(I45:I51)/SUM(K45:K51)</f>
        <v>115.44632132670176</v>
      </c>
      <c r="U47" s="1738"/>
    </row>
    <row r="48" spans="1:21">
      <c r="A48" s="10" t="s">
        <v>13</v>
      </c>
      <c r="B48" s="19">
        <v>46065</v>
      </c>
      <c r="C48" s="75">
        <f>IF(H48=0,"",'[2]2025-2026'!C47)</f>
        <v>17958.150000000001</v>
      </c>
      <c r="D48" s="68">
        <f>'[2]2025'!C48</f>
        <v>18166.86</v>
      </c>
      <c r="E48" s="68">
        <f>'[2]2025'!D48</f>
        <v>18000.23</v>
      </c>
      <c r="F48" s="20">
        <f>'[2]2025'!E48</f>
        <v>1093</v>
      </c>
      <c r="G48" s="73">
        <f>'[2]2025'!F48</f>
        <v>18200</v>
      </c>
      <c r="H48" s="42">
        <f>'[2]2025'!G48</f>
        <v>20924.38</v>
      </c>
      <c r="I48" s="13">
        <f>'[2]2025'!H48</f>
        <v>20632.86</v>
      </c>
      <c r="J48" s="14">
        <f>'[2]2025'!I48</f>
        <v>1153</v>
      </c>
      <c r="K48" s="15">
        <f>'[2]2025'!J48</f>
        <v>190.58999999999997</v>
      </c>
      <c r="L48" s="15">
        <f>'[2]2025'!K48</f>
        <v>207.89</v>
      </c>
      <c r="M48" s="15">
        <f>'[2]2025'!L48</f>
        <v>107.32</v>
      </c>
      <c r="N48" s="16">
        <f t="shared" si="0"/>
        <v>5.201411728669704E-3</v>
      </c>
      <c r="O48" s="17">
        <f t="shared" si="1"/>
        <v>0.14625535340381768</v>
      </c>
      <c r="P48" s="17">
        <f t="shared" si="2"/>
        <v>5.4894784995425432E-2</v>
      </c>
      <c r="Q48" s="18">
        <f t="shared" si="3"/>
        <v>108.25783094600978</v>
      </c>
      <c r="R48" s="18">
        <f t="shared" si="4"/>
        <v>99.248929722449375</v>
      </c>
      <c r="S48" s="34"/>
      <c r="T48" s="29" t="s">
        <v>8</v>
      </c>
      <c r="U48" s="1738"/>
    </row>
    <row r="49" spans="1:21">
      <c r="A49" s="10" t="s">
        <v>14</v>
      </c>
      <c r="B49" s="19">
        <v>46066</v>
      </c>
      <c r="C49" s="75">
        <f>IF(H49=0,"",'[2]2025-2026'!C48)</f>
        <v>18166.86</v>
      </c>
      <c r="D49" s="68">
        <f>'[2]2025'!C49</f>
        <v>29091.91</v>
      </c>
      <c r="E49" s="68">
        <f>'[2]2025'!D49</f>
        <v>28760.240000000002</v>
      </c>
      <c r="F49" s="20">
        <f>'[2]2025'!E49</f>
        <v>1482</v>
      </c>
      <c r="G49" s="73">
        <f>'[2]2025'!F49</f>
        <v>29000</v>
      </c>
      <c r="H49" s="42">
        <f>'[2]2025'!G49</f>
        <v>32569.99</v>
      </c>
      <c r="I49" s="13">
        <f>'[2]2025'!H49</f>
        <v>32176.98</v>
      </c>
      <c r="J49" s="14">
        <f>'[2]2025'!I49</f>
        <v>1527</v>
      </c>
      <c r="K49" s="15">
        <f>'[2]2025'!J49</f>
        <v>238.74</v>
      </c>
      <c r="L49" s="15">
        <f>'[2]2025'!K49</f>
        <v>257.42</v>
      </c>
      <c r="M49" s="15">
        <f>'[2]2025'!L49</f>
        <v>123.34</v>
      </c>
      <c r="N49" s="16">
        <f t="shared" si="0"/>
        <v>3.8331751457097592E-3</v>
      </c>
      <c r="O49" s="17">
        <f t="shared" si="1"/>
        <v>0.11880081668303177</v>
      </c>
      <c r="P49" s="17">
        <f t="shared" si="2"/>
        <v>3.0364372469635626E-2</v>
      </c>
      <c r="Q49" s="18">
        <f t="shared" si="3"/>
        <v>134.77833626539331</v>
      </c>
      <c r="R49" s="18">
        <f t="shared" si="4"/>
        <v>124.99797995493745</v>
      </c>
      <c r="S49" s="36" t="s">
        <v>40</v>
      </c>
      <c r="T49" s="48">
        <f>SUM(I45:I51)/SUM(L45:L51)</f>
        <v>106.11154147646057</v>
      </c>
      <c r="U49" s="1738"/>
    </row>
    <row r="50" spans="1:21">
      <c r="A50" s="10" t="s">
        <v>15</v>
      </c>
      <c r="B50" s="19">
        <v>46067</v>
      </c>
      <c r="C50" s="75">
        <f>IF(H50=0,"",'[2]2025-2026'!C49)</f>
        <v>29091.91</v>
      </c>
      <c r="D50" s="68">
        <f>'[2]2025'!C50</f>
        <v>31053.82</v>
      </c>
      <c r="E50" s="68">
        <f>'[2]2025'!D50</f>
        <v>30616.22</v>
      </c>
      <c r="F50" s="20">
        <f>'[2]2025'!E50</f>
        <v>1540</v>
      </c>
      <c r="G50" s="73">
        <f>'[2]2025'!F50</f>
        <v>30900</v>
      </c>
      <c r="H50" s="42">
        <f>'[2]2025'!G50</f>
        <v>32818.730000000003</v>
      </c>
      <c r="I50" s="13">
        <f>'[2]2025'!H50</f>
        <v>32291.200000000001</v>
      </c>
      <c r="J50" s="14">
        <f>'[2]2025'!I50</f>
        <v>1529</v>
      </c>
      <c r="K50" s="15">
        <f>'[2]2025'!J50</f>
        <v>272.88</v>
      </c>
      <c r="L50" s="15">
        <f>'[2]2025'!K50</f>
        <v>298.02999999999997</v>
      </c>
      <c r="M50" s="15">
        <f>'[2]2025'!L50</f>
        <v>62.58</v>
      </c>
      <c r="N50" s="16">
        <f t="shared" si="0"/>
        <v>1.9379892973937171E-3</v>
      </c>
      <c r="O50" s="17">
        <f t="shared" si="1"/>
        <v>5.4708909199110783E-2</v>
      </c>
      <c r="P50" s="17">
        <f t="shared" si="2"/>
        <v>-7.1428571428571426E-3</v>
      </c>
      <c r="Q50" s="18">
        <f t="shared" si="3"/>
        <v>118.33479917912636</v>
      </c>
      <c r="R50" s="18">
        <f t="shared" si="4"/>
        <v>108.34882394389828</v>
      </c>
      <c r="S50" s="36">
        <f>SUM(J45:J51)</f>
        <v>8289</v>
      </c>
      <c r="T50" s="30" t="s">
        <v>3</v>
      </c>
      <c r="U50" s="1738"/>
    </row>
    <row r="51" spans="1:21" ht="18" thickBot="1">
      <c r="A51" s="10" t="s">
        <v>16</v>
      </c>
      <c r="B51" s="19">
        <v>46068</v>
      </c>
      <c r="C51" s="75">
        <f>IF(H51=0,"",'[2]2025-2026'!C50)</f>
        <v>31053.82</v>
      </c>
      <c r="D51" s="68">
        <f>'[2]2025'!C51</f>
        <v>24632.98</v>
      </c>
      <c r="E51" s="68">
        <f>'[2]2025'!D51</f>
        <v>24243.58</v>
      </c>
      <c r="F51" s="20">
        <f>'[2]2025'!E51</f>
        <v>1249</v>
      </c>
      <c r="G51" s="73">
        <f>'[2]2025'!F51</f>
        <v>24500</v>
      </c>
      <c r="H51" s="42">
        <f>'[2]2025'!G51</f>
        <v>24987.56</v>
      </c>
      <c r="I51" s="13">
        <f>'[2]2025'!H51</f>
        <v>24558.95</v>
      </c>
      <c r="J51" s="14">
        <f>'[2]2025'!I51</f>
        <v>1131</v>
      </c>
      <c r="K51" s="15">
        <f>'[2]2025'!J51</f>
        <v>218.64000000000001</v>
      </c>
      <c r="L51" s="15">
        <f>'[2]2025'!K51</f>
        <v>226.74</v>
      </c>
      <c r="M51" s="15">
        <f>'[2]2025'!L51</f>
        <v>126.89</v>
      </c>
      <c r="N51" s="16">
        <f t="shared" si="0"/>
        <v>5.1667518358887495E-3</v>
      </c>
      <c r="O51" s="17">
        <f t="shared" si="1"/>
        <v>1.3008392324895868E-2</v>
      </c>
      <c r="P51" s="17">
        <f t="shared" si="2"/>
        <v>-9.4475580464371503E-2</v>
      </c>
      <c r="Q51" s="18">
        <f t="shared" si="3"/>
        <v>112.32596963044273</v>
      </c>
      <c r="R51" s="18">
        <f t="shared" si="4"/>
        <v>108.31326629619829</v>
      </c>
      <c r="S51" s="37">
        <f>(S50-SUM(F45:F51))/SUM(F45:F51)</f>
        <v>2.6611830168138382E-3</v>
      </c>
      <c r="T51" s="47">
        <f>SUM(M45:M51)/SUM(I45:I51)</f>
        <v>4.6225368957755518E-3</v>
      </c>
      <c r="U51" s="1739"/>
    </row>
    <row r="52" spans="1:21" ht="17" customHeight="1" thickTop="1">
      <c r="A52" s="10" t="s">
        <v>9</v>
      </c>
      <c r="B52" s="19">
        <v>46069</v>
      </c>
      <c r="C52" s="75">
        <f>IF(H52=0,"",'[2]2025-2026'!C51)</f>
        <v>24632.98</v>
      </c>
      <c r="D52" s="68">
        <f>'[2]2025'!C52</f>
        <v>15560.28</v>
      </c>
      <c r="E52" s="68">
        <f>'[2]2025'!D52</f>
        <v>15435.85</v>
      </c>
      <c r="F52" s="20">
        <f>'[2]2025'!E52</f>
        <v>938</v>
      </c>
      <c r="G52" s="73">
        <f>'[2]2025'!F52</f>
        <v>15600</v>
      </c>
      <c r="H52" s="42">
        <f>'[2]2025'!G52</f>
        <v>15906.59</v>
      </c>
      <c r="I52" s="13">
        <f>'[2]2025'!H52</f>
        <v>15695.02</v>
      </c>
      <c r="J52" s="14">
        <f>'[2]2025'!I52</f>
        <v>911</v>
      </c>
      <c r="K52" s="15">
        <f>'[2]2025'!J52</f>
        <v>115.13999999999999</v>
      </c>
      <c r="L52" s="15">
        <f>'[2]2025'!K52</f>
        <v>132.26</v>
      </c>
      <c r="M52" s="15">
        <f>'[2]2025'!L52</f>
        <v>85.35</v>
      </c>
      <c r="N52" s="16">
        <f t="shared" si="0"/>
        <v>5.4380306619551929E-3</v>
      </c>
      <c r="O52" s="17">
        <f t="shared" si="1"/>
        <v>1.6790134654068294E-2</v>
      </c>
      <c r="P52" s="17">
        <f t="shared" si="2"/>
        <v>-2.8784648187633263E-2</v>
      </c>
      <c r="Q52" s="18">
        <f t="shared" si="3"/>
        <v>136.31248914365122</v>
      </c>
      <c r="R52" s="18">
        <f t="shared" si="4"/>
        <v>118.66792681082717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19">
        <v>46070</v>
      </c>
      <c r="C53" s="75">
        <f>IF(H53=0,"",'[2]2025-2026'!C52)</f>
        <v>15560.28</v>
      </c>
      <c r="D53" s="68">
        <f>'[2]2025'!C53</f>
        <v>14981.95</v>
      </c>
      <c r="E53" s="68">
        <f>'[2]2025'!D53</f>
        <v>14874.01</v>
      </c>
      <c r="F53" s="20">
        <f>'[2]2025'!E53</f>
        <v>950</v>
      </c>
      <c r="G53" s="73">
        <f>'[2]2025'!F53</f>
        <v>15000</v>
      </c>
      <c r="H53" s="42">
        <f>'[2]2025'!G53</f>
        <v>16666.45</v>
      </c>
      <c r="I53" s="13">
        <f>'[2]2025'!H53</f>
        <v>16403.740000000002</v>
      </c>
      <c r="J53" s="14">
        <f>'[2]2025'!I53</f>
        <v>952</v>
      </c>
      <c r="K53" s="15">
        <f>'[2]2025'!J53</f>
        <v>133.72</v>
      </c>
      <c r="L53" s="15">
        <f>'[2]2025'!K53</f>
        <v>152.63999999999999</v>
      </c>
      <c r="M53" s="15">
        <f>'[2]2025'!L53</f>
        <v>40.369999999999997</v>
      </c>
      <c r="N53" s="16">
        <f t="shared" si="0"/>
        <v>2.4610241323015356E-3</v>
      </c>
      <c r="O53" s="17">
        <f t="shared" si="1"/>
        <v>0.10284583646239322</v>
      </c>
      <c r="P53" s="17">
        <f t="shared" si="2"/>
        <v>2.1052631578947368E-3</v>
      </c>
      <c r="Q53" s="18">
        <f t="shared" si="3"/>
        <v>122.67230032904578</v>
      </c>
      <c r="R53" s="18">
        <f t="shared" si="4"/>
        <v>107.46685010482182</v>
      </c>
      <c r="S53" s="34">
        <f>SUM(I52:I58)</f>
        <v>150407.91</v>
      </c>
      <c r="T53" s="45" t="s">
        <v>41</v>
      </c>
      <c r="U53" s="1738"/>
    </row>
    <row r="54" spans="1:21">
      <c r="A54" s="10" t="s">
        <v>12</v>
      </c>
      <c r="B54" s="19">
        <v>46071</v>
      </c>
      <c r="C54" s="75">
        <f>IF(H54=0,"",'[2]2025-2026'!C53)</f>
        <v>14981.95</v>
      </c>
      <c r="D54" s="68">
        <f>'[2]2025'!C54</f>
        <v>18847.419999999998</v>
      </c>
      <c r="E54" s="68">
        <f>'[2]2025'!D54</f>
        <v>18645</v>
      </c>
      <c r="F54" s="20">
        <f>'[2]2025'!E54</f>
        <v>1148</v>
      </c>
      <c r="G54" s="73">
        <f>'[2]2025'!F54</f>
        <v>18800</v>
      </c>
      <c r="H54" s="42">
        <f>'[2]2025'!G54</f>
        <v>16500.63</v>
      </c>
      <c r="I54" s="13">
        <f>'[2]2025'!H54</f>
        <v>16243.76</v>
      </c>
      <c r="J54" s="14">
        <f>'[2]2025'!I54</f>
        <v>936</v>
      </c>
      <c r="K54" s="15">
        <f>'[2]2025'!J54</f>
        <v>205.25</v>
      </c>
      <c r="L54" s="15">
        <f>'[2]2025'!K54</f>
        <v>220.25</v>
      </c>
      <c r="M54" s="15">
        <f>'[2]2025'!L54</f>
        <v>90.82</v>
      </c>
      <c r="N54" s="16">
        <f t="shared" si="0"/>
        <v>5.5910700478214396E-3</v>
      </c>
      <c r="O54" s="17">
        <f t="shared" si="1"/>
        <v>-0.12878734245105924</v>
      </c>
      <c r="P54" s="17">
        <f t="shared" si="2"/>
        <v>-0.18466898954703834</v>
      </c>
      <c r="Q54" s="18">
        <f t="shared" si="3"/>
        <v>79.141339829476252</v>
      </c>
      <c r="R54" s="18">
        <f t="shared" si="4"/>
        <v>73.751464245175939</v>
      </c>
      <c r="S54" s="35">
        <f>(S53-SUM(E52:E58))/SUM(E52:E58)</f>
        <v>-2.158934322239377E-2</v>
      </c>
      <c r="T54" s="48">
        <f>SUM(I52:I58)/SUM(K52:K58)</f>
        <v>104.52906019139488</v>
      </c>
      <c r="U54" s="1738"/>
    </row>
    <row r="55" spans="1:21">
      <c r="A55" s="10" t="s">
        <v>13</v>
      </c>
      <c r="B55" s="19">
        <v>46072</v>
      </c>
      <c r="C55" s="75">
        <f>IF(H55=0,"",'[2]2025-2026'!C54)</f>
        <v>18847.419999999998</v>
      </c>
      <c r="D55" s="68">
        <f>'[2]2025'!C55</f>
        <v>18063.57</v>
      </c>
      <c r="E55" s="68">
        <f>'[2]2025'!D55</f>
        <v>17917.66</v>
      </c>
      <c r="F55" s="20">
        <f>'[2]2025'!E55</f>
        <v>1138</v>
      </c>
      <c r="G55" s="73">
        <f>'[2]2025'!F55</f>
        <v>18100</v>
      </c>
      <c r="H55" s="42">
        <f>'[2]2025'!G55</f>
        <v>17647.8</v>
      </c>
      <c r="I55" s="13">
        <f>'[2]2025'!H55</f>
        <v>17383.37</v>
      </c>
      <c r="J55" s="14">
        <f>'[2]2025'!I55</f>
        <v>928</v>
      </c>
      <c r="K55" s="15">
        <f>'[2]2025'!J55</f>
        <v>194.52</v>
      </c>
      <c r="L55" s="15">
        <f>'[2]2025'!K55</f>
        <v>212.44</v>
      </c>
      <c r="M55" s="15">
        <f>'[2]2025'!L55</f>
        <v>94.97</v>
      </c>
      <c r="N55" s="16">
        <f t="shared" si="0"/>
        <v>5.4632674792057011E-3</v>
      </c>
      <c r="O55" s="17">
        <f t="shared" si="1"/>
        <v>-2.9819183978265069E-2</v>
      </c>
      <c r="P55" s="17">
        <f t="shared" si="2"/>
        <v>-0.18453427065026362</v>
      </c>
      <c r="Q55" s="18">
        <f t="shared" si="3"/>
        <v>89.365463705531553</v>
      </c>
      <c r="R55" s="18">
        <f t="shared" si="4"/>
        <v>81.827198267746184</v>
      </c>
      <c r="S55" s="34"/>
      <c r="T55" s="29" t="s">
        <v>8</v>
      </c>
      <c r="U55" s="1738"/>
    </row>
    <row r="56" spans="1:21">
      <c r="A56" s="10" t="s">
        <v>14</v>
      </c>
      <c r="B56" s="19">
        <v>46073</v>
      </c>
      <c r="C56" s="75">
        <f>IF(H56=0,"",'[2]2025-2026'!C55)</f>
        <v>18063.57</v>
      </c>
      <c r="D56" s="68">
        <f>'[2]2025'!C56</f>
        <v>29929.4</v>
      </c>
      <c r="E56" s="68">
        <f>'[2]2025'!D56</f>
        <v>29623.34</v>
      </c>
      <c r="F56" s="20">
        <f>'[2]2025'!E56</f>
        <v>1489</v>
      </c>
      <c r="G56" s="73">
        <f>'[2]2025'!F56</f>
        <v>29900</v>
      </c>
      <c r="H56" s="42">
        <f>'[2]2025'!G56</f>
        <v>30197.57</v>
      </c>
      <c r="I56" s="13">
        <f>'[2]2025'!H56</f>
        <v>29791.78</v>
      </c>
      <c r="J56" s="14">
        <f>'[2]2025'!I56</f>
        <v>1343</v>
      </c>
      <c r="K56" s="15">
        <f>'[2]2025'!J56</f>
        <v>256.08999999999997</v>
      </c>
      <c r="L56" s="15">
        <f>'[2]2025'!K56</f>
        <v>280.94</v>
      </c>
      <c r="M56" s="15">
        <f>'[2]2025'!L56</f>
        <v>155.72999999999999</v>
      </c>
      <c r="N56" s="16">
        <f t="shared" si="0"/>
        <v>5.2272808137009607E-3</v>
      </c>
      <c r="O56" s="17">
        <f t="shared" si="1"/>
        <v>5.6860570077512758E-3</v>
      </c>
      <c r="P56" s="17">
        <f t="shared" si="2"/>
        <v>-9.8052384150436531E-2</v>
      </c>
      <c r="Q56" s="18">
        <f t="shared" si="3"/>
        <v>116.33324221953221</v>
      </c>
      <c r="R56" s="18">
        <f t="shared" si="4"/>
        <v>106.0432120737524</v>
      </c>
      <c r="S56" s="36" t="s">
        <v>40</v>
      </c>
      <c r="T56" s="48">
        <f>SUM(I52:I58)/SUM(L52:L58)</f>
        <v>96.078436507885826</v>
      </c>
      <c r="U56" s="1738"/>
    </row>
    <row r="57" spans="1:21">
      <c r="A57" s="10" t="s">
        <v>15</v>
      </c>
      <c r="B57" s="19">
        <v>46074</v>
      </c>
      <c r="C57" s="75">
        <f>IF(H57=0,"",'[2]2025-2026'!C56)</f>
        <v>29929.4</v>
      </c>
      <c r="D57" s="68">
        <f>'[2]2025'!C57</f>
        <v>30259.15</v>
      </c>
      <c r="E57" s="68">
        <f>'[2]2025'!D57</f>
        <v>29889.87</v>
      </c>
      <c r="F57" s="20">
        <f>'[2]2025'!E57</f>
        <v>1513</v>
      </c>
      <c r="G57" s="73">
        <f>'[2]2025'!F57</f>
        <v>30200</v>
      </c>
      <c r="H57" s="42">
        <f>'[2]2025'!G57</f>
        <v>31756.84</v>
      </c>
      <c r="I57" s="13">
        <f>'[2]2025'!H57</f>
        <v>31330.87</v>
      </c>
      <c r="J57" s="14">
        <f>'[2]2025'!I57</f>
        <v>1413</v>
      </c>
      <c r="K57" s="15">
        <f>'[2]2025'!J57</f>
        <v>279.45999999999998</v>
      </c>
      <c r="L57" s="15">
        <f>'[2]2025'!K57</f>
        <v>297.33</v>
      </c>
      <c r="M57" s="15">
        <f>'[2]2025'!L57</f>
        <v>87.74</v>
      </c>
      <c r="N57" s="16">
        <f t="shared" si="0"/>
        <v>2.8004329276525037E-3</v>
      </c>
      <c r="O57" s="17">
        <f t="shared" si="1"/>
        <v>4.8210313393801982E-2</v>
      </c>
      <c r="P57" s="17">
        <f t="shared" si="2"/>
        <v>-6.6093853271645742E-2</v>
      </c>
      <c r="Q57" s="18">
        <f t="shared" si="3"/>
        <v>112.11218063408002</v>
      </c>
      <c r="R57" s="18">
        <f t="shared" si="4"/>
        <v>105.37406248948979</v>
      </c>
      <c r="S57" s="36">
        <f>SUM(J52:J58)</f>
        <v>7558</v>
      </c>
      <c r="T57" s="30" t="s">
        <v>3</v>
      </c>
      <c r="U57" s="1738"/>
    </row>
    <row r="58" spans="1:21" ht="18" thickBot="1">
      <c r="A58" s="10" t="s">
        <v>16</v>
      </c>
      <c r="B58" s="19">
        <v>46075</v>
      </c>
      <c r="C58" s="75">
        <f>IF(H58=0,"",'[2]2025-2026'!C57)</f>
        <v>30259.15</v>
      </c>
      <c r="D58" s="68">
        <f>'[2]2025'!C58</f>
        <v>27627.84</v>
      </c>
      <c r="E58" s="68">
        <f>'[2]2025'!D58</f>
        <v>27341.040000000001</v>
      </c>
      <c r="F58" s="20">
        <f>'[2]2025'!E58</f>
        <v>1389</v>
      </c>
      <c r="G58" s="73">
        <f>'[2]2025'!F58</f>
        <v>27600</v>
      </c>
      <c r="H58" s="42">
        <f>'[2]2025'!G58</f>
        <v>23932.58</v>
      </c>
      <c r="I58" s="13">
        <f>'[2]2025'!H58</f>
        <v>23559.37</v>
      </c>
      <c r="J58" s="14">
        <f>'[2]2025'!I58</f>
        <v>1075</v>
      </c>
      <c r="K58" s="15">
        <f>'[2]2025'!J58</f>
        <v>254.73000000000002</v>
      </c>
      <c r="L58" s="15">
        <f>'[2]2025'!K58</f>
        <v>269.61</v>
      </c>
      <c r="M58" s="15">
        <f>'[2]2025'!L58</f>
        <v>85.11</v>
      </c>
      <c r="N58" s="16">
        <f t="shared" si="0"/>
        <v>3.6125753787134376E-3</v>
      </c>
      <c r="O58" s="17">
        <f t="shared" si="1"/>
        <v>-0.13831478246621204</v>
      </c>
      <c r="P58" s="17">
        <f t="shared" si="2"/>
        <v>-0.22606191504679626</v>
      </c>
      <c r="Q58" s="18">
        <f t="shared" si="3"/>
        <v>92.487614336748706</v>
      </c>
      <c r="R58" s="18">
        <f t="shared" si="4"/>
        <v>87.383146025740871</v>
      </c>
      <c r="S58" s="37">
        <f>(S57-SUM(F52:F58))/SUM(F52:F58)</f>
        <v>-0.11757151196730882</v>
      </c>
      <c r="T58" s="47">
        <f>SUM(M52:M58)/SUM(I52:I58)</f>
        <v>4.255693733128796E-3</v>
      </c>
      <c r="U58" s="1739"/>
    </row>
    <row r="59" spans="1:21" ht="17" customHeight="1" thickTop="1">
      <c r="A59" s="10" t="s">
        <v>9</v>
      </c>
      <c r="B59" s="19">
        <v>46076</v>
      </c>
      <c r="C59" s="75">
        <f>IF(H59=0,"",'[2]2025-2026'!C58)</f>
        <v>27627.84</v>
      </c>
      <c r="D59" s="68">
        <f>'[2]2025'!C59</f>
        <v>17885.66</v>
      </c>
      <c r="E59" s="68">
        <f>'[2]2025'!D59</f>
        <v>17635.669999999998</v>
      </c>
      <c r="F59" s="20">
        <f>'[2]2025'!E59</f>
        <v>1025</v>
      </c>
      <c r="G59" s="73">
        <f>'[2]2025'!F59</f>
        <v>17800</v>
      </c>
      <c r="H59" s="42">
        <f>'[2]2025'!G59</f>
        <v>11966.29</v>
      </c>
      <c r="I59" s="13">
        <f>'[2]2025'!H59</f>
        <v>11816.36</v>
      </c>
      <c r="J59" s="14">
        <f>'[2]2025'!I59</f>
        <v>692</v>
      </c>
      <c r="K59" s="15">
        <f>'[2]2025'!J59</f>
        <v>152.79</v>
      </c>
      <c r="L59" s="15">
        <f>'[2]2025'!K59</f>
        <v>170.1</v>
      </c>
      <c r="M59" s="15">
        <f>'[2]2025'!L59</f>
        <v>138.47999999999999</v>
      </c>
      <c r="N59" s="16">
        <f t="shared" si="0"/>
        <v>1.1719345043651344E-2</v>
      </c>
      <c r="O59" s="17">
        <f t="shared" si="1"/>
        <v>-0.32997385412632457</v>
      </c>
      <c r="P59" s="17">
        <f t="shared" si="2"/>
        <v>-0.32487804878048782</v>
      </c>
      <c r="Q59" s="18">
        <f t="shared" si="3"/>
        <v>77.337260291903931</v>
      </c>
      <c r="R59" s="18">
        <f t="shared" si="4"/>
        <v>69.467136978248092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19">
        <v>46077</v>
      </c>
      <c r="C60" s="75">
        <f>IF(H60=0,"",'[2]2025-2026'!C59)</f>
        <v>17885.66</v>
      </c>
      <c r="D60" s="68">
        <f>'[2]2025'!C60</f>
        <v>18377.310000000001</v>
      </c>
      <c r="E60" s="68">
        <f>'[2]2025'!D60</f>
        <v>18150.349999999999</v>
      </c>
      <c r="F60" s="20">
        <f>'[2]2025'!E60</f>
        <v>1057</v>
      </c>
      <c r="G60" s="73">
        <f>'[2]2025'!F60</f>
        <v>18300</v>
      </c>
      <c r="H60" s="42">
        <f>'[2]2025'!G60</f>
        <v>13333.44</v>
      </c>
      <c r="I60" s="13">
        <f>'[2]2025'!H60</f>
        <v>13207.86</v>
      </c>
      <c r="J60" s="14">
        <f>'[2]2025'!I60</f>
        <v>777</v>
      </c>
      <c r="K60" s="15">
        <f>'[2]2025'!J60</f>
        <v>151.20999999999998</v>
      </c>
      <c r="L60" s="15">
        <f>'[2]2025'!K60</f>
        <v>170.13</v>
      </c>
      <c r="M60" s="15">
        <f>'[2]2025'!L60</f>
        <v>230</v>
      </c>
      <c r="N60" s="16">
        <f t="shared" si="0"/>
        <v>1.7413873254259204E-2</v>
      </c>
      <c r="O60" s="17">
        <f t="shared" si="1"/>
        <v>-0.27230824749935945</v>
      </c>
      <c r="P60" s="17">
        <f t="shared" si="2"/>
        <v>-0.26490066225165565</v>
      </c>
      <c r="Q60" s="18">
        <f t="shared" si="3"/>
        <v>87.347794458038507</v>
      </c>
      <c r="R60" s="18">
        <f t="shared" si="4"/>
        <v>77.633926997002291</v>
      </c>
      <c r="S60" s="34">
        <f>SUM(I59:I65)</f>
        <v>137165.17000000001</v>
      </c>
      <c r="T60" s="45" t="s">
        <v>41</v>
      </c>
      <c r="U60" s="1738"/>
    </row>
    <row r="61" spans="1:21">
      <c r="A61" s="10" t="s">
        <v>12</v>
      </c>
      <c r="B61" s="19">
        <v>46078</v>
      </c>
      <c r="C61" s="75">
        <f>IF(H61=0,"",'[2]2025-2026'!C60)</f>
        <v>18377.310000000001</v>
      </c>
      <c r="D61" s="68">
        <f>'[2]2025'!C61</f>
        <v>19792.63</v>
      </c>
      <c r="E61" s="68">
        <f>'[2]2025'!D61</f>
        <v>19584.509999999998</v>
      </c>
      <c r="F61" s="20">
        <f>'[2]2025'!E61</f>
        <v>1123</v>
      </c>
      <c r="G61" s="73">
        <f>'[2]2025'!F61</f>
        <v>19800</v>
      </c>
      <c r="H61" s="42">
        <f>'[2]2025'!G61</f>
        <v>17362.240000000002</v>
      </c>
      <c r="I61" s="13">
        <f>'[2]2025'!H61</f>
        <v>17157.48</v>
      </c>
      <c r="J61" s="14">
        <f>'[2]2025'!I61</f>
        <v>974</v>
      </c>
      <c r="K61" s="15">
        <f>'[2]2025'!J61</f>
        <v>201.10999999999999</v>
      </c>
      <c r="L61" s="15">
        <f>'[2]2025'!K61</f>
        <v>221.23</v>
      </c>
      <c r="M61" s="15">
        <f>'[2]2025'!L61</f>
        <v>126.03</v>
      </c>
      <c r="N61" s="16">
        <f t="shared" si="0"/>
        <v>7.3454843018904876E-3</v>
      </c>
      <c r="O61" s="17">
        <f t="shared" si="1"/>
        <v>-0.12392600070157482</v>
      </c>
      <c r="P61" s="17">
        <f t="shared" si="2"/>
        <v>-0.13268032056990206</v>
      </c>
      <c r="Q61" s="18">
        <f t="shared" si="3"/>
        <v>85.313907811645379</v>
      </c>
      <c r="R61" s="18">
        <f t="shared" si="4"/>
        <v>77.554942819689913</v>
      </c>
      <c r="S61" s="35">
        <f>(S60-SUM(E59:E65))/SUM(E59:E65)</f>
        <v>-0.15652713074947802</v>
      </c>
      <c r="T61" s="48">
        <f>SUM(I59:I65)/SUM(K59:K65)</f>
        <v>94.060201471606774</v>
      </c>
      <c r="U61" s="1738"/>
    </row>
    <row r="62" spans="1:21">
      <c r="A62" s="10" t="s">
        <v>13</v>
      </c>
      <c r="B62" s="19">
        <v>46079</v>
      </c>
      <c r="C62" s="75">
        <f>IF(H62=0,"",'[2]2025-2026'!C61)</f>
        <v>19792.63</v>
      </c>
      <c r="D62" s="68">
        <f>'[2]2025'!C62</f>
        <v>21707.23</v>
      </c>
      <c r="E62" s="68">
        <f>'[2]2025'!D62</f>
        <v>21462.9</v>
      </c>
      <c r="F62" s="20">
        <f>'[2]2025'!E62</f>
        <v>1247</v>
      </c>
      <c r="G62" s="73">
        <f>'[2]2025'!F62</f>
        <v>21700</v>
      </c>
      <c r="H62" s="42">
        <f>'[2]2025'!G62</f>
        <v>16380.88</v>
      </c>
      <c r="I62" s="13">
        <f>'[2]2025'!H62</f>
        <v>16181.15</v>
      </c>
      <c r="J62" s="14">
        <f>'[2]2025'!I62</f>
        <v>943</v>
      </c>
      <c r="K62" s="15">
        <f>'[2]2025'!J62</f>
        <v>176.12</v>
      </c>
      <c r="L62" s="15">
        <f>'[2]2025'!K62</f>
        <v>203.62</v>
      </c>
      <c r="M62" s="15">
        <f>'[2]2025'!L62</f>
        <v>36.15</v>
      </c>
      <c r="N62" s="16">
        <f t="shared" si="0"/>
        <v>2.2340810140193991E-3</v>
      </c>
      <c r="O62" s="17">
        <f t="shared" si="1"/>
        <v>-0.24608743459644322</v>
      </c>
      <c r="P62" s="17">
        <f t="shared" si="2"/>
        <v>-0.243785084202085</v>
      </c>
      <c r="Q62" s="18">
        <f t="shared" si="3"/>
        <v>91.875709743356794</v>
      </c>
      <c r="R62" s="18">
        <f t="shared" si="4"/>
        <v>79.467390236715445</v>
      </c>
      <c r="S62" s="34"/>
      <c r="T62" s="29" t="s">
        <v>8</v>
      </c>
      <c r="U62" s="1738"/>
    </row>
    <row r="63" spans="1:21">
      <c r="A63" s="10" t="s">
        <v>14</v>
      </c>
      <c r="B63" s="19">
        <v>46080</v>
      </c>
      <c r="C63" s="75">
        <f>IF(H63=0,"",'[2]2025-2026'!C62)</f>
        <v>21707.23</v>
      </c>
      <c r="D63" s="68">
        <f>'[2]2025'!C63</f>
        <v>32322.05</v>
      </c>
      <c r="E63" s="68">
        <f>'[2]2025'!D63</f>
        <v>31938.16</v>
      </c>
      <c r="F63" s="20">
        <f>'[2]2025'!E63</f>
        <v>1558</v>
      </c>
      <c r="G63" s="73">
        <f>'[2]2025'!F63</f>
        <v>32200</v>
      </c>
      <c r="H63" s="42">
        <f>'[2]2025'!G63</f>
        <v>28595.15</v>
      </c>
      <c r="I63" s="13">
        <f>'[2]2025'!H63</f>
        <v>28292.26</v>
      </c>
      <c r="J63" s="14">
        <f>'[2]2025'!I63</f>
        <v>1347</v>
      </c>
      <c r="K63" s="15">
        <f>'[2]2025'!J63</f>
        <v>260.13000000000005</v>
      </c>
      <c r="L63" s="15">
        <f>'[2]2025'!K63</f>
        <v>275.86</v>
      </c>
      <c r="M63" s="15">
        <f>'[2]2025'!L63</f>
        <v>84.86</v>
      </c>
      <c r="N63" s="16">
        <f t="shared" si="0"/>
        <v>2.9994069049273549E-3</v>
      </c>
      <c r="O63" s="17">
        <f t="shared" si="1"/>
        <v>-0.1141549794978797</v>
      </c>
      <c r="P63" s="17">
        <f t="shared" si="2"/>
        <v>-0.13543003851091143</v>
      </c>
      <c r="Q63" s="18">
        <f t="shared" si="3"/>
        <v>108.7620036135778</v>
      </c>
      <c r="R63" s="18">
        <f t="shared" si="4"/>
        <v>102.56021170158775</v>
      </c>
      <c r="S63" s="36" t="s">
        <v>40</v>
      </c>
      <c r="T63" s="48">
        <f>SUM(I59:I65)/SUM(L59:L65)</f>
        <v>86.58870652105297</v>
      </c>
      <c r="U63" s="1738"/>
    </row>
    <row r="64" spans="1:21">
      <c r="A64" s="10" t="s">
        <v>15</v>
      </c>
      <c r="B64" s="19">
        <v>46081</v>
      </c>
      <c r="C64" s="75">
        <f>IF(H64=0,"",'[2]2025-2026'!C63)</f>
        <v>32322.05</v>
      </c>
      <c r="D64" s="68">
        <f>'[2]2025'!C64</f>
        <v>29737.35</v>
      </c>
      <c r="E64" s="68">
        <f>'[2]2025'!D64</f>
        <v>29380.3</v>
      </c>
      <c r="F64" s="20">
        <f>'[2]2025'!E64</f>
        <v>1425</v>
      </c>
      <c r="G64" s="73">
        <f>'[2]2025'!F64</f>
        <v>29600</v>
      </c>
      <c r="H64" s="42">
        <f>'[2]2025'!G64</f>
        <v>27144.06</v>
      </c>
      <c r="I64" s="13">
        <f>'[2]2025'!H64</f>
        <v>26791.18</v>
      </c>
      <c r="J64" s="14">
        <f>'[2]2025'!I64</f>
        <v>1273</v>
      </c>
      <c r="K64" s="15">
        <f>'[2]2025'!J64</f>
        <v>297.37</v>
      </c>
      <c r="L64" s="15">
        <f>'[2]2025'!K64</f>
        <v>306.04000000000002</v>
      </c>
      <c r="M64" s="15">
        <f>'[2]2025'!L64</f>
        <v>212.52</v>
      </c>
      <c r="N64" s="16">
        <f t="shared" si="0"/>
        <v>7.932461354819011E-3</v>
      </c>
      <c r="O64" s="17">
        <f t="shared" si="1"/>
        <v>-8.8124355435444807E-2</v>
      </c>
      <c r="P64" s="17">
        <f t="shared" si="2"/>
        <v>-0.10666666666666667</v>
      </c>
      <c r="Q64" s="18">
        <f t="shared" si="3"/>
        <v>90.093755254396882</v>
      </c>
      <c r="R64" s="18">
        <f t="shared" si="4"/>
        <v>87.541432492484631</v>
      </c>
      <c r="S64" s="36">
        <f>SUM(J59:J65)</f>
        <v>7112</v>
      </c>
      <c r="T64" s="30" t="s">
        <v>3</v>
      </c>
      <c r="U64" s="1738"/>
    </row>
    <row r="65" spans="1:21" ht="18" thickBot="1">
      <c r="A65" s="10" t="s">
        <v>16</v>
      </c>
      <c r="B65" s="19">
        <v>46082</v>
      </c>
      <c r="C65" s="75">
        <f>IF(H65=0,"",'[2]2025-2026'!C64)</f>
        <v>29737.35</v>
      </c>
      <c r="D65" s="68">
        <f>'[2]2025'!C65</f>
        <v>24753.599999999999</v>
      </c>
      <c r="E65" s="68">
        <f>'[2]2025'!D65</f>
        <v>24467.65</v>
      </c>
      <c r="F65" s="20">
        <f>'[2]2025'!E65</f>
        <v>1210</v>
      </c>
      <c r="G65" s="73">
        <f>'[2]2025'!F65</f>
        <v>24700</v>
      </c>
      <c r="H65" s="42">
        <f>'[2]2025'!G65</f>
        <v>24146.39</v>
      </c>
      <c r="I65" s="13">
        <f>'[2]2025'!H65</f>
        <v>23718.880000000001</v>
      </c>
      <c r="J65" s="14">
        <f>'[2]2025'!I65</f>
        <v>1106</v>
      </c>
      <c r="K65" s="15">
        <f>'[2]2025'!J65</f>
        <v>219.54</v>
      </c>
      <c r="L65" s="15">
        <f>'[2]2025'!K65</f>
        <v>237.12</v>
      </c>
      <c r="M65" s="15">
        <f>'[2]2025'!L65</f>
        <v>73.510000000000005</v>
      </c>
      <c r="N65" s="16">
        <f t="shared" si="0"/>
        <v>3.0992188501312037E-3</v>
      </c>
      <c r="O65" s="17">
        <f t="shared" si="1"/>
        <v>-3.0602448539193604E-2</v>
      </c>
      <c r="P65" s="17">
        <f t="shared" si="2"/>
        <v>-8.5950413223140495E-2</v>
      </c>
      <c r="Q65" s="18">
        <f t="shared" si="3"/>
        <v>108.03899061674412</v>
      </c>
      <c r="R65" s="18">
        <f t="shared" si="4"/>
        <v>100.02901484480432</v>
      </c>
      <c r="S65" s="37">
        <f>(S64-SUM(F59:F65))/SUM(F59:F65)</f>
        <v>-0.17732793522267207</v>
      </c>
      <c r="T65" s="47">
        <f>SUM(M59:M65)/SUM(I59:I65)</f>
        <v>6.5727327134140531E-3</v>
      </c>
      <c r="U65" s="1739"/>
    </row>
    <row r="66" spans="1:21" ht="17" customHeight="1" thickTop="1">
      <c r="A66" s="10" t="s">
        <v>9</v>
      </c>
      <c r="B66" s="19">
        <v>46083</v>
      </c>
      <c r="C66" s="75">
        <f>IF(H66=0,"",'[2]2025-2026'!C65)</f>
        <v>24753.599999999999</v>
      </c>
      <c r="D66" s="68">
        <f>'[2]2025'!C66</f>
        <v>16608.54</v>
      </c>
      <c r="E66" s="68">
        <f>'[2]2025'!D66</f>
        <v>16447.43</v>
      </c>
      <c r="F66" s="20">
        <f>'[2]2025'!E66</f>
        <v>953</v>
      </c>
      <c r="G66" s="73">
        <f>'[2]2025'!F66</f>
        <v>16600</v>
      </c>
      <c r="H66" s="42">
        <f>'[2]2025'!G66</f>
        <v>12164.19</v>
      </c>
      <c r="I66" s="13">
        <f>'[2]2025'!H66</f>
        <v>11956.87</v>
      </c>
      <c r="J66" s="14">
        <f>'[2]2025'!I66</f>
        <v>737</v>
      </c>
      <c r="K66" s="15">
        <f>'[2]2025'!J66</f>
        <v>168.10999999999999</v>
      </c>
      <c r="L66" s="15">
        <f>'[2]2025'!K66</f>
        <v>185.31</v>
      </c>
      <c r="M66" s="15">
        <f>'[2]2025'!L66</f>
        <v>178.83</v>
      </c>
      <c r="N66" s="16">
        <f t="shared" si="0"/>
        <v>1.4956255274164559E-2</v>
      </c>
      <c r="O66" s="17">
        <f t="shared" si="1"/>
        <v>-0.27302502579430338</v>
      </c>
      <c r="P66" s="17">
        <f t="shared" si="2"/>
        <v>-0.22665267576075551</v>
      </c>
      <c r="Q66" s="18">
        <f t="shared" si="3"/>
        <v>71.125275117482616</v>
      </c>
      <c r="R66" s="18">
        <f t="shared" si="4"/>
        <v>64.523609087475052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19">
        <v>46084</v>
      </c>
      <c r="C67" s="75">
        <f>IF(H67=0,"",'[2]2025-2026'!C66)</f>
        <v>16608.54</v>
      </c>
      <c r="D67" s="68">
        <f>'[2]2025'!C67</f>
        <v>16923.830000000002</v>
      </c>
      <c r="E67" s="68">
        <f>'[2]2025'!D67</f>
        <v>16699.55</v>
      </c>
      <c r="F67" s="20">
        <f>'[2]2025'!E67</f>
        <v>992</v>
      </c>
      <c r="G67" s="73">
        <f>'[2]2025'!F67</f>
        <v>16800</v>
      </c>
      <c r="H67" s="42">
        <f>'[2]2025'!G67</f>
        <v>13752.64</v>
      </c>
      <c r="I67" s="13">
        <f>'[2]2025'!H67</f>
        <v>13620.41</v>
      </c>
      <c r="J67" s="14">
        <f>'[2]2025'!I67</f>
        <v>798</v>
      </c>
      <c r="K67" s="15">
        <f>'[2]2025'!J67</f>
        <v>125.69</v>
      </c>
      <c r="L67" s="15">
        <f>'[2]2025'!K67</f>
        <v>143.13999999999999</v>
      </c>
      <c r="M67" s="15">
        <f>'[2]2025'!L67</f>
        <v>182.35</v>
      </c>
      <c r="N67" s="16">
        <f t="shared" si="0"/>
        <v>1.3387996396584244E-2</v>
      </c>
      <c r="O67" s="17">
        <f t="shared" si="1"/>
        <v>-0.18438460916611524</v>
      </c>
      <c r="P67" s="17">
        <f t="shared" si="2"/>
        <v>-0.19556451612903225</v>
      </c>
      <c r="Q67" s="18">
        <f t="shared" si="3"/>
        <v>108.36510462248388</v>
      </c>
      <c r="R67" s="18">
        <f t="shared" si="4"/>
        <v>95.154464160961311</v>
      </c>
      <c r="S67" s="34">
        <f>SUM(I66:I72)</f>
        <v>135372</v>
      </c>
      <c r="T67" s="45" t="s">
        <v>41</v>
      </c>
      <c r="U67" s="1738"/>
    </row>
    <row r="68" spans="1:21">
      <c r="A68" s="10" t="s">
        <v>12</v>
      </c>
      <c r="B68" s="19">
        <v>46085</v>
      </c>
      <c r="C68" s="75">
        <f>IF(H68=0,"",'[2]2025-2026'!C67)</f>
        <v>16923.830000000002</v>
      </c>
      <c r="D68" s="68">
        <f>'[2]2025'!C68</f>
        <v>19980.11</v>
      </c>
      <c r="E68" s="68">
        <f>'[2]2025'!D68</f>
        <v>19734.169999999998</v>
      </c>
      <c r="F68" s="20">
        <f>'[2]2025'!E68</f>
        <v>1122</v>
      </c>
      <c r="G68" s="73">
        <f>'[2]2025'!F68</f>
        <v>19900</v>
      </c>
      <c r="H68" s="42">
        <f>'[2]2025'!G68</f>
        <v>15238.98</v>
      </c>
      <c r="I68" s="13">
        <f>'[2]2025'!H68</f>
        <v>15004.75</v>
      </c>
      <c r="J68" s="14">
        <f>'[2]2025'!I68</f>
        <v>860</v>
      </c>
      <c r="K68" s="15">
        <f>'[2]2025'!J68</f>
        <v>197.67</v>
      </c>
      <c r="L68" s="15">
        <f>'[2]2025'!K68</f>
        <v>220.36</v>
      </c>
      <c r="M68" s="15">
        <f>'[2]2025'!L68</f>
        <v>180.01</v>
      </c>
      <c r="N68" s="16">
        <f t="shared" ref="N68:N131" si="5">IF(M68=0,"",M68/I68)</f>
        <v>1.1996867658574785E-2</v>
      </c>
      <c r="O68" s="17">
        <f t="shared" ref="O68:O131" si="6">IF(I68=0,"",(I68-E68)/E68)</f>
        <v>-0.23965639294685304</v>
      </c>
      <c r="P68" s="17">
        <f t="shared" ref="P68:P131" si="7">IF(J68=0,"",(J68-F68)/F68)</f>
        <v>-0.23351158645276293</v>
      </c>
      <c r="Q68" s="18">
        <f t="shared" ref="Q68:Q131" si="8">IF(I68=0,"",I68/K68)</f>
        <v>75.908079121768608</v>
      </c>
      <c r="R68" s="18">
        <f t="shared" ref="R68:R131" si="9">I68/L68</f>
        <v>68.091985841350507</v>
      </c>
      <c r="S68" s="35">
        <f>(S67-SUM(E66:E72))/SUM(E66:E72)</f>
        <v>-0.14667751883686111</v>
      </c>
      <c r="T68" s="48">
        <f>SUM(I66:I72)/SUM(K66:K72)</f>
        <v>98.265837210821644</v>
      </c>
      <c r="U68" s="1738"/>
    </row>
    <row r="69" spans="1:21">
      <c r="A69" s="10" t="s">
        <v>13</v>
      </c>
      <c r="B69" s="19">
        <v>46086</v>
      </c>
      <c r="C69" s="75">
        <f>IF(H69=0,"",'[2]2025-2026'!C68)</f>
        <v>19980.11</v>
      </c>
      <c r="D69" s="68">
        <f>'[2]2025'!C69</f>
        <v>20351.78</v>
      </c>
      <c r="E69" s="68">
        <f>'[2]2025'!D69</f>
        <v>20118.919999999998</v>
      </c>
      <c r="F69" s="20">
        <f>'[2]2025'!E69</f>
        <v>1159</v>
      </c>
      <c r="G69" s="73">
        <f>'[2]2025'!F69</f>
        <v>20300</v>
      </c>
      <c r="H69" s="42">
        <f>'[2]2025'!G69</f>
        <v>17359.47</v>
      </c>
      <c r="I69" s="13">
        <f>'[2]2025'!H69</f>
        <v>17126.91</v>
      </c>
      <c r="J69" s="14">
        <f>'[2]2025'!I69</f>
        <v>981</v>
      </c>
      <c r="K69" s="15">
        <f>'[2]2025'!J69</f>
        <v>178.93</v>
      </c>
      <c r="L69" s="15">
        <f>'[2]2025'!K69</f>
        <v>188.38</v>
      </c>
      <c r="M69" s="15">
        <f>'[2]2025'!L69</f>
        <v>94.32</v>
      </c>
      <c r="N69" s="16">
        <f t="shared" si="5"/>
        <v>5.5071230011718396E-3</v>
      </c>
      <c r="O69" s="17">
        <f t="shared" si="6"/>
        <v>-0.14871623327693528</v>
      </c>
      <c r="P69" s="17">
        <f t="shared" si="7"/>
        <v>-0.1535806729939603</v>
      </c>
      <c r="Q69" s="18">
        <f t="shared" si="8"/>
        <v>95.718493265522824</v>
      </c>
      <c r="R69" s="18">
        <f t="shared" si="9"/>
        <v>90.916817071875997</v>
      </c>
      <c r="S69" s="34"/>
      <c r="T69" s="29" t="s">
        <v>8</v>
      </c>
      <c r="U69" s="1738"/>
    </row>
    <row r="70" spans="1:21">
      <c r="A70" s="10" t="s">
        <v>14</v>
      </c>
      <c r="B70" s="19">
        <v>46087</v>
      </c>
      <c r="C70" s="75">
        <f>IF(H70=0,"",'[2]2025-2026'!C69)</f>
        <v>20351.78</v>
      </c>
      <c r="D70" s="68">
        <f>'[2]2025'!C70</f>
        <v>30781.9</v>
      </c>
      <c r="E70" s="68">
        <f>'[2]2025'!D70</f>
        <v>30448.58</v>
      </c>
      <c r="F70" s="20">
        <f>'[2]2025'!E70</f>
        <v>1507</v>
      </c>
      <c r="G70" s="73">
        <f>'[2]2025'!F70</f>
        <v>30700</v>
      </c>
      <c r="H70" s="42">
        <f>'[2]2025'!G70</f>
        <v>25224.21</v>
      </c>
      <c r="I70" s="13">
        <f>'[2]2025'!H70</f>
        <v>24878.61</v>
      </c>
      <c r="J70" s="14">
        <f>'[2]2025'!I70</f>
        <v>1244</v>
      </c>
      <c r="K70" s="15">
        <f>'[2]2025'!J70</f>
        <v>243.03</v>
      </c>
      <c r="L70" s="15">
        <f>'[2]2025'!K70</f>
        <v>251.93</v>
      </c>
      <c r="M70" s="15">
        <f>'[2]2025'!L70</f>
        <v>71.819999999999993</v>
      </c>
      <c r="N70" s="16">
        <f t="shared" si="5"/>
        <v>2.8868172297407289E-3</v>
      </c>
      <c r="O70" s="17">
        <f t="shared" si="6"/>
        <v>-0.18293036982348604</v>
      </c>
      <c r="P70" s="17">
        <f t="shared" si="7"/>
        <v>-0.1745189117451891</v>
      </c>
      <c r="Q70" s="18">
        <f t="shared" si="8"/>
        <v>102.36847302802123</v>
      </c>
      <c r="R70" s="18">
        <f t="shared" si="9"/>
        <v>98.752073988806416</v>
      </c>
      <c r="S70" s="36" t="s">
        <v>40</v>
      </c>
      <c r="T70" s="48">
        <f>SUM(I66:I72)/SUM(L66:L72)</f>
        <v>91.444088679933543</v>
      </c>
      <c r="U70" s="1738"/>
    </row>
    <row r="71" spans="1:21">
      <c r="A71" s="10" t="s">
        <v>15</v>
      </c>
      <c r="B71" s="19">
        <v>46088</v>
      </c>
      <c r="C71" s="75">
        <f>IF(H71=0,"",'[2]2025-2026'!C70)</f>
        <v>30781.9</v>
      </c>
      <c r="D71" s="68">
        <f>'[2]2025'!C71</f>
        <v>29831.01</v>
      </c>
      <c r="E71" s="68">
        <f>'[2]2025'!D71</f>
        <v>29454.720000000001</v>
      </c>
      <c r="F71" s="20">
        <f>'[2]2025'!E71</f>
        <v>1541</v>
      </c>
      <c r="G71" s="73">
        <f>'[2]2025'!F71</f>
        <v>29700</v>
      </c>
      <c r="H71" s="42">
        <f>'[2]2025'!G71</f>
        <v>28926.400000000001</v>
      </c>
      <c r="I71" s="13">
        <f>'[2]2025'!H71</f>
        <v>28517.29</v>
      </c>
      <c r="J71" s="14">
        <f>'[2]2025'!I71</f>
        <v>1430</v>
      </c>
      <c r="K71" s="15">
        <f>'[2]2025'!J71</f>
        <v>212.19</v>
      </c>
      <c r="L71" s="15">
        <f>'[2]2025'!K71</f>
        <v>229.92</v>
      </c>
      <c r="M71" s="15">
        <f>'[2]2025'!L71</f>
        <v>101.87</v>
      </c>
      <c r="N71" s="16">
        <f t="shared" si="5"/>
        <v>3.5722188188288579E-3</v>
      </c>
      <c r="O71" s="17">
        <f t="shared" si="6"/>
        <v>-3.1826138561154217E-2</v>
      </c>
      <c r="P71" s="17">
        <f t="shared" si="7"/>
        <v>-7.2031148604802073E-2</v>
      </c>
      <c r="Q71" s="18">
        <f t="shared" si="8"/>
        <v>134.39507045572364</v>
      </c>
      <c r="R71" s="18">
        <f t="shared" si="9"/>
        <v>124.03135873347253</v>
      </c>
      <c r="S71" s="36">
        <f>SUM(J66:J72)</f>
        <v>7201</v>
      </c>
      <c r="T71" s="30" t="s">
        <v>3</v>
      </c>
      <c r="U71" s="1738"/>
    </row>
    <row r="72" spans="1:21" ht="18" thickBot="1">
      <c r="A72" s="10" t="s">
        <v>16</v>
      </c>
      <c r="B72" s="19">
        <v>46089</v>
      </c>
      <c r="C72" s="75">
        <f>IF(H72=0,"",'[2]2025-2026'!C71)</f>
        <v>29831.01</v>
      </c>
      <c r="D72" s="68">
        <f>'[2]2025'!C72</f>
        <v>26087.73</v>
      </c>
      <c r="E72" s="68">
        <f>'[2]2025'!D72</f>
        <v>25737.71</v>
      </c>
      <c r="F72" s="20">
        <f>'[2]2025'!E72</f>
        <v>1260</v>
      </c>
      <c r="G72" s="73">
        <f>'[2]2025'!F72</f>
        <v>26000</v>
      </c>
      <c r="H72" s="42">
        <f>'[2]2025'!G72</f>
        <v>24632.48</v>
      </c>
      <c r="I72" s="13">
        <f>'[2]2025'!H72</f>
        <v>24267.16</v>
      </c>
      <c r="J72" s="14">
        <f>'[2]2025'!I72</f>
        <v>1151</v>
      </c>
      <c r="K72" s="15">
        <f>'[2]2025'!J72</f>
        <v>251.98999999999998</v>
      </c>
      <c r="L72" s="15">
        <f>'[2]2025'!K72</f>
        <v>261.33999999999997</v>
      </c>
      <c r="M72" s="15">
        <f>'[2]2025'!L72</f>
        <v>100.72</v>
      </c>
      <c r="N72" s="16">
        <f t="shared" si="5"/>
        <v>4.1504650729628024E-3</v>
      </c>
      <c r="O72" s="17">
        <f t="shared" si="6"/>
        <v>-5.7136007826648107E-2</v>
      </c>
      <c r="P72" s="17">
        <f t="shared" si="7"/>
        <v>-8.6507936507936506E-2</v>
      </c>
      <c r="Q72" s="18">
        <f t="shared" si="8"/>
        <v>96.302075479185689</v>
      </c>
      <c r="R72" s="18">
        <f t="shared" si="9"/>
        <v>92.856661819851539</v>
      </c>
      <c r="S72" s="37">
        <f>(S71-SUM(F66:F72))/SUM(F66:F72)</f>
        <v>-0.15619873447386923</v>
      </c>
      <c r="T72" s="47">
        <f>SUM(M66:M72)/SUM(I66:I72)</f>
        <v>6.7216263333628812E-3</v>
      </c>
      <c r="U72" s="1739"/>
    </row>
    <row r="73" spans="1:21" ht="17" customHeight="1" thickTop="1">
      <c r="A73" s="10" t="s">
        <v>9</v>
      </c>
      <c r="B73" s="19">
        <v>46090</v>
      </c>
      <c r="C73" s="75">
        <f>IF(H73=0,"",'[2]2025-2026'!C72)</f>
        <v>26087.73</v>
      </c>
      <c r="D73" s="68">
        <f>'[2]2025'!C73</f>
        <v>12768.74</v>
      </c>
      <c r="E73" s="68">
        <f>'[2]2025'!D73</f>
        <v>12659.83</v>
      </c>
      <c r="F73" s="20">
        <f>'[2]2025'!E73</f>
        <v>801</v>
      </c>
      <c r="G73" s="73">
        <f>'[2]2025'!F73</f>
        <v>12800</v>
      </c>
      <c r="H73" s="42">
        <f>'[2]2025'!G73</f>
        <v>12137.68</v>
      </c>
      <c r="I73" s="13">
        <f>'[2]2025'!H73</f>
        <v>12006.64</v>
      </c>
      <c r="J73" s="14">
        <f>'[2]2025'!I73</f>
        <v>736</v>
      </c>
      <c r="K73" s="15">
        <f>'[2]2025'!J73</f>
        <v>149.79999999999998</v>
      </c>
      <c r="L73" s="15">
        <f>'[2]2025'!K73</f>
        <v>166.43</v>
      </c>
      <c r="M73" s="15">
        <f>'[2]2025'!L73</f>
        <v>88.71</v>
      </c>
      <c r="N73" s="16">
        <f t="shared" si="5"/>
        <v>7.3884117455008226E-3</v>
      </c>
      <c r="O73" s="17">
        <f t="shared" si="6"/>
        <v>-5.1595479560152112E-2</v>
      </c>
      <c r="P73" s="17">
        <f t="shared" si="7"/>
        <v>-8.1148564294631714E-2</v>
      </c>
      <c r="Q73" s="18">
        <f t="shared" si="8"/>
        <v>80.151134846461957</v>
      </c>
      <c r="R73" s="18">
        <f t="shared" si="9"/>
        <v>72.142282040497506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19">
        <v>46091</v>
      </c>
      <c r="C74" s="75">
        <f>IF(H74=0,"",'[2]2025-2026'!C73)</f>
        <v>12768.74</v>
      </c>
      <c r="D74" s="68">
        <f>'[2]2025'!C74</f>
        <v>14751.42</v>
      </c>
      <c r="E74" s="68">
        <f>'[2]2025'!D74</f>
        <v>14622.11</v>
      </c>
      <c r="F74" s="20">
        <f>'[2]2025'!E74</f>
        <v>923</v>
      </c>
      <c r="G74" s="73">
        <f>'[2]2025'!F74</f>
        <v>14700</v>
      </c>
      <c r="H74" s="42">
        <f>'[2]2025'!G74</f>
        <v>13518.26</v>
      </c>
      <c r="I74" s="13">
        <f>'[2]2025'!H74</f>
        <v>13368.3</v>
      </c>
      <c r="J74" s="14">
        <f>'[2]2025'!I74</f>
        <v>784</v>
      </c>
      <c r="K74" s="15">
        <f>'[2]2025'!J74</f>
        <v>175.73999999999998</v>
      </c>
      <c r="L74" s="15">
        <f>'[2]2025'!K74</f>
        <v>191.42</v>
      </c>
      <c r="M74" s="15">
        <f>'[2]2025'!L74</f>
        <v>91.84</v>
      </c>
      <c r="N74" s="16">
        <f t="shared" si="5"/>
        <v>6.8699834683542413E-3</v>
      </c>
      <c r="O74" s="17">
        <f t="shared" si="6"/>
        <v>-8.5747542591322404E-2</v>
      </c>
      <c r="P74" s="17">
        <f t="shared" si="7"/>
        <v>-0.15059588299024917</v>
      </c>
      <c r="Q74" s="18">
        <f t="shared" si="8"/>
        <v>76.068624103789688</v>
      </c>
      <c r="R74" s="18">
        <f t="shared" si="9"/>
        <v>69.837530038658443</v>
      </c>
      <c r="S74" s="34">
        <f>SUM(I73:I79)</f>
        <v>133347.48000000001</v>
      </c>
      <c r="T74" s="45" t="s">
        <v>41</v>
      </c>
      <c r="U74" s="1738"/>
    </row>
    <row r="75" spans="1:21">
      <c r="A75" s="10" t="s">
        <v>12</v>
      </c>
      <c r="B75" s="19">
        <v>46092</v>
      </c>
      <c r="C75" s="75">
        <f>IF(H75=0,"",'[2]2025-2026'!C74)</f>
        <v>14751.42</v>
      </c>
      <c r="D75" s="68">
        <f>'[2]2025'!C75</f>
        <v>18117.849999999999</v>
      </c>
      <c r="E75" s="68">
        <f>'[2]2025'!D75</f>
        <v>17895.099999999999</v>
      </c>
      <c r="F75" s="20">
        <f>'[2]2025'!E75</f>
        <v>1089</v>
      </c>
      <c r="G75" s="73">
        <f>'[2]2025'!F75</f>
        <v>18000</v>
      </c>
      <c r="H75" s="42">
        <f>'[2]2025'!G75</f>
        <v>17999.990000000002</v>
      </c>
      <c r="I75" s="13">
        <f>'[2]2025'!H75</f>
        <v>17717.78</v>
      </c>
      <c r="J75" s="14">
        <f>'[2]2025'!I75</f>
        <v>967</v>
      </c>
      <c r="K75" s="15">
        <f>'[2]2025'!J75</f>
        <v>205.76999999999998</v>
      </c>
      <c r="L75" s="15">
        <f>'[2]2025'!K75</f>
        <v>215.1</v>
      </c>
      <c r="M75" s="15">
        <f>'[2]2025'!L75</f>
        <v>82.87</v>
      </c>
      <c r="N75" s="16">
        <f t="shared" si="5"/>
        <v>4.6772225414244903E-3</v>
      </c>
      <c r="O75" s="17">
        <f t="shared" si="6"/>
        <v>-9.9088577320048353E-3</v>
      </c>
      <c r="P75" s="17">
        <f t="shared" si="7"/>
        <v>-0.11202938475665748</v>
      </c>
      <c r="Q75" s="18">
        <f t="shared" si="8"/>
        <v>86.104777178403069</v>
      </c>
      <c r="R75" s="18">
        <f t="shared" si="9"/>
        <v>82.369967456996747</v>
      </c>
      <c r="S75" s="35">
        <f>(S74-SUM(E73:E79))/SUM(E73:E79)</f>
        <v>-7.5743089567489402E-2</v>
      </c>
      <c r="T75" s="48">
        <f>SUM(I73:I79)/SUM(K73:K79)</f>
        <v>88.690783566454513</v>
      </c>
      <c r="U75" s="1738"/>
    </row>
    <row r="76" spans="1:21">
      <c r="A76" s="10" t="s">
        <v>13</v>
      </c>
      <c r="B76" s="19">
        <v>46093</v>
      </c>
      <c r="C76" s="75">
        <f>IF(H76=0,"",'[2]2025-2026'!C75)</f>
        <v>18117.849999999999</v>
      </c>
      <c r="D76" s="68">
        <f>'[2]2025'!C76</f>
        <v>16059.74</v>
      </c>
      <c r="E76" s="68">
        <f>'[2]2025'!D76</f>
        <v>15911.27</v>
      </c>
      <c r="F76" s="20">
        <f>'[2]2025'!E76</f>
        <v>993</v>
      </c>
      <c r="G76" s="73">
        <f>'[2]2025'!F76</f>
        <v>16000</v>
      </c>
      <c r="H76" s="42">
        <f>'[2]2025'!G76</f>
        <v>15393.46</v>
      </c>
      <c r="I76" s="13">
        <f>'[2]2025'!H76</f>
        <v>15246.78</v>
      </c>
      <c r="J76" s="14">
        <f>'[2]2025'!I76</f>
        <v>882</v>
      </c>
      <c r="K76" s="15">
        <f>'[2]2025'!J76</f>
        <v>169.09</v>
      </c>
      <c r="L76" s="15">
        <f>'[2]2025'!K76</f>
        <v>186.42</v>
      </c>
      <c r="M76" s="15">
        <f>'[2]2025'!L76</f>
        <v>93.47</v>
      </c>
      <c r="N76" s="16">
        <f t="shared" si="5"/>
        <v>6.1304747625400245E-3</v>
      </c>
      <c r="O76" s="17">
        <f t="shared" si="6"/>
        <v>-4.1762222625849464E-2</v>
      </c>
      <c r="P76" s="17">
        <f t="shared" si="7"/>
        <v>-0.11178247734138973</v>
      </c>
      <c r="Q76" s="18">
        <f t="shared" si="8"/>
        <v>90.169613815128045</v>
      </c>
      <c r="R76" s="18">
        <f t="shared" si="9"/>
        <v>81.787254586417774</v>
      </c>
      <c r="S76" s="34"/>
      <c r="T76" s="29" t="s">
        <v>8</v>
      </c>
      <c r="U76" s="1738"/>
    </row>
    <row r="77" spans="1:21">
      <c r="A77" s="10" t="s">
        <v>14</v>
      </c>
      <c r="B77" s="19">
        <v>46094</v>
      </c>
      <c r="C77" s="75">
        <f>IF(H77=0,"",'[2]2025-2026'!C76)</f>
        <v>16059.74</v>
      </c>
      <c r="D77" s="68">
        <f>'[2]2025'!C77</f>
        <v>25096.61</v>
      </c>
      <c r="E77" s="68">
        <f>'[2]2025'!D77</f>
        <v>24833.919999999998</v>
      </c>
      <c r="F77" s="20">
        <f>'[2]2025'!E77</f>
        <v>1389</v>
      </c>
      <c r="G77" s="73">
        <f>'[2]2025'!F77</f>
        <v>25000</v>
      </c>
      <c r="H77" s="42">
        <f>'[2]2025'!G77</f>
        <v>24630.03</v>
      </c>
      <c r="I77" s="13">
        <f>'[2]2025'!H77</f>
        <v>24303.03</v>
      </c>
      <c r="J77" s="14">
        <f>'[2]2025'!I77</f>
        <v>1315</v>
      </c>
      <c r="K77" s="15">
        <f>'[2]2025'!J77</f>
        <v>256.77999999999997</v>
      </c>
      <c r="L77" s="15">
        <f>'[2]2025'!K77</f>
        <v>265.52999999999997</v>
      </c>
      <c r="M77" s="15">
        <f>'[2]2025'!L77</f>
        <v>104.27</v>
      </c>
      <c r="N77" s="16">
        <f t="shared" si="5"/>
        <v>4.2904115248180988E-3</v>
      </c>
      <c r="O77" s="17">
        <f t="shared" si="6"/>
        <v>-2.1377615777130612E-2</v>
      </c>
      <c r="P77" s="17">
        <f t="shared" si="7"/>
        <v>-5.3275737940964719E-2</v>
      </c>
      <c r="Q77" s="18">
        <f t="shared" si="8"/>
        <v>94.64533842199549</v>
      </c>
      <c r="R77" s="18">
        <f t="shared" si="9"/>
        <v>91.526494181448427</v>
      </c>
      <c r="S77" s="36" t="s">
        <v>40</v>
      </c>
      <c r="T77" s="48">
        <f>SUM(I73:I79)/SUM(L73:L79)</f>
        <v>84.407823775161418</v>
      </c>
      <c r="U77" s="1738"/>
    </row>
    <row r="78" spans="1:21">
      <c r="A78" s="10" t="s">
        <v>15</v>
      </c>
      <c r="B78" s="19">
        <v>46095</v>
      </c>
      <c r="C78" s="75">
        <f>IF(H78=0,"",'[2]2025-2026'!C77)</f>
        <v>25096.61</v>
      </c>
      <c r="D78" s="68">
        <f>'[2]2025'!C78</f>
        <v>30719.759999999998</v>
      </c>
      <c r="E78" s="68">
        <f>'[2]2025'!D78</f>
        <v>30371.03</v>
      </c>
      <c r="F78" s="20">
        <f>'[2]2025'!E78</f>
        <v>1571</v>
      </c>
      <c r="G78" s="73">
        <f>'[2]2025'!F78</f>
        <v>30600</v>
      </c>
      <c r="H78" s="42">
        <f>'[2]2025'!G78</f>
        <v>28102.61</v>
      </c>
      <c r="I78" s="13">
        <f>'[2]2025'!H78</f>
        <v>27712</v>
      </c>
      <c r="J78" s="14">
        <f>'[2]2025'!I78</f>
        <v>1384</v>
      </c>
      <c r="K78" s="15">
        <f>'[2]2025'!J78</f>
        <v>294.73</v>
      </c>
      <c r="L78" s="15">
        <f>'[2]2025'!K78</f>
        <v>303.3</v>
      </c>
      <c r="M78" s="15">
        <f>'[2]2025'!L78</f>
        <v>136.6</v>
      </c>
      <c r="N78" s="16">
        <f t="shared" si="5"/>
        <v>4.9292725173210161E-3</v>
      </c>
      <c r="O78" s="17">
        <f t="shared" si="6"/>
        <v>-8.7551525252847831E-2</v>
      </c>
      <c r="P78" s="17">
        <f t="shared" si="7"/>
        <v>-0.11903246339910885</v>
      </c>
      <c r="Q78" s="18">
        <f t="shared" si="8"/>
        <v>94.025039866996906</v>
      </c>
      <c r="R78" s="18">
        <f t="shared" si="9"/>
        <v>91.368282228816355</v>
      </c>
      <c r="S78" s="36">
        <f>SUM(J73:J79)</f>
        <v>7216</v>
      </c>
      <c r="T78" s="30" t="s">
        <v>3</v>
      </c>
      <c r="U78" s="1738"/>
    </row>
    <row r="79" spans="1:21" ht="18" thickBot="1">
      <c r="A79" s="10" t="s">
        <v>16</v>
      </c>
      <c r="B79" s="19">
        <v>46096</v>
      </c>
      <c r="C79" s="75">
        <f>IF(H79=0,"",'[2]2025-2026'!C78)</f>
        <v>30719.759999999998</v>
      </c>
      <c r="D79" s="68">
        <f>'[2]2025'!C79</f>
        <v>28371.4</v>
      </c>
      <c r="E79" s="68">
        <f>'[2]2025'!D79</f>
        <v>27982.080000000002</v>
      </c>
      <c r="F79" s="20">
        <f>'[2]2025'!E79</f>
        <v>1407</v>
      </c>
      <c r="G79" s="73">
        <f>'[2]2025'!F79</f>
        <v>28200</v>
      </c>
      <c r="H79" s="42">
        <f>'[2]2025'!G79</f>
        <v>23324.83</v>
      </c>
      <c r="I79" s="13">
        <f>'[2]2025'!H79</f>
        <v>22992.95</v>
      </c>
      <c r="J79" s="14">
        <f>'[2]2025'!I79</f>
        <v>1148</v>
      </c>
      <c r="K79" s="15">
        <f>'[2]2025'!J79</f>
        <v>251.6</v>
      </c>
      <c r="L79" s="15">
        <f>'[2]2025'!K79</f>
        <v>251.6</v>
      </c>
      <c r="M79" s="15">
        <f>'[2]2025'!L79</f>
        <v>58.51</v>
      </c>
      <c r="N79" s="16">
        <f t="shared" si="5"/>
        <v>2.5446930472166466E-3</v>
      </c>
      <c r="O79" s="17">
        <f t="shared" si="6"/>
        <v>-0.1782973245734413</v>
      </c>
      <c r="P79" s="17">
        <f t="shared" si="7"/>
        <v>-0.18407960199004975</v>
      </c>
      <c r="Q79" s="18">
        <f t="shared" si="8"/>
        <v>91.386923688394276</v>
      </c>
      <c r="R79" s="18">
        <f t="shared" si="9"/>
        <v>91.386923688394276</v>
      </c>
      <c r="S79" s="37">
        <f>(S78-SUM(F73:F79))/SUM(F73:F79)</f>
        <v>-0.11709286675639301</v>
      </c>
      <c r="T79" s="47">
        <f>SUM(M73:M79)/SUM(I73:I79)</f>
        <v>4.9215028285498905E-3</v>
      </c>
      <c r="U79" s="1739"/>
    </row>
    <row r="80" spans="1:21" ht="17" customHeight="1" thickTop="1">
      <c r="A80" s="10" t="s">
        <v>9</v>
      </c>
      <c r="B80" s="19">
        <v>46097</v>
      </c>
      <c r="C80" s="75">
        <f>IF(H80=0,"",'[2]2025-2026'!C79)</f>
        <v>28371.4</v>
      </c>
      <c r="D80" s="68">
        <f>'[2]2025'!C80</f>
        <v>14693.93</v>
      </c>
      <c r="E80" s="68">
        <f>'[2]2025'!D80</f>
        <v>14514.13</v>
      </c>
      <c r="F80" s="20">
        <f>'[2]2025'!E80</f>
        <v>915</v>
      </c>
      <c r="G80" s="73">
        <f>'[2]2025'!F80</f>
        <v>14600</v>
      </c>
      <c r="H80" s="42">
        <f>'[2]2025'!G80</f>
        <v>13124.37</v>
      </c>
      <c r="I80" s="13">
        <f>'[2]2025'!H80</f>
        <v>12976.45</v>
      </c>
      <c r="J80" s="14">
        <f>'[2]2025'!I80</f>
        <v>781</v>
      </c>
      <c r="K80" s="15">
        <f>'[2]2025'!J80</f>
        <v>155.69999999999999</v>
      </c>
      <c r="L80" s="15">
        <f>'[2]2025'!K80</f>
        <v>173.33</v>
      </c>
      <c r="M80" s="15">
        <f>'[2]2025'!L80</f>
        <v>162.5</v>
      </c>
      <c r="N80" s="16">
        <f t="shared" si="5"/>
        <v>1.252268532610999E-2</v>
      </c>
      <c r="O80" s="17">
        <f t="shared" si="6"/>
        <v>-0.10594365628528879</v>
      </c>
      <c r="P80" s="17">
        <f t="shared" si="7"/>
        <v>-0.14644808743169399</v>
      </c>
      <c r="Q80" s="18">
        <f t="shared" si="8"/>
        <v>83.34264611432242</v>
      </c>
      <c r="R80" s="18">
        <f t="shared" si="9"/>
        <v>74.865574337968042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19">
        <v>46098</v>
      </c>
      <c r="C81" s="75">
        <f>IF(H81=0,"",'[2]2025-2026'!C80)</f>
        <v>14693.93</v>
      </c>
      <c r="D81" s="68">
        <f>'[2]2025'!C81</f>
        <v>15166.88</v>
      </c>
      <c r="E81" s="68">
        <f>'[2]2025'!D81</f>
        <v>15001.03</v>
      </c>
      <c r="F81" s="20">
        <f>'[2]2025'!E81</f>
        <v>968</v>
      </c>
      <c r="G81" s="73">
        <f>'[2]2025'!F81</f>
        <v>15100</v>
      </c>
      <c r="H81" s="42">
        <f>'[2]2025'!G81</f>
        <v>14835.63</v>
      </c>
      <c r="I81" s="13">
        <f>'[2]2025'!H81</f>
        <v>14679.6</v>
      </c>
      <c r="J81" s="14">
        <f>'[2]2025'!I81</f>
        <v>829</v>
      </c>
      <c r="K81" s="15">
        <f>'[2]2025'!J81</f>
        <v>157.44</v>
      </c>
      <c r="L81" s="15">
        <f>'[2]2025'!K81</f>
        <v>174.97</v>
      </c>
      <c r="M81" s="15">
        <f>'[2]2025'!L81</f>
        <v>82.14</v>
      </c>
      <c r="N81" s="16">
        <f t="shared" si="5"/>
        <v>5.595520313905011E-3</v>
      </c>
      <c r="O81" s="17">
        <f t="shared" si="6"/>
        <v>-2.142719533258718E-2</v>
      </c>
      <c r="P81" s="17">
        <f t="shared" si="7"/>
        <v>-0.14359504132231404</v>
      </c>
      <c r="Q81" s="18">
        <f t="shared" si="8"/>
        <v>93.239329268292693</v>
      </c>
      <c r="R81" s="18">
        <f t="shared" si="9"/>
        <v>83.897811053323423</v>
      </c>
      <c r="S81" s="34">
        <f>SUM(I80:I86)</f>
        <v>134637.24</v>
      </c>
      <c r="T81" s="45" t="s">
        <v>41</v>
      </c>
      <c r="U81" s="1738"/>
    </row>
    <row r="82" spans="1:21">
      <c r="A82" s="10" t="s">
        <v>12</v>
      </c>
      <c r="B82" s="19">
        <v>46099</v>
      </c>
      <c r="C82" s="75">
        <f>IF(H82=0,"",'[2]2025-2026'!C81)</f>
        <v>15166.88</v>
      </c>
      <c r="D82" s="68">
        <f>'[2]2025'!C82</f>
        <v>18635.939999999999</v>
      </c>
      <c r="E82" s="68">
        <f>'[2]2025'!D82</f>
        <v>18363.79</v>
      </c>
      <c r="F82" s="20">
        <f>'[2]2025'!E82</f>
        <v>1130</v>
      </c>
      <c r="G82" s="73">
        <f>'[2]2025'!F82</f>
        <v>18500</v>
      </c>
      <c r="H82" s="42">
        <f>'[2]2025'!G82</f>
        <v>15485.65</v>
      </c>
      <c r="I82" s="13">
        <f>'[2]2025'!H82</f>
        <v>15229.08</v>
      </c>
      <c r="J82" s="14">
        <f>'[2]2025'!I82</f>
        <v>884</v>
      </c>
      <c r="K82" s="15">
        <f>'[2]2025'!J82</f>
        <v>175.53</v>
      </c>
      <c r="L82" s="15">
        <f>'[2]2025'!K82</f>
        <v>190.78</v>
      </c>
      <c r="M82" s="15">
        <f>'[2]2025'!L82</f>
        <v>109.33</v>
      </c>
      <c r="N82" s="16">
        <f t="shared" si="5"/>
        <v>7.1790285427616113E-3</v>
      </c>
      <c r="O82" s="17">
        <f t="shared" si="6"/>
        <v>-0.17070060156427408</v>
      </c>
      <c r="P82" s="17">
        <f t="shared" si="7"/>
        <v>-0.2176991150442478</v>
      </c>
      <c r="Q82" s="18">
        <f t="shared" si="8"/>
        <v>86.760553751495465</v>
      </c>
      <c r="R82" s="18">
        <f t="shared" si="9"/>
        <v>79.825348569032386</v>
      </c>
      <c r="S82" s="35">
        <f>(S81-SUM(E80:E86))/SUM(E80:E86)</f>
        <v>-1.8680510765982074E-2</v>
      </c>
      <c r="T82" s="48">
        <f>SUM(I80:I86)/SUM(K80:K86)</f>
        <v>96.254711315736785</v>
      </c>
      <c r="U82" s="1738"/>
    </row>
    <row r="83" spans="1:21">
      <c r="A83" s="10" t="s">
        <v>13</v>
      </c>
      <c r="B83" s="19">
        <v>46100</v>
      </c>
      <c r="C83" s="75">
        <f>IF(H83=0,"",'[2]2025-2026'!C82)</f>
        <v>18635.939999999999</v>
      </c>
      <c r="D83" s="68">
        <f>'[2]2025'!C83</f>
        <v>17358.349999999999</v>
      </c>
      <c r="E83" s="68">
        <f>'[2]2025'!D83</f>
        <v>17198.97</v>
      </c>
      <c r="F83" s="20">
        <f>'[2]2025'!E83</f>
        <v>1102</v>
      </c>
      <c r="G83" s="73">
        <f>'[2]2025'!F83</f>
        <v>17400</v>
      </c>
      <c r="H83" s="42">
        <f>'[2]2025'!G83</f>
        <v>17005.689999999999</v>
      </c>
      <c r="I83" s="13">
        <f>'[2]2025'!H83</f>
        <v>16860.79</v>
      </c>
      <c r="J83" s="14">
        <f>'[2]2025'!I83</f>
        <v>978</v>
      </c>
      <c r="K83" s="15">
        <f>'[2]2025'!J83</f>
        <v>201.25</v>
      </c>
      <c r="L83" s="15">
        <f>'[2]2025'!K83</f>
        <v>210.55</v>
      </c>
      <c r="M83" s="15">
        <f>'[2]2025'!L83</f>
        <v>112.26</v>
      </c>
      <c r="N83" s="16">
        <f t="shared" si="5"/>
        <v>6.6580510165893765E-3</v>
      </c>
      <c r="O83" s="17">
        <f t="shared" si="6"/>
        <v>-1.9662805388927375E-2</v>
      </c>
      <c r="P83" s="17">
        <f t="shared" si="7"/>
        <v>-0.11252268602540835</v>
      </c>
      <c r="Q83" s="18">
        <f t="shared" si="8"/>
        <v>83.780322981366467</v>
      </c>
      <c r="R83" s="18">
        <f t="shared" si="9"/>
        <v>80.079743528853001</v>
      </c>
      <c r="S83" s="34"/>
      <c r="T83" s="29" t="s">
        <v>8</v>
      </c>
      <c r="U83" s="1738"/>
    </row>
    <row r="84" spans="1:21">
      <c r="A84" s="10" t="s">
        <v>14</v>
      </c>
      <c r="B84" s="19">
        <v>46101</v>
      </c>
      <c r="C84" s="75">
        <f>IF(H84=0,"",'[2]2025-2026'!C83)</f>
        <v>17358.349999999999</v>
      </c>
      <c r="D84" s="68">
        <f>'[2]2025'!C84</f>
        <v>23048.27</v>
      </c>
      <c r="E84" s="68">
        <f>'[2]2025'!D84</f>
        <v>22807.66</v>
      </c>
      <c r="F84" s="20">
        <f>'[2]2025'!E84</f>
        <v>1235</v>
      </c>
      <c r="G84" s="73">
        <f>'[2]2025'!F84</f>
        <v>23000</v>
      </c>
      <c r="H84" s="42">
        <f>'[2]2025'!G84</f>
        <v>25393.279999999999</v>
      </c>
      <c r="I84" s="13">
        <f>'[2]2025'!H84</f>
        <v>25039.69</v>
      </c>
      <c r="J84" s="14">
        <f>'[2]2025'!I84</f>
        <v>1356</v>
      </c>
      <c r="K84" s="15">
        <f>'[2]2025'!J84</f>
        <v>221.73000000000002</v>
      </c>
      <c r="L84" s="15">
        <f>'[2]2025'!K84</f>
        <v>230.4</v>
      </c>
      <c r="M84" s="15">
        <f>'[2]2025'!L84</f>
        <v>74.989999999999995</v>
      </c>
      <c r="N84" s="16">
        <f t="shared" si="5"/>
        <v>2.9948453834692042E-3</v>
      </c>
      <c r="O84" s="17">
        <f t="shared" si="6"/>
        <v>9.786317403889741E-2</v>
      </c>
      <c r="P84" s="17">
        <f t="shared" si="7"/>
        <v>9.7975708502024292E-2</v>
      </c>
      <c r="Q84" s="18">
        <f t="shared" si="8"/>
        <v>112.92874216389301</v>
      </c>
      <c r="R84" s="18">
        <f t="shared" si="9"/>
        <v>108.67921006944444</v>
      </c>
      <c r="S84" s="36" t="s">
        <v>40</v>
      </c>
      <c r="T84" s="48">
        <f>SUM(I80:I86)/SUM(L80:L86)</f>
        <v>90.667860870736376</v>
      </c>
      <c r="U84" s="1738"/>
    </row>
    <row r="85" spans="1:21">
      <c r="A85" s="10" t="s">
        <v>15</v>
      </c>
      <c r="B85" s="19">
        <v>46102</v>
      </c>
      <c r="C85" s="75">
        <f>IF(H85=0,"",'[2]2025-2026'!C84)</f>
        <v>23048.27</v>
      </c>
      <c r="D85" s="68">
        <f>'[2]2025'!C85</f>
        <v>26840.33</v>
      </c>
      <c r="E85" s="68">
        <f>'[2]2025'!D85</f>
        <v>26533.439999999999</v>
      </c>
      <c r="F85" s="20">
        <f>'[2]2025'!E85</f>
        <v>1381</v>
      </c>
      <c r="G85" s="73">
        <f>'[2]2025'!F85</f>
        <v>26800</v>
      </c>
      <c r="H85" s="42">
        <f>'[2]2025'!G85</f>
        <v>25627.59</v>
      </c>
      <c r="I85" s="13">
        <f>'[2]2025'!H85</f>
        <v>25266.7</v>
      </c>
      <c r="J85" s="14">
        <f>'[2]2025'!I85</f>
        <v>1342</v>
      </c>
      <c r="K85" s="15">
        <f>'[2]2025'!J85</f>
        <v>254.30999999999997</v>
      </c>
      <c r="L85" s="15">
        <f>'[2]2025'!K85</f>
        <v>263.08999999999997</v>
      </c>
      <c r="M85" s="15">
        <f>'[2]2025'!L85</f>
        <v>104.24</v>
      </c>
      <c r="N85" s="16">
        <f t="shared" si="5"/>
        <v>4.1255882248176449E-3</v>
      </c>
      <c r="O85" s="17">
        <f t="shared" si="6"/>
        <v>-4.7741265361747214E-2</v>
      </c>
      <c r="P85" s="17">
        <f t="shared" si="7"/>
        <v>-2.8240405503258507E-2</v>
      </c>
      <c r="Q85" s="18">
        <f t="shared" si="8"/>
        <v>99.353938107034736</v>
      </c>
      <c r="R85" s="18">
        <f t="shared" si="9"/>
        <v>96.038237865369283</v>
      </c>
      <c r="S85" s="36">
        <f>SUM(J80:J86)</f>
        <v>7382</v>
      </c>
      <c r="T85" s="30" t="s">
        <v>3</v>
      </c>
      <c r="U85" s="1738"/>
    </row>
    <row r="86" spans="1:21" ht="18" thickBot="1">
      <c r="A86" s="10" t="s">
        <v>16</v>
      </c>
      <c r="B86" s="19">
        <v>46103</v>
      </c>
      <c r="C86" s="75">
        <f>IF(H86=0,"",'[2]2025-2026'!C85)</f>
        <v>26840.33</v>
      </c>
      <c r="D86" s="68">
        <f>'[2]2025'!C86</f>
        <v>23069.53</v>
      </c>
      <c r="E86" s="68">
        <f>'[2]2025'!D86</f>
        <v>22781.19</v>
      </c>
      <c r="F86" s="20">
        <f>'[2]2025'!E86</f>
        <v>1188</v>
      </c>
      <c r="G86" s="73">
        <f>'[2]2025'!F86</f>
        <v>23000</v>
      </c>
      <c r="H86" s="42">
        <f>'[2]2025'!G86</f>
        <v>24955.46</v>
      </c>
      <c r="I86" s="13">
        <f>'[2]2025'!H86</f>
        <v>24584.93</v>
      </c>
      <c r="J86" s="14">
        <f>'[2]2025'!I86</f>
        <v>1212</v>
      </c>
      <c r="K86" s="15">
        <f>'[2]2025'!J86</f>
        <v>232.8</v>
      </c>
      <c r="L86" s="15">
        <f>'[2]2025'!K86</f>
        <v>241.83</v>
      </c>
      <c r="M86" s="15">
        <f>'[2]2025'!L86</f>
        <v>75.17</v>
      </c>
      <c r="N86" s="16">
        <f t="shared" si="5"/>
        <v>3.0575641256656008E-3</v>
      </c>
      <c r="O86" s="17">
        <f t="shared" si="6"/>
        <v>7.9176724306324719E-2</v>
      </c>
      <c r="P86" s="17">
        <f t="shared" si="7"/>
        <v>2.0202020202020204E-2</v>
      </c>
      <c r="Q86" s="18">
        <f t="shared" si="8"/>
        <v>105.60536941580756</v>
      </c>
      <c r="R86" s="18">
        <f t="shared" si="9"/>
        <v>101.6620353140636</v>
      </c>
      <c r="S86" s="37">
        <f>(S85-SUM(F80:F86))/SUM(F80:F86)</f>
        <v>-6.7811592372774343E-2</v>
      </c>
      <c r="T86" s="47">
        <f>SUM(M80:M86)/SUM(I80:I86)</f>
        <v>5.3523824463424822E-3</v>
      </c>
      <c r="U86" s="1739"/>
    </row>
    <row r="87" spans="1:21" ht="17" customHeight="1" thickTop="1">
      <c r="A87" s="10" t="s">
        <v>9</v>
      </c>
      <c r="B87" s="19">
        <v>46104</v>
      </c>
      <c r="C87" s="75">
        <f>IF(H87=0,"",'[2]2025-2026'!C86)</f>
        <v>23069.53</v>
      </c>
      <c r="D87" s="68">
        <f>'[2]2025'!C87</f>
        <v>12694.96</v>
      </c>
      <c r="E87" s="68">
        <f>'[2]2025'!D87</f>
        <v>12599.45</v>
      </c>
      <c r="F87" s="20">
        <f>'[2]2025'!E87</f>
        <v>799</v>
      </c>
      <c r="G87" s="73">
        <f>'[2]2025'!F87</f>
        <v>12700</v>
      </c>
      <c r="H87" s="42">
        <f>'[2]2025'!G87</f>
        <v>12883.05</v>
      </c>
      <c r="I87" s="13">
        <f>'[2]2025'!H87</f>
        <v>12734.56</v>
      </c>
      <c r="J87" s="14">
        <f>'[2]2025'!I87</f>
        <v>772</v>
      </c>
      <c r="K87" s="15">
        <f>'[2]2025'!J87</f>
        <v>148.39999999999998</v>
      </c>
      <c r="L87" s="15">
        <f>'[2]2025'!K87</f>
        <v>167.2</v>
      </c>
      <c r="M87" s="15">
        <f>'[2]2025'!L87</f>
        <v>85.53</v>
      </c>
      <c r="N87" s="16">
        <f t="shared" si="5"/>
        <v>6.7163686849015594E-3</v>
      </c>
      <c r="O87" s="17">
        <f t="shared" si="6"/>
        <v>1.07234839616014E-2</v>
      </c>
      <c r="P87" s="17">
        <f t="shared" si="7"/>
        <v>-3.3792240300375469E-2</v>
      </c>
      <c r="Q87" s="18">
        <f t="shared" si="8"/>
        <v>85.812398921832894</v>
      </c>
      <c r="R87" s="18">
        <f t="shared" si="9"/>
        <v>76.163636363636371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19">
        <v>46105</v>
      </c>
      <c r="C88" s="75">
        <f>IF(H88=0,"",'[2]2025-2026'!C87)</f>
        <v>12694.96</v>
      </c>
      <c r="D88" s="68">
        <f>'[2]2025'!C88</f>
        <v>15274.77</v>
      </c>
      <c r="E88" s="68">
        <f>'[2]2025'!D88</f>
        <v>14960.25</v>
      </c>
      <c r="F88" s="20">
        <f>'[2]2025'!E88</f>
        <v>921</v>
      </c>
      <c r="G88" s="73">
        <f>'[2]2025'!F88</f>
        <v>15100</v>
      </c>
      <c r="H88" s="42">
        <f>'[2]2025'!G88</f>
        <v>14182.45</v>
      </c>
      <c r="I88" s="13">
        <f>'[2]2025'!H88</f>
        <v>13973.91</v>
      </c>
      <c r="J88" s="14">
        <f>'[2]2025'!I88</f>
        <v>813</v>
      </c>
      <c r="K88" s="15">
        <f>'[2]2025'!J88</f>
        <v>148.41</v>
      </c>
      <c r="L88" s="15">
        <f>'[2]2025'!K88</f>
        <v>176.04</v>
      </c>
      <c r="M88" s="15">
        <f>'[2]2025'!L88</f>
        <v>89.14</v>
      </c>
      <c r="N88" s="16">
        <f t="shared" si="5"/>
        <v>6.3790306363787942E-3</v>
      </c>
      <c r="O88" s="17">
        <f t="shared" si="6"/>
        <v>-6.5930716398455921E-2</v>
      </c>
      <c r="P88" s="17">
        <f t="shared" si="7"/>
        <v>-0.11726384364820847</v>
      </c>
      <c r="Q88" s="18">
        <f t="shared" si="8"/>
        <v>94.157469173236308</v>
      </c>
      <c r="R88" s="18">
        <f t="shared" si="9"/>
        <v>79.379175187457392</v>
      </c>
      <c r="S88" s="34">
        <f>SUM(I87:I93)</f>
        <v>143211.39000000001</v>
      </c>
      <c r="T88" s="45" t="s">
        <v>41</v>
      </c>
      <c r="U88" s="1738"/>
    </row>
    <row r="89" spans="1:21">
      <c r="A89" s="10" t="s">
        <v>12</v>
      </c>
      <c r="B89" s="19">
        <v>46106</v>
      </c>
      <c r="C89" s="75">
        <f>IF(H89=0,"",'[2]2025-2026'!C88)</f>
        <v>15274.77</v>
      </c>
      <c r="D89" s="68">
        <f>'[2]2025'!C89</f>
        <v>18604.5</v>
      </c>
      <c r="E89" s="68">
        <f>'[2]2025'!D89</f>
        <v>18124.86</v>
      </c>
      <c r="F89" s="20">
        <f>'[2]2025'!E89</f>
        <v>1144</v>
      </c>
      <c r="G89" s="73">
        <f>'[2]2025'!F89</f>
        <v>18300</v>
      </c>
      <c r="H89" s="42">
        <f>'[2]2025'!G89</f>
        <v>18112.89</v>
      </c>
      <c r="I89" s="13">
        <f>'[2]2025'!H89</f>
        <v>17730.259999999998</v>
      </c>
      <c r="J89" s="14">
        <f>'[2]2025'!I89</f>
        <v>995</v>
      </c>
      <c r="K89" s="15">
        <f>'[2]2025'!J89</f>
        <v>183.7</v>
      </c>
      <c r="L89" s="15">
        <f>'[2]2025'!K89</f>
        <v>192.45</v>
      </c>
      <c r="M89" s="15">
        <f>'[2]2025'!L89</f>
        <v>84.66</v>
      </c>
      <c r="N89" s="16">
        <f t="shared" si="5"/>
        <v>4.7748876779020724E-3</v>
      </c>
      <c r="O89" s="17">
        <f t="shared" si="6"/>
        <v>-2.1771202646530905E-2</v>
      </c>
      <c r="P89" s="17">
        <f t="shared" si="7"/>
        <v>-0.13024475524475523</v>
      </c>
      <c r="Q89" s="18">
        <f t="shared" si="8"/>
        <v>96.51747414262384</v>
      </c>
      <c r="R89" s="18">
        <f t="shared" si="9"/>
        <v>92.129176409457003</v>
      </c>
      <c r="S89" s="35">
        <f>(S88-SUM(E87:E93))/SUM(E87:E93)</f>
        <v>4.2779398652257371E-3</v>
      </c>
      <c r="T89" s="48">
        <f>SUM(I87:I93)/SUM(K87:K93)</f>
        <v>103.22062374317984</v>
      </c>
      <c r="U89" s="1738"/>
    </row>
    <row r="90" spans="1:21">
      <c r="A90" s="10" t="s">
        <v>13</v>
      </c>
      <c r="B90" s="19">
        <v>46107</v>
      </c>
      <c r="C90" s="75">
        <f>IF(H90=0,"",'[2]2025-2026'!C89)</f>
        <v>18604.5</v>
      </c>
      <c r="D90" s="68">
        <f>'[2]2025'!C90</f>
        <v>18694.509999999998</v>
      </c>
      <c r="E90" s="68">
        <f>'[2]2025'!D90</f>
        <v>18315.78</v>
      </c>
      <c r="F90" s="20">
        <f>'[2]2025'!E90</f>
        <v>1136</v>
      </c>
      <c r="G90" s="73">
        <f>'[2]2025'!F90</f>
        <v>18500</v>
      </c>
      <c r="H90" s="42">
        <f>'[2]2025'!G90</f>
        <v>18279.939999999999</v>
      </c>
      <c r="I90" s="13">
        <f>'[2]2025'!H90</f>
        <v>17952.400000000001</v>
      </c>
      <c r="J90" s="14">
        <f>'[2]2025'!I90</f>
        <v>995</v>
      </c>
      <c r="K90" s="15">
        <f>'[2]2025'!J90</f>
        <v>169.48</v>
      </c>
      <c r="L90" s="15">
        <f>'[2]2025'!K90</f>
        <v>186.53</v>
      </c>
      <c r="M90" s="15">
        <f>'[2]2025'!L90</f>
        <v>86.23</v>
      </c>
      <c r="N90" s="16">
        <f t="shared" si="5"/>
        <v>4.8032575031750624E-3</v>
      </c>
      <c r="O90" s="17">
        <f t="shared" si="6"/>
        <v>-1.9839722905603659E-2</v>
      </c>
      <c r="P90" s="17">
        <f t="shared" si="7"/>
        <v>-0.12411971830985916</v>
      </c>
      <c r="Q90" s="18">
        <f t="shared" si="8"/>
        <v>105.92636299268352</v>
      </c>
      <c r="R90" s="18">
        <f t="shared" si="9"/>
        <v>96.244035811933742</v>
      </c>
      <c r="S90" s="34"/>
      <c r="T90" s="29" t="s">
        <v>8</v>
      </c>
      <c r="U90" s="1738"/>
    </row>
    <row r="91" spans="1:21">
      <c r="A91" s="10" t="s">
        <v>14</v>
      </c>
      <c r="B91" s="19">
        <v>46108</v>
      </c>
      <c r="C91" s="75">
        <f>IF(H91=0,"",'[2]2025-2026'!C90)</f>
        <v>18694.509999999998</v>
      </c>
      <c r="D91" s="68">
        <f>'[2]2025'!C91</f>
        <v>25478.35</v>
      </c>
      <c r="E91" s="68">
        <f>'[2]2025'!D91</f>
        <v>24906.94</v>
      </c>
      <c r="F91" s="20">
        <f>'[2]2025'!E91</f>
        <v>1350</v>
      </c>
      <c r="G91" s="73">
        <f>'[2]2025'!F91</f>
        <v>25100</v>
      </c>
      <c r="H91" s="42">
        <f>'[2]2025'!G91</f>
        <v>27328.19</v>
      </c>
      <c r="I91" s="13">
        <f>'[2]2025'!H91</f>
        <v>26781.119999999999</v>
      </c>
      <c r="J91" s="14">
        <f>'[2]2025'!I91</f>
        <v>1383</v>
      </c>
      <c r="K91" s="15">
        <f>'[2]2025'!J91</f>
        <v>251.35000000000002</v>
      </c>
      <c r="L91" s="15">
        <f>'[2]2025'!K91</f>
        <v>269.95</v>
      </c>
      <c r="M91" s="15">
        <f>'[2]2025'!L91</f>
        <v>94.59</v>
      </c>
      <c r="N91" s="16">
        <f t="shared" si="5"/>
        <v>3.531965802774492E-3</v>
      </c>
      <c r="O91" s="17">
        <f t="shared" si="6"/>
        <v>7.5247300551573193E-2</v>
      </c>
      <c r="P91" s="17">
        <f t="shared" si="7"/>
        <v>2.4444444444444446E-2</v>
      </c>
      <c r="Q91" s="18">
        <f t="shared" si="8"/>
        <v>106.54911478018698</v>
      </c>
      <c r="R91" s="18">
        <f t="shared" si="9"/>
        <v>99.20770513057974</v>
      </c>
      <c r="S91" s="36" t="s">
        <v>40</v>
      </c>
      <c r="T91" s="48">
        <f>SUM(I87:I93)/SUM(L87:L93)</f>
        <v>95.703309921746055</v>
      </c>
      <c r="U91" s="1738"/>
    </row>
    <row r="92" spans="1:21">
      <c r="A92" s="10" t="s">
        <v>15</v>
      </c>
      <c r="B92" s="19">
        <v>46109</v>
      </c>
      <c r="C92" s="75">
        <f>IF(H92=0,"",'[2]2025-2026'!C91)</f>
        <v>25478.35</v>
      </c>
      <c r="D92" s="68">
        <f>'[2]2025'!C92</f>
        <v>28406.63</v>
      </c>
      <c r="E92" s="68">
        <f>'[2]2025'!D92</f>
        <v>27744.639999999999</v>
      </c>
      <c r="F92" s="20">
        <f>'[2]2025'!E92</f>
        <v>1465</v>
      </c>
      <c r="G92" s="73">
        <f>'[2]2025'!F92</f>
        <v>28000</v>
      </c>
      <c r="H92" s="42">
        <f>'[2]2025'!G92</f>
        <v>28398.81</v>
      </c>
      <c r="I92" s="13">
        <f>'[2]2025'!H92</f>
        <v>27874.63</v>
      </c>
      <c r="J92" s="14">
        <f>'[2]2025'!I92</f>
        <v>1381</v>
      </c>
      <c r="K92" s="15">
        <f>'[2]2025'!J92</f>
        <v>269.87</v>
      </c>
      <c r="L92" s="15">
        <f>'[2]2025'!K92</f>
        <v>278.77</v>
      </c>
      <c r="M92" s="15">
        <f>'[2]2025'!L92</f>
        <v>95.52</v>
      </c>
      <c r="N92" s="16">
        <f t="shared" si="5"/>
        <v>3.4267719428024692E-3</v>
      </c>
      <c r="O92" s="17">
        <f t="shared" si="6"/>
        <v>4.6852292911352105E-3</v>
      </c>
      <c r="P92" s="17">
        <f t="shared" si="7"/>
        <v>-5.7337883959044371E-2</v>
      </c>
      <c r="Q92" s="18">
        <f t="shared" si="8"/>
        <v>103.28910216029941</v>
      </c>
      <c r="R92" s="18">
        <f t="shared" si="9"/>
        <v>99.991498367830118</v>
      </c>
      <c r="S92" s="36">
        <f>SUM(J87:J93)</f>
        <v>7587</v>
      </c>
      <c r="T92" s="30" t="s">
        <v>3</v>
      </c>
      <c r="U92" s="1738"/>
    </row>
    <row r="93" spans="1:21" ht="18" thickBot="1">
      <c r="A93" s="10" t="s">
        <v>16</v>
      </c>
      <c r="B93" s="19">
        <v>46110</v>
      </c>
      <c r="C93" s="75">
        <f>IF(H93=0,"",'[2]2025-2026'!C92)</f>
        <v>28406.63</v>
      </c>
      <c r="D93" s="68">
        <f>'[2]2025'!C93</f>
        <v>26433.040000000001</v>
      </c>
      <c r="E93" s="68">
        <f>'[2]2025'!D93</f>
        <v>25949.43</v>
      </c>
      <c r="F93" s="20">
        <f>'[2]2025'!E93</f>
        <v>1370</v>
      </c>
      <c r="G93" s="73">
        <f>'[2]2025'!F93</f>
        <v>26200</v>
      </c>
      <c r="H93" s="42">
        <f>'[2]2025'!G93</f>
        <v>26679.67</v>
      </c>
      <c r="I93" s="13">
        <f>'[2]2025'!H93</f>
        <v>26164.51</v>
      </c>
      <c r="J93" s="14">
        <f>'[2]2025'!I93</f>
        <v>1248</v>
      </c>
      <c r="K93" s="15">
        <f>'[2]2025'!J93</f>
        <v>216.22</v>
      </c>
      <c r="L93" s="15">
        <f>'[2]2025'!K93</f>
        <v>225.47</v>
      </c>
      <c r="M93" s="15">
        <f>'[2]2025'!L93</f>
        <v>84.6</v>
      </c>
      <c r="N93" s="16">
        <f t="shared" si="5"/>
        <v>3.2333875161430501E-3</v>
      </c>
      <c r="O93" s="17">
        <f t="shared" si="6"/>
        <v>8.2884286861020888E-3</v>
      </c>
      <c r="P93" s="17">
        <f t="shared" si="7"/>
        <v>-8.9051094890510954E-2</v>
      </c>
      <c r="Q93" s="18">
        <f t="shared" si="8"/>
        <v>121.00874109703079</v>
      </c>
      <c r="R93" s="18">
        <f t="shared" si="9"/>
        <v>116.04430744666696</v>
      </c>
      <c r="S93" s="37">
        <f>(S92-SUM(F87:F93))/SUM(F87:F93)</f>
        <v>-7.3060476481368361E-2</v>
      </c>
      <c r="T93" s="47">
        <f>SUM(M87:M93)/SUM(I87:I93)</f>
        <v>4.3311499176147935E-3</v>
      </c>
      <c r="U93" s="1739"/>
    </row>
    <row r="94" spans="1:21" ht="17" customHeight="1" thickTop="1">
      <c r="A94" s="10" t="s">
        <v>9</v>
      </c>
      <c r="B94" s="19">
        <v>46111</v>
      </c>
      <c r="C94" s="75">
        <f>IF(H94=0,"",'[2]2025-2026'!C93)</f>
        <v>26433.040000000001</v>
      </c>
      <c r="D94" s="68">
        <f>'[2]2025'!C94</f>
        <v>15167.24</v>
      </c>
      <c r="E94" s="68">
        <f>'[2]2025'!D94</f>
        <v>14941.22</v>
      </c>
      <c r="F94" s="20">
        <f>'[2]2025'!E94</f>
        <v>982</v>
      </c>
      <c r="G94" s="73">
        <f>'[2]2025'!F94</f>
        <v>15100</v>
      </c>
      <c r="H94" s="42">
        <f>'[2]2025'!G94</f>
        <v>14059.31</v>
      </c>
      <c r="I94" s="13">
        <f>'[2]2025'!H94</f>
        <v>13780.2</v>
      </c>
      <c r="J94" s="14">
        <f>'[2]2025'!I94</f>
        <v>789</v>
      </c>
      <c r="K94" s="15">
        <f>'[2]2025'!J94</f>
        <v>142.67999999999998</v>
      </c>
      <c r="L94" s="15">
        <f>'[2]2025'!K94</f>
        <v>170.48</v>
      </c>
      <c r="M94" s="15">
        <f>'[2]2025'!L94</f>
        <v>61.61</v>
      </c>
      <c r="N94" s="16">
        <f t="shared" si="5"/>
        <v>4.4709075339980546E-3</v>
      </c>
      <c r="O94" s="17">
        <f t="shared" si="6"/>
        <v>-7.7705836605042877E-2</v>
      </c>
      <c r="P94" s="17">
        <f t="shared" si="7"/>
        <v>-0.19653767820773932</v>
      </c>
      <c r="Q94" s="18">
        <f t="shared" si="8"/>
        <v>96.581160639192618</v>
      </c>
      <c r="R94" s="18">
        <f t="shared" si="9"/>
        <v>80.831769122477723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19">
        <v>46112</v>
      </c>
      <c r="C95" s="75">
        <f>IF(H95=0,"",'[2]2025-2026'!C94)</f>
        <v>15167.24</v>
      </c>
      <c r="D95" s="68">
        <f>'[2]2025'!C95</f>
        <v>16842.900000000001</v>
      </c>
      <c r="E95" s="68">
        <f>'[2]2025'!D95</f>
        <v>16574.939999999999</v>
      </c>
      <c r="F95" s="20">
        <f>'[2]2025'!E95</f>
        <v>1029</v>
      </c>
      <c r="G95" s="73">
        <f>'[2]2025'!F95</f>
        <v>16700</v>
      </c>
      <c r="H95" s="42">
        <f>'[2]2025'!G95</f>
        <v>16610.93</v>
      </c>
      <c r="I95" s="13">
        <f>'[2]2025'!H95</f>
        <v>16309.26</v>
      </c>
      <c r="J95" s="14">
        <f>'[2]2025'!I95</f>
        <v>902</v>
      </c>
      <c r="K95" s="15">
        <f>'[2]2025'!J95</f>
        <v>147.33000000000001</v>
      </c>
      <c r="L95" s="15">
        <f>'[2]2025'!K95</f>
        <v>166.08</v>
      </c>
      <c r="M95" s="15">
        <f>'[2]2025'!L95</f>
        <v>73.83</v>
      </c>
      <c r="N95" s="16">
        <f t="shared" si="5"/>
        <v>4.52687614275571E-3</v>
      </c>
      <c r="O95" s="17">
        <f t="shared" si="6"/>
        <v>-1.6029017299610045E-2</v>
      </c>
      <c r="P95" s="17">
        <f t="shared" si="7"/>
        <v>-0.12342079689018465</v>
      </c>
      <c r="Q95" s="18">
        <f t="shared" si="8"/>
        <v>110.69883934025655</v>
      </c>
      <c r="R95" s="18">
        <f t="shared" si="9"/>
        <v>98.201228323699411</v>
      </c>
      <c r="S95" s="34">
        <f>SUM(I94:I100)</f>
        <v>133046.76</v>
      </c>
      <c r="T95" s="45" t="s">
        <v>41</v>
      </c>
      <c r="U95" s="1738"/>
    </row>
    <row r="96" spans="1:21">
      <c r="A96" s="10" t="s">
        <v>12</v>
      </c>
      <c r="B96" s="19">
        <v>46113</v>
      </c>
      <c r="C96" s="75">
        <f>IF(H96=0,"",'[2]2025-2026'!C95)</f>
        <v>16842.900000000001</v>
      </c>
      <c r="D96" s="68">
        <f>'[2]2025'!C96</f>
        <v>21888.11</v>
      </c>
      <c r="E96" s="68">
        <f>'[2]2025'!D96</f>
        <v>21483.759999999998</v>
      </c>
      <c r="F96" s="20">
        <f>'[2]2025'!E96</f>
        <v>1260</v>
      </c>
      <c r="G96" s="73">
        <f>'[2]2025'!F96</f>
        <v>21700</v>
      </c>
      <c r="H96" s="42">
        <f>'[2]2025'!G96</f>
        <v>17941.349999999999</v>
      </c>
      <c r="I96" s="13">
        <f>'[2]2025'!H96</f>
        <v>17551.61</v>
      </c>
      <c r="J96" s="14">
        <f>'[2]2025'!I96</f>
        <v>999</v>
      </c>
      <c r="K96" s="15">
        <f>'[2]2025'!J96</f>
        <v>187.08</v>
      </c>
      <c r="L96" s="15">
        <f>'[2]2025'!K96</f>
        <v>204.3</v>
      </c>
      <c r="M96" s="15">
        <f>'[2]2025'!L96</f>
        <v>141.68</v>
      </c>
      <c r="N96" s="16">
        <f t="shared" si="5"/>
        <v>8.0721939468800866E-3</v>
      </c>
      <c r="O96" s="17">
        <f t="shared" si="6"/>
        <v>-0.1830289483777513</v>
      </c>
      <c r="P96" s="17">
        <f t="shared" si="7"/>
        <v>-0.20714285714285716</v>
      </c>
      <c r="Q96" s="18">
        <f t="shared" si="8"/>
        <v>93.818740645713063</v>
      </c>
      <c r="R96" s="18">
        <f t="shared" si="9"/>
        <v>85.910964268232988</v>
      </c>
      <c r="S96" s="35">
        <f>(S95-SUM(E94:E100))/SUM(E94:E100)</f>
        <v>-0.13098024092910363</v>
      </c>
      <c r="T96" s="48">
        <f>SUM(I94:I100)/SUM(K94:K100)</f>
        <v>97.656882390504933</v>
      </c>
      <c r="U96" s="1738"/>
    </row>
    <row r="97" spans="1:21">
      <c r="A97" s="10" t="s">
        <v>13</v>
      </c>
      <c r="B97" s="19">
        <v>46114</v>
      </c>
      <c r="C97" s="75">
        <f>IF(H97=0,"",'[2]2025-2026'!C96)</f>
        <v>21888.11</v>
      </c>
      <c r="D97" s="68">
        <f>'[2]2025'!C97</f>
        <v>19916.95</v>
      </c>
      <c r="E97" s="68">
        <f>'[2]2025'!D97</f>
        <v>19590.13</v>
      </c>
      <c r="F97" s="20">
        <f>'[2]2025'!E97</f>
        <v>1200</v>
      </c>
      <c r="G97" s="73">
        <f>'[2]2025'!F97</f>
        <v>19800</v>
      </c>
      <c r="H97" s="42">
        <f>'[2]2025'!G97</f>
        <v>17295.75</v>
      </c>
      <c r="I97" s="13">
        <f>'[2]2025'!H97</f>
        <v>16990.04</v>
      </c>
      <c r="J97" s="14">
        <f>'[2]2025'!I97</f>
        <v>915</v>
      </c>
      <c r="K97" s="15">
        <f>'[2]2025'!J97</f>
        <v>165.54</v>
      </c>
      <c r="L97" s="15">
        <f>'[2]2025'!K97</f>
        <v>174.17</v>
      </c>
      <c r="M97" s="15">
        <f>'[2]2025'!L97</f>
        <v>107.72</v>
      </c>
      <c r="N97" s="16">
        <f t="shared" si="5"/>
        <v>6.340185190852993E-3</v>
      </c>
      <c r="O97" s="17">
        <f t="shared" si="6"/>
        <v>-0.13272448932191874</v>
      </c>
      <c r="P97" s="17">
        <f t="shared" si="7"/>
        <v>-0.23749999999999999</v>
      </c>
      <c r="Q97" s="18">
        <f t="shared" si="8"/>
        <v>102.63404615198745</v>
      </c>
      <c r="R97" s="18">
        <f t="shared" si="9"/>
        <v>97.548601940632722</v>
      </c>
      <c r="S97" s="34"/>
      <c r="T97" s="29" t="s">
        <v>8</v>
      </c>
      <c r="U97" s="1738"/>
    </row>
    <row r="98" spans="1:21">
      <c r="A98" s="10" t="s">
        <v>14</v>
      </c>
      <c r="B98" s="19">
        <v>46115</v>
      </c>
      <c r="C98" s="75">
        <f>IF(H98=0,"",'[2]2025-2026'!C97)</f>
        <v>19916.95</v>
      </c>
      <c r="D98" s="68">
        <f>'[2]2025'!C98</f>
        <v>28655.01</v>
      </c>
      <c r="E98" s="68">
        <f>'[2]2025'!D98</f>
        <v>28160.639999999999</v>
      </c>
      <c r="F98" s="20">
        <f>'[2]2025'!E98</f>
        <v>1537</v>
      </c>
      <c r="G98" s="73">
        <f>'[2]2025'!F98</f>
        <v>28400</v>
      </c>
      <c r="H98" s="42">
        <f>'[2]2025'!G98</f>
        <v>25980.15</v>
      </c>
      <c r="I98" s="13">
        <f>'[2]2025'!H98</f>
        <v>25475.34</v>
      </c>
      <c r="J98" s="14">
        <f>'[2]2025'!I98</f>
        <v>1284</v>
      </c>
      <c r="K98" s="15">
        <f>'[2]2025'!J98</f>
        <v>243.95</v>
      </c>
      <c r="L98" s="15">
        <f>'[2]2025'!K98</f>
        <v>259.82</v>
      </c>
      <c r="M98" s="15">
        <f>'[2]2025'!L98</f>
        <v>108.35</v>
      </c>
      <c r="N98" s="16">
        <f t="shared" si="5"/>
        <v>4.2531326372876668E-3</v>
      </c>
      <c r="O98" s="17">
        <f t="shared" si="6"/>
        <v>-9.5356497579600435E-2</v>
      </c>
      <c r="P98" s="17">
        <f t="shared" si="7"/>
        <v>-0.16460637605725439</v>
      </c>
      <c r="Q98" s="18">
        <f t="shared" si="8"/>
        <v>104.42853043656487</v>
      </c>
      <c r="R98" s="18">
        <f t="shared" si="9"/>
        <v>98.049957662997457</v>
      </c>
      <c r="S98" s="36" t="s">
        <v>40</v>
      </c>
      <c r="T98" s="48">
        <f>SUM(I94:I100)/SUM(L94:L100)</f>
        <v>90.040036815462514</v>
      </c>
      <c r="U98" s="1738"/>
    </row>
    <row r="99" spans="1:21">
      <c r="A99" s="10" t="s">
        <v>15</v>
      </c>
      <c r="B99" s="19">
        <v>46116</v>
      </c>
      <c r="C99" s="75">
        <f>IF(H99=0,"",'[2]2025-2026'!C98)</f>
        <v>28655.01</v>
      </c>
      <c r="D99" s="68">
        <f>'[2]2025'!C99</f>
        <v>26931.72</v>
      </c>
      <c r="E99" s="68">
        <f>'[2]2025'!D99</f>
        <v>26319.18</v>
      </c>
      <c r="F99" s="20">
        <f>'[2]2025'!E99</f>
        <v>1357</v>
      </c>
      <c r="G99" s="73">
        <f>'[2]2025'!F99</f>
        <v>26500</v>
      </c>
      <c r="H99" s="42">
        <f>'[2]2025'!G99</f>
        <v>26042.42</v>
      </c>
      <c r="I99" s="13">
        <f>'[2]2025'!H99</f>
        <v>25532</v>
      </c>
      <c r="J99" s="14">
        <f>'[2]2025'!I99</f>
        <v>1275</v>
      </c>
      <c r="K99" s="15">
        <f>'[2]2025'!J99</f>
        <v>264.37</v>
      </c>
      <c r="L99" s="15">
        <f>'[2]2025'!K99</f>
        <v>273.05</v>
      </c>
      <c r="M99" s="15">
        <f>'[2]2025'!L99</f>
        <v>107.26</v>
      </c>
      <c r="N99" s="16">
        <f t="shared" si="5"/>
        <v>4.2010026633244558E-3</v>
      </c>
      <c r="O99" s="17">
        <f t="shared" si="6"/>
        <v>-2.990898652617598E-2</v>
      </c>
      <c r="P99" s="17">
        <f t="shared" si="7"/>
        <v>-6.0427413411938101E-2</v>
      </c>
      <c r="Q99" s="18">
        <f t="shared" si="8"/>
        <v>96.576767409312708</v>
      </c>
      <c r="R99" s="18">
        <f t="shared" si="9"/>
        <v>93.50668375755356</v>
      </c>
      <c r="S99" s="36">
        <f>SUM(J94:J100)</f>
        <v>7073</v>
      </c>
      <c r="T99" s="30" t="s">
        <v>3</v>
      </c>
      <c r="U99" s="1738"/>
    </row>
    <row r="100" spans="1:21" ht="18" thickBot="1">
      <c r="A100" s="10" t="s">
        <v>16</v>
      </c>
      <c r="B100" s="19">
        <v>46117</v>
      </c>
      <c r="C100" s="75">
        <f>IF(H100=0,"",'[2]2025-2026'!C99)</f>
        <v>26931.72</v>
      </c>
      <c r="D100" s="68">
        <f>'[2]2025'!C100</f>
        <v>26490.45</v>
      </c>
      <c r="E100" s="68">
        <f>'[2]2025'!D100</f>
        <v>26029.94</v>
      </c>
      <c r="F100" s="20">
        <f>'[2]2025'!E100</f>
        <v>1304</v>
      </c>
      <c r="G100" s="73">
        <f>'[2]2025'!F100</f>
        <v>26300</v>
      </c>
      <c r="H100" s="42">
        <f>'[2]2025'!G100</f>
        <v>17848.05</v>
      </c>
      <c r="I100" s="13">
        <f>'[2]2025'!H100</f>
        <v>17408.310000000001</v>
      </c>
      <c r="J100" s="14">
        <f>'[2]2025'!I100</f>
        <v>909</v>
      </c>
      <c r="K100" s="15">
        <f>'[2]2025'!J100</f>
        <v>211.44</v>
      </c>
      <c r="L100" s="15">
        <f>'[2]2025'!K100</f>
        <v>229.74</v>
      </c>
      <c r="M100" s="15">
        <f>'[2]2025'!L100</f>
        <v>84.34</v>
      </c>
      <c r="N100" s="16">
        <f t="shared" si="5"/>
        <v>4.8448126210987735E-3</v>
      </c>
      <c r="O100" s="17">
        <f t="shared" si="6"/>
        <v>-0.3312197415745099</v>
      </c>
      <c r="P100" s="17">
        <f t="shared" si="7"/>
        <v>-0.30291411042944788</v>
      </c>
      <c r="Q100" s="18">
        <f t="shared" si="8"/>
        <v>82.332150964812726</v>
      </c>
      <c r="R100" s="18">
        <f t="shared" si="9"/>
        <v>75.773961869939939</v>
      </c>
      <c r="S100" s="37">
        <f>(S99-SUM(F94:F100))/SUM(F94:F100)</f>
        <v>-0.18410427961702619</v>
      </c>
      <c r="T100" s="47">
        <f>SUM(M94:M100)/SUM(I94:I100)</f>
        <v>5.1469874200619397E-3</v>
      </c>
      <c r="U100" s="1739"/>
    </row>
    <row r="101" spans="1:21" ht="17" customHeight="1" thickTop="1">
      <c r="A101" s="10" t="s">
        <v>9</v>
      </c>
      <c r="B101" s="19">
        <v>46118</v>
      </c>
      <c r="C101" s="75">
        <f>IF(H101=0,"",'[2]2025-2026'!C100)</f>
        <v>26490.45</v>
      </c>
      <c r="D101" s="68">
        <f>'[2]2025'!C101</f>
        <v>16059.52</v>
      </c>
      <c r="E101" s="68">
        <f>'[2]2025'!D101</f>
        <v>15912.83</v>
      </c>
      <c r="F101" s="20">
        <f>'[2]2025'!E101</f>
        <v>1009</v>
      </c>
      <c r="G101" s="73">
        <f>'[2]2025'!F101</f>
        <v>27300</v>
      </c>
      <c r="H101" s="42">
        <f>'[2]2025'!G101</f>
        <v>21202.78</v>
      </c>
      <c r="I101" s="13">
        <f>'[2]2025'!H101</f>
        <v>20832.490000000002</v>
      </c>
      <c r="J101" s="14">
        <f>'[2]2025'!I101</f>
        <v>1013</v>
      </c>
      <c r="K101" s="15">
        <f>'[2]2025'!J101</f>
        <v>219.9</v>
      </c>
      <c r="L101" s="15">
        <f>'[2]2025'!K101</f>
        <v>238.22</v>
      </c>
      <c r="M101" s="15">
        <f>'[2]2025'!L101</f>
        <v>0</v>
      </c>
      <c r="N101" s="16" t="str">
        <f t="shared" si="5"/>
        <v/>
      </c>
      <c r="O101" s="17">
        <f t="shared" si="6"/>
        <v>0.30916310926466267</v>
      </c>
      <c r="P101" s="17">
        <f t="shared" si="7"/>
        <v>3.9643211100099107E-3</v>
      </c>
      <c r="Q101" s="18">
        <f t="shared" si="8"/>
        <v>94.736198271941802</v>
      </c>
      <c r="R101" s="18">
        <f t="shared" si="9"/>
        <v>87.450633867853256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19">
        <v>46119</v>
      </c>
      <c r="C102" s="75">
        <f>IF(H102=0,"",'[2]2025-2026'!C101)</f>
        <v>16059.52</v>
      </c>
      <c r="D102" s="68">
        <f>'[2]2025'!C102</f>
        <v>16553.8</v>
      </c>
      <c r="E102" s="68">
        <f>'[2]2025'!D102</f>
        <v>16371.51</v>
      </c>
      <c r="F102" s="20">
        <f>'[2]2025'!E102</f>
        <v>1099</v>
      </c>
      <c r="G102" s="73">
        <f>'[2]2025'!F102</f>
        <v>16500</v>
      </c>
      <c r="H102" s="42">
        <f>'[2]2025'!G102</f>
        <v>16443.939999999999</v>
      </c>
      <c r="I102" s="13">
        <f>'[2]2025'!H102</f>
        <v>16088.8</v>
      </c>
      <c r="J102" s="14">
        <f>'[2]2025'!I102</f>
        <v>910</v>
      </c>
      <c r="K102" s="15">
        <f>'[2]2025'!J102</f>
        <v>154.54</v>
      </c>
      <c r="L102" s="15">
        <f>'[2]2025'!K102</f>
        <v>172.41</v>
      </c>
      <c r="M102" s="15">
        <f>'[2]2025'!L102</f>
        <v>114.76</v>
      </c>
      <c r="N102" s="16">
        <f t="shared" si="5"/>
        <v>7.1329123365322464E-3</v>
      </c>
      <c r="O102" s="17">
        <f t="shared" si="6"/>
        <v>-1.7268413237386225E-2</v>
      </c>
      <c r="P102" s="17">
        <f t="shared" si="7"/>
        <v>-0.17197452229299362</v>
      </c>
      <c r="Q102" s="18">
        <f t="shared" si="8"/>
        <v>104.10767438850783</v>
      </c>
      <c r="R102" s="18">
        <f t="shared" si="9"/>
        <v>93.317092976045473</v>
      </c>
      <c r="S102" s="34">
        <f>SUM(I101:I107)</f>
        <v>141289.22</v>
      </c>
      <c r="T102" s="45" t="s">
        <v>41</v>
      </c>
      <c r="U102" s="1738"/>
    </row>
    <row r="103" spans="1:21">
      <c r="A103" s="10" t="s">
        <v>12</v>
      </c>
      <c r="B103" s="19">
        <v>46120</v>
      </c>
      <c r="C103" s="75">
        <f>IF(H103=0,"",'[2]2025-2026'!C102)</f>
        <v>16553.8</v>
      </c>
      <c r="D103" s="68">
        <f>'[2]2025'!C103</f>
        <v>20183.52</v>
      </c>
      <c r="E103" s="68">
        <f>'[2]2025'!D103</f>
        <v>19918.89</v>
      </c>
      <c r="F103" s="20">
        <f>'[2]2025'!E103</f>
        <v>1172</v>
      </c>
      <c r="G103" s="73">
        <f>'[2]2025'!F103</f>
        <v>20100</v>
      </c>
      <c r="H103" s="42">
        <f>'[2]2025'!G103</f>
        <v>17145.82</v>
      </c>
      <c r="I103" s="13">
        <f>'[2]2025'!H103</f>
        <v>16800.439999999999</v>
      </c>
      <c r="J103" s="14">
        <f>'[2]2025'!I103</f>
        <v>941</v>
      </c>
      <c r="K103" s="15">
        <f>'[2]2025'!J103</f>
        <v>143.57</v>
      </c>
      <c r="L103" s="15">
        <f>'[2]2025'!K103</f>
        <v>170.62</v>
      </c>
      <c r="M103" s="15">
        <f>'[2]2025'!L103</f>
        <v>187.8</v>
      </c>
      <c r="N103" s="16">
        <f t="shared" si="5"/>
        <v>1.1178278664130226E-2</v>
      </c>
      <c r="O103" s="17">
        <f t="shared" si="6"/>
        <v>-0.15655741861117767</v>
      </c>
      <c r="P103" s="17">
        <f t="shared" si="7"/>
        <v>-0.19709897610921501</v>
      </c>
      <c r="Q103" s="18">
        <f t="shared" si="8"/>
        <v>117.01915441944696</v>
      </c>
      <c r="R103" s="18">
        <f t="shared" si="9"/>
        <v>98.46700269604969</v>
      </c>
      <c r="S103" s="35">
        <f>(S102-SUM(E101:E107))/SUM(E101:E107)</f>
        <v>-3.8942203437652242E-2</v>
      </c>
      <c r="T103" s="48">
        <f>SUM(I101:I107)/SUM(K101:K107)</f>
        <v>97.378384897962007</v>
      </c>
      <c r="U103" s="1738"/>
    </row>
    <row r="104" spans="1:21">
      <c r="A104" s="10" t="s">
        <v>13</v>
      </c>
      <c r="B104" s="19">
        <v>46121</v>
      </c>
      <c r="C104" s="75">
        <f>IF(H104=0,"",'[2]2025-2026'!C103)</f>
        <v>20183.52</v>
      </c>
      <c r="D104" s="68">
        <f>'[2]2025'!C104</f>
        <v>18134.02</v>
      </c>
      <c r="E104" s="68">
        <f>'[2]2025'!D104</f>
        <v>17948.7</v>
      </c>
      <c r="F104" s="20">
        <f>'[2]2025'!E104</f>
        <v>1129</v>
      </c>
      <c r="G104" s="73">
        <f>'[2]2025'!F104</f>
        <v>18100</v>
      </c>
      <c r="H104" s="42">
        <f>'[2]2025'!G104</f>
        <v>16954.439999999999</v>
      </c>
      <c r="I104" s="13">
        <f>'[2]2025'!H104</f>
        <v>16616.54</v>
      </c>
      <c r="J104" s="14">
        <f>'[2]2025'!I104</f>
        <v>928</v>
      </c>
      <c r="K104" s="15">
        <f>'[2]2025'!J104</f>
        <v>225.5</v>
      </c>
      <c r="L104" s="15">
        <f>'[2]2025'!K104</f>
        <v>234.63</v>
      </c>
      <c r="M104" s="15">
        <f>'[2]2025'!L104</f>
        <v>100.69</v>
      </c>
      <c r="N104" s="16">
        <f t="shared" si="5"/>
        <v>6.0596249279332515E-3</v>
      </c>
      <c r="O104" s="17">
        <f t="shared" si="6"/>
        <v>-7.4220417077559928E-2</v>
      </c>
      <c r="P104" s="17">
        <f t="shared" si="7"/>
        <v>-0.17803365810451727</v>
      </c>
      <c r="Q104" s="18">
        <f t="shared" si="8"/>
        <v>73.687538802660754</v>
      </c>
      <c r="R104" s="18">
        <f t="shared" si="9"/>
        <v>70.820184972083709</v>
      </c>
      <c r="S104" s="34"/>
      <c r="T104" s="29" t="s">
        <v>8</v>
      </c>
      <c r="U104" s="1738"/>
    </row>
    <row r="105" spans="1:21">
      <c r="A105" s="10" t="s">
        <v>14</v>
      </c>
      <c r="B105" s="19">
        <v>46122</v>
      </c>
      <c r="C105" s="75">
        <f>IF(H105=0,"",'[2]2025-2026'!C104)</f>
        <v>18134.02</v>
      </c>
      <c r="D105" s="68">
        <f>'[2]2025'!C105</f>
        <v>23945.82</v>
      </c>
      <c r="E105" s="68">
        <f>'[2]2025'!D105</f>
        <v>23374.68</v>
      </c>
      <c r="F105" s="20">
        <f>'[2]2025'!E105</f>
        <v>1323</v>
      </c>
      <c r="G105" s="73">
        <f>'[2]2025'!F105</f>
        <v>23600</v>
      </c>
      <c r="H105" s="42">
        <f>'[2]2025'!G105</f>
        <v>24229.86</v>
      </c>
      <c r="I105" s="13">
        <f>'[2]2025'!H105</f>
        <v>23718.1</v>
      </c>
      <c r="J105" s="14">
        <f>'[2]2025'!I105</f>
        <v>1193</v>
      </c>
      <c r="K105" s="15">
        <f>'[2]2025'!J105</f>
        <v>238.6</v>
      </c>
      <c r="L105" s="15">
        <f>'[2]2025'!K105</f>
        <v>247.68</v>
      </c>
      <c r="M105" s="15">
        <f>'[2]2025'!L105</f>
        <v>106.43</v>
      </c>
      <c r="N105" s="16">
        <f t="shared" si="5"/>
        <v>4.48729029728351E-3</v>
      </c>
      <c r="O105" s="17">
        <f t="shared" si="6"/>
        <v>1.469196583653758E-2</v>
      </c>
      <c r="P105" s="17">
        <f t="shared" si="7"/>
        <v>-9.8261526832955401E-2</v>
      </c>
      <c r="Q105" s="18">
        <f t="shared" si="8"/>
        <v>99.405280804694044</v>
      </c>
      <c r="R105" s="18">
        <f t="shared" si="9"/>
        <v>95.761062661498698</v>
      </c>
      <c r="S105" s="36" t="s">
        <v>40</v>
      </c>
      <c r="T105" s="48">
        <f>SUM(I101:I107)/SUM(L101:L107)</f>
        <v>90.605441871501043</v>
      </c>
      <c r="U105" s="1738"/>
    </row>
    <row r="106" spans="1:21">
      <c r="A106" s="10" t="s">
        <v>15</v>
      </c>
      <c r="B106" s="19">
        <v>46123</v>
      </c>
      <c r="C106" s="75">
        <f>IF(H106=0,"",'[2]2025-2026'!C105)</f>
        <v>23945.82</v>
      </c>
      <c r="D106" s="68">
        <f>'[2]2025'!C106</f>
        <v>29264.959999999999</v>
      </c>
      <c r="E106" s="68">
        <f>'[2]2025'!D106</f>
        <v>28898.17</v>
      </c>
      <c r="F106" s="20">
        <f>'[2]2025'!E106</f>
        <v>1464</v>
      </c>
      <c r="G106" s="73">
        <f>'[2]2025'!F106</f>
        <v>29200</v>
      </c>
      <c r="H106" s="42">
        <f>'[2]2025'!G106</f>
        <v>23958.57</v>
      </c>
      <c r="I106" s="13">
        <f>'[2]2025'!H106</f>
        <v>23473.47</v>
      </c>
      <c r="J106" s="14">
        <f>'[2]2025'!I106</f>
        <v>1169</v>
      </c>
      <c r="K106" s="15">
        <f>'[2]2025'!J106</f>
        <v>259.99</v>
      </c>
      <c r="L106" s="15">
        <f>'[2]2025'!K106</f>
        <v>268.52</v>
      </c>
      <c r="M106" s="15">
        <f>'[2]2025'!L106</f>
        <v>27.33</v>
      </c>
      <c r="N106" s="16">
        <f t="shared" si="5"/>
        <v>1.1642931360382593E-3</v>
      </c>
      <c r="O106" s="17">
        <f t="shared" si="6"/>
        <v>-0.18771776897983497</v>
      </c>
      <c r="P106" s="17">
        <f t="shared" si="7"/>
        <v>-0.20150273224043716</v>
      </c>
      <c r="Q106" s="18">
        <f t="shared" si="8"/>
        <v>90.286049463440904</v>
      </c>
      <c r="R106" s="18">
        <f t="shared" si="9"/>
        <v>87.417957694026526</v>
      </c>
      <c r="S106" s="36">
        <f>SUM(J101:J107)</f>
        <v>7285</v>
      </c>
      <c r="T106" s="30" t="s">
        <v>3</v>
      </c>
      <c r="U106" s="1738"/>
    </row>
    <row r="107" spans="1:21" ht="18" thickBot="1">
      <c r="A107" s="10" t="s">
        <v>16</v>
      </c>
      <c r="B107" s="19">
        <v>46124</v>
      </c>
      <c r="C107" s="75">
        <f>IF(H107=0,"",'[2]2025-2026'!C106)</f>
        <v>29264.959999999999</v>
      </c>
      <c r="D107" s="68">
        <f>'[2]2025'!C107</f>
        <v>24923.81</v>
      </c>
      <c r="E107" s="68">
        <f>'[2]2025'!D107</f>
        <v>24589.5</v>
      </c>
      <c r="F107" s="20">
        <f>'[2]2025'!E107</f>
        <v>1251</v>
      </c>
      <c r="G107" s="73">
        <f>'[2]2025'!F107</f>
        <v>24800</v>
      </c>
      <c r="H107" s="42">
        <f>'[2]2025'!G107</f>
        <v>24242.959999999999</v>
      </c>
      <c r="I107" s="13">
        <f>'[2]2025'!H107</f>
        <v>23759.38</v>
      </c>
      <c r="J107" s="14">
        <f>'[2]2025'!I107</f>
        <v>1131</v>
      </c>
      <c r="K107" s="15">
        <f>'[2]2025'!J107</f>
        <v>208.83</v>
      </c>
      <c r="L107" s="15">
        <f>'[2]2025'!K107</f>
        <v>227.31</v>
      </c>
      <c r="M107" s="15">
        <f>'[2]2025'!L107</f>
        <v>73.569999999999993</v>
      </c>
      <c r="N107" s="16">
        <f t="shared" si="5"/>
        <v>3.0964612712957992E-3</v>
      </c>
      <c r="O107" s="17">
        <f t="shared" si="6"/>
        <v>-3.3759124829703696E-2</v>
      </c>
      <c r="P107" s="17">
        <f t="shared" si="7"/>
        <v>-9.5923261390887291E-2</v>
      </c>
      <c r="Q107" s="18">
        <f t="shared" si="8"/>
        <v>113.77378729109802</v>
      </c>
      <c r="R107" s="18">
        <f t="shared" si="9"/>
        <v>104.52413004267301</v>
      </c>
      <c r="S107" s="37">
        <f>(S106-SUM(F101:F107))/SUM(F101:F107)</f>
        <v>-0.13756363205871908</v>
      </c>
      <c r="T107" s="47">
        <f>SUM(M101:M107)/SUM(I101:I107)</f>
        <v>4.3214903444155186E-3</v>
      </c>
      <c r="U107" s="1739"/>
    </row>
    <row r="108" spans="1:21" ht="17" customHeight="1" thickTop="1">
      <c r="A108" s="10" t="s">
        <v>9</v>
      </c>
      <c r="B108" s="19">
        <v>46125</v>
      </c>
      <c r="C108" s="75">
        <f>IF(H108=0,"",'[2]2025-2026'!C107)</f>
        <v>24923.81</v>
      </c>
      <c r="D108" s="68">
        <f>'[2]2025'!C108</f>
        <v>14474.81</v>
      </c>
      <c r="E108" s="68">
        <f>'[2]2025'!D108</f>
        <v>14349.16</v>
      </c>
      <c r="F108" s="20">
        <f>'[2]2025'!E108</f>
        <v>969</v>
      </c>
      <c r="G108" s="73">
        <f>'[2]2025'!F108</f>
        <v>14500</v>
      </c>
      <c r="H108" s="42">
        <f>'[2]2025'!G108</f>
        <v>15895.22</v>
      </c>
      <c r="I108" s="13">
        <f>'[2]2025'!H108</f>
        <v>15559.22</v>
      </c>
      <c r="J108" s="14">
        <f>'[2]2025'!I108</f>
        <v>842</v>
      </c>
      <c r="K108" s="15">
        <f>'[2]2025'!J108</f>
        <v>141.35999999999999</v>
      </c>
      <c r="L108" s="15">
        <f>'[2]2025'!K108</f>
        <v>158.66</v>
      </c>
      <c r="M108" s="15">
        <f>'[2]2025'!L108</f>
        <v>133.19999999999999</v>
      </c>
      <c r="N108" s="16">
        <f t="shared" si="5"/>
        <v>8.560840453441753E-3</v>
      </c>
      <c r="O108" s="17">
        <f t="shared" si="6"/>
        <v>8.4329675047180433E-2</v>
      </c>
      <c r="P108" s="17">
        <f t="shared" si="7"/>
        <v>-0.13106295149638802</v>
      </c>
      <c r="Q108" s="18">
        <f t="shared" si="8"/>
        <v>110.06805319750991</v>
      </c>
      <c r="R108" s="18">
        <f t="shared" si="9"/>
        <v>98.0664313626623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19">
        <v>46126</v>
      </c>
      <c r="C109" s="75">
        <f>IF(H109=0,"",'[2]2025-2026'!C108)</f>
        <v>14474.81</v>
      </c>
      <c r="D109" s="68">
        <f>'[2]2025'!C109</f>
        <v>17349.009999999998</v>
      </c>
      <c r="E109" s="68">
        <f>'[2]2025'!D109</f>
        <v>17176.189999999999</v>
      </c>
      <c r="F109" s="20">
        <f>'[2]2025'!E109</f>
        <v>1087</v>
      </c>
      <c r="G109" s="73">
        <f>'[2]2025'!F109</f>
        <v>17300</v>
      </c>
      <c r="H109" s="42">
        <f>'[2]2025'!G109</f>
        <v>17595.63</v>
      </c>
      <c r="I109" s="13">
        <f>'[2]2025'!H109</f>
        <v>17214.490000000002</v>
      </c>
      <c r="J109" s="14">
        <f>'[2]2025'!I109</f>
        <v>987</v>
      </c>
      <c r="K109" s="15">
        <f>'[2]2025'!J109</f>
        <v>145.97999999999999</v>
      </c>
      <c r="L109" s="15">
        <f>'[2]2025'!K109</f>
        <v>163.55000000000001</v>
      </c>
      <c r="M109" s="15">
        <f>'[2]2025'!L109</f>
        <v>56.27</v>
      </c>
      <c r="N109" s="16">
        <f t="shared" si="5"/>
        <v>3.2687578894291958E-3</v>
      </c>
      <c r="O109" s="17">
        <f t="shared" si="6"/>
        <v>2.2298309462111744E-3</v>
      </c>
      <c r="P109" s="17">
        <f t="shared" si="7"/>
        <v>-9.1996320147194111E-2</v>
      </c>
      <c r="Q109" s="18">
        <f t="shared" si="8"/>
        <v>117.92361967392796</v>
      </c>
      <c r="R109" s="18">
        <f t="shared" si="9"/>
        <v>105.25521247324977</v>
      </c>
      <c r="S109" s="34">
        <f>SUM(I108:I114)</f>
        <v>133035.13999999998</v>
      </c>
      <c r="T109" s="45" t="s">
        <v>41</v>
      </c>
      <c r="U109" s="1738"/>
    </row>
    <row r="110" spans="1:21">
      <c r="A110" s="10" t="s">
        <v>12</v>
      </c>
      <c r="B110" s="19">
        <v>46127</v>
      </c>
      <c r="C110" s="75">
        <f>IF(H110=0,"",'[2]2025-2026'!C109)</f>
        <v>17349.009999999998</v>
      </c>
      <c r="D110" s="68">
        <f>'[2]2025'!C110</f>
        <v>20167.61</v>
      </c>
      <c r="E110" s="68">
        <f>'[2]2025'!D110</f>
        <v>19878.189999999999</v>
      </c>
      <c r="F110" s="20">
        <f>'[2]2025'!E110</f>
        <v>1170</v>
      </c>
      <c r="G110" s="73">
        <f>'[2]2025'!F110</f>
        <v>20100</v>
      </c>
      <c r="H110" s="42">
        <f>'[2]2025'!G110</f>
        <v>16930.09</v>
      </c>
      <c r="I110" s="13">
        <f>'[2]2025'!H110</f>
        <v>16516.32</v>
      </c>
      <c r="J110" s="14">
        <f>'[2]2025'!I110</f>
        <v>900</v>
      </c>
      <c r="K110" s="15">
        <f>'[2]2025'!J110</f>
        <v>173.97000000000003</v>
      </c>
      <c r="L110" s="15">
        <f>'[2]2025'!K110</f>
        <v>200.37</v>
      </c>
      <c r="M110" s="15">
        <f>'[2]2025'!L110</f>
        <v>187.05</v>
      </c>
      <c r="N110" s="16">
        <f t="shared" si="5"/>
        <v>1.1325162021564127E-2</v>
      </c>
      <c r="O110" s="17">
        <f t="shared" si="6"/>
        <v>-0.16912354696277676</v>
      </c>
      <c r="P110" s="17">
        <f t="shared" si="7"/>
        <v>-0.23076923076923078</v>
      </c>
      <c r="Q110" s="18">
        <f t="shared" si="8"/>
        <v>94.9377478875668</v>
      </c>
      <c r="R110" s="18">
        <f t="shared" si="9"/>
        <v>82.429106153615805</v>
      </c>
      <c r="S110" s="35">
        <f>(S109-SUM(E108:E114))/SUM(E108:E114)</f>
        <v>-5.0226735951816433E-2</v>
      </c>
      <c r="T110" s="48">
        <f>SUM(I108:I114)/SUM(K108:K114)</f>
        <v>102.23720451261872</v>
      </c>
      <c r="U110" s="1738"/>
    </row>
    <row r="111" spans="1:21">
      <c r="A111" s="10" t="s">
        <v>13</v>
      </c>
      <c r="B111" s="19">
        <v>46128</v>
      </c>
      <c r="C111" s="75">
        <f>IF(H111=0,"",'[2]2025-2026'!C110)</f>
        <v>20167.61</v>
      </c>
      <c r="D111" s="68">
        <f>'[2]2025'!C111</f>
        <v>18852.03</v>
      </c>
      <c r="E111" s="68">
        <f>'[2]2025'!D111</f>
        <v>18659.72</v>
      </c>
      <c r="F111" s="20">
        <f>'[2]2025'!E111</f>
        <v>1119</v>
      </c>
      <c r="G111" s="73">
        <f>'[2]2025'!F111</f>
        <v>18800</v>
      </c>
      <c r="H111" s="42">
        <f>'[2]2025'!G111</f>
        <v>17229.62</v>
      </c>
      <c r="I111" s="13">
        <f>'[2]2025'!H111</f>
        <v>16946.919999999998</v>
      </c>
      <c r="J111" s="14">
        <f>'[2]2025'!I111</f>
        <v>934</v>
      </c>
      <c r="K111" s="15">
        <f>'[2]2025'!J111</f>
        <v>190.37</v>
      </c>
      <c r="L111" s="15">
        <f>'[2]2025'!K111</f>
        <v>200.37</v>
      </c>
      <c r="M111" s="15">
        <f>'[2]2025'!L111</f>
        <v>158.1</v>
      </c>
      <c r="N111" s="16">
        <f t="shared" si="5"/>
        <v>9.3291288328498628E-3</v>
      </c>
      <c r="O111" s="17">
        <f t="shared" si="6"/>
        <v>-9.1791302334654684E-2</v>
      </c>
      <c r="P111" s="17">
        <f t="shared" si="7"/>
        <v>-0.16532618409294011</v>
      </c>
      <c r="Q111" s="18">
        <f t="shared" si="8"/>
        <v>89.020959184745479</v>
      </c>
      <c r="R111" s="18">
        <f t="shared" si="9"/>
        <v>84.578130458651486</v>
      </c>
      <c r="S111" s="34"/>
      <c r="T111" s="29" t="s">
        <v>8</v>
      </c>
      <c r="U111" s="1738"/>
    </row>
    <row r="112" spans="1:21">
      <c r="A112" s="10" t="s">
        <v>14</v>
      </c>
      <c r="B112" s="19">
        <v>46129</v>
      </c>
      <c r="C112" s="75">
        <f>IF(H112=0,"",'[2]2025-2026'!C111)</f>
        <v>18852.03</v>
      </c>
      <c r="D112" s="68">
        <f>'[2]2025'!C112</f>
        <v>27172.48</v>
      </c>
      <c r="E112" s="68">
        <f>'[2]2025'!D112</f>
        <v>26888.46</v>
      </c>
      <c r="F112" s="20">
        <f>'[2]2025'!E112</f>
        <v>1455</v>
      </c>
      <c r="G112" s="73">
        <f>'[2]2025'!F112</f>
        <v>27100</v>
      </c>
      <c r="H112" s="42">
        <f>'[2]2025'!G112</f>
        <v>23193.54</v>
      </c>
      <c r="I112" s="13">
        <f>'[2]2025'!H112</f>
        <v>22793.56</v>
      </c>
      <c r="J112" s="14">
        <f>'[2]2025'!I112</f>
        <v>1160</v>
      </c>
      <c r="K112" s="15">
        <f>'[2]2025'!J112</f>
        <v>229.77</v>
      </c>
      <c r="L112" s="15">
        <f>'[2]2025'!K112</f>
        <v>238.99</v>
      </c>
      <c r="M112" s="15">
        <f>'[2]2025'!L112</f>
        <v>80.239999999999995</v>
      </c>
      <c r="N112" s="16">
        <f t="shared" si="5"/>
        <v>3.5202925738673551E-3</v>
      </c>
      <c r="O112" s="17">
        <f t="shared" si="6"/>
        <v>-0.1522920985433899</v>
      </c>
      <c r="P112" s="17">
        <f t="shared" si="7"/>
        <v>-0.20274914089347079</v>
      </c>
      <c r="Q112" s="18">
        <f t="shared" si="8"/>
        <v>99.201636419027722</v>
      </c>
      <c r="R112" s="18">
        <f t="shared" si="9"/>
        <v>95.374534499351441</v>
      </c>
      <c r="S112" s="36" t="s">
        <v>40</v>
      </c>
      <c r="T112" s="48">
        <f>SUM(I108:I114)/SUM(L108:L114)</f>
        <v>94.032386660823576</v>
      </c>
      <c r="U112" s="1738"/>
    </row>
    <row r="113" spans="1:21">
      <c r="A113" s="10" t="s">
        <v>15</v>
      </c>
      <c r="B113" s="19">
        <v>46130</v>
      </c>
      <c r="C113" s="75">
        <f>IF(H113=0,"",'[2]2025-2026'!C112)</f>
        <v>27172.48</v>
      </c>
      <c r="D113" s="68">
        <f>'[2]2025'!C113</f>
        <v>24507</v>
      </c>
      <c r="E113" s="68">
        <f>'[2]2025'!D113</f>
        <v>24166.57</v>
      </c>
      <c r="F113" s="20">
        <f>'[2]2025'!E113</f>
        <v>1292</v>
      </c>
      <c r="G113" s="73">
        <f>'[2]2025'!F113</f>
        <v>24400</v>
      </c>
      <c r="H113" s="42">
        <f>'[2]2025'!G113</f>
        <v>22770.86</v>
      </c>
      <c r="I113" s="13">
        <f>'[2]2025'!H113</f>
        <v>22330.67</v>
      </c>
      <c r="J113" s="14">
        <f>'[2]2025'!I113</f>
        <v>1144</v>
      </c>
      <c r="K113" s="15">
        <f>'[2]2025'!J113</f>
        <v>217.01999999999998</v>
      </c>
      <c r="L113" s="15">
        <f>'[2]2025'!K113</f>
        <v>241.32</v>
      </c>
      <c r="M113" s="15">
        <f>'[2]2025'!L113</f>
        <v>88.24</v>
      </c>
      <c r="N113" s="16">
        <f t="shared" si="5"/>
        <v>3.9515160091479571E-3</v>
      </c>
      <c r="O113" s="17">
        <f t="shared" si="6"/>
        <v>-7.5968579736387973E-2</v>
      </c>
      <c r="P113" s="17">
        <f t="shared" si="7"/>
        <v>-0.11455108359133127</v>
      </c>
      <c r="Q113" s="18">
        <f t="shared" si="8"/>
        <v>102.89682978527324</v>
      </c>
      <c r="R113" s="18">
        <f t="shared" si="9"/>
        <v>92.5355130117686</v>
      </c>
      <c r="S113" s="36">
        <f>SUM(J108:J114)</f>
        <v>6999</v>
      </c>
      <c r="T113" s="30" t="s">
        <v>3</v>
      </c>
      <c r="U113" s="1738"/>
    </row>
    <row r="114" spans="1:21" ht="18" thickBot="1">
      <c r="A114" s="10" t="s">
        <v>16</v>
      </c>
      <c r="B114" s="19">
        <v>46131</v>
      </c>
      <c r="C114" s="75">
        <f>IF(H114=0,"",'[2]2025-2026'!C113)</f>
        <v>24507</v>
      </c>
      <c r="D114" s="68">
        <f>'[2]2025'!C114</f>
        <v>19195.28</v>
      </c>
      <c r="E114" s="68">
        <f>'[2]2025'!D114</f>
        <v>18952.13</v>
      </c>
      <c r="F114" s="20">
        <f>'[2]2025'!E114</f>
        <v>952</v>
      </c>
      <c r="G114" s="73">
        <f>'[2]2025'!F114</f>
        <v>19100</v>
      </c>
      <c r="H114" s="42">
        <f>'[2]2025'!G114</f>
        <v>22127</v>
      </c>
      <c r="I114" s="13">
        <f>'[2]2025'!H114</f>
        <v>21673.96</v>
      </c>
      <c r="J114" s="14">
        <f>'[2]2025'!I114</f>
        <v>1032</v>
      </c>
      <c r="K114" s="15">
        <f>'[2]2025'!J114</f>
        <v>202.77</v>
      </c>
      <c r="L114" s="15">
        <f>'[2]2025'!K114</f>
        <v>211.52</v>
      </c>
      <c r="M114" s="15">
        <f>'[2]2025'!L114</f>
        <v>129.09</v>
      </c>
      <c r="N114" s="16">
        <f t="shared" si="5"/>
        <v>5.9559951204117756E-3</v>
      </c>
      <c r="O114" s="17">
        <f t="shared" si="6"/>
        <v>0.14361604737831568</v>
      </c>
      <c r="P114" s="17">
        <f t="shared" si="7"/>
        <v>8.4033613445378158E-2</v>
      </c>
      <c r="Q114" s="18">
        <f t="shared" si="8"/>
        <v>106.8893820584899</v>
      </c>
      <c r="R114" s="18">
        <f t="shared" si="9"/>
        <v>102.46766263237518</v>
      </c>
      <c r="S114" s="37">
        <f>(S113-SUM(F108:F114))/SUM(F108:F114)</f>
        <v>-0.12991049229239185</v>
      </c>
      <c r="T114" s="47">
        <f>SUM(M108:M114)/SUM(I108:I114)</f>
        <v>6.255414922703882E-3</v>
      </c>
      <c r="U114" s="1739"/>
    </row>
    <row r="115" spans="1:21" ht="17" customHeight="1" thickTop="1">
      <c r="A115" s="10" t="s">
        <v>9</v>
      </c>
      <c r="B115" s="19">
        <v>46132</v>
      </c>
      <c r="C115" s="75">
        <f>IF(H115=0,"",'[2]2025-2026'!C114)</f>
        <v>19195.28</v>
      </c>
      <c r="D115" s="68">
        <f>'[2]2025'!C115</f>
        <v>21602.41</v>
      </c>
      <c r="E115" s="68">
        <f>'[2]2025'!D115</f>
        <v>21330.15</v>
      </c>
      <c r="F115" s="20">
        <f>'[2]2025'!E115</f>
        <v>1111</v>
      </c>
      <c r="G115" s="73">
        <f>'[2]2025'!F115</f>
        <v>21500</v>
      </c>
      <c r="H115" s="42">
        <f>'[2]2025'!G115</f>
        <v>13467.91</v>
      </c>
      <c r="I115" s="13">
        <f>'[2]2025'!H115</f>
        <v>13253.47</v>
      </c>
      <c r="J115" s="14">
        <f>'[2]2025'!I115</f>
        <v>809</v>
      </c>
      <c r="K115" s="15">
        <f>'[2]2025'!J115</f>
        <v>141.53999999999996</v>
      </c>
      <c r="L115" s="15">
        <f>'[2]2025'!K115</f>
        <v>159.16999999999999</v>
      </c>
      <c r="M115" s="15">
        <f>'[2]2025'!L115</f>
        <v>216.36</v>
      </c>
      <c r="N115" s="16">
        <f t="shared" si="5"/>
        <v>1.6324781359145946E-2</v>
      </c>
      <c r="O115" s="17">
        <f t="shared" si="6"/>
        <v>-0.37865087681052412</v>
      </c>
      <c r="P115" s="17">
        <f t="shared" si="7"/>
        <v>-0.27182718271827183</v>
      </c>
      <c r="Q115" s="18">
        <f t="shared" si="8"/>
        <v>93.637628938815908</v>
      </c>
      <c r="R115" s="18">
        <f t="shared" si="9"/>
        <v>83.266130552239744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19">
        <v>46133</v>
      </c>
      <c r="C116" s="75">
        <f>IF(H116=0,"",'[2]2025-2026'!C115)</f>
        <v>21602.41</v>
      </c>
      <c r="D116" s="68">
        <f>'[2]2025'!C116</f>
        <v>17749.330000000002</v>
      </c>
      <c r="E116" s="68">
        <f>'[2]2025'!D116</f>
        <v>17556.63</v>
      </c>
      <c r="F116" s="20">
        <f>'[2]2025'!E116</f>
        <v>1052</v>
      </c>
      <c r="G116" s="73">
        <f>'[2]2025'!F116</f>
        <v>17700</v>
      </c>
      <c r="H116" s="42">
        <f>'[2]2025'!G116</f>
        <v>14194.36</v>
      </c>
      <c r="I116" s="13">
        <f>'[2]2025'!H116</f>
        <v>13975.44</v>
      </c>
      <c r="J116" s="14">
        <f>'[2]2025'!I116</f>
        <v>823</v>
      </c>
      <c r="K116" s="15">
        <f>'[2]2025'!J116</f>
        <v>136.63</v>
      </c>
      <c r="L116" s="15">
        <f>'[2]2025'!K116</f>
        <v>154.57</v>
      </c>
      <c r="M116" s="15">
        <f>'[2]2025'!L116</f>
        <v>335.53</v>
      </c>
      <c r="N116" s="16">
        <f t="shared" si="5"/>
        <v>2.4008546421436461E-2</v>
      </c>
      <c r="O116" s="17">
        <f t="shared" si="6"/>
        <v>-0.20397935139032949</v>
      </c>
      <c r="P116" s="17">
        <f t="shared" si="7"/>
        <v>-0.21768060836501901</v>
      </c>
      <c r="Q116" s="18">
        <f t="shared" si="8"/>
        <v>102.28675986240212</v>
      </c>
      <c r="R116" s="18">
        <f t="shared" si="9"/>
        <v>90.414957624377308</v>
      </c>
      <c r="S116" s="34">
        <f>SUM(I115:I121)</f>
        <v>128470.03</v>
      </c>
      <c r="T116" s="45" t="s">
        <v>41</v>
      </c>
      <c r="U116" s="1738"/>
    </row>
    <row r="117" spans="1:21">
      <c r="A117" s="10" t="s">
        <v>12</v>
      </c>
      <c r="B117" s="19">
        <v>46134</v>
      </c>
      <c r="C117" s="75">
        <f>IF(H117=0,"",'[2]2025-2026'!C116)</f>
        <v>17749.330000000002</v>
      </c>
      <c r="D117" s="68">
        <f>'[2]2025'!C117</f>
        <v>16945.45</v>
      </c>
      <c r="E117" s="68">
        <f>'[2]2025'!D117</f>
        <v>16740.900000000001</v>
      </c>
      <c r="F117" s="20">
        <f>'[2]2025'!E117</f>
        <v>1028</v>
      </c>
      <c r="G117" s="73">
        <f>'[2]2025'!F117</f>
        <v>16900</v>
      </c>
      <c r="H117" s="42">
        <f>'[2]2025'!G117</f>
        <v>16727.27</v>
      </c>
      <c r="I117" s="13">
        <f>'[2]2025'!H117</f>
        <v>16445.59</v>
      </c>
      <c r="J117" s="14">
        <f>'[2]2025'!I117</f>
        <v>934</v>
      </c>
      <c r="K117" s="15">
        <f>'[2]2025'!J117</f>
        <v>150.47000000000003</v>
      </c>
      <c r="L117" s="15">
        <f>'[2]2025'!K117</f>
        <v>164.87</v>
      </c>
      <c r="M117" s="15">
        <f>'[2]2025'!L117</f>
        <v>123.88</v>
      </c>
      <c r="N117" s="16">
        <f t="shared" si="5"/>
        <v>7.5327184977857283E-3</v>
      </c>
      <c r="O117" s="17">
        <f t="shared" si="6"/>
        <v>-1.764003130058726E-2</v>
      </c>
      <c r="P117" s="17">
        <f t="shared" si="7"/>
        <v>-9.1439688715953302E-2</v>
      </c>
      <c r="Q117" s="18">
        <f t="shared" si="8"/>
        <v>109.2948095965973</v>
      </c>
      <c r="R117" s="18">
        <f t="shared" si="9"/>
        <v>99.748832413416636</v>
      </c>
      <c r="S117" s="35">
        <f>(S116-SUM(E115:E121))/SUM(E115:E121)</f>
        <v>-9.5580510528385246E-2</v>
      </c>
      <c r="T117" s="48">
        <f>SUM(I115:I121)/SUM(K115:K121)</f>
        <v>104.28608653299781</v>
      </c>
      <c r="U117" s="1738"/>
    </row>
    <row r="118" spans="1:21">
      <c r="A118" s="10" t="s">
        <v>13</v>
      </c>
      <c r="B118" s="19">
        <v>46135</v>
      </c>
      <c r="C118" s="75">
        <f>IF(H118=0,"",'[2]2025-2026'!C117)</f>
        <v>16945.45</v>
      </c>
      <c r="D118" s="68">
        <f>'[2]2025'!C118</f>
        <v>17721.98</v>
      </c>
      <c r="E118" s="68">
        <f>'[2]2025'!D118</f>
        <v>17542.84</v>
      </c>
      <c r="F118" s="20">
        <f>'[2]2025'!E118</f>
        <v>1051</v>
      </c>
      <c r="G118" s="73">
        <f>'[2]2025'!F118</f>
        <v>17700</v>
      </c>
      <c r="H118" s="42">
        <f>'[2]2025'!G118</f>
        <v>17388.73</v>
      </c>
      <c r="I118" s="13">
        <f>'[2]2025'!H118</f>
        <v>17140.89</v>
      </c>
      <c r="J118" s="14">
        <f>'[2]2025'!I118</f>
        <v>996</v>
      </c>
      <c r="K118" s="15">
        <f>'[2]2025'!J118</f>
        <v>170.46999999999997</v>
      </c>
      <c r="L118" s="15">
        <f>'[2]2025'!K118</f>
        <v>194.42</v>
      </c>
      <c r="M118" s="15">
        <f>'[2]2025'!L118</f>
        <v>194.01</v>
      </c>
      <c r="N118" s="16">
        <f t="shared" si="5"/>
        <v>1.1318548803475199E-2</v>
      </c>
      <c r="O118" s="17">
        <f t="shared" si="6"/>
        <v>-2.29124816734349E-2</v>
      </c>
      <c r="P118" s="17">
        <f t="shared" si="7"/>
        <v>-5.2331113225499527E-2</v>
      </c>
      <c r="Q118" s="18">
        <f t="shared" si="8"/>
        <v>100.55077139672672</v>
      </c>
      <c r="R118" s="18">
        <f t="shared" si="9"/>
        <v>88.164232074889412</v>
      </c>
      <c r="S118" s="34"/>
      <c r="T118" s="29" t="s">
        <v>8</v>
      </c>
      <c r="U118" s="1738"/>
    </row>
    <row r="119" spans="1:21">
      <c r="A119" s="10" t="s">
        <v>14</v>
      </c>
      <c r="B119" s="19">
        <v>46136</v>
      </c>
      <c r="C119" s="75">
        <f>IF(H119=0,"",'[2]2025-2026'!C118)</f>
        <v>17721.98</v>
      </c>
      <c r="D119" s="68">
        <f>'[2]2025'!C119</f>
        <v>24596.880000000001</v>
      </c>
      <c r="E119" s="68">
        <f>'[2]2025'!D119</f>
        <v>24313.98</v>
      </c>
      <c r="F119" s="20">
        <f>'[2]2025'!E119</f>
        <v>1374</v>
      </c>
      <c r="G119" s="73">
        <f>'[2]2025'!F119</f>
        <v>24500</v>
      </c>
      <c r="H119" s="42">
        <f>'[2]2025'!G119</f>
        <v>19826.37</v>
      </c>
      <c r="I119" s="13">
        <f>'[2]2025'!H119</f>
        <v>19448.28</v>
      </c>
      <c r="J119" s="14">
        <f>'[2]2025'!I119</f>
        <v>1068</v>
      </c>
      <c r="K119" s="15">
        <f>'[2]2025'!J119</f>
        <v>233.04</v>
      </c>
      <c r="L119" s="15">
        <f>'[2]2025'!K119</f>
        <v>241.91</v>
      </c>
      <c r="M119" s="15">
        <f>'[2]2025'!L119</f>
        <v>79.989999999999995</v>
      </c>
      <c r="N119" s="16">
        <f t="shared" si="5"/>
        <v>4.1129601178099039E-3</v>
      </c>
      <c r="O119" s="17">
        <f t="shared" si="6"/>
        <v>-0.20011943745943694</v>
      </c>
      <c r="P119" s="17">
        <f t="shared" si="7"/>
        <v>-0.22270742358078602</v>
      </c>
      <c r="Q119" s="18">
        <f t="shared" si="8"/>
        <v>83.454685890834185</v>
      </c>
      <c r="R119" s="18">
        <f t="shared" si="9"/>
        <v>80.394692240916044</v>
      </c>
      <c r="S119" s="36" t="s">
        <v>40</v>
      </c>
      <c r="T119" s="48">
        <f>SUM(I115:I121)/SUM(L115:L121)</f>
        <v>96.328921914131044</v>
      </c>
      <c r="U119" s="1738"/>
    </row>
    <row r="120" spans="1:21">
      <c r="A120" s="10" t="s">
        <v>15</v>
      </c>
      <c r="B120" s="19">
        <v>46137</v>
      </c>
      <c r="C120" s="75">
        <f>IF(H120=0,"",'[2]2025-2026'!C119)</f>
        <v>24596.880000000001</v>
      </c>
      <c r="D120" s="68">
        <f>'[2]2025'!C120</f>
        <v>21589.919999999998</v>
      </c>
      <c r="E120" s="68">
        <f>'[2]2025'!D120</f>
        <v>21301.17</v>
      </c>
      <c r="F120" s="20">
        <f>'[2]2025'!E120</f>
        <v>1214</v>
      </c>
      <c r="G120" s="73">
        <f>'[2]2025'!F120</f>
        <v>21500</v>
      </c>
      <c r="H120" s="42">
        <f>'[2]2025'!G120</f>
        <v>25233.07</v>
      </c>
      <c r="I120" s="13">
        <f>'[2]2025'!H120</f>
        <v>24826.46</v>
      </c>
      <c r="J120" s="14">
        <f>'[2]2025'!I120</f>
        <v>1288</v>
      </c>
      <c r="K120" s="15">
        <f>'[2]2025'!J120</f>
        <v>219.84</v>
      </c>
      <c r="L120" s="15">
        <f>'[2]2025'!K120</f>
        <v>228.91</v>
      </c>
      <c r="M120" s="15">
        <f>'[2]2025'!L120</f>
        <v>167.98</v>
      </c>
      <c r="N120" s="16">
        <f t="shared" si="5"/>
        <v>6.766168032011007E-3</v>
      </c>
      <c r="O120" s="17">
        <f t="shared" si="6"/>
        <v>0.1654974820631919</v>
      </c>
      <c r="P120" s="17">
        <f t="shared" si="7"/>
        <v>6.0955518945634266E-2</v>
      </c>
      <c r="Q120" s="18">
        <f t="shared" si="8"/>
        <v>112.92967612809315</v>
      </c>
      <c r="R120" s="18">
        <f t="shared" si="9"/>
        <v>108.45511336333057</v>
      </c>
      <c r="S120" s="36">
        <f>SUM(J115:J121)</f>
        <v>7018</v>
      </c>
      <c r="T120" s="30" t="s">
        <v>3</v>
      </c>
      <c r="U120" s="1738"/>
    </row>
    <row r="121" spans="1:21" ht="18" thickBot="1">
      <c r="A121" s="10" t="s">
        <v>16</v>
      </c>
      <c r="B121" s="19">
        <v>46138</v>
      </c>
      <c r="C121" s="75">
        <f>IF(H121=0,"",'[2]2025-2026'!C120)</f>
        <v>21589.919999999998</v>
      </c>
      <c r="D121" s="68">
        <f>'[2]2025'!C121</f>
        <v>23633.25</v>
      </c>
      <c r="E121" s="68">
        <f>'[2]2025'!D121</f>
        <v>23261.279999999999</v>
      </c>
      <c r="F121" s="20">
        <f>'[2]2025'!E121</f>
        <v>1172</v>
      </c>
      <c r="G121" s="73">
        <f>'[2]2025'!F121</f>
        <v>23500</v>
      </c>
      <c r="H121" s="42">
        <f>'[2]2025'!G121</f>
        <v>23791.41</v>
      </c>
      <c r="I121" s="13">
        <f>'[2]2025'!H121</f>
        <v>23379.9</v>
      </c>
      <c r="J121" s="14">
        <f>'[2]2025'!I121</f>
        <v>1100</v>
      </c>
      <c r="K121" s="15">
        <f>'[2]2025'!J121</f>
        <v>179.91</v>
      </c>
      <c r="L121" s="15">
        <f>'[2]2025'!K121</f>
        <v>189.81</v>
      </c>
      <c r="M121" s="15">
        <f>'[2]2025'!L121</f>
        <v>51.81</v>
      </c>
      <c r="N121" s="16">
        <f t="shared" si="5"/>
        <v>2.2160060564844161E-3</v>
      </c>
      <c r="O121" s="17">
        <f t="shared" si="6"/>
        <v>5.0994614225873484E-3</v>
      </c>
      <c r="P121" s="17">
        <f t="shared" si="7"/>
        <v>-6.1433447098976107E-2</v>
      </c>
      <c r="Q121" s="18">
        <f t="shared" si="8"/>
        <v>129.9533099883275</v>
      </c>
      <c r="R121" s="18">
        <f t="shared" si="9"/>
        <v>123.1752805437016</v>
      </c>
      <c r="S121" s="37">
        <f>(S120-SUM(F115:F121))/SUM(F115:F121)</f>
        <v>-0.12296925768557861</v>
      </c>
      <c r="T121" s="47">
        <f>SUM(M115:M121)/SUM(I115:I121)</f>
        <v>9.1037575067118761E-3</v>
      </c>
      <c r="U121" s="1739"/>
    </row>
    <row r="122" spans="1:21" ht="17" customHeight="1" thickTop="1">
      <c r="A122" s="10" t="s">
        <v>9</v>
      </c>
      <c r="B122" s="19">
        <v>46139</v>
      </c>
      <c r="C122" s="75">
        <f>IF(H122=0,"",'[2]2025-2026'!C121)</f>
        <v>23633.25</v>
      </c>
      <c r="D122" s="68">
        <f>'[2]2025'!C122</f>
        <v>17124.05</v>
      </c>
      <c r="E122" s="68">
        <f>'[2]2025'!D122</f>
        <v>16936.71</v>
      </c>
      <c r="F122" s="20">
        <f>'[2]2025'!E122</f>
        <v>1017</v>
      </c>
      <c r="G122" s="73">
        <f>'[2]2025'!F122</f>
        <v>17100</v>
      </c>
      <c r="H122" s="42">
        <f>'[2]2025'!G122</f>
        <v>12436.01</v>
      </c>
      <c r="I122" s="13">
        <f>'[2]2025'!H122</f>
        <v>12251.97</v>
      </c>
      <c r="J122" s="14">
        <f>'[2]2025'!I122</f>
        <v>742</v>
      </c>
      <c r="K122" s="15">
        <f>'[2]2025'!J122</f>
        <v>135.1</v>
      </c>
      <c r="L122" s="15">
        <f>'[2]2025'!K122</f>
        <v>152.99</v>
      </c>
      <c r="M122" s="15">
        <f>'[2]2025'!L122</f>
        <v>83.72</v>
      </c>
      <c r="N122" s="16">
        <f t="shared" si="5"/>
        <v>6.8331868262818144E-3</v>
      </c>
      <c r="O122" s="17">
        <f t="shared" si="6"/>
        <v>-0.27660271682044507</v>
      </c>
      <c r="P122" s="17">
        <f t="shared" si="7"/>
        <v>-0.27040314650934122</v>
      </c>
      <c r="Q122" s="18">
        <f t="shared" si="8"/>
        <v>90.6881569207994</v>
      </c>
      <c r="R122" s="18">
        <f t="shared" si="9"/>
        <v>80.08346950781096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19">
        <v>46140</v>
      </c>
      <c r="C123" s="75">
        <f>IF(H123=0,"",'[2]2025-2026'!C122)</f>
        <v>17124.05</v>
      </c>
      <c r="D123" s="68">
        <f>'[2]2025'!C123</f>
        <v>17399.11</v>
      </c>
      <c r="E123" s="68">
        <f>'[2]2025'!D123</f>
        <v>17217.54</v>
      </c>
      <c r="F123" s="20">
        <f>'[2]2025'!E123</f>
        <v>1039</v>
      </c>
      <c r="G123" s="73">
        <f>'[2]2025'!F123</f>
        <v>17400</v>
      </c>
      <c r="H123" s="42">
        <f>'[2]2025'!G123</f>
        <v>13805.13</v>
      </c>
      <c r="I123" s="13">
        <f>'[2]2025'!H123</f>
        <v>13606.23</v>
      </c>
      <c r="J123" s="14">
        <f>'[2]2025'!I123</f>
        <v>807</v>
      </c>
      <c r="K123" s="15">
        <f>'[2]2025'!J123</f>
        <v>120.16</v>
      </c>
      <c r="L123" s="15">
        <f>'[2]2025'!K123</f>
        <v>137.66</v>
      </c>
      <c r="M123" s="15">
        <f>'[2]2025'!L123</f>
        <v>173.12</v>
      </c>
      <c r="N123" s="16">
        <f t="shared" si="5"/>
        <v>1.2723583240912436E-2</v>
      </c>
      <c r="O123" s="17">
        <f t="shared" si="6"/>
        <v>-0.20974599158764848</v>
      </c>
      <c r="P123" s="17">
        <f t="shared" si="7"/>
        <v>-0.22329162656400384</v>
      </c>
      <c r="Q123" s="18">
        <f t="shared" si="8"/>
        <v>113.23427097203728</v>
      </c>
      <c r="R123" s="18">
        <f t="shared" si="9"/>
        <v>98.839386895249163</v>
      </c>
      <c r="S123" s="34">
        <f>SUM(I122:I128)</f>
        <v>131604.75</v>
      </c>
      <c r="T123" s="45" t="s">
        <v>41</v>
      </c>
      <c r="U123" s="1738"/>
    </row>
    <row r="124" spans="1:21">
      <c r="A124" s="10" t="s">
        <v>12</v>
      </c>
      <c r="B124" s="19">
        <v>46141</v>
      </c>
      <c r="C124" s="75">
        <f>IF(H124=0,"",'[2]2025-2026'!C123)</f>
        <v>17399.11</v>
      </c>
      <c r="D124" s="68">
        <f>'[2]2025'!C124</f>
        <v>21232.18</v>
      </c>
      <c r="E124" s="68">
        <f>'[2]2025'!D124</f>
        <v>20995.91</v>
      </c>
      <c r="F124" s="20">
        <f>'[2]2025'!E124</f>
        <v>1215</v>
      </c>
      <c r="G124" s="73">
        <f>'[2]2025'!F124</f>
        <v>21200</v>
      </c>
      <c r="H124" s="42">
        <f>'[2]2025'!G124</f>
        <v>18763.82</v>
      </c>
      <c r="I124" s="13">
        <f>'[2]2025'!H124</f>
        <v>18416.54</v>
      </c>
      <c r="J124" s="14">
        <f>'[2]2025'!I124</f>
        <v>1023</v>
      </c>
      <c r="K124" s="15">
        <f>'[2]2025'!J124</f>
        <v>166.54</v>
      </c>
      <c r="L124" s="15">
        <f>'[2]2025'!K124</f>
        <v>185.29</v>
      </c>
      <c r="M124" s="15">
        <f>'[2]2025'!L124</f>
        <v>78.31</v>
      </c>
      <c r="N124" s="16">
        <f t="shared" si="5"/>
        <v>4.2521559424300113E-3</v>
      </c>
      <c r="O124" s="17">
        <f t="shared" si="6"/>
        <v>-0.12285106956545341</v>
      </c>
      <c r="P124" s="17">
        <f t="shared" si="7"/>
        <v>-0.15802469135802469</v>
      </c>
      <c r="Q124" s="18">
        <f t="shared" si="8"/>
        <v>110.58328329530444</v>
      </c>
      <c r="R124" s="18">
        <f t="shared" si="9"/>
        <v>99.393059528306992</v>
      </c>
      <c r="S124" s="35">
        <f>(S123-SUM(E122:E128))/SUM(E122:E128)</f>
        <v>-0.12039599733134031</v>
      </c>
      <c r="T124" s="48">
        <f>SUM(I122:I128)/SUM(K122:K128)</f>
        <v>104.11109265236378</v>
      </c>
      <c r="U124" s="1738"/>
    </row>
    <row r="125" spans="1:21">
      <c r="A125" s="10" t="s">
        <v>13</v>
      </c>
      <c r="B125" s="19">
        <v>46142</v>
      </c>
      <c r="C125" s="75">
        <f>IF(H125=0,"",'[2]2025-2026'!C124)</f>
        <v>21232.18</v>
      </c>
      <c r="D125" s="68">
        <f>'[2]2025'!C125</f>
        <v>21902.38</v>
      </c>
      <c r="E125" s="68">
        <f>'[2]2025'!D125</f>
        <v>21575.46</v>
      </c>
      <c r="F125" s="20">
        <f>'[2]2025'!E125</f>
        <v>1136</v>
      </c>
      <c r="G125" s="73">
        <f>'[2]2025'!F125</f>
        <v>21800</v>
      </c>
      <c r="H125" s="42">
        <f>'[2]2025'!G125</f>
        <v>20542.080000000002</v>
      </c>
      <c r="I125" s="13">
        <f>'[2]2025'!H125</f>
        <v>20241.59</v>
      </c>
      <c r="J125" s="14">
        <f>'[2]2025'!I125</f>
        <v>1053</v>
      </c>
      <c r="K125" s="15">
        <f>'[2]2025'!J125</f>
        <v>181.88000000000002</v>
      </c>
      <c r="L125" s="15">
        <f>'[2]2025'!K125</f>
        <v>199.3</v>
      </c>
      <c r="M125" s="15">
        <f>'[2]2025'!L125</f>
        <v>325.17</v>
      </c>
      <c r="N125" s="16">
        <f t="shared" si="5"/>
        <v>1.6064449482476428E-2</v>
      </c>
      <c r="O125" s="17">
        <f t="shared" si="6"/>
        <v>-6.1823479082253587E-2</v>
      </c>
      <c r="P125" s="17">
        <f t="shared" si="7"/>
        <v>-7.3063380281690141E-2</v>
      </c>
      <c r="Q125" s="18">
        <f t="shared" si="8"/>
        <v>111.29090609192873</v>
      </c>
      <c r="R125" s="18">
        <f t="shared" si="9"/>
        <v>101.56342197691922</v>
      </c>
      <c r="S125" s="34"/>
      <c r="T125" s="29" t="s">
        <v>8</v>
      </c>
      <c r="U125" s="1738"/>
    </row>
    <row r="126" spans="1:21">
      <c r="A126" s="10" t="s">
        <v>14</v>
      </c>
      <c r="B126" s="19">
        <v>46143</v>
      </c>
      <c r="C126" s="75">
        <f>IF(H126=0,"",'[2]2025-2026'!C125)</f>
        <v>21902.38</v>
      </c>
      <c r="D126" s="68">
        <f>'[2]2025'!C126</f>
        <v>22796.59</v>
      </c>
      <c r="E126" s="68">
        <f>'[2]2025'!D126</f>
        <v>22517.72</v>
      </c>
      <c r="F126" s="20">
        <f>'[2]2025'!E126</f>
        <v>1283</v>
      </c>
      <c r="G126" s="73">
        <f>'[2]2025'!F126</f>
        <v>22700</v>
      </c>
      <c r="H126" s="42">
        <f>'[2]2025'!G126</f>
        <v>24400.13</v>
      </c>
      <c r="I126" s="13">
        <f>'[2]2025'!H126</f>
        <v>23918.880000000001</v>
      </c>
      <c r="J126" s="14">
        <f>'[2]2025'!I126</f>
        <v>1151</v>
      </c>
      <c r="K126" s="15">
        <f>'[2]2025'!J126</f>
        <v>243.31</v>
      </c>
      <c r="L126" s="15">
        <f>'[2]2025'!K126</f>
        <v>261.63</v>
      </c>
      <c r="M126" s="15">
        <f>'[2]2025'!L126</f>
        <v>84.9</v>
      </c>
      <c r="N126" s="16">
        <f t="shared" si="5"/>
        <v>3.5494973008769644E-3</v>
      </c>
      <c r="O126" s="17">
        <f t="shared" si="6"/>
        <v>6.2224772312649758E-2</v>
      </c>
      <c r="P126" s="17">
        <f t="shared" si="7"/>
        <v>-0.10288386593920498</v>
      </c>
      <c r="Q126" s="18">
        <f t="shared" si="8"/>
        <v>98.30619374460565</v>
      </c>
      <c r="R126" s="18">
        <f t="shared" si="9"/>
        <v>91.422543286320376</v>
      </c>
      <c r="S126" s="36" t="s">
        <v>40</v>
      </c>
      <c r="T126" s="48">
        <f>SUM(I122:I128)/SUM(L122:L128)</f>
        <v>95.238086623005401</v>
      </c>
      <c r="U126" s="1738"/>
    </row>
    <row r="127" spans="1:21">
      <c r="A127" s="10" t="s">
        <v>15</v>
      </c>
      <c r="B127" s="19">
        <v>46144</v>
      </c>
      <c r="C127" s="75">
        <f>IF(H127=0,"",'[2]2025-2026'!C126)</f>
        <v>22796.59</v>
      </c>
      <c r="D127" s="68">
        <f>'[2]2025'!C127</f>
        <v>23287.69</v>
      </c>
      <c r="E127" s="68">
        <f>'[2]2025'!D127</f>
        <v>23508.76</v>
      </c>
      <c r="F127" s="20">
        <f>'[2]2025'!E127</f>
        <v>1279</v>
      </c>
      <c r="G127" s="73">
        <f>'[2]2025'!F127</f>
        <v>23700</v>
      </c>
      <c r="H127" s="42">
        <f>'[2]2025'!G127</f>
        <v>20274.88</v>
      </c>
      <c r="I127" s="13">
        <f>'[2]2025'!H127</f>
        <v>19924.849999999999</v>
      </c>
      <c r="J127" s="14">
        <f>'[2]2025'!I127</f>
        <v>1044</v>
      </c>
      <c r="K127" s="15">
        <f>'[2]2025'!J127</f>
        <v>244</v>
      </c>
      <c r="L127" s="15">
        <f>'[2]2025'!K127</f>
        <v>262.02</v>
      </c>
      <c r="M127" s="15">
        <f>'[2]2025'!L127</f>
        <v>202.53</v>
      </c>
      <c r="N127" s="16">
        <f t="shared" si="5"/>
        <v>1.0164693837092877E-2</v>
      </c>
      <c r="O127" s="17">
        <f t="shared" si="6"/>
        <v>-0.15244998034775123</v>
      </c>
      <c r="P127" s="17">
        <f t="shared" si="7"/>
        <v>-0.18373729476153244</v>
      </c>
      <c r="Q127" s="18">
        <f t="shared" si="8"/>
        <v>81.659221311475406</v>
      </c>
      <c r="R127" s="18">
        <f t="shared" si="9"/>
        <v>76.04324097397145</v>
      </c>
      <c r="S127" s="36">
        <f>SUM(J122:J128)</f>
        <v>6897</v>
      </c>
      <c r="T127" s="30" t="s">
        <v>3</v>
      </c>
      <c r="U127" s="1738"/>
    </row>
    <row r="128" spans="1:21" ht="18" thickBot="1">
      <c r="A128" s="10" t="s">
        <v>16</v>
      </c>
      <c r="B128" s="19">
        <v>46145</v>
      </c>
      <c r="C128" s="75">
        <f>IF(H128=0,"",'[2]2025-2026'!C127)</f>
        <v>23287.69</v>
      </c>
      <c r="D128" s="68">
        <f>'[2]2025'!C128</f>
        <v>27217.77</v>
      </c>
      <c r="E128" s="68">
        <f>'[2]2025'!D128</f>
        <v>26866.080000000002</v>
      </c>
      <c r="F128" s="20">
        <f>'[2]2025'!E128</f>
        <v>1321</v>
      </c>
      <c r="G128" s="73">
        <f>'[2]2025'!F128</f>
        <v>27100</v>
      </c>
      <c r="H128" s="42">
        <f>'[2]2025'!G128</f>
        <v>23725.8</v>
      </c>
      <c r="I128" s="13">
        <f>'[2]2025'!H128</f>
        <v>23244.69</v>
      </c>
      <c r="J128" s="14">
        <f>'[2]2025'!I128</f>
        <v>1077</v>
      </c>
      <c r="K128" s="15">
        <f>'[2]2025'!J128</f>
        <v>173.09</v>
      </c>
      <c r="L128" s="15">
        <f>'[2]2025'!K128</f>
        <v>182.96</v>
      </c>
      <c r="M128" s="15">
        <f>'[2]2025'!L128</f>
        <v>75.959999999999994</v>
      </c>
      <c r="N128" s="16">
        <f t="shared" si="5"/>
        <v>3.2678431073935596E-3</v>
      </c>
      <c r="O128" s="17">
        <f t="shared" si="6"/>
        <v>-0.13479413446248961</v>
      </c>
      <c r="P128" s="17">
        <f t="shared" si="7"/>
        <v>-0.18470855412566237</v>
      </c>
      <c r="Q128" s="18">
        <f t="shared" si="8"/>
        <v>134.29250678837599</v>
      </c>
      <c r="R128" s="18">
        <f t="shared" si="9"/>
        <v>127.04793397463925</v>
      </c>
      <c r="S128" s="37">
        <f>(S127-SUM(F122:F128))/SUM(F122:F128)</f>
        <v>-0.16803377563329314</v>
      </c>
      <c r="T128" s="47">
        <f>SUM(M122:M128)/SUM(I122:I128)</f>
        <v>7.7786706026948121E-3</v>
      </c>
      <c r="U128" s="1739"/>
    </row>
    <row r="129" spans="1:21" ht="17" customHeight="1" thickTop="1">
      <c r="A129" s="10" t="s">
        <v>9</v>
      </c>
      <c r="B129" s="19">
        <v>46146</v>
      </c>
      <c r="C129" s="75">
        <f>IF(H129=0,"",'[2]2025-2026'!C128)</f>
        <v>27217.77</v>
      </c>
      <c r="D129" s="68">
        <f>'[2]2025'!C129</f>
        <v>15182.14</v>
      </c>
      <c r="E129" s="68">
        <f>'[2]2025'!D129</f>
        <v>15035.1</v>
      </c>
      <c r="F129" s="20">
        <f>'[2]2025'!E129</f>
        <v>923</v>
      </c>
      <c r="G129" s="73">
        <f>'[2]2025'!F129</f>
        <v>15200</v>
      </c>
      <c r="H129" s="42">
        <f>'[2]2025'!G129</f>
        <v>12843.11</v>
      </c>
      <c r="I129" s="13">
        <f>'[2]2025'!H129</f>
        <v>12683.32</v>
      </c>
      <c r="J129" s="14">
        <f>'[2]2025'!I129</f>
        <v>755</v>
      </c>
      <c r="K129" s="15">
        <f>'[2]2025'!J129</f>
        <v>136.79</v>
      </c>
      <c r="L129" s="15">
        <f>'[2]2025'!K129</f>
        <v>146.07</v>
      </c>
      <c r="M129" s="15">
        <f>'[2]2025'!L129</f>
        <v>120.65</v>
      </c>
      <c r="N129" s="16">
        <f t="shared" si="5"/>
        <v>9.5124935742376612E-3</v>
      </c>
      <c r="O129" s="17">
        <f t="shared" si="6"/>
        <v>-0.15641931214291893</v>
      </c>
      <c r="P129" s="17">
        <f t="shared" si="7"/>
        <v>-0.18201516793066089</v>
      </c>
      <c r="Q129" s="18">
        <f t="shared" si="8"/>
        <v>92.721105343957902</v>
      </c>
      <c r="R129" s="18">
        <f t="shared" si="9"/>
        <v>86.830423769425622</v>
      </c>
      <c r="S129" s="33" t="s">
        <v>39</v>
      </c>
      <c r="T129" s="31" t="s">
        <v>42</v>
      </c>
      <c r="U129" s="1737" t="s">
        <v>101</v>
      </c>
    </row>
    <row r="130" spans="1:21">
      <c r="A130" s="10" t="s">
        <v>11</v>
      </c>
      <c r="B130" s="19">
        <v>46147</v>
      </c>
      <c r="C130" s="75">
        <f>IF(H130=0,"",'[2]2025-2026'!C129)</f>
        <v>15182.14</v>
      </c>
      <c r="D130" s="68">
        <f>'[2]2025'!C130</f>
        <v>15343.32</v>
      </c>
      <c r="E130" s="68">
        <f>'[2]2025'!D130</f>
        <v>15184.78</v>
      </c>
      <c r="F130" s="20">
        <f>'[2]2025'!E130</f>
        <v>925</v>
      </c>
      <c r="G130" s="73">
        <f>'[2]2025'!F130</f>
        <v>15300</v>
      </c>
      <c r="H130" s="42">
        <f>'[2]2025'!G130</f>
        <v>15630.01</v>
      </c>
      <c r="I130" s="13">
        <f>'[2]2025'!H130</f>
        <v>15345.55</v>
      </c>
      <c r="J130" s="14">
        <f>'[2]2025'!I130</f>
        <v>917</v>
      </c>
      <c r="K130" s="15">
        <f>'[2]2025'!J130</f>
        <v>125.67</v>
      </c>
      <c r="L130" s="15">
        <f>'[2]2025'!K130</f>
        <v>135.12</v>
      </c>
      <c r="M130" s="15">
        <f>'[2]2025'!L130</f>
        <v>65.930000000000007</v>
      </c>
      <c r="N130" s="16">
        <f t="shared" si="5"/>
        <v>4.2963595309389374E-3</v>
      </c>
      <c r="O130" s="17">
        <f t="shared" si="6"/>
        <v>1.0587575190420842E-2</v>
      </c>
      <c r="P130" s="17">
        <f t="shared" si="7"/>
        <v>-8.6486486486486488E-3</v>
      </c>
      <c r="Q130" s="18">
        <f t="shared" si="8"/>
        <v>122.10989098432401</v>
      </c>
      <c r="R130" s="18">
        <f t="shared" si="9"/>
        <v>113.56978981645943</v>
      </c>
      <c r="S130" s="34">
        <f>SUM(I129:I135)</f>
        <v>126406.65999999999</v>
      </c>
      <c r="T130" s="45" t="s">
        <v>41</v>
      </c>
      <c r="U130" s="1738"/>
    </row>
    <row r="131" spans="1:21">
      <c r="A131" s="10" t="s">
        <v>12</v>
      </c>
      <c r="B131" s="19">
        <v>46148</v>
      </c>
      <c r="C131" s="75">
        <f>IF(H131=0,"",'[2]2025-2026'!C130)</f>
        <v>15343.32</v>
      </c>
      <c r="D131" s="68">
        <f>'[2]2025'!C131</f>
        <v>23276.07</v>
      </c>
      <c r="E131" s="68">
        <f>'[2]2025'!D131</f>
        <v>22979.25</v>
      </c>
      <c r="F131" s="20">
        <f>'[2]2025'!E131</f>
        <v>1285</v>
      </c>
      <c r="G131" s="73">
        <f>'[2]2025'!F131</f>
        <v>23200</v>
      </c>
      <c r="H131" s="42">
        <f>'[2]2025'!G131</f>
        <v>18264.75</v>
      </c>
      <c r="I131" s="13">
        <f>'[2]2025'!H131</f>
        <v>17931.689999999999</v>
      </c>
      <c r="J131" s="14">
        <f>'[2]2025'!I131</f>
        <v>998</v>
      </c>
      <c r="K131" s="15">
        <f>'[2]2025'!J131</f>
        <v>146.72</v>
      </c>
      <c r="L131" s="15">
        <f>'[2]2025'!K131</f>
        <v>156.55000000000001</v>
      </c>
      <c r="M131" s="15">
        <f>'[2]2025'!L131</f>
        <v>103.29</v>
      </c>
      <c r="N131" s="16">
        <f t="shared" si="5"/>
        <v>5.760193266780767E-3</v>
      </c>
      <c r="O131" s="17">
        <f t="shared" si="6"/>
        <v>-0.2196572995202194</v>
      </c>
      <c r="P131" s="17">
        <f t="shared" si="7"/>
        <v>-0.22334630350194554</v>
      </c>
      <c r="Q131" s="18">
        <f t="shared" si="8"/>
        <v>122.21708015267174</v>
      </c>
      <c r="R131" s="18">
        <f t="shared" si="9"/>
        <v>114.54289364420312</v>
      </c>
      <c r="S131" s="35">
        <f>(S130-SUM(E129:E135))/SUM(E129:E135)</f>
        <v>-7.9571175581261394E-2</v>
      </c>
      <c r="T131" s="48">
        <f>SUM(I129:I135)/SUM(K129:K135)</f>
        <v>106.3527798344215</v>
      </c>
      <c r="U131" s="1738"/>
    </row>
    <row r="132" spans="1:21">
      <c r="A132" s="10" t="s">
        <v>13</v>
      </c>
      <c r="B132" s="19">
        <v>46149</v>
      </c>
      <c r="C132" s="75">
        <f>IF(H132=0,"",'[2]2025-2026'!C131)</f>
        <v>23276.07</v>
      </c>
      <c r="D132" s="68">
        <f>'[2]2025'!C132</f>
        <v>20501.96</v>
      </c>
      <c r="E132" s="68">
        <f>'[2]2025'!D132</f>
        <v>20189.11</v>
      </c>
      <c r="F132" s="20">
        <f>'[2]2025'!E132</f>
        <v>1010</v>
      </c>
      <c r="G132" s="73">
        <f>'[2]2025'!F132</f>
        <v>20400</v>
      </c>
      <c r="H132" s="42">
        <f>'[2]2025'!G132</f>
        <v>20263.849999999999</v>
      </c>
      <c r="I132" s="13">
        <f>'[2]2025'!H132</f>
        <v>19921.11</v>
      </c>
      <c r="J132" s="14">
        <f>'[2]2025'!I132</f>
        <v>1135</v>
      </c>
      <c r="K132" s="15">
        <f>'[2]2025'!J132</f>
        <v>173.94</v>
      </c>
      <c r="L132" s="15">
        <f>'[2]2025'!K132</f>
        <v>191.97</v>
      </c>
      <c r="M132" s="15">
        <f>'[2]2025'!L132</f>
        <v>0</v>
      </c>
      <c r="N132" s="16" t="str">
        <f t="shared" ref="N132:N195" si="10">IF(M132=0,"",M132/I132)</f>
        <v/>
      </c>
      <c r="O132" s="17">
        <f t="shared" ref="O132:O195" si="11">IF(I132=0,"",(I132-E132)/E132)</f>
        <v>-1.3274483124813326E-2</v>
      </c>
      <c r="P132" s="17">
        <f t="shared" ref="P132:P195" si="12">IF(J132=0,"",(J132-F132)/F132)</f>
        <v>0.12376237623762376</v>
      </c>
      <c r="Q132" s="18">
        <f t="shared" ref="Q132:Q195" si="13">IF(I132=0,"",I132/K132)</f>
        <v>114.52863056226285</v>
      </c>
      <c r="R132" s="18">
        <f t="shared" ref="R132:R195" si="14">I132/L132</f>
        <v>103.7719956243163</v>
      </c>
      <c r="S132" s="34"/>
      <c r="T132" s="29" t="s">
        <v>8</v>
      </c>
      <c r="U132" s="1738"/>
    </row>
    <row r="133" spans="1:21">
      <c r="A133" s="10" t="s">
        <v>14</v>
      </c>
      <c r="B133" s="19">
        <v>46150</v>
      </c>
      <c r="C133" s="75">
        <f>IF(H133=0,"",'[2]2025-2026'!C132)</f>
        <v>20501.96</v>
      </c>
      <c r="D133" s="68">
        <f>'[2]2025'!C133</f>
        <v>20003.400000000001</v>
      </c>
      <c r="E133" s="68">
        <f>'[2]2025'!D133</f>
        <v>19783.82</v>
      </c>
      <c r="F133" s="20">
        <f>'[2]2025'!E133</f>
        <v>1218</v>
      </c>
      <c r="G133" s="73">
        <f>'[2]2025'!F133</f>
        <v>34000</v>
      </c>
      <c r="H133" s="42">
        <f>'[2]2025'!G133</f>
        <v>19809.09</v>
      </c>
      <c r="I133" s="13">
        <f>'[2]2025'!H133</f>
        <v>19429.11</v>
      </c>
      <c r="J133" s="14">
        <f>'[2]2025'!I133</f>
        <v>1061</v>
      </c>
      <c r="K133" s="15">
        <f>'[2]2025'!J133</f>
        <v>206.32999999999998</v>
      </c>
      <c r="L133" s="15">
        <f>'[2]2025'!K133</f>
        <v>215.76</v>
      </c>
      <c r="M133" s="15">
        <f>'[2]2025'!L133</f>
        <v>91.54</v>
      </c>
      <c r="N133" s="16">
        <f t="shared" si="10"/>
        <v>4.71148704186656E-3</v>
      </c>
      <c r="O133" s="17">
        <f t="shared" si="11"/>
        <v>-1.7929297779700742E-2</v>
      </c>
      <c r="P133" s="17">
        <f t="shared" si="12"/>
        <v>-0.12889983579638753</v>
      </c>
      <c r="Q133" s="18">
        <f t="shared" si="13"/>
        <v>94.165220762855625</v>
      </c>
      <c r="R133" s="18">
        <f t="shared" si="14"/>
        <v>90.049638487208014</v>
      </c>
      <c r="S133" s="36" t="s">
        <v>40</v>
      </c>
      <c r="T133" s="48">
        <f>SUM(I129:I135)/SUM(L129:L135)</f>
        <v>99.40053000338132</v>
      </c>
      <c r="U133" s="1738"/>
    </row>
    <row r="134" spans="1:21">
      <c r="A134" s="10" t="s">
        <v>15</v>
      </c>
      <c r="B134" s="19">
        <v>46151</v>
      </c>
      <c r="C134" s="75">
        <f>IF(H134=0,"",'[2]2025-2026'!C133)</f>
        <v>20003.400000000001</v>
      </c>
      <c r="D134" s="68">
        <f>'[2]2025'!C134</f>
        <v>21955.23</v>
      </c>
      <c r="E134" s="68">
        <f>'[2]2025'!D134</f>
        <v>21679.919999999998</v>
      </c>
      <c r="F134" s="20">
        <f>'[2]2025'!E134</f>
        <v>1235</v>
      </c>
      <c r="G134" s="73">
        <f>'[2]2025'!F134</f>
        <v>21900</v>
      </c>
      <c r="H134" s="42">
        <f>'[2]2025'!G134</f>
        <v>19197.63</v>
      </c>
      <c r="I134" s="13">
        <f>'[2]2025'!H134</f>
        <v>18812.68</v>
      </c>
      <c r="J134" s="14">
        <f>'[2]2025'!I134</f>
        <v>1065</v>
      </c>
      <c r="K134" s="15">
        <f>'[2]2025'!J134</f>
        <v>226.82</v>
      </c>
      <c r="L134" s="15">
        <f>'[2]2025'!K134</f>
        <v>244.85</v>
      </c>
      <c r="M134" s="15">
        <f>'[2]2025'!L134</f>
        <v>99.65</v>
      </c>
      <c r="N134" s="16">
        <f t="shared" si="10"/>
        <v>5.296959284907839E-3</v>
      </c>
      <c r="O134" s="17">
        <f t="shared" si="11"/>
        <v>-0.13225325554706835</v>
      </c>
      <c r="P134" s="17">
        <f t="shared" si="12"/>
        <v>-0.13765182186234817</v>
      </c>
      <c r="Q134" s="18">
        <f t="shared" si="13"/>
        <v>82.941010492901867</v>
      </c>
      <c r="R134" s="18">
        <f t="shared" si="14"/>
        <v>76.833489891770469</v>
      </c>
      <c r="S134" s="36">
        <f>SUM(J129:J135)</f>
        <v>7010</v>
      </c>
      <c r="T134" s="30" t="s">
        <v>3</v>
      </c>
      <c r="U134" s="1738"/>
    </row>
    <row r="135" spans="1:21" ht="18" thickBot="1">
      <c r="A135" s="10" t="s">
        <v>16</v>
      </c>
      <c r="B135" s="19">
        <v>46152</v>
      </c>
      <c r="C135" s="75">
        <f>IF(H135=0,"",'[2]2025-2026'!C134)</f>
        <v>21955.23</v>
      </c>
      <c r="D135" s="68">
        <f>'[2]2025'!C135</f>
        <v>22744.76</v>
      </c>
      <c r="E135" s="68">
        <f>'[2]2025'!D135</f>
        <v>22482.55</v>
      </c>
      <c r="F135" s="20">
        <f>'[2]2025'!E135</f>
        <v>1128</v>
      </c>
      <c r="G135" s="73">
        <f>'[2]2025'!F135</f>
        <v>22700</v>
      </c>
      <c r="H135" s="42">
        <f>'[2]2025'!G135</f>
        <v>22662.71</v>
      </c>
      <c r="I135" s="13">
        <f>'[2]2025'!H135</f>
        <v>22283.200000000001</v>
      </c>
      <c r="J135" s="14">
        <f>'[2]2025'!I135</f>
        <v>1079</v>
      </c>
      <c r="K135" s="15">
        <f>'[2]2025'!J135</f>
        <v>172.29</v>
      </c>
      <c r="L135" s="15">
        <f>'[2]2025'!K135</f>
        <v>181.37</v>
      </c>
      <c r="M135" s="15">
        <f>'[2]2025'!L135</f>
        <v>85.46</v>
      </c>
      <c r="N135" s="16">
        <f t="shared" si="10"/>
        <v>3.8351762762978384E-3</v>
      </c>
      <c r="O135" s="17">
        <f t="shared" si="11"/>
        <v>-8.8668767555281115E-3</v>
      </c>
      <c r="P135" s="17">
        <f t="shared" si="12"/>
        <v>-4.3439716312056738E-2</v>
      </c>
      <c r="Q135" s="18">
        <f t="shared" si="13"/>
        <v>129.33542283359452</v>
      </c>
      <c r="R135" s="18">
        <f t="shared" si="14"/>
        <v>122.86045101174395</v>
      </c>
      <c r="S135" s="37">
        <f>(S134-SUM(F129:F135))/SUM(F129:F135)</f>
        <v>-9.2439150699119621E-2</v>
      </c>
      <c r="T135" s="47">
        <f>SUM(M129:M135)/SUM(I129:I135)</f>
        <v>4.4817258837469495E-3</v>
      </c>
      <c r="U135" s="1739"/>
    </row>
    <row r="136" spans="1:21" ht="17" customHeight="1" thickTop="1">
      <c r="A136" s="10" t="s">
        <v>9</v>
      </c>
      <c r="B136" s="19">
        <v>46153</v>
      </c>
      <c r="C136" s="75">
        <f>IF(H136=0,"",'[2]2025-2026'!C135)</f>
        <v>22744.76</v>
      </c>
      <c r="D136" s="68">
        <f>'[2]2025'!C136</f>
        <v>13481.76</v>
      </c>
      <c r="E136" s="68">
        <f>'[2]2025'!D136</f>
        <v>13371.25</v>
      </c>
      <c r="F136" s="20">
        <f>'[2]2025'!E136</f>
        <v>880</v>
      </c>
      <c r="G136" s="73">
        <f>'[2]2025'!F136</f>
        <v>13500</v>
      </c>
      <c r="H136" s="42">
        <f>'[2]2025'!G136</f>
        <v>13390.03</v>
      </c>
      <c r="I136" s="13">
        <f>'[2]2025'!H136</f>
        <v>13164.09</v>
      </c>
      <c r="J136" s="14">
        <f>'[2]2025'!I136</f>
        <v>815</v>
      </c>
      <c r="K136" s="15">
        <f>'[2]2025'!J136</f>
        <v>144.28</v>
      </c>
      <c r="L136" s="15">
        <f>'[2]2025'!K136</f>
        <v>161.66</v>
      </c>
      <c r="M136" s="15">
        <f>'[2]2025'!L136</f>
        <v>263.58999999999997</v>
      </c>
      <c r="N136" s="16">
        <f t="shared" si="10"/>
        <v>2.0023412176610762E-2</v>
      </c>
      <c r="O136" s="17">
        <f t="shared" si="11"/>
        <v>-1.5492941946340084E-2</v>
      </c>
      <c r="P136" s="17">
        <f t="shared" si="12"/>
        <v>-7.3863636363636367E-2</v>
      </c>
      <c r="Q136" s="18">
        <f t="shared" si="13"/>
        <v>91.239880787357919</v>
      </c>
      <c r="R136" s="18">
        <f t="shared" si="14"/>
        <v>81.430718792527529</v>
      </c>
      <c r="S136" s="33" t="s">
        <v>39</v>
      </c>
      <c r="T136" s="31" t="s">
        <v>42</v>
      </c>
      <c r="U136" s="1737" t="s">
        <v>102</v>
      </c>
    </row>
    <row r="137" spans="1:21">
      <c r="A137" s="10" t="s">
        <v>11</v>
      </c>
      <c r="B137" s="19">
        <v>46154</v>
      </c>
      <c r="C137" s="75">
        <f>IF(H137=0,"",'[2]2025-2026'!C136)</f>
        <v>13481.76</v>
      </c>
      <c r="D137" s="68">
        <f>'[2]2025'!C137</f>
        <v>15293.11</v>
      </c>
      <c r="E137" s="68">
        <f>'[2]2025'!D137</f>
        <v>15100.15</v>
      </c>
      <c r="F137" s="20">
        <f>'[2]2025'!E137</f>
        <v>992</v>
      </c>
      <c r="G137" s="73">
        <f>'[2]2025'!F137</f>
        <v>15200</v>
      </c>
      <c r="H137" s="42">
        <f>'[2]2025'!G137</f>
        <v>15352.88</v>
      </c>
      <c r="I137" s="13">
        <f>'[2]2025'!H137</f>
        <v>15105.04</v>
      </c>
      <c r="J137" s="14">
        <f>'[2]2025'!I137</f>
        <v>929</v>
      </c>
      <c r="K137" s="15">
        <f>'[2]2025'!J137</f>
        <v>144.03</v>
      </c>
      <c r="L137" s="15">
        <f>'[2]2025'!K137</f>
        <v>161.79</v>
      </c>
      <c r="M137" s="15">
        <f>'[2]2025'!L137</f>
        <v>61.27</v>
      </c>
      <c r="N137" s="16">
        <f t="shared" si="10"/>
        <v>4.0562620158569587E-3</v>
      </c>
      <c r="O137" s="17">
        <f t="shared" si="11"/>
        <v>3.2383784267051897E-4</v>
      </c>
      <c r="P137" s="17">
        <f t="shared" si="12"/>
        <v>-6.3508064516129031E-2</v>
      </c>
      <c r="Q137" s="18">
        <f t="shared" si="13"/>
        <v>104.87426230646393</v>
      </c>
      <c r="R137" s="18">
        <f t="shared" si="14"/>
        <v>93.362012485320491</v>
      </c>
      <c r="S137" s="34">
        <f>SUM(I136:I142)</f>
        <v>126453.23</v>
      </c>
      <c r="T137" s="45" t="s">
        <v>41</v>
      </c>
      <c r="U137" s="1738"/>
    </row>
    <row r="138" spans="1:21">
      <c r="A138" s="10" t="s">
        <v>12</v>
      </c>
      <c r="B138" s="19">
        <v>46155</v>
      </c>
      <c r="C138" s="75">
        <f>IF(H138=0,"",'[2]2025-2026'!C137)</f>
        <v>15293.11</v>
      </c>
      <c r="D138" s="68">
        <f>'[2]2025'!C138</f>
        <v>19198.93</v>
      </c>
      <c r="E138" s="68">
        <f>'[2]2025'!D138</f>
        <v>18931.13</v>
      </c>
      <c r="F138" s="20">
        <f>'[2]2025'!E138</f>
        <v>1156</v>
      </c>
      <c r="G138" s="73">
        <f>'[2]2025'!F138</f>
        <v>19100</v>
      </c>
      <c r="H138" s="42">
        <f>'[2]2025'!G138</f>
        <v>21058.04</v>
      </c>
      <c r="I138" s="13">
        <f>'[2]2025'!H138</f>
        <v>20708.98</v>
      </c>
      <c r="J138" s="14">
        <f>'[2]2025'!I138</f>
        <v>1158</v>
      </c>
      <c r="K138" s="15">
        <f>'[2]2025'!J138</f>
        <v>175.54000000000002</v>
      </c>
      <c r="L138" s="15">
        <f>'[2]2025'!K138</f>
        <v>193.99</v>
      </c>
      <c r="M138" s="15">
        <f>'[2]2025'!L138</f>
        <v>143.94999999999999</v>
      </c>
      <c r="N138" s="16">
        <f t="shared" si="10"/>
        <v>6.9510907828391347E-3</v>
      </c>
      <c r="O138" s="17">
        <f t="shared" si="11"/>
        <v>9.391145694947943E-2</v>
      </c>
      <c r="P138" s="17">
        <f t="shared" si="12"/>
        <v>1.7301038062283738E-3</v>
      </c>
      <c r="Q138" s="18">
        <f t="shared" si="13"/>
        <v>117.97299760738292</v>
      </c>
      <c r="R138" s="18">
        <f t="shared" si="14"/>
        <v>106.75282231042837</v>
      </c>
      <c r="S138" s="35">
        <f>(S137-SUM(E136:E142))/SUM(E136:E142)</f>
        <v>-5.5283021983140786E-2</v>
      </c>
      <c r="T138" s="48">
        <f>SUM(I136:I142)/SUM(K136:K142)</f>
        <v>97.253760844151842</v>
      </c>
      <c r="U138" s="1738"/>
    </row>
    <row r="139" spans="1:21">
      <c r="A139" s="10" t="s">
        <v>13</v>
      </c>
      <c r="B139" s="19">
        <v>46156</v>
      </c>
      <c r="C139" s="75">
        <f>IF(H139=0,"",'[2]2025-2026'!C138)</f>
        <v>19198.93</v>
      </c>
      <c r="D139" s="68">
        <f>'[2]2025'!C139</f>
        <v>18259.34</v>
      </c>
      <c r="E139" s="68">
        <f>'[2]2025'!D139</f>
        <v>18017.759999999998</v>
      </c>
      <c r="F139" s="20">
        <f>'[2]2025'!E139</f>
        <v>1088</v>
      </c>
      <c r="G139" s="73">
        <f>'[2]2025'!F139</f>
        <v>30900</v>
      </c>
      <c r="H139" s="42">
        <f>'[2]2025'!G139</f>
        <v>18681.62</v>
      </c>
      <c r="I139" s="13">
        <f>'[2]2025'!H139</f>
        <v>18273.25</v>
      </c>
      <c r="J139" s="14">
        <f>'[2]2025'!I139</f>
        <v>931</v>
      </c>
      <c r="K139" s="15">
        <f>'[2]2025'!J139</f>
        <v>171.24</v>
      </c>
      <c r="L139" s="15">
        <f>'[2]2025'!K139</f>
        <v>187.06</v>
      </c>
      <c r="M139" s="15">
        <f>'[2]2025'!L139</f>
        <v>75.52</v>
      </c>
      <c r="N139" s="16">
        <f t="shared" si="10"/>
        <v>4.1328170960283472E-3</v>
      </c>
      <c r="O139" s="17">
        <f t="shared" si="11"/>
        <v>1.4179898056140254E-2</v>
      </c>
      <c r="P139" s="17">
        <f t="shared" si="12"/>
        <v>-0.14430147058823528</v>
      </c>
      <c r="Q139" s="18">
        <f t="shared" si="13"/>
        <v>106.71134080822237</v>
      </c>
      <c r="R139" s="18">
        <f t="shared" si="14"/>
        <v>97.686571153640543</v>
      </c>
      <c r="S139" s="34"/>
      <c r="T139" s="29" t="s">
        <v>8</v>
      </c>
      <c r="U139" s="1738"/>
    </row>
    <row r="140" spans="1:21">
      <c r="A140" s="10" t="s">
        <v>14</v>
      </c>
      <c r="B140" s="19">
        <v>46157</v>
      </c>
      <c r="C140" s="75">
        <f>IF(H140=0,"",'[2]2025-2026'!C139)</f>
        <v>18259.34</v>
      </c>
      <c r="D140" s="68">
        <f>'[2]2025'!C140</f>
        <v>23509.33</v>
      </c>
      <c r="E140" s="68">
        <f>'[2]2025'!D140</f>
        <v>23272.76</v>
      </c>
      <c r="F140" s="20">
        <f>'[2]2025'!E140</f>
        <v>1375</v>
      </c>
      <c r="G140" s="73">
        <f>'[2]2025'!F140</f>
        <v>23500</v>
      </c>
      <c r="H140" s="42">
        <f>'[2]2025'!G140</f>
        <v>20395.52</v>
      </c>
      <c r="I140" s="13">
        <f>'[2]2025'!H140</f>
        <v>19972.55</v>
      </c>
      <c r="J140" s="14">
        <f>'[2]2025'!I140</f>
        <v>1077</v>
      </c>
      <c r="K140" s="15">
        <f>'[2]2025'!J140</f>
        <v>225.34</v>
      </c>
      <c r="L140" s="15">
        <f>'[2]2025'!K140</f>
        <v>244.34</v>
      </c>
      <c r="M140" s="15">
        <f>'[2]2025'!L140</f>
        <v>116.5</v>
      </c>
      <c r="N140" s="16">
        <f t="shared" si="10"/>
        <v>5.8330058004611328E-3</v>
      </c>
      <c r="O140" s="17">
        <f t="shared" si="11"/>
        <v>-0.14180569902323573</v>
      </c>
      <c r="P140" s="17">
        <f t="shared" si="12"/>
        <v>-0.21672727272727274</v>
      </c>
      <c r="Q140" s="18">
        <f t="shared" si="13"/>
        <v>88.632954646312228</v>
      </c>
      <c r="R140" s="18">
        <f t="shared" si="14"/>
        <v>81.740811983301953</v>
      </c>
      <c r="S140" s="36" t="s">
        <v>40</v>
      </c>
      <c r="T140" s="48">
        <f>SUM(I136:I142)/SUM(L136:L142)</f>
        <v>89.312589610481339</v>
      </c>
      <c r="U140" s="1738"/>
    </row>
    <row r="141" spans="1:21">
      <c r="A141" s="10" t="s">
        <v>15</v>
      </c>
      <c r="B141" s="19">
        <v>46158</v>
      </c>
      <c r="C141" s="75">
        <f>IF(H141=0,"",'[2]2025-2026'!C140)</f>
        <v>23509.33</v>
      </c>
      <c r="D141" s="68">
        <f>'[2]2025'!C141</f>
        <v>22837.71</v>
      </c>
      <c r="E141" s="68">
        <f>'[2]2025'!D141</f>
        <v>22541</v>
      </c>
      <c r="F141" s="20">
        <f>'[2]2025'!E141</f>
        <v>1279</v>
      </c>
      <c r="G141" s="73">
        <f>'[2]2025'!F141</f>
        <v>22700</v>
      </c>
      <c r="H141" s="42">
        <f>'[2]2025'!G141</f>
        <v>17395.55</v>
      </c>
      <c r="I141" s="13">
        <f>'[2]2025'!H141</f>
        <v>17081.73</v>
      </c>
      <c r="J141" s="14">
        <f>'[2]2025'!I141</f>
        <v>979</v>
      </c>
      <c r="K141" s="15">
        <f>'[2]2025'!J141</f>
        <v>228.26999999999998</v>
      </c>
      <c r="L141" s="15">
        <f>'[2]2025'!K141</f>
        <v>246.14</v>
      </c>
      <c r="M141" s="15">
        <f>'[2]2025'!L141</f>
        <v>139.61000000000001</v>
      </c>
      <c r="N141" s="16">
        <f t="shared" si="10"/>
        <v>8.1730597544862268E-3</v>
      </c>
      <c r="O141" s="17">
        <f t="shared" si="11"/>
        <v>-0.24219289295062332</v>
      </c>
      <c r="P141" s="17">
        <f t="shared" si="12"/>
        <v>-0.23455824863174354</v>
      </c>
      <c r="Q141" s="18">
        <f t="shared" si="13"/>
        <v>74.831252464187145</v>
      </c>
      <c r="R141" s="18">
        <f t="shared" si="14"/>
        <v>69.398431786788009</v>
      </c>
      <c r="S141" s="36">
        <f>SUM(J136:J142)</f>
        <v>6928</v>
      </c>
      <c r="T141" s="30" t="s">
        <v>3</v>
      </c>
      <c r="U141" s="1738"/>
    </row>
    <row r="142" spans="1:21" ht="18" thickBot="1">
      <c r="A142" s="10" t="s">
        <v>16</v>
      </c>
      <c r="B142" s="19">
        <v>46159</v>
      </c>
      <c r="C142" s="75">
        <f>IF(H142=0,"",'[2]2025-2026'!C141)</f>
        <v>22837.71</v>
      </c>
      <c r="D142" s="68">
        <f>'[2]2025'!C142</f>
        <v>22949.03</v>
      </c>
      <c r="E142" s="68">
        <f>'[2]2025'!D142</f>
        <v>22618.98</v>
      </c>
      <c r="F142" s="20">
        <f>'[2]2025'!E142</f>
        <v>1125</v>
      </c>
      <c r="G142" s="73">
        <f>'[2]2025'!F142</f>
        <v>22800</v>
      </c>
      <c r="H142" s="42">
        <f>'[2]2025'!G142</f>
        <v>22522.5</v>
      </c>
      <c r="I142" s="13">
        <f>'[2]2025'!H142</f>
        <v>22147.59</v>
      </c>
      <c r="J142" s="14">
        <f>'[2]2025'!I142</f>
        <v>1039</v>
      </c>
      <c r="K142" s="15">
        <f>'[2]2025'!J142</f>
        <v>211.54</v>
      </c>
      <c r="L142" s="15">
        <f>'[2]2025'!K142</f>
        <v>220.87</v>
      </c>
      <c r="M142" s="15">
        <f>'[2]2025'!L142</f>
        <v>94.62</v>
      </c>
      <c r="N142" s="16">
        <f t="shared" si="10"/>
        <v>4.2722481317380356E-3</v>
      </c>
      <c r="O142" s="17">
        <f t="shared" si="11"/>
        <v>-2.0840462302013592E-2</v>
      </c>
      <c r="P142" s="17">
        <f t="shared" si="12"/>
        <v>-7.644444444444444E-2</v>
      </c>
      <c r="Q142" s="18">
        <f t="shared" si="13"/>
        <v>104.69693674955091</v>
      </c>
      <c r="R142" s="18">
        <f t="shared" si="14"/>
        <v>100.27432426314121</v>
      </c>
      <c r="S142" s="37">
        <f>(S141-SUM(F136:F142))/SUM(F136:F142)</f>
        <v>-0.12248258391386954</v>
      </c>
      <c r="T142" s="47">
        <f>SUM(M136:M142)/SUM(I136:I142)</f>
        <v>7.0781900944720828E-3</v>
      </c>
      <c r="U142" s="1739"/>
    </row>
    <row r="143" spans="1:21" ht="17" customHeight="1" thickTop="1">
      <c r="A143" s="10" t="s">
        <v>9</v>
      </c>
      <c r="B143" s="19">
        <v>46160</v>
      </c>
      <c r="C143" s="75">
        <f>IF(H143=0,"",'[2]2025-2026'!C142)</f>
        <v>22949.03</v>
      </c>
      <c r="D143" s="68">
        <f>'[2]2025'!C143</f>
        <v>15243.15</v>
      </c>
      <c r="E143" s="68">
        <f>'[2]2025'!D143</f>
        <v>15088.5</v>
      </c>
      <c r="F143" s="20">
        <f>'[2]2025'!E143</f>
        <v>936</v>
      </c>
      <c r="G143" s="73">
        <f>'[2]2025'!F143</f>
        <v>15200</v>
      </c>
      <c r="H143" s="42">
        <f>'[2]2025'!G143</f>
        <v>11863.76</v>
      </c>
      <c r="I143" s="13">
        <f>'[2]2025'!H143</f>
        <v>11722.96</v>
      </c>
      <c r="J143" s="14">
        <f>'[2]2025'!I143</f>
        <v>727</v>
      </c>
      <c r="K143" s="15">
        <f>'[2]2025'!J143</f>
        <v>127.49999999999999</v>
      </c>
      <c r="L143" s="15">
        <f>'[2]2025'!K143</f>
        <v>135.94999999999999</v>
      </c>
      <c r="M143" s="15">
        <f>'[2]2025'!L143</f>
        <v>85.53</v>
      </c>
      <c r="N143" s="16">
        <f t="shared" si="10"/>
        <v>7.2959389096269207E-3</v>
      </c>
      <c r="O143" s="17">
        <f t="shared" si="11"/>
        <v>-0.22305331875269249</v>
      </c>
      <c r="P143" s="17">
        <f t="shared" si="12"/>
        <v>-0.2232905982905983</v>
      </c>
      <c r="Q143" s="18">
        <f t="shared" si="13"/>
        <v>91.944784313725492</v>
      </c>
      <c r="R143" s="18">
        <f t="shared" si="14"/>
        <v>86.229937477013607</v>
      </c>
      <c r="S143" s="33" t="s">
        <v>39</v>
      </c>
      <c r="T143" s="31" t="s">
        <v>42</v>
      </c>
      <c r="U143" s="1737" t="s">
        <v>103</v>
      </c>
    </row>
    <row r="144" spans="1:21">
      <c r="A144" s="10" t="s">
        <v>11</v>
      </c>
      <c r="B144" s="19">
        <v>46161</v>
      </c>
      <c r="C144" s="75">
        <f>IF(H144=0,"",'[2]2025-2026'!C143)</f>
        <v>15243.15</v>
      </c>
      <c r="D144" s="68">
        <f>'[2]2025'!C144</f>
        <v>16588.849999999999</v>
      </c>
      <c r="E144" s="68">
        <f>'[2]2025'!D144</f>
        <v>16370.35</v>
      </c>
      <c r="F144" s="20">
        <f>'[2]2025'!E144</f>
        <v>990</v>
      </c>
      <c r="G144" s="73">
        <f>'[2]2025'!F144</f>
        <v>16500</v>
      </c>
      <c r="H144" s="42">
        <f>'[2]2025'!G144</f>
        <v>13648.69</v>
      </c>
      <c r="I144" s="13">
        <f>'[2]2025'!H144</f>
        <v>13516.25</v>
      </c>
      <c r="J144" s="14">
        <f>'[2]2025'!I144</f>
        <v>757</v>
      </c>
      <c r="K144" s="15">
        <f>'[2]2025'!J144</f>
        <v>158.46</v>
      </c>
      <c r="L144" s="15">
        <f>'[2]2025'!K144</f>
        <v>168.08</v>
      </c>
      <c r="M144" s="15">
        <f>'[2]2025'!L144</f>
        <v>74.489999999999995</v>
      </c>
      <c r="N144" s="16">
        <f t="shared" si="10"/>
        <v>5.511143993341348E-3</v>
      </c>
      <c r="O144" s="17">
        <f t="shared" si="11"/>
        <v>-0.1743456920591191</v>
      </c>
      <c r="P144" s="17">
        <f t="shared" si="12"/>
        <v>-0.23535353535353534</v>
      </c>
      <c r="Q144" s="18">
        <f t="shared" si="13"/>
        <v>85.297551432538171</v>
      </c>
      <c r="R144" s="18">
        <f t="shared" si="14"/>
        <v>80.415575916230367</v>
      </c>
      <c r="S144" s="34">
        <f>SUM(I143:I149)</f>
        <v>110580</v>
      </c>
      <c r="T144" s="45" t="s">
        <v>41</v>
      </c>
      <c r="U144" s="1738"/>
    </row>
    <row r="145" spans="1:21">
      <c r="A145" s="10" t="s">
        <v>12</v>
      </c>
      <c r="B145" s="19">
        <v>46162</v>
      </c>
      <c r="C145" s="75">
        <f>IF(H145=0,"",'[2]2025-2026'!C144)</f>
        <v>16588.849999999999</v>
      </c>
      <c r="D145" s="68">
        <f>'[2]2025'!C145</f>
        <v>17590.32</v>
      </c>
      <c r="E145" s="68">
        <f>'[2]2025'!D145</f>
        <v>17382.830000000002</v>
      </c>
      <c r="F145" s="20">
        <f>'[2]2025'!E145</f>
        <v>1052</v>
      </c>
      <c r="G145" s="73">
        <f>'[2]2025'!F145</f>
        <v>17500</v>
      </c>
      <c r="H145" s="42">
        <f>'[2]2025'!G145</f>
        <v>14907.18</v>
      </c>
      <c r="I145" s="13">
        <f>'[2]2025'!H145</f>
        <v>14701.44</v>
      </c>
      <c r="J145" s="14">
        <f>'[2]2025'!I145</f>
        <v>869</v>
      </c>
      <c r="K145" s="15">
        <f>'[2]2025'!J145</f>
        <v>215.08999999999997</v>
      </c>
      <c r="L145" s="15">
        <f>'[2]2025'!K145</f>
        <v>233.57</v>
      </c>
      <c r="M145" s="15">
        <f>'[2]2025'!L145</f>
        <v>170.3</v>
      </c>
      <c r="N145" s="16">
        <f t="shared" si="10"/>
        <v>1.1583899264289757E-2</v>
      </c>
      <c r="O145" s="17">
        <f t="shared" si="11"/>
        <v>-0.15425508964880869</v>
      </c>
      <c r="P145" s="17">
        <f t="shared" si="12"/>
        <v>-0.17395437262357413</v>
      </c>
      <c r="Q145" s="18">
        <f t="shared" si="13"/>
        <v>68.350178994839382</v>
      </c>
      <c r="R145" s="18">
        <f t="shared" si="14"/>
        <v>62.942329922507177</v>
      </c>
      <c r="S145" s="35">
        <f>(S144-SUM(E143:E149))/SUM(E143:E149)</f>
        <v>-0.17258649924251043</v>
      </c>
      <c r="T145" s="48">
        <f>SUM(I143:I149)/SUM(K143:K149)</f>
        <v>81.086432064998206</v>
      </c>
      <c r="U145" s="1738"/>
    </row>
    <row r="146" spans="1:21">
      <c r="A146" s="10" t="s">
        <v>13</v>
      </c>
      <c r="B146" s="19">
        <v>46163</v>
      </c>
      <c r="C146" s="75">
        <f>IF(H146=0,"",'[2]2025-2026'!C145)</f>
        <v>17590.32</v>
      </c>
      <c r="D146" s="68">
        <f>'[2]2025'!C146</f>
        <v>18360.27</v>
      </c>
      <c r="E146" s="68">
        <f>'[2]2025'!D146</f>
        <v>18178</v>
      </c>
      <c r="F146" s="20">
        <f>'[2]2025'!E146</f>
        <v>1055</v>
      </c>
      <c r="G146" s="73">
        <f>'[2]2025'!F146</f>
        <v>18300</v>
      </c>
      <c r="H146" s="42">
        <f>'[2]2025'!G146</f>
        <v>14473.49</v>
      </c>
      <c r="I146" s="13">
        <f>'[2]2025'!H146</f>
        <v>14304.26</v>
      </c>
      <c r="J146" s="14">
        <f>'[2]2025'!I146</f>
        <v>904</v>
      </c>
      <c r="K146" s="15">
        <f>'[2]2025'!J146</f>
        <v>200.5</v>
      </c>
      <c r="L146" s="15">
        <f>'[2]2025'!K146</f>
        <v>216.15</v>
      </c>
      <c r="M146" s="15">
        <f>'[2]2025'!L146</f>
        <v>78.98</v>
      </c>
      <c r="N146" s="16">
        <f t="shared" si="10"/>
        <v>5.5214320768777973E-3</v>
      </c>
      <c r="O146" s="17">
        <f t="shared" si="11"/>
        <v>-0.21310045109472989</v>
      </c>
      <c r="P146" s="17">
        <f t="shared" si="12"/>
        <v>-0.14312796208530806</v>
      </c>
      <c r="Q146" s="18">
        <f t="shared" si="13"/>
        <v>71.342942643391524</v>
      </c>
      <c r="R146" s="18">
        <f t="shared" si="14"/>
        <v>66.177469349988428</v>
      </c>
      <c r="S146" s="34"/>
      <c r="T146" s="29" t="s">
        <v>8</v>
      </c>
      <c r="U146" s="1738"/>
    </row>
    <row r="147" spans="1:21">
      <c r="A147" s="10" t="s">
        <v>14</v>
      </c>
      <c r="B147" s="19">
        <v>46164</v>
      </c>
      <c r="C147" s="75">
        <f>IF(H147=0,"",'[2]2025-2026'!C146)</f>
        <v>18360.27</v>
      </c>
      <c r="D147" s="68">
        <f>'[2]2025'!C147</f>
        <v>23043.63</v>
      </c>
      <c r="E147" s="68">
        <f>'[2]2025'!D147</f>
        <v>22856.38</v>
      </c>
      <c r="F147" s="20">
        <f>'[2]2025'!E147</f>
        <v>1292</v>
      </c>
      <c r="G147" s="73">
        <f>'[2]2025'!F147</f>
        <v>23100</v>
      </c>
      <c r="H147" s="42">
        <f>'[2]2025'!G147</f>
        <v>19000.43</v>
      </c>
      <c r="I147" s="13">
        <f>'[2]2025'!H147</f>
        <v>18798.189999999999</v>
      </c>
      <c r="J147" s="14">
        <f>'[2]2025'!I147</f>
        <v>1094</v>
      </c>
      <c r="K147" s="15">
        <f>'[2]2025'!J147</f>
        <v>252.02000000000004</v>
      </c>
      <c r="L147" s="15">
        <f>'[2]2025'!K147</f>
        <v>269.54000000000002</v>
      </c>
      <c r="M147" s="15">
        <f>'[2]2025'!L147</f>
        <v>170.37</v>
      </c>
      <c r="N147" s="16">
        <f t="shared" si="10"/>
        <v>9.0631066076042443E-3</v>
      </c>
      <c r="O147" s="17">
        <f t="shared" si="11"/>
        <v>-0.17755173828926549</v>
      </c>
      <c r="P147" s="17">
        <f t="shared" si="12"/>
        <v>-0.15325077399380804</v>
      </c>
      <c r="Q147" s="18">
        <f t="shared" si="13"/>
        <v>74.590072216490739</v>
      </c>
      <c r="R147" s="18">
        <f t="shared" si="14"/>
        <v>69.741745195518277</v>
      </c>
      <c r="S147" s="36" t="s">
        <v>40</v>
      </c>
      <c r="T147" s="48">
        <f>SUM(I143:I149)/SUM(L143:L149)</f>
        <v>76.187457799947651</v>
      </c>
      <c r="U147" s="1738"/>
    </row>
    <row r="148" spans="1:21">
      <c r="A148" s="10" t="s">
        <v>15</v>
      </c>
      <c r="B148" s="19">
        <v>46165</v>
      </c>
      <c r="C148" s="75">
        <f>IF(H148=0,"",'[2]2025-2026'!C147)</f>
        <v>23043.63</v>
      </c>
      <c r="D148" s="68">
        <f>'[2]2025'!C148</f>
        <v>23360.18</v>
      </c>
      <c r="E148" s="68">
        <f>'[2]2025'!D148</f>
        <v>23056.35</v>
      </c>
      <c r="F148" s="20">
        <f>'[2]2025'!E148</f>
        <v>1307</v>
      </c>
      <c r="G148" s="73">
        <f>'[2]2025'!F148</f>
        <v>23300</v>
      </c>
      <c r="H148" s="42">
        <f>'[2]2025'!G148</f>
        <v>17548.900000000001</v>
      </c>
      <c r="I148" s="13">
        <f>'[2]2025'!H148</f>
        <v>17297.21</v>
      </c>
      <c r="J148" s="14">
        <f>'[2]2025'!I148</f>
        <v>981</v>
      </c>
      <c r="K148" s="15">
        <f>'[2]2025'!J148</f>
        <v>218.87</v>
      </c>
      <c r="L148" s="15">
        <f>'[2]2025'!K148</f>
        <v>228.34</v>
      </c>
      <c r="M148" s="15">
        <f>'[2]2025'!L148</f>
        <v>1674.12</v>
      </c>
      <c r="N148" s="16">
        <f t="shared" si="10"/>
        <v>9.6785550964577527E-2</v>
      </c>
      <c r="O148" s="17">
        <f t="shared" si="11"/>
        <v>-0.24978541703261789</v>
      </c>
      <c r="P148" s="17">
        <f t="shared" si="12"/>
        <v>-0.24942616679418517</v>
      </c>
      <c r="Q148" s="18">
        <f t="shared" si="13"/>
        <v>79.029606615799324</v>
      </c>
      <c r="R148" s="18">
        <f t="shared" si="14"/>
        <v>75.751992642550576</v>
      </c>
      <c r="S148" s="36">
        <f>SUM(J143:J149)</f>
        <v>6364</v>
      </c>
      <c r="T148" s="30" t="s">
        <v>3</v>
      </c>
      <c r="U148" s="1738"/>
    </row>
    <row r="149" spans="1:21" ht="18" thickBot="1">
      <c r="A149" s="10" t="s">
        <v>16</v>
      </c>
      <c r="B149" s="19">
        <v>46166</v>
      </c>
      <c r="C149" s="75">
        <f>IF(H149=0,"",'[2]2025-2026'!C148)</f>
        <v>23360.18</v>
      </c>
      <c r="D149" s="68">
        <f>'[2]2025'!C149</f>
        <v>20998.45</v>
      </c>
      <c r="E149" s="68">
        <f>'[2]2025'!D149</f>
        <v>20712.98</v>
      </c>
      <c r="F149" s="20">
        <f>'[2]2025'!E149</f>
        <v>1065</v>
      </c>
      <c r="G149" s="73">
        <f>'[2]2025'!F149</f>
        <v>20900</v>
      </c>
      <c r="H149" s="42">
        <f>'[2]2025'!G149</f>
        <v>20492.97</v>
      </c>
      <c r="I149" s="13">
        <f>'[2]2025'!H149</f>
        <v>20239.689999999999</v>
      </c>
      <c r="J149" s="14">
        <f>'[2]2025'!I149</f>
        <v>1032</v>
      </c>
      <c r="K149" s="15">
        <f>'[2]2025'!J149</f>
        <v>191.29</v>
      </c>
      <c r="L149" s="15">
        <f>'[2]2025'!K149</f>
        <v>199.79</v>
      </c>
      <c r="M149" s="15">
        <f>'[2]2025'!L149</f>
        <v>54.49</v>
      </c>
      <c r="N149" s="16">
        <f t="shared" si="10"/>
        <v>2.6922349107125656E-3</v>
      </c>
      <c r="O149" s="17">
        <f t="shared" si="11"/>
        <v>-2.2849923091703892E-2</v>
      </c>
      <c r="P149" s="17">
        <f t="shared" si="12"/>
        <v>-3.0985915492957747E-2</v>
      </c>
      <c r="Q149" s="18">
        <f t="shared" si="13"/>
        <v>105.80631501908097</v>
      </c>
      <c r="R149" s="18">
        <f t="shared" si="14"/>
        <v>101.30482006106412</v>
      </c>
      <c r="S149" s="37">
        <f>(S148-SUM(F143:F149))/SUM(F143:F149)</f>
        <v>-0.17318435754189945</v>
      </c>
      <c r="T149" s="47">
        <f>SUM(M143:M149)/SUM(I143:I149)</f>
        <v>2.0874299149936694E-2</v>
      </c>
      <c r="U149" s="1739"/>
    </row>
    <row r="150" spans="1:21" ht="17" customHeight="1" thickTop="1">
      <c r="A150" s="10" t="s">
        <v>9</v>
      </c>
      <c r="B150" s="19">
        <v>46167</v>
      </c>
      <c r="C150" s="75">
        <f>IF(H150=0,"",'[2]2025-2026'!C149)</f>
        <v>20998.45</v>
      </c>
      <c r="D150" s="68">
        <f>'[2]2025'!C150</f>
        <v>14980.13</v>
      </c>
      <c r="E150" s="68">
        <f>'[2]2025'!D150</f>
        <v>14856.47</v>
      </c>
      <c r="F150" s="20">
        <f>'[2]2025'!E150</f>
        <v>982</v>
      </c>
      <c r="G150" s="73">
        <f>'[2]2025'!F150</f>
        <v>25500</v>
      </c>
      <c r="H150" s="42">
        <f>'[2]2025'!G150</f>
        <v>20205.060000000001</v>
      </c>
      <c r="I150" s="13">
        <f>'[2]2025'!H150</f>
        <v>19893.419999999998</v>
      </c>
      <c r="J150" s="14">
        <f>'[2]2025'!I150</f>
        <v>987</v>
      </c>
      <c r="K150" s="15">
        <f>'[2]2025'!J150</f>
        <v>138.80000000000001</v>
      </c>
      <c r="L150" s="15">
        <f>'[2]2025'!K150</f>
        <v>165.68</v>
      </c>
      <c r="M150" s="15">
        <f>'[2]2025'!L150</f>
        <v>80.77</v>
      </c>
      <c r="N150" s="16">
        <f t="shared" si="10"/>
        <v>4.0601364672338894E-3</v>
      </c>
      <c r="O150" s="17">
        <f t="shared" si="11"/>
        <v>0.33904083540706503</v>
      </c>
      <c r="P150" s="17">
        <f t="shared" si="12"/>
        <v>5.0916496945010185E-3</v>
      </c>
      <c r="Q150" s="18">
        <f t="shared" si="13"/>
        <v>143.3243515850144</v>
      </c>
      <c r="R150" s="18">
        <f t="shared" si="14"/>
        <v>120.0713423466924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19">
        <v>46168</v>
      </c>
      <c r="C151" s="75">
        <f>IF(H151=0,"",'[2]2025-2026'!C150)</f>
        <v>14980.13</v>
      </c>
      <c r="D151" s="68">
        <f>'[2]2025'!C151</f>
        <v>17639.95</v>
      </c>
      <c r="E151" s="68">
        <f>'[2]2025'!D151</f>
        <v>17474.43</v>
      </c>
      <c r="F151" s="20">
        <f>'[2]2025'!E151</f>
        <v>1075</v>
      </c>
      <c r="G151" s="73">
        <f>'[2]2025'!F151</f>
        <v>17600</v>
      </c>
      <c r="H151" s="42">
        <f>'[2]2025'!G151</f>
        <v>12710.9</v>
      </c>
      <c r="I151" s="13">
        <f>'[2]2025'!H151</f>
        <v>12627.07</v>
      </c>
      <c r="J151" s="14">
        <f>'[2]2025'!I151</f>
        <v>774</v>
      </c>
      <c r="K151" s="15">
        <f>'[2]2025'!J151</f>
        <v>161.77000000000001</v>
      </c>
      <c r="L151" s="15">
        <f>'[2]2025'!K151</f>
        <v>179.19</v>
      </c>
      <c r="M151" s="15">
        <f>'[2]2025'!L151</f>
        <v>169.12</v>
      </c>
      <c r="N151" s="16">
        <f t="shared" si="10"/>
        <v>1.3393447569388624E-2</v>
      </c>
      <c r="O151" s="17">
        <f t="shared" si="11"/>
        <v>-0.2773973171084837</v>
      </c>
      <c r="P151" s="17">
        <f t="shared" si="12"/>
        <v>-0.28000000000000003</v>
      </c>
      <c r="Q151" s="18">
        <f t="shared" si="13"/>
        <v>78.055696359028246</v>
      </c>
      <c r="R151" s="18">
        <f t="shared" si="14"/>
        <v>70.467492605614154</v>
      </c>
      <c r="S151" s="34">
        <f>SUM(I150:I156)</f>
        <v>128466.15</v>
      </c>
      <c r="T151" s="45" t="s">
        <v>41</v>
      </c>
      <c r="U151" s="1738"/>
    </row>
    <row r="152" spans="1:21">
      <c r="A152" s="10" t="s">
        <v>12</v>
      </c>
      <c r="B152" s="19">
        <v>46169</v>
      </c>
      <c r="C152" s="75">
        <f>IF(H152=0,"",'[2]2025-2026'!C151)</f>
        <v>17639.95</v>
      </c>
      <c r="D152" s="68">
        <f>'[2]2025'!C152</f>
        <v>24544.83</v>
      </c>
      <c r="E152" s="68">
        <f>'[2]2025'!D152</f>
        <v>24296.73</v>
      </c>
      <c r="F152" s="20">
        <f>'[2]2025'!E152</f>
        <v>1364</v>
      </c>
      <c r="G152" s="73">
        <f>'[2]2025'!F152</f>
        <v>24500</v>
      </c>
      <c r="H152" s="42">
        <f>'[2]2025'!G152</f>
        <v>18460.61</v>
      </c>
      <c r="I152" s="13">
        <f>'[2]2025'!H152</f>
        <v>18195.3</v>
      </c>
      <c r="J152" s="14">
        <f>'[2]2025'!I152</f>
        <v>1030</v>
      </c>
      <c r="K152" s="15">
        <f>'[2]2025'!J152</f>
        <v>194.46</v>
      </c>
      <c r="L152" s="15">
        <f>'[2]2025'!K152</f>
        <v>204.46</v>
      </c>
      <c r="M152" s="15">
        <f>'[2]2025'!L152</f>
        <v>75.38</v>
      </c>
      <c r="N152" s="16">
        <f t="shared" si="10"/>
        <v>4.1428280929690633E-3</v>
      </c>
      <c r="O152" s="17">
        <f t="shared" si="11"/>
        <v>-0.25112144720709334</v>
      </c>
      <c r="P152" s="17">
        <f t="shared" si="12"/>
        <v>-0.24486803519061584</v>
      </c>
      <c r="Q152" s="18">
        <f t="shared" si="13"/>
        <v>93.56834310398024</v>
      </c>
      <c r="R152" s="18">
        <f t="shared" si="14"/>
        <v>88.991978871172833</v>
      </c>
      <c r="S152" s="35">
        <f>(S151-SUM(E150:E156))/SUM(E150:E156)</f>
        <v>-0.12294576983938096</v>
      </c>
      <c r="T152" s="48">
        <f>SUM(I150:I156)/SUM(K150:K156)</f>
        <v>102.98300533087496</v>
      </c>
      <c r="U152" s="1738"/>
    </row>
    <row r="153" spans="1:21">
      <c r="A153" s="10" t="s">
        <v>13</v>
      </c>
      <c r="B153" s="19">
        <v>46170</v>
      </c>
      <c r="C153" s="75">
        <f>IF(H153=0,"",'[2]2025-2026'!C152)</f>
        <v>24544.83</v>
      </c>
      <c r="D153" s="68">
        <f>'[2]2025'!C153</f>
        <v>21617.61</v>
      </c>
      <c r="E153" s="68">
        <f>'[2]2025'!D153</f>
        <v>21360.639999999999</v>
      </c>
      <c r="F153" s="20">
        <f>'[2]2025'!E153</f>
        <v>1172</v>
      </c>
      <c r="G153" s="73">
        <f>'[2]2025'!F153</f>
        <v>8900</v>
      </c>
      <c r="H153" s="42">
        <f>'[2]2025'!G153</f>
        <v>15983.45</v>
      </c>
      <c r="I153" s="13">
        <f>'[2]2025'!H153</f>
        <v>15783.14</v>
      </c>
      <c r="J153" s="14">
        <f>'[2]2025'!I153</f>
        <v>953</v>
      </c>
      <c r="K153" s="15">
        <f>'[2]2025'!J153</f>
        <v>211.12</v>
      </c>
      <c r="L153" s="15">
        <f>'[2]2025'!K153</f>
        <v>211.12</v>
      </c>
      <c r="M153" s="15">
        <f>'[2]2025'!L153</f>
        <v>157.74</v>
      </c>
      <c r="N153" s="16">
        <f t="shared" si="10"/>
        <v>9.9942090103743633E-3</v>
      </c>
      <c r="O153" s="17">
        <f t="shared" si="11"/>
        <v>-0.26111109030441038</v>
      </c>
      <c r="P153" s="17">
        <f t="shared" si="12"/>
        <v>-0.18686006825938567</v>
      </c>
      <c r="Q153" s="18">
        <f t="shared" si="13"/>
        <v>74.759094353921938</v>
      </c>
      <c r="R153" s="18">
        <f t="shared" si="14"/>
        <v>74.759094353921938</v>
      </c>
      <c r="S153" s="34"/>
      <c r="T153" s="29" t="s">
        <v>8</v>
      </c>
      <c r="U153" s="1738"/>
    </row>
    <row r="154" spans="1:21">
      <c r="A154" s="10" t="s">
        <v>14</v>
      </c>
      <c r="B154" s="19">
        <v>46171</v>
      </c>
      <c r="C154" s="75">
        <f>IF(H154=0,"",'[2]2025-2026'!C153)</f>
        <v>21617.61</v>
      </c>
      <c r="D154" s="68">
        <f>'[2]2025'!C154</f>
        <v>20238.73</v>
      </c>
      <c r="E154" s="68">
        <f>'[2]2025'!D154</f>
        <v>19964.32</v>
      </c>
      <c r="F154" s="20">
        <f>'[2]2025'!E154</f>
        <v>1145</v>
      </c>
      <c r="G154" s="73">
        <f>'[2]2025'!F154</f>
        <v>20100</v>
      </c>
      <c r="H154" s="42">
        <f>'[2]2025'!G154</f>
        <v>20109.63</v>
      </c>
      <c r="I154" s="13">
        <f>'[2]2025'!H154</f>
        <v>19875.669999999998</v>
      </c>
      <c r="J154" s="14">
        <f>'[2]2025'!I154</f>
        <v>1075</v>
      </c>
      <c r="K154" s="15">
        <f>'[2]2025'!J154</f>
        <v>206.36</v>
      </c>
      <c r="L154" s="15">
        <f>'[2]2025'!K154</f>
        <v>215.78</v>
      </c>
      <c r="M154" s="15">
        <f>'[2]2025'!L154</f>
        <v>98.64</v>
      </c>
      <c r="N154" s="16">
        <f t="shared" si="10"/>
        <v>4.9628515667647938E-3</v>
      </c>
      <c r="O154" s="17">
        <f t="shared" si="11"/>
        <v>-4.4404217123348785E-3</v>
      </c>
      <c r="P154" s="17">
        <f t="shared" si="12"/>
        <v>-6.1135371179039298E-2</v>
      </c>
      <c r="Q154" s="18">
        <f t="shared" si="13"/>
        <v>96.315516572979249</v>
      </c>
      <c r="R154" s="18">
        <f t="shared" si="14"/>
        <v>92.110807303735271</v>
      </c>
      <c r="S154" s="36" t="s">
        <v>40</v>
      </c>
      <c r="T154" s="48">
        <f>SUM(I150:I156)/SUM(L150:L156)</f>
        <v>95.988455934546252</v>
      </c>
      <c r="U154" s="1738"/>
    </row>
    <row r="155" spans="1:21">
      <c r="A155" s="10" t="s">
        <v>15</v>
      </c>
      <c r="B155" s="19">
        <v>46172</v>
      </c>
      <c r="C155" s="75">
        <f>IF(H155=0,"",'[2]2025-2026'!C154)</f>
        <v>20238.73</v>
      </c>
      <c r="D155" s="68">
        <f>'[2]2025'!C155</f>
        <v>19240.16</v>
      </c>
      <c r="E155" s="68">
        <f>'[2]2025'!D155</f>
        <v>19008.48</v>
      </c>
      <c r="F155" s="20">
        <f>'[2]2025'!E155</f>
        <v>1058</v>
      </c>
      <c r="G155" s="73">
        <f>'[2]2025'!F155</f>
        <v>19200</v>
      </c>
      <c r="H155" s="42">
        <f>'[2]2025'!G155</f>
        <v>21648.31</v>
      </c>
      <c r="I155" s="13">
        <f>'[2]2025'!H155</f>
        <v>21317.06</v>
      </c>
      <c r="J155" s="14">
        <f>'[2]2025'!I155</f>
        <v>1140</v>
      </c>
      <c r="K155" s="15">
        <f>'[2]2025'!J155</f>
        <v>176.53</v>
      </c>
      <c r="L155" s="15">
        <f>'[2]2025'!K155</f>
        <v>194.71</v>
      </c>
      <c r="M155" s="15">
        <f>'[2]2025'!L155</f>
        <v>106.55</v>
      </c>
      <c r="N155" s="16">
        <f t="shared" si="10"/>
        <v>4.9983440493201218E-3</v>
      </c>
      <c r="O155" s="17">
        <f t="shared" si="11"/>
        <v>0.12145000547124241</v>
      </c>
      <c r="P155" s="17">
        <f t="shared" si="12"/>
        <v>7.7504725897920609E-2</v>
      </c>
      <c r="Q155" s="18">
        <f t="shared" si="13"/>
        <v>120.75601880700165</v>
      </c>
      <c r="R155" s="18">
        <f t="shared" si="14"/>
        <v>109.48107441836578</v>
      </c>
      <c r="S155" s="36">
        <f>SUM(J150:J156)</f>
        <v>6969</v>
      </c>
      <c r="T155" s="30" t="s">
        <v>3</v>
      </c>
      <c r="U155" s="1738"/>
    </row>
    <row r="156" spans="1:21" ht="18" thickBot="1">
      <c r="A156" s="10" t="s">
        <v>16</v>
      </c>
      <c r="B156" s="19">
        <v>46173</v>
      </c>
      <c r="C156" s="75">
        <f>IF(H156=0,"",'[2]2025-2026'!C155)</f>
        <v>19240.16</v>
      </c>
      <c r="D156" s="68">
        <f>'[2]2025'!C156</f>
        <v>29811.15</v>
      </c>
      <c r="E156" s="68">
        <f>'[2]2025'!D156</f>
        <v>29513.51</v>
      </c>
      <c r="F156" s="20">
        <f>'[2]2025'!E156</f>
        <v>1410</v>
      </c>
      <c r="G156" s="73">
        <f>'[2]2025'!F156</f>
        <v>29800</v>
      </c>
      <c r="H156" s="42">
        <f>'[2]2025'!G156</f>
        <v>21037.55</v>
      </c>
      <c r="I156" s="13">
        <f>'[2]2025'!H156</f>
        <v>20774.490000000002</v>
      </c>
      <c r="J156" s="14">
        <f>'[2]2025'!I156</f>
        <v>1010</v>
      </c>
      <c r="K156" s="15">
        <f>'[2]2025'!J156</f>
        <v>158.41</v>
      </c>
      <c r="L156" s="15">
        <f>'[2]2025'!K156</f>
        <v>167.41</v>
      </c>
      <c r="M156" s="15">
        <f>'[2]2025'!L156</f>
        <v>70.84</v>
      </c>
      <c r="N156" s="16">
        <f t="shared" si="10"/>
        <v>3.4099513393589928E-3</v>
      </c>
      <c r="O156" s="17">
        <f t="shared" si="11"/>
        <v>-0.29610236125760703</v>
      </c>
      <c r="P156" s="17">
        <f t="shared" si="12"/>
        <v>-0.28368794326241137</v>
      </c>
      <c r="Q156" s="18">
        <f t="shared" si="13"/>
        <v>131.14380405277447</v>
      </c>
      <c r="R156" s="18">
        <f t="shared" si="14"/>
        <v>124.09348306552776</v>
      </c>
      <c r="S156" s="37">
        <f>(S155-SUM(F150:F156))/SUM(F150:F156)</f>
        <v>-0.15074335851815746</v>
      </c>
      <c r="T156" s="47">
        <f>SUM(M150:M156)/SUM(I150:I156)</f>
        <v>5.908482506870487E-3</v>
      </c>
      <c r="U156" s="1739"/>
    </row>
    <row r="157" spans="1:21" ht="17" customHeight="1" thickTop="1">
      <c r="A157" s="10" t="s">
        <v>9</v>
      </c>
      <c r="B157" s="19">
        <v>46174</v>
      </c>
      <c r="C157" s="75">
        <f>IF(H157=0,"",'[2]2025-2026'!C156)</f>
        <v>29811.15</v>
      </c>
      <c r="D157" s="68">
        <f>'[2]2025'!C157</f>
        <v>16102.36</v>
      </c>
      <c r="E157" s="68">
        <f>'[2]2025'!D157</f>
        <v>15964.21</v>
      </c>
      <c r="F157" s="20">
        <f>'[2]2025'!E157</f>
        <v>959</v>
      </c>
      <c r="G157" s="73">
        <f>'[2]2025'!F157</f>
        <v>16100</v>
      </c>
      <c r="H157" s="42">
        <f>'[2]2025'!G157</f>
        <v>13724.08</v>
      </c>
      <c r="I157" s="13">
        <f>'[2]2025'!H157</f>
        <v>13601.64</v>
      </c>
      <c r="J157" s="14">
        <f>'[2]2025'!I157</f>
        <v>804</v>
      </c>
      <c r="K157" s="15">
        <f>'[2]2025'!J157</f>
        <v>141.76</v>
      </c>
      <c r="L157" s="15">
        <f>'[2]2025'!K157</f>
        <v>159.13</v>
      </c>
      <c r="M157" s="15">
        <f>'[2]2025'!L157</f>
        <v>-1444.99</v>
      </c>
      <c r="N157" s="16">
        <f t="shared" si="10"/>
        <v>-0.10623645383938995</v>
      </c>
      <c r="O157" s="17">
        <f t="shared" si="11"/>
        <v>-0.14799166385308135</v>
      </c>
      <c r="P157" s="17">
        <f t="shared" si="12"/>
        <v>-0.1616266944734098</v>
      </c>
      <c r="Q157" s="18">
        <f t="shared" si="13"/>
        <v>95.94836343115125</v>
      </c>
      <c r="R157" s="18">
        <f t="shared" si="14"/>
        <v>85.475020423553062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19">
        <v>46175</v>
      </c>
      <c r="C158" s="75">
        <f>IF(H158=0,"",'[2]2025-2026'!C157)</f>
        <v>16102.36</v>
      </c>
      <c r="D158" s="68">
        <f>'[2]2025'!C158</f>
        <v>16094.45</v>
      </c>
      <c r="E158" s="68">
        <f>'[2]2025'!D158</f>
        <v>15914.02</v>
      </c>
      <c r="F158" s="20">
        <f>'[2]2025'!E158</f>
        <v>962</v>
      </c>
      <c r="G158" s="73">
        <f>'[2]2025'!F158</f>
        <v>16100</v>
      </c>
      <c r="H158" s="42">
        <f>'[2]2025'!G158</f>
        <v>16567.04</v>
      </c>
      <c r="I158" s="13">
        <f>'[2]2025'!H158</f>
        <v>16317.16</v>
      </c>
      <c r="J158" s="14">
        <f>'[2]2025'!I158</f>
        <v>959</v>
      </c>
      <c r="K158" s="15">
        <f>'[2]2025'!J158</f>
        <v>153.66</v>
      </c>
      <c r="L158" s="15">
        <f>'[2]2025'!K158</f>
        <v>176.28</v>
      </c>
      <c r="M158" s="15">
        <f>'[2]2025'!L158</f>
        <v>85.78</v>
      </c>
      <c r="N158" s="16">
        <f t="shared" si="10"/>
        <v>5.2570422794162713E-3</v>
      </c>
      <c r="O158" s="17">
        <f t="shared" si="11"/>
        <v>2.5332379876360556E-2</v>
      </c>
      <c r="P158" s="17">
        <f t="shared" si="12"/>
        <v>-3.1185031185031187E-3</v>
      </c>
      <c r="Q158" s="18">
        <f t="shared" si="13"/>
        <v>106.19002993622283</v>
      </c>
      <c r="R158" s="18">
        <f t="shared" si="14"/>
        <v>92.563875652371223</v>
      </c>
      <c r="S158" s="34">
        <f>SUM(I157:I163)</f>
        <v>130685.65</v>
      </c>
      <c r="T158" s="45" t="s">
        <v>41</v>
      </c>
      <c r="U158" s="1738"/>
    </row>
    <row r="159" spans="1:21">
      <c r="A159" s="10" t="s">
        <v>12</v>
      </c>
      <c r="B159" s="19">
        <v>46176</v>
      </c>
      <c r="C159" s="75">
        <f>IF(H159=0,"",'[2]2025-2026'!C158)</f>
        <v>16094.45</v>
      </c>
      <c r="D159" s="68">
        <f>'[2]2025'!C159</f>
        <v>22416.89</v>
      </c>
      <c r="E159" s="68">
        <f>'[2]2025'!D159</f>
        <v>22142.44</v>
      </c>
      <c r="F159" s="20">
        <f>'[2]2025'!E159</f>
        <v>1264</v>
      </c>
      <c r="G159" s="73">
        <f>'[2]2025'!F159</f>
        <v>22300</v>
      </c>
      <c r="H159" s="42">
        <f>'[2]2025'!G159</f>
        <v>17358.55</v>
      </c>
      <c r="I159" s="13">
        <f>'[2]2025'!H159</f>
        <v>17098.89</v>
      </c>
      <c r="J159" s="14">
        <f>'[2]2025'!I159</f>
        <v>970</v>
      </c>
      <c r="K159" s="15">
        <f>'[2]2025'!J159</f>
        <v>184.19</v>
      </c>
      <c r="L159" s="15">
        <f>'[2]2025'!K159</f>
        <v>201.69</v>
      </c>
      <c r="M159" s="15">
        <f>'[2]2025'!L159</f>
        <v>176.76</v>
      </c>
      <c r="N159" s="16">
        <f t="shared" si="10"/>
        <v>1.0337513136817652E-2</v>
      </c>
      <c r="O159" s="17">
        <f t="shared" si="11"/>
        <v>-0.2277775168409624</v>
      </c>
      <c r="P159" s="17">
        <f t="shared" si="12"/>
        <v>-0.23259493670886075</v>
      </c>
      <c r="Q159" s="18">
        <f t="shared" si="13"/>
        <v>92.832889950594492</v>
      </c>
      <c r="R159" s="18">
        <f t="shared" si="14"/>
        <v>84.778075264019037</v>
      </c>
      <c r="S159" s="35">
        <f>(S158-SUM(E157:E163))/SUM(E157:E163)</f>
        <v>-6.9326217181868197E-2</v>
      </c>
      <c r="T159" s="48">
        <f>SUM(I157:I163)/SUM(K157:K163)</f>
        <v>98.675362428269409</v>
      </c>
      <c r="U159" s="1738"/>
    </row>
    <row r="160" spans="1:21">
      <c r="A160" s="10" t="s">
        <v>13</v>
      </c>
      <c r="B160" s="19">
        <v>46177</v>
      </c>
      <c r="C160" s="75">
        <f>IF(H160=0,"",'[2]2025-2026'!C159)</f>
        <v>22416.89</v>
      </c>
      <c r="D160" s="68">
        <f>'[2]2025'!C160</f>
        <v>16859.86</v>
      </c>
      <c r="E160" s="68">
        <f>'[2]2025'!D160</f>
        <v>16658.86</v>
      </c>
      <c r="F160" s="20">
        <f>'[2]2025'!E160</f>
        <v>1044</v>
      </c>
      <c r="G160" s="73">
        <f>'[2]2025'!F160</f>
        <v>16800</v>
      </c>
      <c r="H160" s="42">
        <f>'[2]2025'!G160</f>
        <v>16081.01</v>
      </c>
      <c r="I160" s="13">
        <f>'[2]2025'!H160</f>
        <v>15858.07</v>
      </c>
      <c r="J160" s="14">
        <f>'[2]2025'!I160</f>
        <v>866</v>
      </c>
      <c r="K160" s="15">
        <f>'[2]2025'!J160</f>
        <v>221.98</v>
      </c>
      <c r="L160" s="15">
        <f>'[2]2025'!K160</f>
        <v>239.23</v>
      </c>
      <c r="M160" s="15">
        <f>'[2]2025'!L160</f>
        <v>115.07</v>
      </c>
      <c r="N160" s="16">
        <f t="shared" si="10"/>
        <v>7.2562424052863934E-3</v>
      </c>
      <c r="O160" s="17">
        <f t="shared" si="11"/>
        <v>-4.8069915948630387E-2</v>
      </c>
      <c r="P160" s="17">
        <f t="shared" si="12"/>
        <v>-0.17049808429118773</v>
      </c>
      <c r="Q160" s="18">
        <f t="shared" si="13"/>
        <v>71.439183710244166</v>
      </c>
      <c r="R160" s="18">
        <f t="shared" si="14"/>
        <v>66.287965556159349</v>
      </c>
      <c r="S160" s="34"/>
      <c r="T160" s="29" t="s">
        <v>8</v>
      </c>
      <c r="U160" s="1738"/>
    </row>
    <row r="161" spans="1:21">
      <c r="A161" s="10" t="s">
        <v>14</v>
      </c>
      <c r="B161" s="19">
        <v>46178</v>
      </c>
      <c r="C161" s="75">
        <f>IF(H161=0,"",'[2]2025-2026'!C160)</f>
        <v>16859.86</v>
      </c>
      <c r="D161" s="68">
        <f>'[2]2025'!C161</f>
        <v>24153.7</v>
      </c>
      <c r="E161" s="68">
        <f>'[2]2025'!D161</f>
        <v>23888.13</v>
      </c>
      <c r="F161" s="20">
        <f>'[2]2025'!E161</f>
        <v>1336</v>
      </c>
      <c r="G161" s="73">
        <f>'[2]2025'!F161</f>
        <v>24100</v>
      </c>
      <c r="H161" s="42">
        <f>'[2]2025'!G161</f>
        <v>22919.3</v>
      </c>
      <c r="I161" s="13">
        <f>'[2]2025'!H161</f>
        <v>22499.49</v>
      </c>
      <c r="J161" s="14">
        <f>'[2]2025'!I161</f>
        <v>1252</v>
      </c>
      <c r="K161" s="15">
        <f>'[2]2025'!J161</f>
        <v>228.41</v>
      </c>
      <c r="L161" s="15">
        <f>'[2]2025'!K161</f>
        <v>246.46</v>
      </c>
      <c r="M161" s="15">
        <f>'[2]2025'!L161</f>
        <v>83.22</v>
      </c>
      <c r="N161" s="16">
        <f t="shared" si="10"/>
        <v>3.6987505050114465E-3</v>
      </c>
      <c r="O161" s="17">
        <f t="shared" si="11"/>
        <v>-5.8130962951055583E-2</v>
      </c>
      <c r="P161" s="17">
        <f t="shared" si="12"/>
        <v>-6.2874251497005984E-2</v>
      </c>
      <c r="Q161" s="18">
        <f t="shared" si="13"/>
        <v>98.504837791690392</v>
      </c>
      <c r="R161" s="18">
        <f t="shared" si="14"/>
        <v>91.290635397224705</v>
      </c>
      <c r="S161" s="36" t="s">
        <v>40</v>
      </c>
      <c r="T161" s="48">
        <f>SUM(I157:I163)/SUM(L157:L163)</f>
        <v>90.485608646582705</v>
      </c>
      <c r="U161" s="1738"/>
    </row>
    <row r="162" spans="1:21">
      <c r="A162" s="10" t="s">
        <v>15</v>
      </c>
      <c r="B162" s="19">
        <v>46179</v>
      </c>
      <c r="C162" s="75">
        <f>IF(H162=0,"",'[2]2025-2026'!C161)</f>
        <v>24153.7</v>
      </c>
      <c r="D162" s="68">
        <f>'[2]2025'!C162</f>
        <v>23626.16</v>
      </c>
      <c r="E162" s="68">
        <f>'[2]2025'!D162</f>
        <v>23292.73</v>
      </c>
      <c r="F162" s="20">
        <f>'[2]2025'!E162</f>
        <v>1234</v>
      </c>
      <c r="G162" s="73">
        <f>'[2]2025'!F162</f>
        <v>23500</v>
      </c>
      <c r="H162" s="42">
        <f>'[2]2025'!G162</f>
        <v>23615.78</v>
      </c>
      <c r="I162" s="13">
        <f>'[2]2025'!H162</f>
        <v>23296.959999999999</v>
      </c>
      <c r="J162" s="14">
        <f>'[2]2025'!I162</f>
        <v>1270</v>
      </c>
      <c r="K162" s="15">
        <f>'[2]2025'!J162</f>
        <v>202.34</v>
      </c>
      <c r="L162" s="15">
        <f>'[2]2025'!K162</f>
        <v>211.69</v>
      </c>
      <c r="M162" s="15">
        <f>'[2]2025'!L162</f>
        <v>72.599999999999994</v>
      </c>
      <c r="N162" s="16">
        <f t="shared" si="10"/>
        <v>3.1162864167685396E-3</v>
      </c>
      <c r="O162" s="17">
        <f t="shared" si="11"/>
        <v>1.8160172723418694E-4</v>
      </c>
      <c r="P162" s="17">
        <f t="shared" si="12"/>
        <v>2.9173419773095625E-2</v>
      </c>
      <c r="Q162" s="18">
        <f t="shared" si="13"/>
        <v>115.13768903825245</v>
      </c>
      <c r="R162" s="18">
        <f t="shared" si="14"/>
        <v>110.05224620907931</v>
      </c>
      <c r="S162" s="36">
        <f>SUM(J157:J163)</f>
        <v>7229</v>
      </c>
      <c r="T162" s="30" t="s">
        <v>3</v>
      </c>
      <c r="U162" s="1738"/>
    </row>
    <row r="163" spans="1:21" ht="18" thickBot="1">
      <c r="A163" s="10" t="s">
        <v>16</v>
      </c>
      <c r="B163" s="19">
        <v>46180</v>
      </c>
      <c r="C163" s="75">
        <f>IF(H163=0,"",'[2]2025-2026'!C162)</f>
        <v>23626.16</v>
      </c>
      <c r="D163" s="68">
        <f>'[2]2025'!C163</f>
        <v>22865.58</v>
      </c>
      <c r="E163" s="68">
        <f>'[2]2025'!D163</f>
        <v>22560.080000000002</v>
      </c>
      <c r="F163" s="20">
        <f>'[2]2025'!E163</f>
        <v>1146</v>
      </c>
      <c r="G163" s="73">
        <f>'[2]2025'!F163</f>
        <v>22800</v>
      </c>
      <c r="H163" s="42">
        <f>'[2]2025'!G163</f>
        <v>22432.16</v>
      </c>
      <c r="I163" s="13">
        <f>'[2]2025'!H163</f>
        <v>22013.439999999999</v>
      </c>
      <c r="J163" s="14">
        <f>'[2]2025'!I163</f>
        <v>1108</v>
      </c>
      <c r="K163" s="15">
        <f>'[2]2025'!J163</f>
        <v>192.06</v>
      </c>
      <c r="L163" s="15">
        <f>'[2]2025'!K163</f>
        <v>209.79</v>
      </c>
      <c r="M163" s="15">
        <f>'[2]2025'!L163</f>
        <v>362.09</v>
      </c>
      <c r="N163" s="16">
        <f t="shared" si="10"/>
        <v>1.6448587771833934E-2</v>
      </c>
      <c r="O163" s="17">
        <f t="shared" si="11"/>
        <v>-2.4230410530459247E-2</v>
      </c>
      <c r="P163" s="17">
        <f t="shared" si="12"/>
        <v>-3.3158813263525308E-2</v>
      </c>
      <c r="Q163" s="18">
        <f t="shared" si="13"/>
        <v>114.6175153597834</v>
      </c>
      <c r="R163" s="18">
        <f t="shared" si="14"/>
        <v>104.93083559750227</v>
      </c>
      <c r="S163" s="37">
        <f>(S162-SUM(F157:F163))/SUM(F157:F163)</f>
        <v>-9.0119572057898042E-2</v>
      </c>
      <c r="T163" s="47">
        <f>SUM(M157:M163)/SUM(I157:I163)</f>
        <v>-4.2045167162576766E-3</v>
      </c>
      <c r="U163" s="1739"/>
    </row>
    <row r="164" spans="1:21" ht="17" customHeight="1" thickTop="1">
      <c r="A164" s="10" t="s">
        <v>9</v>
      </c>
      <c r="B164" s="19">
        <v>46181</v>
      </c>
      <c r="C164" s="75" t="str">
        <f>IF(H164=0,"",'[2]2025-2026'!C163)</f>
        <v/>
      </c>
      <c r="D164" s="68" t="str">
        <f>'[2]2025'!C164</f>
        <v/>
      </c>
      <c r="E164" s="68" t="str">
        <f>'[2]2025'!D164</f>
        <v/>
      </c>
      <c r="F164" s="20" t="str">
        <f>'[2]2025'!E164</f>
        <v/>
      </c>
      <c r="G164" s="73" t="str">
        <f>'[2]2025'!F164</f>
        <v/>
      </c>
      <c r="H164" s="42">
        <f>'[2]2025'!G164</f>
        <v>0</v>
      </c>
      <c r="I164" s="13">
        <f>'[2]2025'!H164</f>
        <v>0</v>
      </c>
      <c r="J164" s="14">
        <f>'[2]2025'!I164</f>
        <v>0</v>
      </c>
      <c r="K164" s="15">
        <f>'[2]2025'!J164</f>
        <v>0</v>
      </c>
      <c r="L164" s="15">
        <f>'[2]2025'!K164</f>
        <v>0</v>
      </c>
      <c r="M164" s="15">
        <f>'[2]2025'!L164</f>
        <v>0</v>
      </c>
      <c r="N164" s="16" t="str">
        <f t="shared" si="10"/>
        <v/>
      </c>
      <c r="O164" s="17" t="str">
        <f t="shared" si="11"/>
        <v/>
      </c>
      <c r="P164" s="17" t="str">
        <f t="shared" si="12"/>
        <v/>
      </c>
      <c r="Q164" s="18" t="str">
        <f t="shared" si="13"/>
        <v/>
      </c>
      <c r="R164" s="18" t="e">
        <f t="shared" si="14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19">
        <v>46182</v>
      </c>
      <c r="C165" s="75" t="str">
        <f>IF(H165=0,"",'[2]2025-2026'!C164)</f>
        <v/>
      </c>
      <c r="D165" s="68" t="str">
        <f>'[2]2025'!C165</f>
        <v/>
      </c>
      <c r="E165" s="68" t="str">
        <f>'[2]2025'!D165</f>
        <v/>
      </c>
      <c r="F165" s="20" t="str">
        <f>'[2]2025'!E165</f>
        <v/>
      </c>
      <c r="G165" s="73" t="str">
        <f>'[2]2025'!F165</f>
        <v/>
      </c>
      <c r="H165" s="42">
        <f>'[2]2025'!G165</f>
        <v>0</v>
      </c>
      <c r="I165" s="13">
        <f>'[2]2025'!H165</f>
        <v>0</v>
      </c>
      <c r="J165" s="14">
        <f>'[2]2025'!I165</f>
        <v>0</v>
      </c>
      <c r="K165" s="15">
        <f>'[2]2025'!J165</f>
        <v>0</v>
      </c>
      <c r="L165" s="15">
        <f>'[2]2025'!K165</f>
        <v>0</v>
      </c>
      <c r="M165" s="15">
        <f>'[2]2025'!L165</f>
        <v>0</v>
      </c>
      <c r="N165" s="16" t="str">
        <f t="shared" si="10"/>
        <v/>
      </c>
      <c r="O165" s="17" t="str">
        <f t="shared" si="11"/>
        <v/>
      </c>
      <c r="P165" s="17" t="str">
        <f t="shared" si="12"/>
        <v/>
      </c>
      <c r="Q165" s="18" t="str">
        <f t="shared" si="13"/>
        <v/>
      </c>
      <c r="R165" s="18" t="e">
        <f t="shared" si="14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19">
        <v>46183</v>
      </c>
      <c r="C166" s="75" t="str">
        <f>IF(H166=0,"",'[2]2025-2026'!C165)</f>
        <v/>
      </c>
      <c r="D166" s="68" t="str">
        <f>'[2]2025'!C166</f>
        <v/>
      </c>
      <c r="E166" s="68" t="str">
        <f>'[2]2025'!D166</f>
        <v/>
      </c>
      <c r="F166" s="20" t="str">
        <f>'[2]2025'!E166</f>
        <v/>
      </c>
      <c r="G166" s="73" t="str">
        <f>'[2]2025'!F166</f>
        <v/>
      </c>
      <c r="H166" s="42">
        <f>'[2]2025'!G166</f>
        <v>0</v>
      </c>
      <c r="I166" s="13">
        <f>'[2]2025'!H166</f>
        <v>0</v>
      </c>
      <c r="J166" s="14">
        <f>'[2]2025'!I166</f>
        <v>0</v>
      </c>
      <c r="K166" s="15">
        <f>'[2]2025'!J166</f>
        <v>0</v>
      </c>
      <c r="L166" s="15">
        <f>'[2]2025'!K166</f>
        <v>0</v>
      </c>
      <c r="M166" s="15">
        <f>'[2]2025'!L166</f>
        <v>0</v>
      </c>
      <c r="N166" s="16" t="str">
        <f t="shared" si="10"/>
        <v/>
      </c>
      <c r="O166" s="17" t="str">
        <f t="shared" si="11"/>
        <v/>
      </c>
      <c r="P166" s="17" t="str">
        <f t="shared" si="12"/>
        <v/>
      </c>
      <c r="Q166" s="18" t="str">
        <f t="shared" si="13"/>
        <v/>
      </c>
      <c r="R166" s="18" t="e">
        <f t="shared" si="14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19">
        <v>46184</v>
      </c>
      <c r="C167" s="75" t="str">
        <f>IF(H167=0,"",'[2]2025-2026'!C166)</f>
        <v/>
      </c>
      <c r="D167" s="68" t="str">
        <f>'[2]2025'!C167</f>
        <v/>
      </c>
      <c r="E167" s="68" t="str">
        <f>'[2]2025'!D167</f>
        <v/>
      </c>
      <c r="F167" s="20" t="str">
        <f>'[2]2025'!E167</f>
        <v/>
      </c>
      <c r="G167" s="73" t="str">
        <f>'[2]2025'!F167</f>
        <v/>
      </c>
      <c r="H167" s="42">
        <f>'[2]2025'!G167</f>
        <v>0</v>
      </c>
      <c r="I167" s="13">
        <f>'[2]2025'!H167</f>
        <v>0</v>
      </c>
      <c r="J167" s="14">
        <f>'[2]2025'!I167</f>
        <v>0</v>
      </c>
      <c r="K167" s="15">
        <f>'[2]2025'!J167</f>
        <v>0</v>
      </c>
      <c r="L167" s="15">
        <f>'[2]2025'!K167</f>
        <v>0</v>
      </c>
      <c r="M167" s="15">
        <f>'[2]2025'!L167</f>
        <v>0</v>
      </c>
      <c r="N167" s="16" t="str">
        <f t="shared" si="10"/>
        <v/>
      </c>
      <c r="O167" s="17" t="str">
        <f t="shared" si="11"/>
        <v/>
      </c>
      <c r="P167" s="17" t="str">
        <f t="shared" si="12"/>
        <v/>
      </c>
      <c r="Q167" s="18" t="str">
        <f t="shared" si="13"/>
        <v/>
      </c>
      <c r="R167" s="18" t="e">
        <f t="shared" si="14"/>
        <v>#DIV/0!</v>
      </c>
      <c r="S167" s="34"/>
      <c r="T167" s="29" t="s">
        <v>8</v>
      </c>
      <c r="U167" s="1738"/>
    </row>
    <row r="168" spans="1:21">
      <c r="A168" s="10" t="s">
        <v>14</v>
      </c>
      <c r="B168" s="19">
        <v>46185</v>
      </c>
      <c r="C168" s="75" t="str">
        <f>IF(H168=0,"",'[2]2025-2026'!C167)</f>
        <v/>
      </c>
      <c r="D168" s="68" t="str">
        <f>'[2]2025'!C168</f>
        <v/>
      </c>
      <c r="E168" s="68" t="str">
        <f>'[2]2025'!D168</f>
        <v/>
      </c>
      <c r="F168" s="20" t="str">
        <f>'[2]2025'!E168</f>
        <v/>
      </c>
      <c r="G168" s="73" t="str">
        <f>'[2]2025'!F168</f>
        <v/>
      </c>
      <c r="H168" s="42">
        <f>'[2]2025'!G168</f>
        <v>0</v>
      </c>
      <c r="I168" s="13">
        <f>'[2]2025'!H168</f>
        <v>0</v>
      </c>
      <c r="J168" s="14">
        <f>'[2]2025'!I168</f>
        <v>0</v>
      </c>
      <c r="K168" s="15">
        <f>'[2]2025'!J168</f>
        <v>0</v>
      </c>
      <c r="L168" s="15">
        <f>'[2]2025'!K168</f>
        <v>0</v>
      </c>
      <c r="M168" s="15">
        <f>'[2]2025'!L168</f>
        <v>0</v>
      </c>
      <c r="N168" s="16" t="str">
        <f t="shared" si="10"/>
        <v/>
      </c>
      <c r="O168" s="17" t="str">
        <f t="shared" si="11"/>
        <v/>
      </c>
      <c r="P168" s="17" t="str">
        <f t="shared" si="12"/>
        <v/>
      </c>
      <c r="Q168" s="18" t="str">
        <f t="shared" si="13"/>
        <v/>
      </c>
      <c r="R168" s="18" t="e">
        <f t="shared" si="14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19">
        <v>46186</v>
      </c>
      <c r="C169" s="75" t="str">
        <f>IF(H169=0,"",'[2]2025-2026'!C168)</f>
        <v/>
      </c>
      <c r="D169" s="68" t="str">
        <f>'[2]2025'!C169</f>
        <v/>
      </c>
      <c r="E169" s="68" t="str">
        <f>'[2]2025'!D169</f>
        <v/>
      </c>
      <c r="F169" s="20" t="str">
        <f>'[2]2025'!E169</f>
        <v/>
      </c>
      <c r="G169" s="73" t="str">
        <f>'[2]2025'!F169</f>
        <v/>
      </c>
      <c r="H169" s="42">
        <f>'[2]2025'!G169</f>
        <v>0</v>
      </c>
      <c r="I169" s="13">
        <f>'[2]2025'!H169</f>
        <v>0</v>
      </c>
      <c r="J169" s="14">
        <f>'[2]2025'!I169</f>
        <v>0</v>
      </c>
      <c r="K169" s="15">
        <f>'[2]2025'!J169</f>
        <v>0</v>
      </c>
      <c r="L169" s="15">
        <f>'[2]2025'!K169</f>
        <v>0</v>
      </c>
      <c r="M169" s="15">
        <f>'[2]2025'!L169</f>
        <v>0</v>
      </c>
      <c r="N169" s="16" t="str">
        <f t="shared" si="10"/>
        <v/>
      </c>
      <c r="O169" s="17" t="str">
        <f t="shared" si="11"/>
        <v/>
      </c>
      <c r="P169" s="17" t="str">
        <f t="shared" si="12"/>
        <v/>
      </c>
      <c r="Q169" s="18" t="str">
        <f t="shared" si="13"/>
        <v/>
      </c>
      <c r="R169" s="18" t="e">
        <f t="shared" si="14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19">
        <v>46187</v>
      </c>
      <c r="C170" s="75" t="str">
        <f>IF(H170=0,"",'[2]2025-2026'!C169)</f>
        <v/>
      </c>
      <c r="D170" s="68" t="str">
        <f>'[2]2025'!C170</f>
        <v/>
      </c>
      <c r="E170" s="68" t="str">
        <f>'[2]2025'!D170</f>
        <v/>
      </c>
      <c r="F170" s="20" t="str">
        <f>'[2]2025'!E170</f>
        <v/>
      </c>
      <c r="G170" s="73" t="str">
        <f>'[2]2025'!F170</f>
        <v/>
      </c>
      <c r="H170" s="42">
        <f>'[2]2025'!G170</f>
        <v>0</v>
      </c>
      <c r="I170" s="13">
        <f>'[2]2025'!H170</f>
        <v>0</v>
      </c>
      <c r="J170" s="14">
        <f>'[2]2025'!I170</f>
        <v>0</v>
      </c>
      <c r="K170" s="15">
        <f>'[2]2025'!J170</f>
        <v>0</v>
      </c>
      <c r="L170" s="15">
        <f>'[2]2025'!K170</f>
        <v>0</v>
      </c>
      <c r="M170" s="15">
        <f>'[2]2025'!L170</f>
        <v>0</v>
      </c>
      <c r="N170" s="16" t="str">
        <f t="shared" si="10"/>
        <v/>
      </c>
      <c r="O170" s="17" t="str">
        <f t="shared" si="11"/>
        <v/>
      </c>
      <c r="P170" s="17" t="str">
        <f t="shared" si="12"/>
        <v/>
      </c>
      <c r="Q170" s="18" t="str">
        <f t="shared" si="13"/>
        <v/>
      </c>
      <c r="R170" s="18" t="e">
        <f t="shared" si="14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19">
        <v>46188</v>
      </c>
      <c r="C171" s="75" t="str">
        <f>IF(H171=0,"",'[2]2025-2026'!C170)</f>
        <v/>
      </c>
      <c r="D171" s="68" t="str">
        <f>'[2]2025'!C171</f>
        <v/>
      </c>
      <c r="E171" s="68" t="str">
        <f>'[2]2025'!D171</f>
        <v/>
      </c>
      <c r="F171" s="20" t="str">
        <f>'[2]2025'!E171</f>
        <v/>
      </c>
      <c r="G171" s="73" t="str">
        <f>'[2]2025'!F171</f>
        <v/>
      </c>
      <c r="H171" s="42">
        <f>'[2]2025'!G171</f>
        <v>0</v>
      </c>
      <c r="I171" s="13">
        <f>'[2]2025'!H171</f>
        <v>0</v>
      </c>
      <c r="J171" s="14">
        <f>'[2]2025'!I171</f>
        <v>0</v>
      </c>
      <c r="K171" s="15">
        <f>'[2]2025'!J171</f>
        <v>0</v>
      </c>
      <c r="L171" s="15">
        <f>'[2]2025'!K171</f>
        <v>0</v>
      </c>
      <c r="M171" s="15">
        <f>'[2]2025'!L171</f>
        <v>0</v>
      </c>
      <c r="N171" s="16" t="str">
        <f t="shared" si="10"/>
        <v/>
      </c>
      <c r="O171" s="17" t="str">
        <f t="shared" si="11"/>
        <v/>
      </c>
      <c r="P171" s="17" t="str">
        <f t="shared" si="12"/>
        <v/>
      </c>
      <c r="Q171" s="18" t="str">
        <f t="shared" si="13"/>
        <v/>
      </c>
      <c r="R171" s="18" t="e">
        <f t="shared" si="14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19">
        <v>46189</v>
      </c>
      <c r="C172" s="75" t="str">
        <f>IF(H172=0,"",'[2]2025-2026'!C171)</f>
        <v/>
      </c>
      <c r="D172" s="68" t="str">
        <f>'[2]2025'!C172</f>
        <v/>
      </c>
      <c r="E172" s="68" t="str">
        <f>'[2]2025'!D172</f>
        <v/>
      </c>
      <c r="F172" s="20" t="str">
        <f>'[2]2025'!E172</f>
        <v/>
      </c>
      <c r="G172" s="73" t="str">
        <f>'[2]2025'!F172</f>
        <v/>
      </c>
      <c r="H172" s="42">
        <f>'[2]2025'!G172</f>
        <v>0</v>
      </c>
      <c r="I172" s="13">
        <f>'[2]2025'!H172</f>
        <v>0</v>
      </c>
      <c r="J172" s="14">
        <f>'[2]2025'!I172</f>
        <v>0</v>
      </c>
      <c r="K172" s="15">
        <f>'[2]2025'!J172</f>
        <v>0</v>
      </c>
      <c r="L172" s="15">
        <f>'[2]2025'!K172</f>
        <v>0</v>
      </c>
      <c r="M172" s="15">
        <f>'[2]2025'!L172</f>
        <v>0</v>
      </c>
      <c r="N172" s="16" t="str">
        <f t="shared" si="10"/>
        <v/>
      </c>
      <c r="O172" s="17" t="str">
        <f t="shared" si="11"/>
        <v/>
      </c>
      <c r="P172" s="17" t="str">
        <f t="shared" si="12"/>
        <v/>
      </c>
      <c r="Q172" s="18" t="str">
        <f t="shared" si="13"/>
        <v/>
      </c>
      <c r="R172" s="18" t="e">
        <f t="shared" si="14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19">
        <v>46190</v>
      </c>
      <c r="C173" s="75" t="str">
        <f>IF(H173=0,"",'[2]2025-2026'!C172)</f>
        <v/>
      </c>
      <c r="D173" s="68" t="str">
        <f>'[2]2025'!C173</f>
        <v/>
      </c>
      <c r="E173" s="68" t="str">
        <f>'[2]2025'!D173</f>
        <v/>
      </c>
      <c r="F173" s="20" t="str">
        <f>'[2]2025'!E173</f>
        <v/>
      </c>
      <c r="G173" s="73" t="str">
        <f>'[2]2025'!F173</f>
        <v/>
      </c>
      <c r="H173" s="42">
        <f>'[2]2025'!G173</f>
        <v>0</v>
      </c>
      <c r="I173" s="13">
        <f>'[2]2025'!H173</f>
        <v>0</v>
      </c>
      <c r="J173" s="14">
        <f>'[2]2025'!I173</f>
        <v>0</v>
      </c>
      <c r="K173" s="15">
        <f>'[2]2025'!J173</f>
        <v>0</v>
      </c>
      <c r="L173" s="15">
        <f>'[2]2025'!K173</f>
        <v>0</v>
      </c>
      <c r="M173" s="15">
        <f>'[2]2025'!L173</f>
        <v>0</v>
      </c>
      <c r="N173" s="16" t="str">
        <f t="shared" si="10"/>
        <v/>
      </c>
      <c r="O173" s="17" t="str">
        <f t="shared" si="11"/>
        <v/>
      </c>
      <c r="P173" s="17" t="str">
        <f t="shared" si="12"/>
        <v/>
      </c>
      <c r="Q173" s="18" t="str">
        <f t="shared" si="13"/>
        <v/>
      </c>
      <c r="R173" s="18" t="e">
        <f t="shared" si="14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19">
        <v>46191</v>
      </c>
      <c r="C174" s="75" t="str">
        <f>IF(H174=0,"",'[2]2025-2026'!C173)</f>
        <v/>
      </c>
      <c r="D174" s="68" t="str">
        <f>'[2]2025'!C174</f>
        <v/>
      </c>
      <c r="E174" s="68" t="str">
        <f>'[2]2025'!D174</f>
        <v/>
      </c>
      <c r="F174" s="20" t="str">
        <f>'[2]2025'!E174</f>
        <v/>
      </c>
      <c r="G174" s="73" t="str">
        <f>'[2]2025'!F174</f>
        <v/>
      </c>
      <c r="H174" s="42">
        <f>'[2]2025'!G174</f>
        <v>0</v>
      </c>
      <c r="I174" s="13">
        <f>'[2]2025'!H174</f>
        <v>0</v>
      </c>
      <c r="J174" s="14">
        <f>'[2]2025'!I174</f>
        <v>0</v>
      </c>
      <c r="K174" s="15">
        <f>'[2]2025'!J174</f>
        <v>0</v>
      </c>
      <c r="L174" s="15">
        <f>'[2]2025'!K174</f>
        <v>0</v>
      </c>
      <c r="M174" s="15">
        <f>'[2]2025'!L174</f>
        <v>0</v>
      </c>
      <c r="N174" s="16" t="str">
        <f t="shared" si="10"/>
        <v/>
      </c>
      <c r="O174" s="17" t="str">
        <f t="shared" si="11"/>
        <v/>
      </c>
      <c r="P174" s="17" t="str">
        <f t="shared" si="12"/>
        <v/>
      </c>
      <c r="Q174" s="18" t="str">
        <f t="shared" si="13"/>
        <v/>
      </c>
      <c r="R174" s="18" t="e">
        <f t="shared" si="14"/>
        <v>#DIV/0!</v>
      </c>
      <c r="S174" s="34"/>
      <c r="T174" s="29" t="s">
        <v>8</v>
      </c>
      <c r="U174" s="1738"/>
    </row>
    <row r="175" spans="1:21">
      <c r="A175" s="10" t="s">
        <v>14</v>
      </c>
      <c r="B175" s="19">
        <v>46192</v>
      </c>
      <c r="C175" s="75" t="str">
        <f>IF(H175=0,"",'[2]2025-2026'!C174)</f>
        <v/>
      </c>
      <c r="D175" s="68" t="str">
        <f>'[2]2025'!C175</f>
        <v/>
      </c>
      <c r="E175" s="68" t="str">
        <f>'[2]2025'!D175</f>
        <v/>
      </c>
      <c r="F175" s="20" t="str">
        <f>'[2]2025'!E175</f>
        <v/>
      </c>
      <c r="G175" s="73" t="str">
        <f>'[2]2025'!F175</f>
        <v/>
      </c>
      <c r="H175" s="42">
        <f>'[2]2025'!G175</f>
        <v>0</v>
      </c>
      <c r="I175" s="13">
        <f>'[2]2025'!H175</f>
        <v>0</v>
      </c>
      <c r="J175" s="14">
        <f>'[2]2025'!I175</f>
        <v>0</v>
      </c>
      <c r="K175" s="15">
        <f>'[2]2025'!J175</f>
        <v>0</v>
      </c>
      <c r="L175" s="15">
        <f>'[2]2025'!K175</f>
        <v>0</v>
      </c>
      <c r="M175" s="15">
        <f>'[2]2025'!L175</f>
        <v>0</v>
      </c>
      <c r="N175" s="16" t="str">
        <f t="shared" si="10"/>
        <v/>
      </c>
      <c r="O175" s="17" t="str">
        <f t="shared" si="11"/>
        <v/>
      </c>
      <c r="P175" s="17" t="str">
        <f t="shared" si="12"/>
        <v/>
      </c>
      <c r="Q175" s="18" t="str">
        <f t="shared" si="13"/>
        <v/>
      </c>
      <c r="R175" s="18" t="e">
        <f t="shared" si="14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19">
        <v>46193</v>
      </c>
      <c r="C176" s="75" t="str">
        <f>IF(H176=0,"",'[2]2025-2026'!C175)</f>
        <v/>
      </c>
      <c r="D176" s="68" t="str">
        <f>'[2]2025'!C176</f>
        <v/>
      </c>
      <c r="E176" s="68" t="str">
        <f>'[2]2025'!D176</f>
        <v/>
      </c>
      <c r="F176" s="20" t="str">
        <f>'[2]2025'!E176</f>
        <v/>
      </c>
      <c r="G176" s="73" t="str">
        <f>'[2]2025'!F176</f>
        <v/>
      </c>
      <c r="H176" s="42">
        <f>'[2]2025'!G176</f>
        <v>0</v>
      </c>
      <c r="I176" s="13">
        <f>'[2]2025'!H176</f>
        <v>0</v>
      </c>
      <c r="J176" s="14">
        <f>'[2]2025'!I176</f>
        <v>0</v>
      </c>
      <c r="K176" s="15">
        <f>'[2]2025'!J176</f>
        <v>0</v>
      </c>
      <c r="L176" s="15">
        <f>'[2]2025'!K176</f>
        <v>0</v>
      </c>
      <c r="M176" s="15">
        <f>'[2]2025'!L176</f>
        <v>0</v>
      </c>
      <c r="N176" s="16" t="str">
        <f t="shared" si="10"/>
        <v/>
      </c>
      <c r="O176" s="17" t="str">
        <f t="shared" si="11"/>
        <v/>
      </c>
      <c r="P176" s="17" t="str">
        <f t="shared" si="12"/>
        <v/>
      </c>
      <c r="Q176" s="18" t="str">
        <f t="shared" si="13"/>
        <v/>
      </c>
      <c r="R176" s="18" t="e">
        <f t="shared" si="14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19">
        <v>46194</v>
      </c>
      <c r="C177" s="75" t="str">
        <f>IF(H177=0,"",'[2]2025-2026'!C176)</f>
        <v/>
      </c>
      <c r="D177" s="68" t="str">
        <f>'[2]2025'!C177</f>
        <v/>
      </c>
      <c r="E177" s="68" t="str">
        <f>'[2]2025'!D177</f>
        <v/>
      </c>
      <c r="F177" s="20" t="str">
        <f>'[2]2025'!E177</f>
        <v/>
      </c>
      <c r="G177" s="73" t="str">
        <f>'[2]2025'!F177</f>
        <v/>
      </c>
      <c r="H177" s="42">
        <f>'[2]2025'!G177</f>
        <v>0</v>
      </c>
      <c r="I177" s="13">
        <f>'[2]2025'!H177</f>
        <v>0</v>
      </c>
      <c r="J177" s="14">
        <f>'[2]2025'!I177</f>
        <v>0</v>
      </c>
      <c r="K177" s="15">
        <f>'[2]2025'!J177</f>
        <v>0</v>
      </c>
      <c r="L177" s="15">
        <f>'[2]2025'!K177</f>
        <v>0</v>
      </c>
      <c r="M177" s="15">
        <f>'[2]2025'!L177</f>
        <v>0</v>
      </c>
      <c r="N177" s="16" t="str">
        <f t="shared" si="10"/>
        <v/>
      </c>
      <c r="O177" s="17" t="str">
        <f t="shared" si="11"/>
        <v/>
      </c>
      <c r="P177" s="17" t="str">
        <f t="shared" si="12"/>
        <v/>
      </c>
      <c r="Q177" s="18" t="str">
        <f t="shared" si="13"/>
        <v/>
      </c>
      <c r="R177" s="18" t="e">
        <f t="shared" si="14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19">
        <v>46195</v>
      </c>
      <c r="C178" s="75" t="str">
        <f>IF(H178=0,"",'[2]2025-2026'!C177)</f>
        <v/>
      </c>
      <c r="D178" s="68" t="str">
        <f>'[2]2025'!C178</f>
        <v/>
      </c>
      <c r="E178" s="68" t="str">
        <f>'[2]2025'!D178</f>
        <v/>
      </c>
      <c r="F178" s="20" t="str">
        <f>'[2]2025'!E178</f>
        <v/>
      </c>
      <c r="G178" s="73" t="str">
        <f>'[2]2025'!F178</f>
        <v/>
      </c>
      <c r="H178" s="42">
        <f>'[2]2025'!G178</f>
        <v>0</v>
      </c>
      <c r="I178" s="13">
        <f>'[2]2025'!H178</f>
        <v>0</v>
      </c>
      <c r="J178" s="14">
        <f>'[2]2025'!I178</f>
        <v>0</v>
      </c>
      <c r="K178" s="15">
        <f>'[2]2025'!J178</f>
        <v>0</v>
      </c>
      <c r="L178" s="15">
        <f>'[2]2025'!K178</f>
        <v>0</v>
      </c>
      <c r="M178" s="15">
        <f>'[2]2025'!L178</f>
        <v>0</v>
      </c>
      <c r="N178" s="16" t="str">
        <f t="shared" si="10"/>
        <v/>
      </c>
      <c r="O178" s="17" t="str">
        <f t="shared" si="11"/>
        <v/>
      </c>
      <c r="P178" s="17" t="str">
        <f t="shared" si="12"/>
        <v/>
      </c>
      <c r="Q178" s="18" t="str">
        <f t="shared" si="13"/>
        <v/>
      </c>
      <c r="R178" s="18" t="e">
        <f t="shared" si="14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19">
        <v>46196</v>
      </c>
      <c r="C179" s="75" t="str">
        <f>IF(H179=0,"",'[2]2025-2026'!C178)</f>
        <v/>
      </c>
      <c r="D179" s="68" t="str">
        <f>'[2]2025'!C179</f>
        <v/>
      </c>
      <c r="E179" s="68" t="str">
        <f>'[2]2025'!D179</f>
        <v/>
      </c>
      <c r="F179" s="20" t="str">
        <f>'[2]2025'!E179</f>
        <v/>
      </c>
      <c r="G179" s="73" t="str">
        <f>'[2]2025'!F179</f>
        <v/>
      </c>
      <c r="H179" s="42">
        <f>'[2]2025'!G179</f>
        <v>0</v>
      </c>
      <c r="I179" s="13">
        <f>'[2]2025'!H179</f>
        <v>0</v>
      </c>
      <c r="J179" s="14">
        <f>'[2]2025'!I179</f>
        <v>0</v>
      </c>
      <c r="K179" s="15">
        <f>'[2]2025'!J179</f>
        <v>0</v>
      </c>
      <c r="L179" s="15">
        <f>'[2]2025'!K179</f>
        <v>0</v>
      </c>
      <c r="M179" s="15">
        <f>'[2]2025'!L179</f>
        <v>0</v>
      </c>
      <c r="N179" s="16" t="str">
        <f t="shared" si="10"/>
        <v/>
      </c>
      <c r="O179" s="17" t="str">
        <f t="shared" si="11"/>
        <v/>
      </c>
      <c r="P179" s="17" t="str">
        <f t="shared" si="12"/>
        <v/>
      </c>
      <c r="Q179" s="18" t="str">
        <f t="shared" si="13"/>
        <v/>
      </c>
      <c r="R179" s="18" t="e">
        <f t="shared" si="14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19">
        <v>46197</v>
      </c>
      <c r="C180" s="75" t="str">
        <f>IF(H180=0,"",'[2]2025-2026'!C179)</f>
        <v/>
      </c>
      <c r="D180" s="68" t="str">
        <f>'[2]2025'!C180</f>
        <v/>
      </c>
      <c r="E180" s="68" t="str">
        <f>'[2]2025'!D180</f>
        <v/>
      </c>
      <c r="F180" s="20" t="str">
        <f>'[2]2025'!E180</f>
        <v/>
      </c>
      <c r="G180" s="73" t="str">
        <f>'[2]2025'!F180</f>
        <v/>
      </c>
      <c r="H180" s="42">
        <f>'[2]2025'!G180</f>
        <v>0</v>
      </c>
      <c r="I180" s="13">
        <f>'[2]2025'!H180</f>
        <v>0</v>
      </c>
      <c r="J180" s="14">
        <f>'[2]2025'!I180</f>
        <v>0</v>
      </c>
      <c r="K180" s="15">
        <f>'[2]2025'!J180</f>
        <v>0</v>
      </c>
      <c r="L180" s="15">
        <f>'[2]2025'!K180</f>
        <v>0</v>
      </c>
      <c r="M180" s="15">
        <f>'[2]2025'!L180</f>
        <v>0</v>
      </c>
      <c r="N180" s="16" t="str">
        <f t="shared" si="10"/>
        <v/>
      </c>
      <c r="O180" s="17" t="str">
        <f t="shared" si="11"/>
        <v/>
      </c>
      <c r="P180" s="17" t="str">
        <f t="shared" si="12"/>
        <v/>
      </c>
      <c r="Q180" s="18" t="str">
        <f t="shared" si="13"/>
        <v/>
      </c>
      <c r="R180" s="18" t="e">
        <f t="shared" si="14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19">
        <v>46198</v>
      </c>
      <c r="C181" s="75" t="str">
        <f>IF(H181=0,"",'[2]2025-2026'!C180)</f>
        <v/>
      </c>
      <c r="D181" s="68" t="str">
        <f>'[2]2025'!C181</f>
        <v/>
      </c>
      <c r="E181" s="68" t="str">
        <f>'[2]2025'!D181</f>
        <v/>
      </c>
      <c r="F181" s="20" t="str">
        <f>'[2]2025'!E181</f>
        <v/>
      </c>
      <c r="G181" s="73" t="str">
        <f>'[2]2025'!F181</f>
        <v/>
      </c>
      <c r="H181" s="42">
        <f>'[2]2025'!G181</f>
        <v>0</v>
      </c>
      <c r="I181" s="13">
        <f>'[2]2025'!H181</f>
        <v>0</v>
      </c>
      <c r="J181" s="14">
        <f>'[2]2025'!I181</f>
        <v>0</v>
      </c>
      <c r="K181" s="15">
        <f>'[2]2025'!J181</f>
        <v>0</v>
      </c>
      <c r="L181" s="15">
        <f>'[2]2025'!K181</f>
        <v>0</v>
      </c>
      <c r="M181" s="15">
        <f>'[2]2025'!L181</f>
        <v>0</v>
      </c>
      <c r="N181" s="16" t="str">
        <f t="shared" si="10"/>
        <v/>
      </c>
      <c r="O181" s="17" t="str">
        <f t="shared" si="11"/>
        <v/>
      </c>
      <c r="P181" s="17" t="str">
        <f t="shared" si="12"/>
        <v/>
      </c>
      <c r="Q181" s="18" t="str">
        <f t="shared" si="13"/>
        <v/>
      </c>
      <c r="R181" s="18" t="e">
        <f t="shared" si="14"/>
        <v>#DIV/0!</v>
      </c>
      <c r="S181" s="34"/>
      <c r="T181" s="29" t="s">
        <v>8</v>
      </c>
      <c r="U181" s="1738"/>
    </row>
    <row r="182" spans="1:21">
      <c r="A182" s="10" t="s">
        <v>14</v>
      </c>
      <c r="B182" s="19">
        <v>46199</v>
      </c>
      <c r="C182" s="75" t="str">
        <f>IF(H182=0,"",'[2]2025-2026'!C181)</f>
        <v/>
      </c>
      <c r="D182" s="68" t="str">
        <f>'[2]2025'!C182</f>
        <v/>
      </c>
      <c r="E182" s="68" t="str">
        <f>'[2]2025'!D182</f>
        <v/>
      </c>
      <c r="F182" s="20" t="str">
        <f>'[2]2025'!E182</f>
        <v/>
      </c>
      <c r="G182" s="73" t="str">
        <f>'[2]2025'!F182</f>
        <v/>
      </c>
      <c r="H182" s="42">
        <f>'[2]2025'!G182</f>
        <v>0</v>
      </c>
      <c r="I182" s="13">
        <f>'[2]2025'!H182</f>
        <v>0</v>
      </c>
      <c r="J182" s="14">
        <f>'[2]2025'!I182</f>
        <v>0</v>
      </c>
      <c r="K182" s="15">
        <f>'[2]2025'!J182</f>
        <v>0</v>
      </c>
      <c r="L182" s="15">
        <f>'[2]2025'!K182</f>
        <v>0</v>
      </c>
      <c r="M182" s="15">
        <f>'[2]2025'!L182</f>
        <v>0</v>
      </c>
      <c r="N182" s="16" t="str">
        <f t="shared" si="10"/>
        <v/>
      </c>
      <c r="O182" s="17" t="str">
        <f t="shared" si="11"/>
        <v/>
      </c>
      <c r="P182" s="17" t="str">
        <f t="shared" si="12"/>
        <v/>
      </c>
      <c r="Q182" s="18" t="str">
        <f t="shared" si="13"/>
        <v/>
      </c>
      <c r="R182" s="18" t="e">
        <f t="shared" si="14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19">
        <v>46200</v>
      </c>
      <c r="C183" s="75" t="str">
        <f>IF(H183=0,"",'[2]2025-2026'!C182)</f>
        <v/>
      </c>
      <c r="D183" s="68" t="str">
        <f>'[2]2025'!C183</f>
        <v/>
      </c>
      <c r="E183" s="68" t="str">
        <f>'[2]2025'!D183</f>
        <v/>
      </c>
      <c r="F183" s="20" t="str">
        <f>'[2]2025'!E183</f>
        <v/>
      </c>
      <c r="G183" s="73" t="str">
        <f>'[2]2025'!F183</f>
        <v/>
      </c>
      <c r="H183" s="42">
        <f>'[2]2025'!G183</f>
        <v>0</v>
      </c>
      <c r="I183" s="13">
        <f>'[2]2025'!H183</f>
        <v>0</v>
      </c>
      <c r="J183" s="14">
        <f>'[2]2025'!I183</f>
        <v>0</v>
      </c>
      <c r="K183" s="15">
        <f>'[2]2025'!J183</f>
        <v>0</v>
      </c>
      <c r="L183" s="15">
        <f>'[2]2025'!K183</f>
        <v>0</v>
      </c>
      <c r="M183" s="15">
        <f>'[2]2025'!L183</f>
        <v>0</v>
      </c>
      <c r="N183" s="16" t="str">
        <f t="shared" si="10"/>
        <v/>
      </c>
      <c r="O183" s="17" t="str">
        <f t="shared" si="11"/>
        <v/>
      </c>
      <c r="P183" s="17" t="str">
        <f t="shared" si="12"/>
        <v/>
      </c>
      <c r="Q183" s="18" t="str">
        <f t="shared" si="13"/>
        <v/>
      </c>
      <c r="R183" s="18" t="e">
        <f t="shared" si="14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19">
        <v>46201</v>
      </c>
      <c r="C184" s="75" t="str">
        <f>IF(H184=0,"",'[2]2025-2026'!C183)</f>
        <v/>
      </c>
      <c r="D184" s="68" t="str">
        <f>'[2]2025'!C184</f>
        <v/>
      </c>
      <c r="E184" s="68" t="str">
        <f>'[2]2025'!D184</f>
        <v/>
      </c>
      <c r="F184" s="20" t="str">
        <f>'[2]2025'!E184</f>
        <v/>
      </c>
      <c r="G184" s="73" t="str">
        <f>'[2]2025'!F184</f>
        <v/>
      </c>
      <c r="H184" s="42">
        <f>'[2]2025'!G184</f>
        <v>0</v>
      </c>
      <c r="I184" s="13">
        <f>'[2]2025'!H184</f>
        <v>0</v>
      </c>
      <c r="J184" s="14">
        <f>'[2]2025'!I184</f>
        <v>0</v>
      </c>
      <c r="K184" s="15">
        <f>'[2]2025'!J184</f>
        <v>0</v>
      </c>
      <c r="L184" s="15">
        <f>'[2]2025'!K184</f>
        <v>0</v>
      </c>
      <c r="M184" s="15">
        <f>'[2]2025'!L184</f>
        <v>0</v>
      </c>
      <c r="N184" s="16" t="str">
        <f t="shared" si="10"/>
        <v/>
      </c>
      <c r="O184" s="17" t="str">
        <f t="shared" si="11"/>
        <v/>
      </c>
      <c r="P184" s="17" t="str">
        <f t="shared" si="12"/>
        <v/>
      </c>
      <c r="Q184" s="18" t="str">
        <f t="shared" si="13"/>
        <v/>
      </c>
      <c r="R184" s="18" t="e">
        <f t="shared" si="14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19">
        <v>46202</v>
      </c>
      <c r="C185" s="75" t="str">
        <f>IF(H185=0,"",'[2]2025-2026'!C184)</f>
        <v/>
      </c>
      <c r="D185" s="68" t="str">
        <f>'[2]2025'!C185</f>
        <v/>
      </c>
      <c r="E185" s="68" t="str">
        <f>'[2]2025'!D185</f>
        <v/>
      </c>
      <c r="F185" s="20" t="str">
        <f>'[2]2025'!E185</f>
        <v/>
      </c>
      <c r="G185" s="73" t="str">
        <f>'[2]2025'!F185</f>
        <v/>
      </c>
      <c r="H185" s="42">
        <f>'[2]2025'!G185</f>
        <v>0</v>
      </c>
      <c r="I185" s="13">
        <f>'[2]2025'!H185</f>
        <v>0</v>
      </c>
      <c r="J185" s="14">
        <f>'[2]2025'!I185</f>
        <v>0</v>
      </c>
      <c r="K185" s="15">
        <f>'[2]2025'!J185</f>
        <v>0</v>
      </c>
      <c r="L185" s="15">
        <f>'[2]2025'!K185</f>
        <v>0</v>
      </c>
      <c r="M185" s="15">
        <f>'[2]2025'!L185</f>
        <v>0</v>
      </c>
      <c r="N185" s="16" t="str">
        <f t="shared" si="10"/>
        <v/>
      </c>
      <c r="O185" s="17" t="str">
        <f t="shared" si="11"/>
        <v/>
      </c>
      <c r="P185" s="17" t="str">
        <f t="shared" si="12"/>
        <v/>
      </c>
      <c r="Q185" s="18" t="str">
        <f t="shared" si="13"/>
        <v/>
      </c>
      <c r="R185" s="18" t="e">
        <f t="shared" si="14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19">
        <v>46203</v>
      </c>
      <c r="C186" s="75" t="str">
        <f>IF(H186=0,"",'[2]2025-2026'!C185)</f>
        <v/>
      </c>
      <c r="D186" s="68" t="str">
        <f>'[2]2025'!C186</f>
        <v/>
      </c>
      <c r="E186" s="68" t="str">
        <f>'[2]2025'!D186</f>
        <v/>
      </c>
      <c r="F186" s="20" t="str">
        <f>'[2]2025'!E186</f>
        <v/>
      </c>
      <c r="G186" s="73" t="str">
        <f>'[2]2025'!F186</f>
        <v/>
      </c>
      <c r="H186" s="42">
        <f>'[2]2025'!G186</f>
        <v>0</v>
      </c>
      <c r="I186" s="13">
        <f>'[2]2025'!H186</f>
        <v>0</v>
      </c>
      <c r="J186" s="14">
        <f>'[2]2025'!I186</f>
        <v>0</v>
      </c>
      <c r="K186" s="15">
        <f>'[2]2025'!J186</f>
        <v>0</v>
      </c>
      <c r="L186" s="15">
        <f>'[2]2025'!K186</f>
        <v>0</v>
      </c>
      <c r="M186" s="15">
        <f>'[2]2025'!L186</f>
        <v>0</v>
      </c>
      <c r="N186" s="16" t="str">
        <f t="shared" si="10"/>
        <v/>
      </c>
      <c r="O186" s="17" t="str">
        <f t="shared" si="11"/>
        <v/>
      </c>
      <c r="P186" s="17" t="str">
        <f t="shared" si="12"/>
        <v/>
      </c>
      <c r="Q186" s="18" t="str">
        <f t="shared" si="13"/>
        <v/>
      </c>
      <c r="R186" s="18" t="e">
        <f t="shared" si="14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19">
        <v>46204</v>
      </c>
      <c r="C187" s="75" t="str">
        <f>IF(H187=0,"",'[2]2025-2026'!C186)</f>
        <v/>
      </c>
      <c r="D187" s="68" t="str">
        <f>'[2]2025'!C187</f>
        <v/>
      </c>
      <c r="E187" s="68" t="str">
        <f>'[2]2025'!D187</f>
        <v/>
      </c>
      <c r="F187" s="20" t="str">
        <f>'[2]2025'!E187</f>
        <v/>
      </c>
      <c r="G187" s="73" t="str">
        <f>'[2]2025'!F187</f>
        <v/>
      </c>
      <c r="H187" s="42">
        <f>'[2]2025'!G187</f>
        <v>0</v>
      </c>
      <c r="I187" s="13">
        <f>'[2]2025'!H187</f>
        <v>0</v>
      </c>
      <c r="J187" s="14">
        <f>'[2]2025'!I187</f>
        <v>0</v>
      </c>
      <c r="K187" s="15">
        <f>'[2]2025'!J187</f>
        <v>0</v>
      </c>
      <c r="L187" s="15">
        <f>'[2]2025'!K187</f>
        <v>0</v>
      </c>
      <c r="M187" s="15">
        <f>'[2]2025'!L187</f>
        <v>0</v>
      </c>
      <c r="N187" s="16" t="str">
        <f t="shared" si="10"/>
        <v/>
      </c>
      <c r="O187" s="17" t="str">
        <f t="shared" si="11"/>
        <v/>
      </c>
      <c r="P187" s="17" t="str">
        <f t="shared" si="12"/>
        <v/>
      </c>
      <c r="Q187" s="18" t="str">
        <f t="shared" si="13"/>
        <v/>
      </c>
      <c r="R187" s="18" t="e">
        <f t="shared" si="14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19">
        <v>46205</v>
      </c>
      <c r="C188" s="75" t="str">
        <f>IF(H188=0,"",'[2]2025-2026'!C187)</f>
        <v/>
      </c>
      <c r="D188" s="68" t="str">
        <f>'[2]2025'!C188</f>
        <v/>
      </c>
      <c r="E188" s="68" t="str">
        <f>'[2]2025'!D188</f>
        <v/>
      </c>
      <c r="F188" s="20" t="str">
        <f>'[2]2025'!E188</f>
        <v/>
      </c>
      <c r="G188" s="73" t="str">
        <f>'[2]2025'!F188</f>
        <v/>
      </c>
      <c r="H188" s="42">
        <f>'[2]2025'!G188</f>
        <v>0</v>
      </c>
      <c r="I188" s="13">
        <f>'[2]2025'!H188</f>
        <v>0</v>
      </c>
      <c r="J188" s="14">
        <f>'[2]2025'!I188</f>
        <v>0</v>
      </c>
      <c r="K188" s="15">
        <f>'[2]2025'!J188</f>
        <v>0</v>
      </c>
      <c r="L188" s="15">
        <f>'[2]2025'!K188</f>
        <v>0</v>
      </c>
      <c r="M188" s="15">
        <f>'[2]2025'!L188</f>
        <v>0</v>
      </c>
      <c r="N188" s="16" t="str">
        <f t="shared" si="10"/>
        <v/>
      </c>
      <c r="O188" s="17" t="str">
        <f t="shared" si="11"/>
        <v/>
      </c>
      <c r="P188" s="17" t="str">
        <f t="shared" si="12"/>
        <v/>
      </c>
      <c r="Q188" s="18" t="str">
        <f t="shared" si="13"/>
        <v/>
      </c>
      <c r="R188" s="18" t="e">
        <f t="shared" si="14"/>
        <v>#DIV/0!</v>
      </c>
      <c r="S188" s="34"/>
      <c r="T188" s="29" t="s">
        <v>8</v>
      </c>
      <c r="U188" s="1738"/>
    </row>
    <row r="189" spans="1:21">
      <c r="A189" s="10" t="s">
        <v>14</v>
      </c>
      <c r="B189" s="19">
        <v>46206</v>
      </c>
      <c r="C189" s="75" t="str">
        <f>IF(H189=0,"",'[2]2025-2026'!C188)</f>
        <v/>
      </c>
      <c r="D189" s="68" t="str">
        <f>'[2]2025'!C189</f>
        <v/>
      </c>
      <c r="E189" s="68" t="str">
        <f>'[2]2025'!D189</f>
        <v/>
      </c>
      <c r="F189" s="20" t="str">
        <f>'[2]2025'!E189</f>
        <v/>
      </c>
      <c r="G189" s="73" t="str">
        <f>'[2]2025'!F189</f>
        <v/>
      </c>
      <c r="H189" s="42">
        <f>'[2]2025'!G189</f>
        <v>0</v>
      </c>
      <c r="I189" s="13">
        <f>'[2]2025'!H189</f>
        <v>0</v>
      </c>
      <c r="J189" s="14">
        <f>'[2]2025'!I189</f>
        <v>0</v>
      </c>
      <c r="K189" s="15">
        <f>'[2]2025'!J189</f>
        <v>0</v>
      </c>
      <c r="L189" s="15">
        <f>'[2]2025'!K189</f>
        <v>0</v>
      </c>
      <c r="M189" s="15">
        <f>'[2]2025'!L189</f>
        <v>0</v>
      </c>
      <c r="N189" s="16" t="str">
        <f t="shared" si="10"/>
        <v/>
      </c>
      <c r="O189" s="17" t="str">
        <f t="shared" si="11"/>
        <v/>
      </c>
      <c r="P189" s="17" t="str">
        <f t="shared" si="12"/>
        <v/>
      </c>
      <c r="Q189" s="18" t="str">
        <f t="shared" si="13"/>
        <v/>
      </c>
      <c r="R189" s="18" t="e">
        <f t="shared" si="14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19">
        <v>46207</v>
      </c>
      <c r="C190" s="75" t="str">
        <f>IF(H190=0,"",'[2]2025-2026'!C189)</f>
        <v/>
      </c>
      <c r="D190" s="68" t="str">
        <f>'[2]2025'!C190</f>
        <v/>
      </c>
      <c r="E190" s="68" t="str">
        <f>'[2]2025'!D190</f>
        <v/>
      </c>
      <c r="F190" s="20" t="str">
        <f>'[2]2025'!E190</f>
        <v/>
      </c>
      <c r="G190" s="73" t="str">
        <f>'[2]2025'!F190</f>
        <v/>
      </c>
      <c r="H190" s="42">
        <f>'[2]2025'!G190</f>
        <v>0</v>
      </c>
      <c r="I190" s="13">
        <f>'[2]2025'!H190</f>
        <v>0</v>
      </c>
      <c r="J190" s="14">
        <f>'[2]2025'!I190</f>
        <v>0</v>
      </c>
      <c r="K190" s="15">
        <f>'[2]2025'!J190</f>
        <v>0</v>
      </c>
      <c r="L190" s="15">
        <f>'[2]2025'!K190</f>
        <v>0</v>
      </c>
      <c r="M190" s="15">
        <f>'[2]2025'!L190</f>
        <v>0</v>
      </c>
      <c r="N190" s="16" t="str">
        <f t="shared" si="10"/>
        <v/>
      </c>
      <c r="O190" s="17" t="str">
        <f t="shared" si="11"/>
        <v/>
      </c>
      <c r="P190" s="17" t="str">
        <f t="shared" si="12"/>
        <v/>
      </c>
      <c r="Q190" s="18" t="str">
        <f t="shared" si="13"/>
        <v/>
      </c>
      <c r="R190" s="18" t="e">
        <f t="shared" si="14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19">
        <v>46208</v>
      </c>
      <c r="C191" s="75" t="str">
        <f>IF(H191=0,"",'[2]2025-2026'!C190)</f>
        <v/>
      </c>
      <c r="D191" s="68" t="str">
        <f>'[2]2025'!C191</f>
        <v/>
      </c>
      <c r="E191" s="68" t="str">
        <f>'[2]2025'!D191</f>
        <v/>
      </c>
      <c r="F191" s="20" t="str">
        <f>'[2]2025'!E191</f>
        <v/>
      </c>
      <c r="G191" s="73" t="str">
        <f>'[2]2025'!F191</f>
        <v/>
      </c>
      <c r="H191" s="42">
        <f>'[2]2025'!G191</f>
        <v>0</v>
      </c>
      <c r="I191" s="13">
        <f>'[2]2025'!H191</f>
        <v>0</v>
      </c>
      <c r="J191" s="14">
        <f>'[2]2025'!I191</f>
        <v>0</v>
      </c>
      <c r="K191" s="15">
        <f>'[2]2025'!J191</f>
        <v>0</v>
      </c>
      <c r="L191" s="15">
        <f>'[2]2025'!K191</f>
        <v>0</v>
      </c>
      <c r="M191" s="15">
        <f>'[2]2025'!L191</f>
        <v>0</v>
      </c>
      <c r="N191" s="16" t="str">
        <f t="shared" si="10"/>
        <v/>
      </c>
      <c r="O191" s="17" t="str">
        <f t="shared" si="11"/>
        <v/>
      </c>
      <c r="P191" s="17" t="str">
        <f t="shared" si="12"/>
        <v/>
      </c>
      <c r="Q191" s="18" t="str">
        <f t="shared" si="13"/>
        <v/>
      </c>
      <c r="R191" s="18" t="e">
        <f t="shared" si="14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19">
        <v>46209</v>
      </c>
      <c r="C192" s="75" t="str">
        <f>IF(H192=0,"",'[2]2025-2026'!C191)</f>
        <v/>
      </c>
      <c r="D192" s="68" t="str">
        <f>'[2]2025'!C192</f>
        <v/>
      </c>
      <c r="E192" s="68" t="str">
        <f>'[2]2025'!D192</f>
        <v/>
      </c>
      <c r="F192" s="20" t="str">
        <f>'[2]2025'!E192</f>
        <v/>
      </c>
      <c r="G192" s="73" t="str">
        <f>'[2]2025'!F192</f>
        <v/>
      </c>
      <c r="H192" s="42">
        <f>'[2]2025'!G192</f>
        <v>0</v>
      </c>
      <c r="I192" s="13">
        <f>'[2]2025'!H192</f>
        <v>0</v>
      </c>
      <c r="J192" s="14">
        <f>'[2]2025'!I192</f>
        <v>0</v>
      </c>
      <c r="K192" s="15">
        <f>'[2]2025'!J192</f>
        <v>0</v>
      </c>
      <c r="L192" s="15">
        <f>'[2]2025'!K192</f>
        <v>0</v>
      </c>
      <c r="M192" s="15">
        <f>'[2]2025'!L192</f>
        <v>0</v>
      </c>
      <c r="N192" s="16" t="str">
        <f t="shared" si="10"/>
        <v/>
      </c>
      <c r="O192" s="17" t="str">
        <f t="shared" si="11"/>
        <v/>
      </c>
      <c r="P192" s="17" t="str">
        <f t="shared" si="12"/>
        <v/>
      </c>
      <c r="Q192" s="18" t="str">
        <f t="shared" si="13"/>
        <v/>
      </c>
      <c r="R192" s="18" t="e">
        <f t="shared" si="14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19">
        <v>46210</v>
      </c>
      <c r="C193" s="75" t="str">
        <f>IF(H193=0,"",'[2]2025-2026'!C192)</f>
        <v/>
      </c>
      <c r="D193" s="68" t="str">
        <f>'[2]2025'!C193</f>
        <v/>
      </c>
      <c r="E193" s="68" t="str">
        <f>'[2]2025'!D193</f>
        <v/>
      </c>
      <c r="F193" s="20" t="str">
        <f>'[2]2025'!E193</f>
        <v/>
      </c>
      <c r="G193" s="73" t="str">
        <f>'[2]2025'!F193</f>
        <v/>
      </c>
      <c r="H193" s="42">
        <f>'[2]2025'!G193</f>
        <v>0</v>
      </c>
      <c r="I193" s="13">
        <f>'[2]2025'!H193</f>
        <v>0</v>
      </c>
      <c r="J193" s="14">
        <f>'[2]2025'!I193</f>
        <v>0</v>
      </c>
      <c r="K193" s="15">
        <f>'[2]2025'!J193</f>
        <v>0</v>
      </c>
      <c r="L193" s="15">
        <f>'[2]2025'!K193</f>
        <v>0</v>
      </c>
      <c r="M193" s="15">
        <f>'[2]2025'!L193</f>
        <v>0</v>
      </c>
      <c r="N193" s="16" t="str">
        <f t="shared" si="10"/>
        <v/>
      </c>
      <c r="O193" s="17" t="str">
        <f t="shared" si="11"/>
        <v/>
      </c>
      <c r="P193" s="17" t="str">
        <f t="shared" si="12"/>
        <v/>
      </c>
      <c r="Q193" s="18" t="str">
        <f t="shared" si="13"/>
        <v/>
      </c>
      <c r="R193" s="18" t="e">
        <f t="shared" si="14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19">
        <v>46211</v>
      </c>
      <c r="C194" s="75" t="str">
        <f>IF(H194=0,"",'[2]2025-2026'!C193)</f>
        <v/>
      </c>
      <c r="D194" s="68" t="str">
        <f>'[2]2025'!C194</f>
        <v/>
      </c>
      <c r="E194" s="68" t="str">
        <f>'[2]2025'!D194</f>
        <v/>
      </c>
      <c r="F194" s="20" t="str">
        <f>'[2]2025'!E194</f>
        <v/>
      </c>
      <c r="G194" s="73" t="str">
        <f>'[2]2025'!F194</f>
        <v/>
      </c>
      <c r="H194" s="42">
        <f>'[2]2025'!G194</f>
        <v>0</v>
      </c>
      <c r="I194" s="13">
        <f>'[2]2025'!H194</f>
        <v>0</v>
      </c>
      <c r="J194" s="14">
        <f>'[2]2025'!I194</f>
        <v>0</v>
      </c>
      <c r="K194" s="15">
        <f>'[2]2025'!J194</f>
        <v>0</v>
      </c>
      <c r="L194" s="15">
        <f>'[2]2025'!K194</f>
        <v>0</v>
      </c>
      <c r="M194" s="15">
        <f>'[2]2025'!L194</f>
        <v>0</v>
      </c>
      <c r="N194" s="16" t="str">
        <f t="shared" si="10"/>
        <v/>
      </c>
      <c r="O194" s="17" t="str">
        <f t="shared" si="11"/>
        <v/>
      </c>
      <c r="P194" s="17" t="str">
        <f t="shared" si="12"/>
        <v/>
      </c>
      <c r="Q194" s="18" t="str">
        <f t="shared" si="13"/>
        <v/>
      </c>
      <c r="R194" s="18" t="e">
        <f t="shared" si="14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19">
        <v>46212</v>
      </c>
      <c r="C195" s="75" t="str">
        <f>IF(H195=0,"",'[2]2025-2026'!C194)</f>
        <v/>
      </c>
      <c r="D195" s="68" t="str">
        <f>'[2]2025'!C195</f>
        <v/>
      </c>
      <c r="E195" s="68" t="str">
        <f>'[2]2025'!D195</f>
        <v/>
      </c>
      <c r="F195" s="20" t="str">
        <f>'[2]2025'!E195</f>
        <v/>
      </c>
      <c r="G195" s="73" t="str">
        <f>'[2]2025'!F195</f>
        <v/>
      </c>
      <c r="H195" s="42">
        <f>'[2]2025'!G195</f>
        <v>0</v>
      </c>
      <c r="I195" s="13">
        <f>'[2]2025'!H195</f>
        <v>0</v>
      </c>
      <c r="J195" s="14">
        <f>'[2]2025'!I195</f>
        <v>0</v>
      </c>
      <c r="K195" s="15">
        <f>'[2]2025'!J195</f>
        <v>0</v>
      </c>
      <c r="L195" s="15">
        <f>'[2]2025'!K195</f>
        <v>0</v>
      </c>
      <c r="M195" s="15">
        <f>'[2]2025'!L195</f>
        <v>0</v>
      </c>
      <c r="N195" s="16" t="str">
        <f t="shared" si="10"/>
        <v/>
      </c>
      <c r="O195" s="17" t="str">
        <f t="shared" si="11"/>
        <v/>
      </c>
      <c r="P195" s="17" t="str">
        <f t="shared" si="12"/>
        <v/>
      </c>
      <c r="Q195" s="18" t="str">
        <f t="shared" si="13"/>
        <v/>
      </c>
      <c r="R195" s="18" t="e">
        <f t="shared" si="14"/>
        <v>#DIV/0!</v>
      </c>
      <c r="S195" s="34"/>
      <c r="T195" s="29" t="s">
        <v>8</v>
      </c>
      <c r="U195" s="1738"/>
    </row>
    <row r="196" spans="1:21">
      <c r="A196" s="10" t="s">
        <v>14</v>
      </c>
      <c r="B196" s="19">
        <v>46213</v>
      </c>
      <c r="C196" s="75" t="str">
        <f>IF(H196=0,"",'[2]2025-2026'!C195)</f>
        <v/>
      </c>
      <c r="D196" s="68" t="str">
        <f>'[2]2025'!C196</f>
        <v/>
      </c>
      <c r="E196" s="68" t="str">
        <f>'[2]2025'!D196</f>
        <v/>
      </c>
      <c r="F196" s="20" t="str">
        <f>'[2]2025'!E196</f>
        <v/>
      </c>
      <c r="G196" s="73" t="str">
        <f>'[2]2025'!F196</f>
        <v/>
      </c>
      <c r="H196" s="42">
        <f>'[2]2025'!G196</f>
        <v>0</v>
      </c>
      <c r="I196" s="13">
        <f>'[2]2025'!H196</f>
        <v>0</v>
      </c>
      <c r="J196" s="14">
        <f>'[2]2025'!I196</f>
        <v>0</v>
      </c>
      <c r="K196" s="15">
        <f>'[2]2025'!J196</f>
        <v>0</v>
      </c>
      <c r="L196" s="15">
        <f>'[2]2025'!K196</f>
        <v>0</v>
      </c>
      <c r="M196" s="15">
        <f>'[2]2025'!L196</f>
        <v>0</v>
      </c>
      <c r="N196" s="16" t="str">
        <f t="shared" ref="N196:N259" si="15">IF(M196=0,"",M196/I196)</f>
        <v/>
      </c>
      <c r="O196" s="17" t="str">
        <f t="shared" ref="O196:O259" si="16">IF(I196=0,"",(I196-E196)/E196)</f>
        <v/>
      </c>
      <c r="P196" s="17" t="str">
        <f t="shared" ref="P196:P259" si="17">IF(J196=0,"",(J196-F196)/F196)</f>
        <v/>
      </c>
      <c r="Q196" s="18" t="str">
        <f t="shared" ref="Q196:Q259" si="18">IF(I196=0,"",I196/K196)</f>
        <v/>
      </c>
      <c r="R196" s="18" t="e">
        <f t="shared" ref="R196:R259" si="19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19">
        <v>46214</v>
      </c>
      <c r="C197" s="75" t="str">
        <f>IF(H197=0,"",'[2]2025-2026'!C196)</f>
        <v/>
      </c>
      <c r="D197" s="68" t="str">
        <f>'[2]2025'!C197</f>
        <v/>
      </c>
      <c r="E197" s="68" t="str">
        <f>'[2]2025'!D197</f>
        <v/>
      </c>
      <c r="F197" s="20" t="str">
        <f>'[2]2025'!E197</f>
        <v/>
      </c>
      <c r="G197" s="73" t="str">
        <f>'[2]2025'!F197</f>
        <v/>
      </c>
      <c r="H197" s="42">
        <f>'[2]2025'!G197</f>
        <v>0</v>
      </c>
      <c r="I197" s="13">
        <f>'[2]2025'!H197</f>
        <v>0</v>
      </c>
      <c r="J197" s="14">
        <f>'[2]2025'!I197</f>
        <v>0</v>
      </c>
      <c r="K197" s="15">
        <f>'[2]2025'!J197</f>
        <v>0</v>
      </c>
      <c r="L197" s="15">
        <f>'[2]2025'!K197</f>
        <v>0</v>
      </c>
      <c r="M197" s="15">
        <f>'[2]2025'!L197</f>
        <v>0</v>
      </c>
      <c r="N197" s="16" t="str">
        <f t="shared" si="15"/>
        <v/>
      </c>
      <c r="O197" s="17" t="str">
        <f t="shared" si="16"/>
        <v/>
      </c>
      <c r="P197" s="17" t="str">
        <f t="shared" si="17"/>
        <v/>
      </c>
      <c r="Q197" s="18" t="str">
        <f t="shared" si="18"/>
        <v/>
      </c>
      <c r="R197" s="18" t="e">
        <f t="shared" si="19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19">
        <v>46215</v>
      </c>
      <c r="C198" s="75" t="str">
        <f>IF(H198=0,"",'[2]2025-2026'!C197)</f>
        <v/>
      </c>
      <c r="D198" s="68" t="str">
        <f>'[2]2025'!C198</f>
        <v/>
      </c>
      <c r="E198" s="68" t="str">
        <f>'[2]2025'!D198</f>
        <v/>
      </c>
      <c r="F198" s="20" t="str">
        <f>'[2]2025'!E198</f>
        <v/>
      </c>
      <c r="G198" s="73" t="str">
        <f>'[2]2025'!F198</f>
        <v/>
      </c>
      <c r="H198" s="42">
        <f>'[2]2025'!G198</f>
        <v>0</v>
      </c>
      <c r="I198" s="13">
        <f>'[2]2025'!H198</f>
        <v>0</v>
      </c>
      <c r="J198" s="14">
        <f>'[2]2025'!I198</f>
        <v>0</v>
      </c>
      <c r="K198" s="15">
        <f>'[2]2025'!J198</f>
        <v>0</v>
      </c>
      <c r="L198" s="15">
        <f>'[2]2025'!K198</f>
        <v>0</v>
      </c>
      <c r="M198" s="15">
        <f>'[2]2025'!L198</f>
        <v>0</v>
      </c>
      <c r="N198" s="16" t="str">
        <f t="shared" si="15"/>
        <v/>
      </c>
      <c r="O198" s="17" t="str">
        <f t="shared" si="16"/>
        <v/>
      </c>
      <c r="P198" s="17" t="str">
        <f t="shared" si="17"/>
        <v/>
      </c>
      <c r="Q198" s="18" t="str">
        <f t="shared" si="18"/>
        <v/>
      </c>
      <c r="R198" s="18" t="e">
        <f t="shared" si="19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19">
        <v>46216</v>
      </c>
      <c r="C199" s="75" t="str">
        <f>IF(H199=0,"",'[2]2025-2026'!C198)</f>
        <v/>
      </c>
      <c r="D199" s="68" t="str">
        <f>'[2]2025'!C199</f>
        <v/>
      </c>
      <c r="E199" s="68" t="str">
        <f>'[2]2025'!D199</f>
        <v/>
      </c>
      <c r="F199" s="20" t="str">
        <f>'[2]2025'!E199</f>
        <v/>
      </c>
      <c r="G199" s="73" t="str">
        <f>'[2]2025'!F199</f>
        <v/>
      </c>
      <c r="H199" s="42">
        <f>'[2]2025'!G199</f>
        <v>0</v>
      </c>
      <c r="I199" s="13">
        <f>'[2]2025'!H199</f>
        <v>0</v>
      </c>
      <c r="J199" s="14">
        <f>'[2]2025'!I199</f>
        <v>0</v>
      </c>
      <c r="K199" s="15">
        <f>'[2]2025'!J199</f>
        <v>0</v>
      </c>
      <c r="L199" s="15">
        <f>'[2]2025'!K199</f>
        <v>0</v>
      </c>
      <c r="M199" s="15">
        <f>'[2]2025'!L199</f>
        <v>0</v>
      </c>
      <c r="N199" s="16" t="str">
        <f t="shared" si="15"/>
        <v/>
      </c>
      <c r="O199" s="17" t="str">
        <f t="shared" si="16"/>
        <v/>
      </c>
      <c r="P199" s="17" t="str">
        <f t="shared" si="17"/>
        <v/>
      </c>
      <c r="Q199" s="18" t="str">
        <f t="shared" si="18"/>
        <v/>
      </c>
      <c r="R199" s="18" t="e">
        <f t="shared" si="19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19">
        <v>46217</v>
      </c>
      <c r="C200" s="75" t="str">
        <f>IF(H200=0,"",'[2]2025-2026'!C199)</f>
        <v/>
      </c>
      <c r="D200" s="68" t="str">
        <f>'[2]2025'!C200</f>
        <v/>
      </c>
      <c r="E200" s="68" t="str">
        <f>'[2]2025'!D200</f>
        <v/>
      </c>
      <c r="F200" s="20" t="str">
        <f>'[2]2025'!E200</f>
        <v/>
      </c>
      <c r="G200" s="73" t="str">
        <f>'[2]2025'!F200</f>
        <v/>
      </c>
      <c r="H200" s="42">
        <f>'[2]2025'!G200</f>
        <v>0</v>
      </c>
      <c r="I200" s="13">
        <f>'[2]2025'!H200</f>
        <v>0</v>
      </c>
      <c r="J200" s="14">
        <f>'[2]2025'!I200</f>
        <v>0</v>
      </c>
      <c r="K200" s="15">
        <f>'[2]2025'!J200</f>
        <v>0</v>
      </c>
      <c r="L200" s="15">
        <f>'[2]2025'!K200</f>
        <v>0</v>
      </c>
      <c r="M200" s="15">
        <f>'[2]2025'!L200</f>
        <v>0</v>
      </c>
      <c r="N200" s="16" t="str">
        <f t="shared" si="15"/>
        <v/>
      </c>
      <c r="O200" s="17" t="str">
        <f t="shared" si="16"/>
        <v/>
      </c>
      <c r="P200" s="17" t="str">
        <f t="shared" si="17"/>
        <v/>
      </c>
      <c r="Q200" s="18" t="str">
        <f t="shared" si="18"/>
        <v/>
      </c>
      <c r="R200" s="18" t="e">
        <f t="shared" si="19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19">
        <v>46218</v>
      </c>
      <c r="C201" s="75" t="str">
        <f>IF(H201=0,"",'[2]2025-2026'!C200)</f>
        <v/>
      </c>
      <c r="D201" s="68" t="str">
        <f>'[2]2025'!C201</f>
        <v/>
      </c>
      <c r="E201" s="68" t="str">
        <f>'[2]2025'!D201</f>
        <v/>
      </c>
      <c r="F201" s="20" t="str">
        <f>'[2]2025'!E201</f>
        <v/>
      </c>
      <c r="G201" s="73" t="str">
        <f>'[2]2025'!F201</f>
        <v/>
      </c>
      <c r="H201" s="42">
        <f>'[2]2025'!G201</f>
        <v>0</v>
      </c>
      <c r="I201" s="13">
        <f>'[2]2025'!H201</f>
        <v>0</v>
      </c>
      <c r="J201" s="14">
        <f>'[2]2025'!I201</f>
        <v>0</v>
      </c>
      <c r="K201" s="15">
        <f>'[2]2025'!J201</f>
        <v>0</v>
      </c>
      <c r="L201" s="15">
        <f>'[2]2025'!K201</f>
        <v>0</v>
      </c>
      <c r="M201" s="15">
        <f>'[2]2025'!L201</f>
        <v>0</v>
      </c>
      <c r="N201" s="16" t="str">
        <f t="shared" si="15"/>
        <v/>
      </c>
      <c r="O201" s="17" t="str">
        <f t="shared" si="16"/>
        <v/>
      </c>
      <c r="P201" s="17" t="str">
        <f t="shared" si="17"/>
        <v/>
      </c>
      <c r="Q201" s="18" t="str">
        <f t="shared" si="18"/>
        <v/>
      </c>
      <c r="R201" s="18" t="e">
        <f t="shared" si="19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19">
        <v>46219</v>
      </c>
      <c r="C202" s="75" t="str">
        <f>IF(H202=0,"",'[2]2025-2026'!C201)</f>
        <v/>
      </c>
      <c r="D202" s="68" t="str">
        <f>'[2]2025'!C202</f>
        <v/>
      </c>
      <c r="E202" s="68" t="str">
        <f>'[2]2025'!D202</f>
        <v/>
      </c>
      <c r="F202" s="20" t="str">
        <f>'[2]2025'!E202</f>
        <v/>
      </c>
      <c r="G202" s="73" t="str">
        <f>'[2]2025'!F202</f>
        <v/>
      </c>
      <c r="H202" s="42">
        <f>'[2]2025'!G202</f>
        <v>0</v>
      </c>
      <c r="I202" s="13">
        <f>'[2]2025'!H202</f>
        <v>0</v>
      </c>
      <c r="J202" s="14">
        <f>'[2]2025'!I202</f>
        <v>0</v>
      </c>
      <c r="K202" s="15">
        <f>'[2]2025'!J202</f>
        <v>0</v>
      </c>
      <c r="L202" s="15">
        <f>'[2]2025'!K202</f>
        <v>0</v>
      </c>
      <c r="M202" s="15">
        <f>'[2]2025'!L202</f>
        <v>0</v>
      </c>
      <c r="N202" s="16" t="str">
        <f t="shared" si="15"/>
        <v/>
      </c>
      <c r="O202" s="17" t="str">
        <f t="shared" si="16"/>
        <v/>
      </c>
      <c r="P202" s="17" t="str">
        <f t="shared" si="17"/>
        <v/>
      </c>
      <c r="Q202" s="18" t="str">
        <f t="shared" si="18"/>
        <v/>
      </c>
      <c r="R202" s="18" t="e">
        <f t="shared" si="19"/>
        <v>#DIV/0!</v>
      </c>
      <c r="S202" s="34"/>
      <c r="T202" s="29" t="s">
        <v>8</v>
      </c>
      <c r="U202" s="1738"/>
    </row>
    <row r="203" spans="1:21">
      <c r="A203" s="10" t="s">
        <v>14</v>
      </c>
      <c r="B203" s="19">
        <v>46220</v>
      </c>
      <c r="C203" s="75" t="str">
        <f>IF(H203=0,"",'[2]2025-2026'!C202)</f>
        <v/>
      </c>
      <c r="D203" s="68" t="str">
        <f>'[2]2025'!C203</f>
        <v/>
      </c>
      <c r="E203" s="68" t="str">
        <f>'[2]2025'!D203</f>
        <v/>
      </c>
      <c r="F203" s="20" t="str">
        <f>'[2]2025'!E203</f>
        <v/>
      </c>
      <c r="G203" s="73" t="str">
        <f>'[2]2025'!F203</f>
        <v/>
      </c>
      <c r="H203" s="42">
        <f>'[2]2025'!G203</f>
        <v>0</v>
      </c>
      <c r="I203" s="13">
        <f>'[2]2025'!H203</f>
        <v>0</v>
      </c>
      <c r="J203" s="14">
        <f>'[2]2025'!I203</f>
        <v>0</v>
      </c>
      <c r="K203" s="15">
        <f>'[2]2025'!J203</f>
        <v>0</v>
      </c>
      <c r="L203" s="15">
        <f>'[2]2025'!K203</f>
        <v>0</v>
      </c>
      <c r="M203" s="15">
        <f>'[2]2025'!L203</f>
        <v>0</v>
      </c>
      <c r="N203" s="16" t="str">
        <f t="shared" si="15"/>
        <v/>
      </c>
      <c r="O203" s="17" t="str">
        <f t="shared" si="16"/>
        <v/>
      </c>
      <c r="P203" s="17" t="str">
        <f t="shared" si="17"/>
        <v/>
      </c>
      <c r="Q203" s="18" t="str">
        <f t="shared" si="18"/>
        <v/>
      </c>
      <c r="R203" s="18" t="e">
        <f t="shared" si="19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19">
        <v>46221</v>
      </c>
      <c r="C204" s="75" t="str">
        <f>IF(H204=0,"",'[2]2025-2026'!C203)</f>
        <v/>
      </c>
      <c r="D204" s="68" t="str">
        <f>'[2]2025'!C204</f>
        <v/>
      </c>
      <c r="E204" s="68" t="str">
        <f>'[2]2025'!D204</f>
        <v/>
      </c>
      <c r="F204" s="20" t="str">
        <f>'[2]2025'!E204</f>
        <v/>
      </c>
      <c r="G204" s="73" t="str">
        <f>'[2]2025'!F204</f>
        <v/>
      </c>
      <c r="H204" s="42">
        <f>'[2]2025'!G204</f>
        <v>0</v>
      </c>
      <c r="I204" s="13">
        <f>'[2]2025'!H204</f>
        <v>0</v>
      </c>
      <c r="J204" s="14">
        <f>'[2]2025'!I204</f>
        <v>0</v>
      </c>
      <c r="K204" s="15">
        <f>'[2]2025'!J204</f>
        <v>0</v>
      </c>
      <c r="L204" s="15">
        <f>'[2]2025'!K204</f>
        <v>0</v>
      </c>
      <c r="M204" s="15">
        <f>'[2]2025'!L204</f>
        <v>0</v>
      </c>
      <c r="N204" s="16" t="str">
        <f t="shared" si="15"/>
        <v/>
      </c>
      <c r="O204" s="17" t="str">
        <f t="shared" si="16"/>
        <v/>
      </c>
      <c r="P204" s="17" t="str">
        <f t="shared" si="17"/>
        <v/>
      </c>
      <c r="Q204" s="18" t="str">
        <f t="shared" si="18"/>
        <v/>
      </c>
      <c r="R204" s="18" t="e">
        <f t="shared" si="19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19">
        <v>46222</v>
      </c>
      <c r="C205" s="75" t="str">
        <f>IF(H205=0,"",'[2]2025-2026'!C204)</f>
        <v/>
      </c>
      <c r="D205" s="68" t="str">
        <f>'[2]2025'!C205</f>
        <v/>
      </c>
      <c r="E205" s="68" t="str">
        <f>'[2]2025'!D205</f>
        <v/>
      </c>
      <c r="F205" s="20" t="str">
        <f>'[2]2025'!E205</f>
        <v/>
      </c>
      <c r="G205" s="73" t="str">
        <f>'[2]2025'!F205</f>
        <v/>
      </c>
      <c r="H205" s="42">
        <f>'[2]2025'!G205</f>
        <v>0</v>
      </c>
      <c r="I205" s="13">
        <f>'[2]2025'!H205</f>
        <v>0</v>
      </c>
      <c r="J205" s="14">
        <f>'[2]2025'!I205</f>
        <v>0</v>
      </c>
      <c r="K205" s="15">
        <f>'[2]2025'!J205</f>
        <v>0</v>
      </c>
      <c r="L205" s="15">
        <f>'[2]2025'!K205</f>
        <v>0</v>
      </c>
      <c r="M205" s="15">
        <f>'[2]2025'!L205</f>
        <v>0</v>
      </c>
      <c r="N205" s="16" t="str">
        <f t="shared" si="15"/>
        <v/>
      </c>
      <c r="O205" s="17" t="str">
        <f t="shared" si="16"/>
        <v/>
      </c>
      <c r="P205" s="17" t="str">
        <f t="shared" si="17"/>
        <v/>
      </c>
      <c r="Q205" s="18" t="str">
        <f t="shared" si="18"/>
        <v/>
      </c>
      <c r="R205" s="18" t="e">
        <f t="shared" si="19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19">
        <v>46223</v>
      </c>
      <c r="C206" s="75" t="str">
        <f>IF(H206=0,"",'[2]2025-2026'!C205)</f>
        <v/>
      </c>
      <c r="D206" s="68" t="str">
        <f>'[2]2025'!C206</f>
        <v/>
      </c>
      <c r="E206" s="68" t="str">
        <f>'[2]2025'!D206</f>
        <v/>
      </c>
      <c r="F206" s="20" t="str">
        <f>'[2]2025'!E206</f>
        <v/>
      </c>
      <c r="G206" s="73" t="str">
        <f>'[2]2025'!F206</f>
        <v/>
      </c>
      <c r="H206" s="42">
        <f>'[2]2025'!G206</f>
        <v>0</v>
      </c>
      <c r="I206" s="13">
        <f>'[2]2025'!H206</f>
        <v>0</v>
      </c>
      <c r="J206" s="14">
        <f>'[2]2025'!I206</f>
        <v>0</v>
      </c>
      <c r="K206" s="15">
        <f>'[2]2025'!J206</f>
        <v>0</v>
      </c>
      <c r="L206" s="15">
        <f>'[2]2025'!K206</f>
        <v>0</v>
      </c>
      <c r="M206" s="15">
        <f>'[2]2025'!L206</f>
        <v>0</v>
      </c>
      <c r="N206" s="16" t="str">
        <f t="shared" si="15"/>
        <v/>
      </c>
      <c r="O206" s="17" t="str">
        <f t="shared" si="16"/>
        <v/>
      </c>
      <c r="P206" s="17" t="str">
        <f t="shared" si="17"/>
        <v/>
      </c>
      <c r="Q206" s="18" t="str">
        <f t="shared" si="18"/>
        <v/>
      </c>
      <c r="R206" s="18" t="e">
        <f t="shared" si="19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19">
        <v>46224</v>
      </c>
      <c r="C207" s="75" t="str">
        <f>IF(H207=0,"",'[2]2025-2026'!C206)</f>
        <v/>
      </c>
      <c r="D207" s="68" t="str">
        <f>'[2]2025'!C207</f>
        <v/>
      </c>
      <c r="E207" s="68" t="str">
        <f>'[2]2025'!D207</f>
        <v/>
      </c>
      <c r="F207" s="20" t="str">
        <f>'[2]2025'!E207</f>
        <v/>
      </c>
      <c r="G207" s="73" t="str">
        <f>'[2]2025'!F207</f>
        <v/>
      </c>
      <c r="H207" s="42">
        <f>'[2]2025'!G207</f>
        <v>0</v>
      </c>
      <c r="I207" s="13">
        <f>'[2]2025'!H207</f>
        <v>0</v>
      </c>
      <c r="J207" s="14">
        <f>'[2]2025'!I207</f>
        <v>0</v>
      </c>
      <c r="K207" s="15">
        <f>'[2]2025'!J207</f>
        <v>0</v>
      </c>
      <c r="L207" s="15">
        <f>'[2]2025'!K207</f>
        <v>0</v>
      </c>
      <c r="M207" s="15">
        <f>'[2]2025'!L207</f>
        <v>0</v>
      </c>
      <c r="N207" s="16" t="str">
        <f t="shared" si="15"/>
        <v/>
      </c>
      <c r="O207" s="17" t="str">
        <f t="shared" si="16"/>
        <v/>
      </c>
      <c r="P207" s="17" t="str">
        <f t="shared" si="17"/>
        <v/>
      </c>
      <c r="Q207" s="18" t="str">
        <f t="shared" si="18"/>
        <v/>
      </c>
      <c r="R207" s="18" t="e">
        <f t="shared" si="19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19">
        <v>46225</v>
      </c>
      <c r="C208" s="75" t="str">
        <f>IF(H208=0,"",'[2]2025-2026'!C207)</f>
        <v/>
      </c>
      <c r="D208" s="68" t="str">
        <f>'[2]2025'!C208</f>
        <v/>
      </c>
      <c r="E208" s="68" t="str">
        <f>'[2]2025'!D208</f>
        <v/>
      </c>
      <c r="F208" s="20" t="str">
        <f>'[2]2025'!E208</f>
        <v/>
      </c>
      <c r="G208" s="73" t="str">
        <f>'[2]2025'!F208</f>
        <v/>
      </c>
      <c r="H208" s="42">
        <f>'[2]2025'!G208</f>
        <v>0</v>
      </c>
      <c r="I208" s="13">
        <f>'[2]2025'!H208</f>
        <v>0</v>
      </c>
      <c r="J208" s="14">
        <f>'[2]2025'!I208</f>
        <v>0</v>
      </c>
      <c r="K208" s="15">
        <f>'[2]2025'!J208</f>
        <v>0</v>
      </c>
      <c r="L208" s="15">
        <f>'[2]2025'!K208</f>
        <v>0</v>
      </c>
      <c r="M208" s="15">
        <f>'[2]2025'!L208</f>
        <v>0</v>
      </c>
      <c r="N208" s="16" t="str">
        <f t="shared" si="15"/>
        <v/>
      </c>
      <c r="O208" s="17" t="str">
        <f t="shared" si="16"/>
        <v/>
      </c>
      <c r="P208" s="17" t="str">
        <f t="shared" si="17"/>
        <v/>
      </c>
      <c r="Q208" s="18" t="str">
        <f t="shared" si="18"/>
        <v/>
      </c>
      <c r="R208" s="18" t="e">
        <f t="shared" si="19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19">
        <v>46226</v>
      </c>
      <c r="C209" s="75" t="str">
        <f>IF(H209=0,"",'[2]2025-2026'!C208)</f>
        <v/>
      </c>
      <c r="D209" s="68" t="str">
        <f>'[2]2025'!C209</f>
        <v/>
      </c>
      <c r="E209" s="68" t="str">
        <f>'[2]2025'!D209</f>
        <v/>
      </c>
      <c r="F209" s="20" t="str">
        <f>'[2]2025'!E209</f>
        <v/>
      </c>
      <c r="G209" s="73" t="str">
        <f>'[2]2025'!F209</f>
        <v/>
      </c>
      <c r="H209" s="42">
        <f>'[2]2025'!G209</f>
        <v>0</v>
      </c>
      <c r="I209" s="13">
        <f>'[2]2025'!H209</f>
        <v>0</v>
      </c>
      <c r="J209" s="14">
        <f>'[2]2025'!I209</f>
        <v>0</v>
      </c>
      <c r="K209" s="15">
        <f>'[2]2025'!J209</f>
        <v>0</v>
      </c>
      <c r="L209" s="15">
        <f>'[2]2025'!K209</f>
        <v>0</v>
      </c>
      <c r="M209" s="15">
        <f>'[2]2025'!L209</f>
        <v>0</v>
      </c>
      <c r="N209" s="16" t="str">
        <f t="shared" si="15"/>
        <v/>
      </c>
      <c r="O209" s="17" t="str">
        <f t="shared" si="16"/>
        <v/>
      </c>
      <c r="P209" s="17" t="str">
        <f t="shared" si="17"/>
        <v/>
      </c>
      <c r="Q209" s="18" t="str">
        <f t="shared" si="18"/>
        <v/>
      </c>
      <c r="R209" s="18" t="e">
        <f t="shared" si="19"/>
        <v>#DIV/0!</v>
      </c>
      <c r="S209" s="34"/>
      <c r="T209" s="29" t="s">
        <v>8</v>
      </c>
      <c r="U209" s="1738"/>
    </row>
    <row r="210" spans="1:21">
      <c r="A210" s="10" t="s">
        <v>14</v>
      </c>
      <c r="B210" s="19">
        <v>46227</v>
      </c>
      <c r="C210" s="75" t="str">
        <f>IF(H210=0,"",'[2]2025-2026'!C209)</f>
        <v/>
      </c>
      <c r="D210" s="68" t="str">
        <f>'[2]2025'!C210</f>
        <v/>
      </c>
      <c r="E210" s="68" t="str">
        <f>'[2]2025'!D210</f>
        <v/>
      </c>
      <c r="F210" s="20" t="str">
        <f>'[2]2025'!E210</f>
        <v/>
      </c>
      <c r="G210" s="73" t="str">
        <f>'[2]2025'!F210</f>
        <v/>
      </c>
      <c r="H210" s="42">
        <f>'[2]2025'!G210</f>
        <v>0</v>
      </c>
      <c r="I210" s="13">
        <f>'[2]2025'!H210</f>
        <v>0</v>
      </c>
      <c r="J210" s="14">
        <f>'[2]2025'!I210</f>
        <v>0</v>
      </c>
      <c r="K210" s="15">
        <f>'[2]2025'!J210</f>
        <v>0</v>
      </c>
      <c r="L210" s="15">
        <f>'[2]2025'!K210</f>
        <v>0</v>
      </c>
      <c r="M210" s="15">
        <f>'[2]2025'!L210</f>
        <v>0</v>
      </c>
      <c r="N210" s="16" t="str">
        <f t="shared" si="15"/>
        <v/>
      </c>
      <c r="O210" s="17" t="str">
        <f t="shared" si="16"/>
        <v/>
      </c>
      <c r="P210" s="17" t="str">
        <f t="shared" si="17"/>
        <v/>
      </c>
      <c r="Q210" s="18" t="str">
        <f t="shared" si="18"/>
        <v/>
      </c>
      <c r="R210" s="18" t="e">
        <f t="shared" si="19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19">
        <v>46228</v>
      </c>
      <c r="C211" s="75" t="str">
        <f>IF(H211=0,"",'[2]2025-2026'!C210)</f>
        <v/>
      </c>
      <c r="D211" s="68" t="str">
        <f>'[2]2025'!C211</f>
        <v/>
      </c>
      <c r="E211" s="68" t="str">
        <f>'[2]2025'!D211</f>
        <v/>
      </c>
      <c r="F211" s="20" t="str">
        <f>'[2]2025'!E211</f>
        <v/>
      </c>
      <c r="G211" s="73" t="str">
        <f>'[2]2025'!F211</f>
        <v/>
      </c>
      <c r="H211" s="42">
        <f>'[2]2025'!G211</f>
        <v>0</v>
      </c>
      <c r="I211" s="13">
        <f>'[2]2025'!H211</f>
        <v>0</v>
      </c>
      <c r="J211" s="14">
        <f>'[2]2025'!I211</f>
        <v>0</v>
      </c>
      <c r="K211" s="15">
        <f>'[2]2025'!J211</f>
        <v>0</v>
      </c>
      <c r="L211" s="15">
        <f>'[2]2025'!K211</f>
        <v>0</v>
      </c>
      <c r="M211" s="15">
        <f>'[2]2025'!L211</f>
        <v>0</v>
      </c>
      <c r="N211" s="16" t="str">
        <f t="shared" si="15"/>
        <v/>
      </c>
      <c r="O211" s="17" t="str">
        <f t="shared" si="16"/>
        <v/>
      </c>
      <c r="P211" s="17" t="str">
        <f t="shared" si="17"/>
        <v/>
      </c>
      <c r="Q211" s="18" t="str">
        <f t="shared" si="18"/>
        <v/>
      </c>
      <c r="R211" s="18" t="e">
        <f t="shared" si="19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19">
        <v>46229</v>
      </c>
      <c r="C212" s="75" t="str">
        <f>IF(H212=0,"",'[2]2025-2026'!C211)</f>
        <v/>
      </c>
      <c r="D212" s="68" t="str">
        <f>'[2]2025'!C212</f>
        <v/>
      </c>
      <c r="E212" s="68" t="str">
        <f>'[2]2025'!D212</f>
        <v/>
      </c>
      <c r="F212" s="20" t="str">
        <f>'[2]2025'!E212</f>
        <v/>
      </c>
      <c r="G212" s="73" t="str">
        <f>'[2]2025'!F212</f>
        <v/>
      </c>
      <c r="H212" s="42">
        <f>'[2]2025'!G212</f>
        <v>0</v>
      </c>
      <c r="I212" s="13">
        <f>'[2]2025'!H212</f>
        <v>0</v>
      </c>
      <c r="J212" s="14">
        <f>'[2]2025'!I212</f>
        <v>0</v>
      </c>
      <c r="K212" s="15">
        <f>'[2]2025'!J212</f>
        <v>0</v>
      </c>
      <c r="L212" s="15">
        <f>'[2]2025'!K212</f>
        <v>0</v>
      </c>
      <c r="M212" s="15">
        <f>'[2]2025'!L212</f>
        <v>0</v>
      </c>
      <c r="N212" s="16" t="str">
        <f t="shared" si="15"/>
        <v/>
      </c>
      <c r="O212" s="17" t="str">
        <f t="shared" si="16"/>
        <v/>
      </c>
      <c r="P212" s="17" t="str">
        <f t="shared" si="17"/>
        <v/>
      </c>
      <c r="Q212" s="18" t="str">
        <f t="shared" si="18"/>
        <v/>
      </c>
      <c r="R212" s="18" t="e">
        <f t="shared" si="19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19">
        <v>46230</v>
      </c>
      <c r="C213" s="75" t="str">
        <f>IF(H213=0,"",'[2]2025-2026'!C212)</f>
        <v/>
      </c>
      <c r="D213" s="68" t="str">
        <f>'[2]2025'!C213</f>
        <v/>
      </c>
      <c r="E213" s="68" t="str">
        <f>'[2]2025'!D213</f>
        <v/>
      </c>
      <c r="F213" s="20" t="str">
        <f>'[2]2025'!E213</f>
        <v/>
      </c>
      <c r="G213" s="73" t="str">
        <f>'[2]2025'!F213</f>
        <v/>
      </c>
      <c r="H213" s="42">
        <f>'[2]2025'!G213</f>
        <v>0</v>
      </c>
      <c r="I213" s="13">
        <f>'[2]2025'!H213</f>
        <v>0</v>
      </c>
      <c r="J213" s="14">
        <f>'[2]2025'!I213</f>
        <v>0</v>
      </c>
      <c r="K213" s="15">
        <f>'[2]2025'!J213</f>
        <v>0</v>
      </c>
      <c r="L213" s="15">
        <f>'[2]2025'!K213</f>
        <v>0</v>
      </c>
      <c r="M213" s="15">
        <f>'[2]2025'!L213</f>
        <v>0</v>
      </c>
      <c r="N213" s="16" t="str">
        <f t="shared" si="15"/>
        <v/>
      </c>
      <c r="O213" s="17" t="str">
        <f t="shared" si="16"/>
        <v/>
      </c>
      <c r="P213" s="17" t="str">
        <f t="shared" si="17"/>
        <v/>
      </c>
      <c r="Q213" s="18" t="str">
        <f t="shared" si="18"/>
        <v/>
      </c>
      <c r="R213" s="18" t="e">
        <f t="shared" si="19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19">
        <v>46231</v>
      </c>
      <c r="C214" s="75" t="str">
        <f>IF(H214=0,"",'[2]2025-2026'!C213)</f>
        <v/>
      </c>
      <c r="D214" s="68" t="str">
        <f>'[2]2025'!C214</f>
        <v/>
      </c>
      <c r="E214" s="68" t="str">
        <f>'[2]2025'!D214</f>
        <v/>
      </c>
      <c r="F214" s="20" t="str">
        <f>'[2]2025'!E214</f>
        <v/>
      </c>
      <c r="G214" s="73" t="str">
        <f>'[2]2025'!F214</f>
        <v/>
      </c>
      <c r="H214" s="42">
        <f>'[2]2025'!G214</f>
        <v>0</v>
      </c>
      <c r="I214" s="13">
        <f>'[2]2025'!H214</f>
        <v>0</v>
      </c>
      <c r="J214" s="14">
        <f>'[2]2025'!I214</f>
        <v>0</v>
      </c>
      <c r="K214" s="15">
        <f>'[2]2025'!J214</f>
        <v>0</v>
      </c>
      <c r="L214" s="15">
        <f>'[2]2025'!K214</f>
        <v>0</v>
      </c>
      <c r="M214" s="15">
        <f>'[2]2025'!L214</f>
        <v>0</v>
      </c>
      <c r="N214" s="16" t="str">
        <f t="shared" si="15"/>
        <v/>
      </c>
      <c r="O214" s="17" t="str">
        <f t="shared" si="16"/>
        <v/>
      </c>
      <c r="P214" s="17" t="str">
        <f t="shared" si="17"/>
        <v/>
      </c>
      <c r="Q214" s="18" t="str">
        <f t="shared" si="18"/>
        <v/>
      </c>
      <c r="R214" s="18" t="e">
        <f t="shared" si="19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19">
        <v>46232</v>
      </c>
      <c r="C215" s="75" t="str">
        <f>IF(H215=0,"",'[2]2025-2026'!C214)</f>
        <v/>
      </c>
      <c r="D215" s="68" t="str">
        <f>'[2]2025'!C215</f>
        <v/>
      </c>
      <c r="E215" s="68" t="str">
        <f>'[2]2025'!D215</f>
        <v/>
      </c>
      <c r="F215" s="20" t="str">
        <f>'[2]2025'!E215</f>
        <v/>
      </c>
      <c r="G215" s="73" t="str">
        <f>'[2]2025'!F215</f>
        <v/>
      </c>
      <c r="H215" s="42">
        <f>'[2]2025'!G215</f>
        <v>0</v>
      </c>
      <c r="I215" s="13">
        <f>'[2]2025'!H215</f>
        <v>0</v>
      </c>
      <c r="J215" s="14">
        <f>'[2]2025'!I215</f>
        <v>0</v>
      </c>
      <c r="K215" s="15">
        <f>'[2]2025'!J215</f>
        <v>0</v>
      </c>
      <c r="L215" s="15">
        <f>'[2]2025'!K215</f>
        <v>0</v>
      </c>
      <c r="M215" s="15">
        <f>'[2]2025'!L215</f>
        <v>0</v>
      </c>
      <c r="N215" s="16" t="str">
        <f t="shared" si="15"/>
        <v/>
      </c>
      <c r="O215" s="17" t="str">
        <f t="shared" si="16"/>
        <v/>
      </c>
      <c r="P215" s="17" t="str">
        <f t="shared" si="17"/>
        <v/>
      </c>
      <c r="Q215" s="18" t="str">
        <f t="shared" si="18"/>
        <v/>
      </c>
      <c r="R215" s="18" t="e">
        <f t="shared" si="19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19">
        <v>46233</v>
      </c>
      <c r="C216" s="75" t="str">
        <f>IF(H216=0,"",'[2]2025-2026'!C215)</f>
        <v/>
      </c>
      <c r="D216" s="68" t="str">
        <f>'[2]2025'!C216</f>
        <v/>
      </c>
      <c r="E216" s="68" t="str">
        <f>'[2]2025'!D216</f>
        <v/>
      </c>
      <c r="F216" s="20" t="str">
        <f>'[2]2025'!E216</f>
        <v/>
      </c>
      <c r="G216" s="73" t="str">
        <f>'[2]2025'!F216</f>
        <v/>
      </c>
      <c r="H216" s="42">
        <f>'[2]2025'!G216</f>
        <v>0</v>
      </c>
      <c r="I216" s="13">
        <f>'[2]2025'!H216</f>
        <v>0</v>
      </c>
      <c r="J216" s="14">
        <f>'[2]2025'!I216</f>
        <v>0</v>
      </c>
      <c r="K216" s="15">
        <f>'[2]2025'!J216</f>
        <v>0</v>
      </c>
      <c r="L216" s="15">
        <f>'[2]2025'!K216</f>
        <v>0</v>
      </c>
      <c r="M216" s="15">
        <f>'[2]2025'!L216</f>
        <v>0</v>
      </c>
      <c r="N216" s="16" t="str">
        <f t="shared" si="15"/>
        <v/>
      </c>
      <c r="O216" s="17" t="str">
        <f t="shared" si="16"/>
        <v/>
      </c>
      <c r="P216" s="17" t="str">
        <f t="shared" si="17"/>
        <v/>
      </c>
      <c r="Q216" s="18" t="str">
        <f t="shared" si="18"/>
        <v/>
      </c>
      <c r="R216" s="18" t="e">
        <f t="shared" si="19"/>
        <v>#DIV/0!</v>
      </c>
      <c r="S216" s="34"/>
      <c r="T216" s="29" t="s">
        <v>8</v>
      </c>
      <c r="U216" s="1738"/>
    </row>
    <row r="217" spans="1:21">
      <c r="A217" s="10" t="s">
        <v>14</v>
      </c>
      <c r="B217" s="19">
        <v>46234</v>
      </c>
      <c r="C217" s="75" t="str">
        <f>IF(H217=0,"",'[2]2025-2026'!C216)</f>
        <v/>
      </c>
      <c r="D217" s="68" t="str">
        <f>'[2]2025'!C217</f>
        <v/>
      </c>
      <c r="E217" s="68" t="str">
        <f>'[2]2025'!D217</f>
        <v/>
      </c>
      <c r="F217" s="20" t="str">
        <f>'[2]2025'!E217</f>
        <v/>
      </c>
      <c r="G217" s="73" t="str">
        <f>'[2]2025'!F217</f>
        <v/>
      </c>
      <c r="H217" s="42">
        <f>'[2]2025'!G217</f>
        <v>0</v>
      </c>
      <c r="I217" s="13">
        <f>'[2]2025'!H217</f>
        <v>0</v>
      </c>
      <c r="J217" s="14">
        <f>'[2]2025'!I217</f>
        <v>0</v>
      </c>
      <c r="K217" s="15">
        <f>'[2]2025'!J217</f>
        <v>0</v>
      </c>
      <c r="L217" s="15">
        <f>'[2]2025'!K217</f>
        <v>0</v>
      </c>
      <c r="M217" s="15">
        <f>'[2]2025'!L217</f>
        <v>0</v>
      </c>
      <c r="N217" s="16" t="str">
        <f t="shared" si="15"/>
        <v/>
      </c>
      <c r="O217" s="17" t="str">
        <f t="shared" si="16"/>
        <v/>
      </c>
      <c r="P217" s="17" t="str">
        <f t="shared" si="17"/>
        <v/>
      </c>
      <c r="Q217" s="18" t="str">
        <f t="shared" si="18"/>
        <v/>
      </c>
      <c r="R217" s="18" t="e">
        <f t="shared" si="19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19">
        <v>46235</v>
      </c>
      <c r="C218" s="75" t="str">
        <f>IF(H218=0,"",'[2]2025-2026'!C217)</f>
        <v/>
      </c>
      <c r="D218" s="68" t="str">
        <f>'[2]2025'!C218</f>
        <v/>
      </c>
      <c r="E218" s="68" t="str">
        <f>'[2]2025'!D218</f>
        <v/>
      </c>
      <c r="F218" s="20" t="str">
        <f>'[2]2025'!E218</f>
        <v/>
      </c>
      <c r="G218" s="73" t="str">
        <f>'[2]2025'!F218</f>
        <v/>
      </c>
      <c r="H218" s="42">
        <f>'[2]2025'!G218</f>
        <v>0</v>
      </c>
      <c r="I218" s="13">
        <f>'[2]2025'!H218</f>
        <v>0</v>
      </c>
      <c r="J218" s="14">
        <f>'[2]2025'!I218</f>
        <v>0</v>
      </c>
      <c r="K218" s="15">
        <f>'[2]2025'!J218</f>
        <v>0</v>
      </c>
      <c r="L218" s="15">
        <f>'[2]2025'!K218</f>
        <v>0</v>
      </c>
      <c r="M218" s="15">
        <f>'[2]2025'!L218</f>
        <v>0</v>
      </c>
      <c r="N218" s="16" t="str">
        <f t="shared" si="15"/>
        <v/>
      </c>
      <c r="O218" s="17" t="str">
        <f t="shared" si="16"/>
        <v/>
      </c>
      <c r="P218" s="17" t="str">
        <f t="shared" si="17"/>
        <v/>
      </c>
      <c r="Q218" s="18" t="str">
        <f t="shared" si="18"/>
        <v/>
      </c>
      <c r="R218" s="18" t="e">
        <f t="shared" si="19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19">
        <v>46236</v>
      </c>
      <c r="C219" s="75" t="str">
        <f>IF(H219=0,"",'[2]2025-2026'!C218)</f>
        <v/>
      </c>
      <c r="D219" s="68" t="str">
        <f>'[2]2025'!C219</f>
        <v/>
      </c>
      <c r="E219" s="68" t="str">
        <f>'[2]2025'!D219</f>
        <v/>
      </c>
      <c r="F219" s="20" t="str">
        <f>'[2]2025'!E219</f>
        <v/>
      </c>
      <c r="G219" s="73" t="str">
        <f>'[2]2025'!F219</f>
        <v/>
      </c>
      <c r="H219" s="42">
        <f>'[2]2025'!G219</f>
        <v>0</v>
      </c>
      <c r="I219" s="13">
        <f>'[2]2025'!H219</f>
        <v>0</v>
      </c>
      <c r="J219" s="14">
        <f>'[2]2025'!I219</f>
        <v>0</v>
      </c>
      <c r="K219" s="15">
        <f>'[2]2025'!J219</f>
        <v>0</v>
      </c>
      <c r="L219" s="15">
        <f>'[2]2025'!K219</f>
        <v>0</v>
      </c>
      <c r="M219" s="15">
        <f>'[2]2025'!L219</f>
        <v>0</v>
      </c>
      <c r="N219" s="16" t="str">
        <f t="shared" si="15"/>
        <v/>
      </c>
      <c r="O219" s="17" t="str">
        <f t="shared" si="16"/>
        <v/>
      </c>
      <c r="P219" s="17" t="str">
        <f t="shared" si="17"/>
        <v/>
      </c>
      <c r="Q219" s="18" t="str">
        <f t="shared" si="18"/>
        <v/>
      </c>
      <c r="R219" s="18" t="e">
        <f t="shared" si="19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19">
        <v>46237</v>
      </c>
      <c r="C220" s="75" t="str">
        <f>IF(H220=0,"",'[2]2025-2026'!C219)</f>
        <v/>
      </c>
      <c r="D220" s="68" t="str">
        <f>'[2]2025'!C220</f>
        <v/>
      </c>
      <c r="E220" s="68" t="str">
        <f>'[2]2025'!D220</f>
        <v/>
      </c>
      <c r="F220" s="20" t="str">
        <f>'[2]2025'!E220</f>
        <v/>
      </c>
      <c r="G220" s="73" t="str">
        <f>'[2]2025'!F220</f>
        <v/>
      </c>
      <c r="H220" s="42">
        <f>'[2]2025'!G220</f>
        <v>0</v>
      </c>
      <c r="I220" s="13">
        <f>'[2]2025'!H220</f>
        <v>0</v>
      </c>
      <c r="J220" s="14">
        <f>'[2]2025'!I220</f>
        <v>0</v>
      </c>
      <c r="K220" s="15">
        <f>'[2]2025'!J220</f>
        <v>0</v>
      </c>
      <c r="L220" s="15">
        <f>'[2]2025'!K220</f>
        <v>0</v>
      </c>
      <c r="M220" s="15">
        <f>'[2]2025'!L220</f>
        <v>0</v>
      </c>
      <c r="N220" s="16" t="str">
        <f t="shared" si="15"/>
        <v/>
      </c>
      <c r="O220" s="17" t="str">
        <f t="shared" si="16"/>
        <v/>
      </c>
      <c r="P220" s="17" t="str">
        <f t="shared" si="17"/>
        <v/>
      </c>
      <c r="Q220" s="18" t="str">
        <f t="shared" si="18"/>
        <v/>
      </c>
      <c r="R220" s="18" t="e">
        <f t="shared" si="19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19">
        <v>46238</v>
      </c>
      <c r="C221" s="75" t="str">
        <f>IF(H221=0,"",'[2]2025-2026'!C220)</f>
        <v/>
      </c>
      <c r="D221" s="68" t="str">
        <f>'[2]2025'!C221</f>
        <v/>
      </c>
      <c r="E221" s="68" t="str">
        <f>'[2]2025'!D221</f>
        <v/>
      </c>
      <c r="F221" s="20" t="str">
        <f>'[2]2025'!E221</f>
        <v/>
      </c>
      <c r="G221" s="73" t="str">
        <f>'[2]2025'!F221</f>
        <v/>
      </c>
      <c r="H221" s="42">
        <f>'[2]2025'!G221</f>
        <v>0</v>
      </c>
      <c r="I221" s="13">
        <f>'[2]2025'!H221</f>
        <v>0</v>
      </c>
      <c r="J221" s="14">
        <f>'[2]2025'!I221</f>
        <v>0</v>
      </c>
      <c r="K221" s="15">
        <f>'[2]2025'!J221</f>
        <v>0</v>
      </c>
      <c r="L221" s="15">
        <f>'[2]2025'!K221</f>
        <v>0</v>
      </c>
      <c r="M221" s="15">
        <f>'[2]2025'!L221</f>
        <v>0</v>
      </c>
      <c r="N221" s="16" t="str">
        <f t="shared" si="15"/>
        <v/>
      </c>
      <c r="O221" s="17" t="str">
        <f t="shared" si="16"/>
        <v/>
      </c>
      <c r="P221" s="17" t="str">
        <f t="shared" si="17"/>
        <v/>
      </c>
      <c r="Q221" s="18" t="str">
        <f t="shared" si="18"/>
        <v/>
      </c>
      <c r="R221" s="18" t="e">
        <f t="shared" si="19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19">
        <v>46239</v>
      </c>
      <c r="C222" s="75" t="str">
        <f>IF(H222=0,"",'[2]2025-2026'!C221)</f>
        <v/>
      </c>
      <c r="D222" s="68" t="str">
        <f>'[2]2025'!C222</f>
        <v/>
      </c>
      <c r="E222" s="68" t="str">
        <f>'[2]2025'!D222</f>
        <v/>
      </c>
      <c r="F222" s="20" t="str">
        <f>'[2]2025'!E222</f>
        <v/>
      </c>
      <c r="G222" s="73" t="str">
        <f>'[2]2025'!F222</f>
        <v/>
      </c>
      <c r="H222" s="42">
        <f>'[2]2025'!G222</f>
        <v>0</v>
      </c>
      <c r="I222" s="13">
        <f>'[2]2025'!H222</f>
        <v>0</v>
      </c>
      <c r="J222" s="14">
        <f>'[2]2025'!I222</f>
        <v>0</v>
      </c>
      <c r="K222" s="15">
        <f>'[2]2025'!J222</f>
        <v>0</v>
      </c>
      <c r="L222" s="15">
        <f>'[2]2025'!K222</f>
        <v>0</v>
      </c>
      <c r="M222" s="15">
        <f>'[2]2025'!L222</f>
        <v>0</v>
      </c>
      <c r="N222" s="16" t="str">
        <f t="shared" si="15"/>
        <v/>
      </c>
      <c r="O222" s="17" t="str">
        <f t="shared" si="16"/>
        <v/>
      </c>
      <c r="P222" s="17" t="str">
        <f t="shared" si="17"/>
        <v/>
      </c>
      <c r="Q222" s="18" t="str">
        <f t="shared" si="18"/>
        <v/>
      </c>
      <c r="R222" s="18" t="e">
        <f t="shared" si="19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19">
        <v>46240</v>
      </c>
      <c r="C223" s="75" t="str">
        <f>IF(H223=0,"",'[2]2025-2026'!C222)</f>
        <v/>
      </c>
      <c r="D223" s="68" t="str">
        <f>'[2]2025'!C223</f>
        <v/>
      </c>
      <c r="E223" s="68" t="str">
        <f>'[2]2025'!D223</f>
        <v/>
      </c>
      <c r="F223" s="20" t="str">
        <f>'[2]2025'!E223</f>
        <v/>
      </c>
      <c r="G223" s="73" t="str">
        <f>'[2]2025'!F223</f>
        <v/>
      </c>
      <c r="H223" s="42">
        <f>'[2]2025'!G223</f>
        <v>0</v>
      </c>
      <c r="I223" s="13">
        <f>'[2]2025'!H223</f>
        <v>0</v>
      </c>
      <c r="J223" s="14">
        <f>'[2]2025'!I223</f>
        <v>0</v>
      </c>
      <c r="K223" s="15">
        <f>'[2]2025'!J223</f>
        <v>0</v>
      </c>
      <c r="L223" s="15">
        <f>'[2]2025'!K223</f>
        <v>0</v>
      </c>
      <c r="M223" s="15">
        <f>'[2]2025'!L223</f>
        <v>0</v>
      </c>
      <c r="N223" s="16" t="str">
        <f t="shared" si="15"/>
        <v/>
      </c>
      <c r="O223" s="17" t="str">
        <f t="shared" si="16"/>
        <v/>
      </c>
      <c r="P223" s="17" t="str">
        <f t="shared" si="17"/>
        <v/>
      </c>
      <c r="Q223" s="18" t="str">
        <f t="shared" si="18"/>
        <v/>
      </c>
      <c r="R223" s="18" t="e">
        <f t="shared" si="19"/>
        <v>#DIV/0!</v>
      </c>
      <c r="S223" s="34"/>
      <c r="T223" s="29" t="s">
        <v>8</v>
      </c>
      <c r="U223" s="1738"/>
    </row>
    <row r="224" spans="1:21">
      <c r="A224" s="10" t="s">
        <v>14</v>
      </c>
      <c r="B224" s="19">
        <v>46241</v>
      </c>
      <c r="C224" s="75" t="str">
        <f>IF(H224=0,"",'[2]2025-2026'!C223)</f>
        <v/>
      </c>
      <c r="D224" s="68" t="str">
        <f>'[2]2025'!C224</f>
        <v/>
      </c>
      <c r="E224" s="68" t="str">
        <f>'[2]2025'!D224</f>
        <v/>
      </c>
      <c r="F224" s="20" t="str">
        <f>'[2]2025'!E224</f>
        <v/>
      </c>
      <c r="G224" s="73" t="str">
        <f>'[2]2025'!F224</f>
        <v/>
      </c>
      <c r="H224" s="42">
        <f>'[2]2025'!G224</f>
        <v>0</v>
      </c>
      <c r="I224" s="13">
        <f>'[2]2025'!H224</f>
        <v>0</v>
      </c>
      <c r="J224" s="14">
        <f>'[2]2025'!I224</f>
        <v>0</v>
      </c>
      <c r="K224" s="15">
        <f>'[2]2025'!J224</f>
        <v>0</v>
      </c>
      <c r="L224" s="15">
        <f>'[2]2025'!K224</f>
        <v>0</v>
      </c>
      <c r="M224" s="15">
        <f>'[2]2025'!L224</f>
        <v>0</v>
      </c>
      <c r="N224" s="16" t="str">
        <f t="shared" si="15"/>
        <v/>
      </c>
      <c r="O224" s="17" t="str">
        <f t="shared" si="16"/>
        <v/>
      </c>
      <c r="P224" s="17" t="str">
        <f t="shared" si="17"/>
        <v/>
      </c>
      <c r="Q224" s="18" t="str">
        <f t="shared" si="18"/>
        <v/>
      </c>
      <c r="R224" s="18" t="e">
        <f t="shared" si="19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19">
        <v>46242</v>
      </c>
      <c r="C225" s="75" t="str">
        <f>IF(H225=0,"",'[2]2025-2026'!C224)</f>
        <v/>
      </c>
      <c r="D225" s="68" t="str">
        <f>'[2]2025'!C225</f>
        <v/>
      </c>
      <c r="E225" s="68" t="str">
        <f>'[2]2025'!D225</f>
        <v/>
      </c>
      <c r="F225" s="20" t="str">
        <f>'[2]2025'!E225</f>
        <v/>
      </c>
      <c r="G225" s="73" t="str">
        <f>'[2]2025'!F225</f>
        <v/>
      </c>
      <c r="H225" s="42">
        <f>'[2]2025'!G225</f>
        <v>0</v>
      </c>
      <c r="I225" s="13">
        <f>'[2]2025'!H225</f>
        <v>0</v>
      </c>
      <c r="J225" s="14">
        <f>'[2]2025'!I225</f>
        <v>0</v>
      </c>
      <c r="K225" s="15">
        <f>'[2]2025'!J225</f>
        <v>0</v>
      </c>
      <c r="L225" s="15">
        <f>'[2]2025'!K225</f>
        <v>0</v>
      </c>
      <c r="M225" s="15">
        <f>'[2]2025'!L225</f>
        <v>0</v>
      </c>
      <c r="N225" s="16" t="str">
        <f t="shared" si="15"/>
        <v/>
      </c>
      <c r="O225" s="17" t="str">
        <f t="shared" si="16"/>
        <v/>
      </c>
      <c r="P225" s="17" t="str">
        <f t="shared" si="17"/>
        <v/>
      </c>
      <c r="Q225" s="18" t="str">
        <f t="shared" si="18"/>
        <v/>
      </c>
      <c r="R225" s="18" t="e">
        <f t="shared" si="19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19">
        <v>46243</v>
      </c>
      <c r="C226" s="75" t="str">
        <f>IF(H226=0,"",'[2]2025-2026'!C225)</f>
        <v/>
      </c>
      <c r="D226" s="68" t="str">
        <f>'[2]2025'!C226</f>
        <v/>
      </c>
      <c r="E226" s="68" t="str">
        <f>'[2]2025'!D226</f>
        <v/>
      </c>
      <c r="F226" s="20" t="str">
        <f>'[2]2025'!E226</f>
        <v/>
      </c>
      <c r="G226" s="73" t="str">
        <f>'[2]2025'!F226</f>
        <v/>
      </c>
      <c r="H226" s="42">
        <f>'[2]2025'!G226</f>
        <v>0</v>
      </c>
      <c r="I226" s="13">
        <f>'[2]2025'!H226</f>
        <v>0</v>
      </c>
      <c r="J226" s="14">
        <f>'[2]2025'!I226</f>
        <v>0</v>
      </c>
      <c r="K226" s="15">
        <f>'[2]2025'!J226</f>
        <v>0</v>
      </c>
      <c r="L226" s="15">
        <f>'[2]2025'!K226</f>
        <v>0</v>
      </c>
      <c r="M226" s="15">
        <f>'[2]2025'!L226</f>
        <v>0</v>
      </c>
      <c r="N226" s="16" t="str">
        <f t="shared" si="15"/>
        <v/>
      </c>
      <c r="O226" s="17" t="str">
        <f t="shared" si="16"/>
        <v/>
      </c>
      <c r="P226" s="17" t="str">
        <f t="shared" si="17"/>
        <v/>
      </c>
      <c r="Q226" s="18" t="str">
        <f t="shared" si="18"/>
        <v/>
      </c>
      <c r="R226" s="18" t="e">
        <f t="shared" si="19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19">
        <v>46244</v>
      </c>
      <c r="C227" s="75" t="str">
        <f>IF(H227=0,"",'[2]2025-2026'!C226)</f>
        <v/>
      </c>
      <c r="D227" s="68" t="str">
        <f>'[2]2025'!C227</f>
        <v/>
      </c>
      <c r="E227" s="68" t="str">
        <f>'[2]2025'!D227</f>
        <v/>
      </c>
      <c r="F227" s="20" t="str">
        <f>'[2]2025'!E227</f>
        <v/>
      </c>
      <c r="G227" s="73" t="str">
        <f>'[2]2025'!F227</f>
        <v/>
      </c>
      <c r="H227" s="42">
        <f>'[2]2025'!G227</f>
        <v>0</v>
      </c>
      <c r="I227" s="13">
        <f>'[2]2025'!H227</f>
        <v>0</v>
      </c>
      <c r="J227" s="14">
        <f>'[2]2025'!I227</f>
        <v>0</v>
      </c>
      <c r="K227" s="15">
        <f>'[2]2025'!J227</f>
        <v>0</v>
      </c>
      <c r="L227" s="15">
        <f>'[2]2025'!K227</f>
        <v>0</v>
      </c>
      <c r="M227" s="15">
        <f>'[2]2025'!L227</f>
        <v>0</v>
      </c>
      <c r="N227" s="16" t="str">
        <f t="shared" si="15"/>
        <v/>
      </c>
      <c r="O227" s="17" t="str">
        <f t="shared" si="16"/>
        <v/>
      </c>
      <c r="P227" s="17" t="str">
        <f t="shared" si="17"/>
        <v/>
      </c>
      <c r="Q227" s="18" t="str">
        <f t="shared" si="18"/>
        <v/>
      </c>
      <c r="R227" s="18" t="e">
        <f t="shared" si="19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19">
        <v>46245</v>
      </c>
      <c r="C228" s="75" t="str">
        <f>IF(H228=0,"",'[2]2025-2026'!C227)</f>
        <v/>
      </c>
      <c r="D228" s="68" t="str">
        <f>'[2]2025'!C228</f>
        <v/>
      </c>
      <c r="E228" s="68" t="str">
        <f>'[2]2025'!D228</f>
        <v/>
      </c>
      <c r="F228" s="20" t="str">
        <f>'[2]2025'!E228</f>
        <v/>
      </c>
      <c r="G228" s="73" t="str">
        <f>'[2]2025'!F228</f>
        <v/>
      </c>
      <c r="H228" s="42">
        <f>'[2]2025'!G228</f>
        <v>0</v>
      </c>
      <c r="I228" s="13">
        <f>'[2]2025'!H228</f>
        <v>0</v>
      </c>
      <c r="J228" s="14">
        <f>'[2]2025'!I228</f>
        <v>0</v>
      </c>
      <c r="K228" s="15">
        <f>'[2]2025'!J228</f>
        <v>0</v>
      </c>
      <c r="L228" s="15">
        <f>'[2]2025'!K228</f>
        <v>0</v>
      </c>
      <c r="M228" s="15">
        <f>'[2]2025'!L228</f>
        <v>0</v>
      </c>
      <c r="N228" s="16" t="str">
        <f t="shared" si="15"/>
        <v/>
      </c>
      <c r="O228" s="17" t="str">
        <f t="shared" si="16"/>
        <v/>
      </c>
      <c r="P228" s="17" t="str">
        <f t="shared" si="17"/>
        <v/>
      </c>
      <c r="Q228" s="18" t="str">
        <f t="shared" si="18"/>
        <v/>
      </c>
      <c r="R228" s="18" t="e">
        <f t="shared" si="19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19">
        <v>46246</v>
      </c>
      <c r="C229" s="75" t="str">
        <f>IF(H229=0,"",'[2]2025-2026'!C228)</f>
        <v/>
      </c>
      <c r="D229" s="68" t="str">
        <f>'[2]2025'!C229</f>
        <v/>
      </c>
      <c r="E229" s="68" t="str">
        <f>'[2]2025'!D229</f>
        <v/>
      </c>
      <c r="F229" s="20" t="str">
        <f>'[2]2025'!E229</f>
        <v/>
      </c>
      <c r="G229" s="73" t="str">
        <f>'[2]2025'!F229</f>
        <v/>
      </c>
      <c r="H229" s="42">
        <f>'[2]2025'!G229</f>
        <v>0</v>
      </c>
      <c r="I229" s="13">
        <f>'[2]2025'!H229</f>
        <v>0</v>
      </c>
      <c r="J229" s="14">
        <f>'[2]2025'!I229</f>
        <v>0</v>
      </c>
      <c r="K229" s="15">
        <f>'[2]2025'!J229</f>
        <v>0</v>
      </c>
      <c r="L229" s="15">
        <f>'[2]2025'!K229</f>
        <v>0</v>
      </c>
      <c r="M229" s="15">
        <f>'[2]2025'!L229</f>
        <v>0</v>
      </c>
      <c r="N229" s="16" t="str">
        <f t="shared" si="15"/>
        <v/>
      </c>
      <c r="O229" s="17" t="str">
        <f t="shared" si="16"/>
        <v/>
      </c>
      <c r="P229" s="17" t="str">
        <f t="shared" si="17"/>
        <v/>
      </c>
      <c r="Q229" s="18" t="str">
        <f t="shared" si="18"/>
        <v/>
      </c>
      <c r="R229" s="18" t="e">
        <f t="shared" si="19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19">
        <v>46247</v>
      </c>
      <c r="C230" s="75" t="str">
        <f>IF(H230=0,"",'[2]2025-2026'!C229)</f>
        <v/>
      </c>
      <c r="D230" s="68" t="str">
        <f>'[2]2025'!C230</f>
        <v/>
      </c>
      <c r="E230" s="68" t="str">
        <f>'[2]2025'!D230</f>
        <v/>
      </c>
      <c r="F230" s="20" t="str">
        <f>'[2]2025'!E230</f>
        <v/>
      </c>
      <c r="G230" s="73" t="str">
        <f>'[2]2025'!F230</f>
        <v/>
      </c>
      <c r="H230" s="42">
        <f>'[2]2025'!G230</f>
        <v>0</v>
      </c>
      <c r="I230" s="13">
        <f>'[2]2025'!H230</f>
        <v>0</v>
      </c>
      <c r="J230" s="14">
        <f>'[2]2025'!I230</f>
        <v>0</v>
      </c>
      <c r="K230" s="15">
        <f>'[2]2025'!J230</f>
        <v>0</v>
      </c>
      <c r="L230" s="15">
        <f>'[2]2025'!K230</f>
        <v>0</v>
      </c>
      <c r="M230" s="15">
        <f>'[2]2025'!L230</f>
        <v>0</v>
      </c>
      <c r="N230" s="16" t="str">
        <f t="shared" si="15"/>
        <v/>
      </c>
      <c r="O230" s="17" t="str">
        <f t="shared" si="16"/>
        <v/>
      </c>
      <c r="P230" s="17" t="str">
        <f t="shared" si="17"/>
        <v/>
      </c>
      <c r="Q230" s="18" t="str">
        <f t="shared" si="18"/>
        <v/>
      </c>
      <c r="R230" s="18" t="e">
        <f t="shared" si="19"/>
        <v>#DIV/0!</v>
      </c>
      <c r="S230" s="34"/>
      <c r="T230" s="29" t="s">
        <v>8</v>
      </c>
      <c r="U230" s="1738"/>
    </row>
    <row r="231" spans="1:21">
      <c r="A231" s="10" t="s">
        <v>14</v>
      </c>
      <c r="B231" s="19">
        <v>46248</v>
      </c>
      <c r="C231" s="75" t="str">
        <f>IF(H231=0,"",'[2]2025-2026'!C230)</f>
        <v/>
      </c>
      <c r="D231" s="68" t="str">
        <f>'[2]2025'!C231</f>
        <v/>
      </c>
      <c r="E231" s="68" t="str">
        <f>'[2]2025'!D231</f>
        <v/>
      </c>
      <c r="F231" s="20" t="str">
        <f>'[2]2025'!E231</f>
        <v/>
      </c>
      <c r="G231" s="73" t="str">
        <f>'[2]2025'!F231</f>
        <v/>
      </c>
      <c r="H231" s="42">
        <f>'[2]2025'!G231</f>
        <v>0</v>
      </c>
      <c r="I231" s="13">
        <f>'[2]2025'!H231</f>
        <v>0</v>
      </c>
      <c r="J231" s="14">
        <f>'[2]2025'!I231</f>
        <v>0</v>
      </c>
      <c r="K231" s="15">
        <f>'[2]2025'!J231</f>
        <v>0</v>
      </c>
      <c r="L231" s="15">
        <f>'[2]2025'!K231</f>
        <v>0</v>
      </c>
      <c r="M231" s="15">
        <f>'[2]2025'!L231</f>
        <v>0</v>
      </c>
      <c r="N231" s="16" t="str">
        <f t="shared" si="15"/>
        <v/>
      </c>
      <c r="O231" s="17" t="str">
        <f t="shared" si="16"/>
        <v/>
      </c>
      <c r="P231" s="17" t="str">
        <f t="shared" si="17"/>
        <v/>
      </c>
      <c r="Q231" s="18" t="str">
        <f t="shared" si="18"/>
        <v/>
      </c>
      <c r="R231" s="18" t="e">
        <f t="shared" si="19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19">
        <v>46249</v>
      </c>
      <c r="C232" s="75" t="str">
        <f>IF(H232=0,"",'[2]2025-2026'!C231)</f>
        <v/>
      </c>
      <c r="D232" s="68" t="str">
        <f>'[2]2025'!C232</f>
        <v/>
      </c>
      <c r="E232" s="68" t="str">
        <f>'[2]2025'!D232</f>
        <v/>
      </c>
      <c r="F232" s="20" t="str">
        <f>'[2]2025'!E232</f>
        <v/>
      </c>
      <c r="G232" s="73" t="str">
        <f>'[2]2025'!F232</f>
        <v/>
      </c>
      <c r="H232" s="42">
        <f>'[2]2025'!G232</f>
        <v>0</v>
      </c>
      <c r="I232" s="13">
        <f>'[2]2025'!H232</f>
        <v>0</v>
      </c>
      <c r="J232" s="14">
        <f>'[2]2025'!I232</f>
        <v>0</v>
      </c>
      <c r="K232" s="15">
        <f>'[2]2025'!J232</f>
        <v>0</v>
      </c>
      <c r="L232" s="15">
        <f>'[2]2025'!K232</f>
        <v>0</v>
      </c>
      <c r="M232" s="15">
        <f>'[2]2025'!L232</f>
        <v>0</v>
      </c>
      <c r="N232" s="16" t="str">
        <f t="shared" si="15"/>
        <v/>
      </c>
      <c r="O232" s="17" t="str">
        <f t="shared" si="16"/>
        <v/>
      </c>
      <c r="P232" s="17" t="str">
        <f t="shared" si="17"/>
        <v/>
      </c>
      <c r="Q232" s="18" t="str">
        <f t="shared" si="18"/>
        <v/>
      </c>
      <c r="R232" s="18" t="e">
        <f t="shared" si="19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19">
        <v>46250</v>
      </c>
      <c r="C233" s="75" t="str">
        <f>IF(H233=0,"",'[2]2025-2026'!C232)</f>
        <v/>
      </c>
      <c r="D233" s="68" t="str">
        <f>'[2]2025'!C233</f>
        <v/>
      </c>
      <c r="E233" s="68" t="str">
        <f>'[2]2025'!D233</f>
        <v/>
      </c>
      <c r="F233" s="20" t="str">
        <f>'[2]2025'!E233</f>
        <v/>
      </c>
      <c r="G233" s="73" t="str">
        <f>'[2]2025'!F233</f>
        <v/>
      </c>
      <c r="H233" s="42">
        <f>'[2]2025'!G233</f>
        <v>0</v>
      </c>
      <c r="I233" s="13">
        <f>'[2]2025'!H233</f>
        <v>0</v>
      </c>
      <c r="J233" s="14">
        <f>'[2]2025'!I233</f>
        <v>0</v>
      </c>
      <c r="K233" s="15">
        <f>'[2]2025'!J233</f>
        <v>0</v>
      </c>
      <c r="L233" s="15">
        <f>'[2]2025'!K233</f>
        <v>0</v>
      </c>
      <c r="M233" s="15">
        <f>'[2]2025'!L233</f>
        <v>0</v>
      </c>
      <c r="N233" s="16" t="str">
        <f t="shared" si="15"/>
        <v/>
      </c>
      <c r="O233" s="17" t="str">
        <f t="shared" si="16"/>
        <v/>
      </c>
      <c r="P233" s="17" t="str">
        <f t="shared" si="17"/>
        <v/>
      </c>
      <c r="Q233" s="18" t="str">
        <f t="shared" si="18"/>
        <v/>
      </c>
      <c r="R233" s="18" t="e">
        <f t="shared" si="19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19">
        <v>46251</v>
      </c>
      <c r="C234" s="75" t="str">
        <f>IF(H234=0,"",'[2]2025-2026'!C233)</f>
        <v/>
      </c>
      <c r="D234" s="68" t="str">
        <f>'[2]2025'!C234</f>
        <v/>
      </c>
      <c r="E234" s="68" t="str">
        <f>'[2]2025'!D234</f>
        <v/>
      </c>
      <c r="F234" s="20" t="str">
        <f>'[2]2025'!E234</f>
        <v/>
      </c>
      <c r="G234" s="73" t="str">
        <f>'[2]2025'!F234</f>
        <v/>
      </c>
      <c r="H234" s="42">
        <f>'[2]2025'!G234</f>
        <v>0</v>
      </c>
      <c r="I234" s="13">
        <f>'[2]2025'!H234</f>
        <v>0</v>
      </c>
      <c r="J234" s="14">
        <f>'[2]2025'!I234</f>
        <v>0</v>
      </c>
      <c r="K234" s="15">
        <f>'[2]2025'!J234</f>
        <v>0</v>
      </c>
      <c r="L234" s="15">
        <f>'[2]2025'!K234</f>
        <v>0</v>
      </c>
      <c r="M234" s="15">
        <f>'[2]2025'!L234</f>
        <v>0</v>
      </c>
      <c r="N234" s="16" t="str">
        <f t="shared" si="15"/>
        <v/>
      </c>
      <c r="O234" s="17" t="str">
        <f t="shared" si="16"/>
        <v/>
      </c>
      <c r="P234" s="17" t="str">
        <f t="shared" si="17"/>
        <v/>
      </c>
      <c r="Q234" s="18" t="str">
        <f t="shared" si="18"/>
        <v/>
      </c>
      <c r="R234" s="18" t="e">
        <f t="shared" si="19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19">
        <v>46252</v>
      </c>
      <c r="C235" s="75" t="str">
        <f>IF(H235=0,"",'[2]2025-2026'!C234)</f>
        <v/>
      </c>
      <c r="D235" s="68" t="str">
        <f>'[2]2025'!C235</f>
        <v/>
      </c>
      <c r="E235" s="68" t="str">
        <f>'[2]2025'!D235</f>
        <v/>
      </c>
      <c r="F235" s="20" t="str">
        <f>'[2]2025'!E235</f>
        <v/>
      </c>
      <c r="G235" s="73" t="str">
        <f>'[2]2025'!F235</f>
        <v/>
      </c>
      <c r="H235" s="42">
        <f>'[2]2025'!G235</f>
        <v>0</v>
      </c>
      <c r="I235" s="13">
        <f>'[2]2025'!H235</f>
        <v>0</v>
      </c>
      <c r="J235" s="14">
        <f>'[2]2025'!I235</f>
        <v>0</v>
      </c>
      <c r="K235" s="15">
        <f>'[2]2025'!J235</f>
        <v>0</v>
      </c>
      <c r="L235" s="15">
        <f>'[2]2025'!K235</f>
        <v>0</v>
      </c>
      <c r="M235" s="15">
        <f>'[2]2025'!L235</f>
        <v>0</v>
      </c>
      <c r="N235" s="16" t="str">
        <f t="shared" si="15"/>
        <v/>
      </c>
      <c r="O235" s="17" t="str">
        <f t="shared" si="16"/>
        <v/>
      </c>
      <c r="P235" s="17" t="str">
        <f t="shared" si="17"/>
        <v/>
      </c>
      <c r="Q235" s="18" t="str">
        <f t="shared" si="18"/>
        <v/>
      </c>
      <c r="R235" s="18" t="e">
        <f t="shared" si="19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19">
        <v>46253</v>
      </c>
      <c r="C236" s="75" t="str">
        <f>IF(H236=0,"",'[2]2025-2026'!C235)</f>
        <v/>
      </c>
      <c r="D236" s="68" t="str">
        <f>'[2]2025'!C236</f>
        <v/>
      </c>
      <c r="E236" s="68" t="str">
        <f>'[2]2025'!D236</f>
        <v/>
      </c>
      <c r="F236" s="20" t="str">
        <f>'[2]2025'!E236</f>
        <v/>
      </c>
      <c r="G236" s="73" t="str">
        <f>'[2]2025'!F236</f>
        <v/>
      </c>
      <c r="H236" s="42">
        <f>'[2]2025'!G236</f>
        <v>0</v>
      </c>
      <c r="I236" s="13">
        <f>'[2]2025'!H236</f>
        <v>0</v>
      </c>
      <c r="J236" s="14">
        <f>'[2]2025'!I236</f>
        <v>0</v>
      </c>
      <c r="K236" s="15">
        <f>'[2]2025'!J236</f>
        <v>0</v>
      </c>
      <c r="L236" s="15">
        <f>'[2]2025'!K236</f>
        <v>0</v>
      </c>
      <c r="M236" s="15">
        <f>'[2]2025'!L236</f>
        <v>0</v>
      </c>
      <c r="N236" s="16" t="str">
        <f t="shared" si="15"/>
        <v/>
      </c>
      <c r="O236" s="17" t="str">
        <f t="shared" si="16"/>
        <v/>
      </c>
      <c r="P236" s="17" t="str">
        <f t="shared" si="17"/>
        <v/>
      </c>
      <c r="Q236" s="18" t="str">
        <f t="shared" si="18"/>
        <v/>
      </c>
      <c r="R236" s="18" t="e">
        <f t="shared" si="19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19">
        <v>46254</v>
      </c>
      <c r="C237" s="75" t="str">
        <f>IF(H237=0,"",'[2]2025-2026'!C236)</f>
        <v/>
      </c>
      <c r="D237" s="68" t="str">
        <f>'[2]2025'!C237</f>
        <v/>
      </c>
      <c r="E237" s="68" t="str">
        <f>'[2]2025'!D237</f>
        <v/>
      </c>
      <c r="F237" s="20" t="str">
        <f>'[2]2025'!E237</f>
        <v/>
      </c>
      <c r="G237" s="73" t="str">
        <f>'[2]2025'!F237</f>
        <v/>
      </c>
      <c r="H237" s="42">
        <f>'[2]2025'!G237</f>
        <v>0</v>
      </c>
      <c r="I237" s="13">
        <f>'[2]2025'!H237</f>
        <v>0</v>
      </c>
      <c r="J237" s="14">
        <f>'[2]2025'!I237</f>
        <v>0</v>
      </c>
      <c r="K237" s="15">
        <f>'[2]2025'!J237</f>
        <v>0</v>
      </c>
      <c r="L237" s="15">
        <f>'[2]2025'!K237</f>
        <v>0</v>
      </c>
      <c r="M237" s="15">
        <f>'[2]2025'!L237</f>
        <v>0</v>
      </c>
      <c r="N237" s="16" t="str">
        <f t="shared" si="15"/>
        <v/>
      </c>
      <c r="O237" s="17" t="str">
        <f t="shared" si="16"/>
        <v/>
      </c>
      <c r="P237" s="17" t="str">
        <f t="shared" si="17"/>
        <v/>
      </c>
      <c r="Q237" s="18" t="str">
        <f t="shared" si="18"/>
        <v/>
      </c>
      <c r="R237" s="18" t="e">
        <f t="shared" si="19"/>
        <v>#DIV/0!</v>
      </c>
      <c r="S237" s="34"/>
      <c r="T237" s="29" t="s">
        <v>8</v>
      </c>
      <c r="U237" s="1738"/>
    </row>
    <row r="238" spans="1:21">
      <c r="A238" s="10" t="s">
        <v>14</v>
      </c>
      <c r="B238" s="19">
        <v>46255</v>
      </c>
      <c r="C238" s="75" t="str">
        <f>IF(H238=0,"",'[2]2025-2026'!C237)</f>
        <v/>
      </c>
      <c r="D238" s="68" t="str">
        <f>'[2]2025'!C238</f>
        <v/>
      </c>
      <c r="E238" s="68" t="str">
        <f>'[2]2025'!D238</f>
        <v/>
      </c>
      <c r="F238" s="20" t="str">
        <f>'[2]2025'!E238</f>
        <v/>
      </c>
      <c r="G238" s="73" t="str">
        <f>'[2]2025'!F238</f>
        <v/>
      </c>
      <c r="H238" s="42">
        <f>'[2]2025'!G238</f>
        <v>0</v>
      </c>
      <c r="I238" s="13">
        <f>'[2]2025'!H238</f>
        <v>0</v>
      </c>
      <c r="J238" s="14">
        <f>'[2]2025'!I238</f>
        <v>0</v>
      </c>
      <c r="K238" s="15">
        <f>'[2]2025'!J238</f>
        <v>0</v>
      </c>
      <c r="L238" s="15">
        <f>'[2]2025'!K238</f>
        <v>0</v>
      </c>
      <c r="M238" s="15">
        <f>'[2]2025'!L238</f>
        <v>0</v>
      </c>
      <c r="N238" s="16" t="str">
        <f t="shared" si="15"/>
        <v/>
      </c>
      <c r="O238" s="17" t="str">
        <f t="shared" si="16"/>
        <v/>
      </c>
      <c r="P238" s="17" t="str">
        <f t="shared" si="17"/>
        <v/>
      </c>
      <c r="Q238" s="18" t="str">
        <f t="shared" si="18"/>
        <v/>
      </c>
      <c r="R238" s="18" t="e">
        <f t="shared" si="19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19">
        <v>46256</v>
      </c>
      <c r="C239" s="75" t="str">
        <f>IF(H239=0,"",'[2]2025-2026'!C238)</f>
        <v/>
      </c>
      <c r="D239" s="68" t="str">
        <f>'[2]2025'!C239</f>
        <v/>
      </c>
      <c r="E239" s="68" t="str">
        <f>'[2]2025'!D239</f>
        <v/>
      </c>
      <c r="F239" s="20" t="str">
        <f>'[2]2025'!E239</f>
        <v/>
      </c>
      <c r="G239" s="73" t="str">
        <f>'[2]2025'!F239</f>
        <v/>
      </c>
      <c r="H239" s="42">
        <f>'[2]2025'!G239</f>
        <v>0</v>
      </c>
      <c r="I239" s="13">
        <f>'[2]2025'!H239</f>
        <v>0</v>
      </c>
      <c r="J239" s="14">
        <f>'[2]2025'!I239</f>
        <v>0</v>
      </c>
      <c r="K239" s="15">
        <f>'[2]2025'!J239</f>
        <v>0</v>
      </c>
      <c r="L239" s="15">
        <f>'[2]2025'!K239</f>
        <v>0</v>
      </c>
      <c r="M239" s="15">
        <f>'[2]2025'!L239</f>
        <v>0</v>
      </c>
      <c r="N239" s="16" t="str">
        <f t="shared" si="15"/>
        <v/>
      </c>
      <c r="O239" s="17" t="str">
        <f t="shared" si="16"/>
        <v/>
      </c>
      <c r="P239" s="17" t="str">
        <f t="shared" si="17"/>
        <v/>
      </c>
      <c r="Q239" s="18" t="str">
        <f t="shared" si="18"/>
        <v/>
      </c>
      <c r="R239" s="18" t="e">
        <f t="shared" si="19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19">
        <v>46257</v>
      </c>
      <c r="C240" s="75" t="str">
        <f>IF(H240=0,"",'[2]2025-2026'!C239)</f>
        <v/>
      </c>
      <c r="D240" s="68" t="str">
        <f>'[2]2025'!C240</f>
        <v/>
      </c>
      <c r="E240" s="68" t="str">
        <f>'[2]2025'!D240</f>
        <v/>
      </c>
      <c r="F240" s="20" t="str">
        <f>'[2]2025'!E240</f>
        <v/>
      </c>
      <c r="G240" s="73" t="str">
        <f>'[2]2025'!F240</f>
        <v/>
      </c>
      <c r="H240" s="42">
        <f>'[2]2025'!G240</f>
        <v>0</v>
      </c>
      <c r="I240" s="13">
        <f>'[2]2025'!H240</f>
        <v>0</v>
      </c>
      <c r="J240" s="14">
        <f>'[2]2025'!I240</f>
        <v>0</v>
      </c>
      <c r="K240" s="15">
        <f>'[2]2025'!J240</f>
        <v>0</v>
      </c>
      <c r="L240" s="15">
        <f>'[2]2025'!K240</f>
        <v>0</v>
      </c>
      <c r="M240" s="15">
        <f>'[2]2025'!L240</f>
        <v>0</v>
      </c>
      <c r="N240" s="16" t="str">
        <f t="shared" si="15"/>
        <v/>
      </c>
      <c r="O240" s="17" t="str">
        <f t="shared" si="16"/>
        <v/>
      </c>
      <c r="P240" s="17" t="str">
        <f t="shared" si="17"/>
        <v/>
      </c>
      <c r="Q240" s="18" t="str">
        <f t="shared" si="18"/>
        <v/>
      </c>
      <c r="R240" s="18" t="e">
        <f t="shared" si="19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19">
        <v>46258</v>
      </c>
      <c r="C241" s="75" t="str">
        <f>IF(H241=0,"",'[2]2025-2026'!C240)</f>
        <v/>
      </c>
      <c r="D241" s="68" t="str">
        <f>'[2]2025'!C241</f>
        <v/>
      </c>
      <c r="E241" s="68" t="str">
        <f>'[2]2025'!D241</f>
        <v/>
      </c>
      <c r="F241" s="20" t="str">
        <f>'[2]2025'!E241</f>
        <v/>
      </c>
      <c r="G241" s="73" t="str">
        <f>'[2]2025'!F241</f>
        <v/>
      </c>
      <c r="H241" s="42">
        <f>'[2]2025'!G241</f>
        <v>0</v>
      </c>
      <c r="I241" s="13">
        <f>'[2]2025'!H241</f>
        <v>0</v>
      </c>
      <c r="J241" s="14">
        <f>'[2]2025'!I241</f>
        <v>0</v>
      </c>
      <c r="K241" s="15">
        <f>'[2]2025'!J241</f>
        <v>0</v>
      </c>
      <c r="L241" s="15">
        <f>'[2]2025'!K241</f>
        <v>0</v>
      </c>
      <c r="M241" s="15">
        <f>'[2]2025'!L241</f>
        <v>0</v>
      </c>
      <c r="N241" s="16" t="str">
        <f t="shared" si="15"/>
        <v/>
      </c>
      <c r="O241" s="17" t="str">
        <f t="shared" si="16"/>
        <v/>
      </c>
      <c r="P241" s="17" t="str">
        <f t="shared" si="17"/>
        <v/>
      </c>
      <c r="Q241" s="18" t="str">
        <f t="shared" si="18"/>
        <v/>
      </c>
      <c r="R241" s="18" t="e">
        <f t="shared" si="19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19">
        <v>46259</v>
      </c>
      <c r="C242" s="75" t="str">
        <f>IF(H242=0,"",'[2]2025-2026'!C241)</f>
        <v/>
      </c>
      <c r="D242" s="68" t="str">
        <f>'[2]2025'!C242</f>
        <v/>
      </c>
      <c r="E242" s="68" t="str">
        <f>'[2]2025'!D242</f>
        <v/>
      </c>
      <c r="F242" s="20" t="str">
        <f>'[2]2025'!E242</f>
        <v/>
      </c>
      <c r="G242" s="73" t="str">
        <f>'[2]2025'!F242</f>
        <v/>
      </c>
      <c r="H242" s="42">
        <f>'[2]2025'!G242</f>
        <v>0</v>
      </c>
      <c r="I242" s="13">
        <f>'[2]2025'!H242</f>
        <v>0</v>
      </c>
      <c r="J242" s="14">
        <f>'[2]2025'!I242</f>
        <v>0</v>
      </c>
      <c r="K242" s="15">
        <f>'[2]2025'!J242</f>
        <v>0</v>
      </c>
      <c r="L242" s="15">
        <f>'[2]2025'!K242</f>
        <v>0</v>
      </c>
      <c r="M242" s="15">
        <f>'[2]2025'!L242</f>
        <v>0</v>
      </c>
      <c r="N242" s="16" t="str">
        <f t="shared" si="15"/>
        <v/>
      </c>
      <c r="O242" s="17" t="str">
        <f t="shared" si="16"/>
        <v/>
      </c>
      <c r="P242" s="17" t="str">
        <f t="shared" si="17"/>
        <v/>
      </c>
      <c r="Q242" s="18" t="str">
        <f t="shared" si="18"/>
        <v/>
      </c>
      <c r="R242" s="18" t="e">
        <f t="shared" si="19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19">
        <v>46260</v>
      </c>
      <c r="C243" s="75" t="str">
        <f>IF(H243=0,"",'[2]2025-2026'!C242)</f>
        <v/>
      </c>
      <c r="D243" s="68" t="str">
        <f>'[2]2025'!C243</f>
        <v/>
      </c>
      <c r="E243" s="68" t="str">
        <f>'[2]2025'!D243</f>
        <v/>
      </c>
      <c r="F243" s="20" t="str">
        <f>'[2]2025'!E243</f>
        <v/>
      </c>
      <c r="G243" s="73" t="str">
        <f>'[2]2025'!F243</f>
        <v/>
      </c>
      <c r="H243" s="42">
        <f>'[2]2025'!G243</f>
        <v>0</v>
      </c>
      <c r="I243" s="13">
        <f>'[2]2025'!H243</f>
        <v>0</v>
      </c>
      <c r="J243" s="14">
        <f>'[2]2025'!I243</f>
        <v>0</v>
      </c>
      <c r="K243" s="15">
        <f>'[2]2025'!J243</f>
        <v>0</v>
      </c>
      <c r="L243" s="15">
        <f>'[2]2025'!K243</f>
        <v>0</v>
      </c>
      <c r="M243" s="15">
        <f>'[2]2025'!L243</f>
        <v>0</v>
      </c>
      <c r="N243" s="16" t="str">
        <f t="shared" si="15"/>
        <v/>
      </c>
      <c r="O243" s="17" t="str">
        <f t="shared" si="16"/>
        <v/>
      </c>
      <c r="P243" s="17" t="str">
        <f t="shared" si="17"/>
        <v/>
      </c>
      <c r="Q243" s="18" t="str">
        <f t="shared" si="18"/>
        <v/>
      </c>
      <c r="R243" s="18" t="e">
        <f t="shared" si="19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19">
        <v>46261</v>
      </c>
      <c r="C244" s="75" t="str">
        <f>IF(H244=0,"",'[2]2025-2026'!C243)</f>
        <v/>
      </c>
      <c r="D244" s="68" t="str">
        <f>'[2]2025'!C244</f>
        <v/>
      </c>
      <c r="E244" s="68" t="str">
        <f>'[2]2025'!D244</f>
        <v/>
      </c>
      <c r="F244" s="20" t="str">
        <f>'[2]2025'!E244</f>
        <v/>
      </c>
      <c r="G244" s="73" t="str">
        <f>'[2]2025'!F244</f>
        <v/>
      </c>
      <c r="H244" s="42">
        <f>'[2]2025'!G244</f>
        <v>0</v>
      </c>
      <c r="I244" s="13">
        <f>'[2]2025'!H244</f>
        <v>0</v>
      </c>
      <c r="J244" s="14">
        <f>'[2]2025'!I244</f>
        <v>0</v>
      </c>
      <c r="K244" s="15">
        <f>'[2]2025'!J244</f>
        <v>0</v>
      </c>
      <c r="L244" s="15">
        <f>'[2]2025'!K244</f>
        <v>0</v>
      </c>
      <c r="M244" s="15">
        <f>'[2]2025'!L244</f>
        <v>0</v>
      </c>
      <c r="N244" s="16" t="str">
        <f t="shared" si="15"/>
        <v/>
      </c>
      <c r="O244" s="17" t="str">
        <f t="shared" si="16"/>
        <v/>
      </c>
      <c r="P244" s="17" t="str">
        <f t="shared" si="17"/>
        <v/>
      </c>
      <c r="Q244" s="18" t="str">
        <f t="shared" si="18"/>
        <v/>
      </c>
      <c r="R244" s="18" t="e">
        <f t="shared" si="19"/>
        <v>#DIV/0!</v>
      </c>
      <c r="S244" s="34"/>
      <c r="T244" s="29" t="s">
        <v>8</v>
      </c>
      <c r="U244" s="1738"/>
    </row>
    <row r="245" spans="1:21">
      <c r="A245" s="10" t="s">
        <v>14</v>
      </c>
      <c r="B245" s="19">
        <v>46262</v>
      </c>
      <c r="C245" s="75" t="str">
        <f>IF(H245=0,"",'[2]2025-2026'!C244)</f>
        <v/>
      </c>
      <c r="D245" s="68" t="str">
        <f>'[2]2025'!C245</f>
        <v/>
      </c>
      <c r="E245" s="68" t="str">
        <f>'[2]2025'!D245</f>
        <v/>
      </c>
      <c r="F245" s="20" t="str">
        <f>'[2]2025'!E245</f>
        <v/>
      </c>
      <c r="G245" s="73" t="str">
        <f>'[2]2025'!F245</f>
        <v/>
      </c>
      <c r="H245" s="42">
        <f>'[2]2025'!G245</f>
        <v>0</v>
      </c>
      <c r="I245" s="13">
        <f>'[2]2025'!H245</f>
        <v>0</v>
      </c>
      <c r="J245" s="14">
        <f>'[2]2025'!I245</f>
        <v>0</v>
      </c>
      <c r="K245" s="15">
        <f>'[2]2025'!J245</f>
        <v>0</v>
      </c>
      <c r="L245" s="15">
        <f>'[2]2025'!K245</f>
        <v>0</v>
      </c>
      <c r="M245" s="15">
        <f>'[2]2025'!L245</f>
        <v>0</v>
      </c>
      <c r="N245" s="16" t="str">
        <f t="shared" si="15"/>
        <v/>
      </c>
      <c r="O245" s="17" t="str">
        <f t="shared" si="16"/>
        <v/>
      </c>
      <c r="P245" s="17" t="str">
        <f t="shared" si="17"/>
        <v/>
      </c>
      <c r="Q245" s="18" t="str">
        <f t="shared" si="18"/>
        <v/>
      </c>
      <c r="R245" s="18" t="e">
        <f t="shared" si="19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19">
        <v>46263</v>
      </c>
      <c r="C246" s="75" t="str">
        <f>IF(H246=0,"",'[2]2025-2026'!C245)</f>
        <v/>
      </c>
      <c r="D246" s="68" t="str">
        <f>'[2]2025'!C246</f>
        <v/>
      </c>
      <c r="E246" s="68" t="str">
        <f>'[2]2025'!D246</f>
        <v/>
      </c>
      <c r="F246" s="20" t="str">
        <f>'[2]2025'!E246</f>
        <v/>
      </c>
      <c r="G246" s="73" t="str">
        <f>'[2]2025'!F246</f>
        <v/>
      </c>
      <c r="H246" s="42">
        <f>'[2]2025'!G246</f>
        <v>0</v>
      </c>
      <c r="I246" s="13">
        <f>'[2]2025'!H246</f>
        <v>0</v>
      </c>
      <c r="J246" s="14">
        <f>'[2]2025'!I246</f>
        <v>0</v>
      </c>
      <c r="K246" s="15">
        <f>'[2]2025'!J246</f>
        <v>0</v>
      </c>
      <c r="L246" s="15">
        <f>'[2]2025'!K246</f>
        <v>0</v>
      </c>
      <c r="M246" s="15">
        <f>'[2]2025'!L246</f>
        <v>0</v>
      </c>
      <c r="N246" s="16" t="str">
        <f t="shared" si="15"/>
        <v/>
      </c>
      <c r="O246" s="17" t="str">
        <f t="shared" si="16"/>
        <v/>
      </c>
      <c r="P246" s="17" t="str">
        <f t="shared" si="17"/>
        <v/>
      </c>
      <c r="Q246" s="18" t="str">
        <f t="shared" si="18"/>
        <v/>
      </c>
      <c r="R246" s="18" t="e">
        <f t="shared" si="19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19">
        <v>46264</v>
      </c>
      <c r="C247" s="75" t="str">
        <f>IF(H247=0,"",'[2]2025-2026'!C246)</f>
        <v/>
      </c>
      <c r="D247" s="68" t="str">
        <f>'[2]2025'!C247</f>
        <v/>
      </c>
      <c r="E247" s="68" t="str">
        <f>'[2]2025'!D247</f>
        <v/>
      </c>
      <c r="F247" s="20" t="str">
        <f>'[2]2025'!E247</f>
        <v/>
      </c>
      <c r="G247" s="73" t="str">
        <f>'[2]2025'!F247</f>
        <v/>
      </c>
      <c r="H247" s="42">
        <f>'[2]2025'!G247</f>
        <v>0</v>
      </c>
      <c r="I247" s="13">
        <f>'[2]2025'!H247</f>
        <v>0</v>
      </c>
      <c r="J247" s="14">
        <f>'[2]2025'!I247</f>
        <v>0</v>
      </c>
      <c r="K247" s="15">
        <f>'[2]2025'!J247</f>
        <v>0</v>
      </c>
      <c r="L247" s="15">
        <f>'[2]2025'!K247</f>
        <v>0</v>
      </c>
      <c r="M247" s="15">
        <f>'[2]2025'!L247</f>
        <v>0</v>
      </c>
      <c r="N247" s="16" t="str">
        <f t="shared" si="15"/>
        <v/>
      </c>
      <c r="O247" s="17" t="str">
        <f t="shared" si="16"/>
        <v/>
      </c>
      <c r="P247" s="17" t="str">
        <f t="shared" si="17"/>
        <v/>
      </c>
      <c r="Q247" s="18" t="str">
        <f t="shared" si="18"/>
        <v/>
      </c>
      <c r="R247" s="18" t="e">
        <f t="shared" si="19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19">
        <v>46265</v>
      </c>
      <c r="C248" s="75" t="str">
        <f>IF(H248=0,"",'[2]2025-2026'!C247)</f>
        <v/>
      </c>
      <c r="D248" s="68" t="str">
        <f>'[2]2025'!C248</f>
        <v/>
      </c>
      <c r="E248" s="68" t="str">
        <f>'[2]2025'!D248</f>
        <v/>
      </c>
      <c r="F248" s="20" t="str">
        <f>'[2]2025'!E248</f>
        <v/>
      </c>
      <c r="G248" s="73" t="str">
        <f>'[2]2025'!F248</f>
        <v/>
      </c>
      <c r="H248" s="42">
        <f>'[2]2025'!G248</f>
        <v>0</v>
      </c>
      <c r="I248" s="13">
        <f>'[2]2025'!H248</f>
        <v>0</v>
      </c>
      <c r="J248" s="14">
        <f>'[2]2025'!I248</f>
        <v>0</v>
      </c>
      <c r="K248" s="15">
        <f>'[2]2025'!J248</f>
        <v>0</v>
      </c>
      <c r="L248" s="15">
        <f>'[2]2025'!K248</f>
        <v>0</v>
      </c>
      <c r="M248" s="15">
        <f>'[2]2025'!L248</f>
        <v>0</v>
      </c>
      <c r="N248" s="16" t="str">
        <f t="shared" si="15"/>
        <v/>
      </c>
      <c r="O248" s="17" t="str">
        <f t="shared" si="16"/>
        <v/>
      </c>
      <c r="P248" s="17" t="str">
        <f t="shared" si="17"/>
        <v/>
      </c>
      <c r="Q248" s="18" t="str">
        <f t="shared" si="18"/>
        <v/>
      </c>
      <c r="R248" s="18" t="e">
        <f t="shared" si="19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19">
        <v>46266</v>
      </c>
      <c r="C249" s="75" t="str">
        <f>IF(H249=0,"",'[2]2025-2026'!C248)</f>
        <v/>
      </c>
      <c r="D249" s="68" t="str">
        <f>'[2]2025'!C249</f>
        <v/>
      </c>
      <c r="E249" s="68" t="str">
        <f>'[2]2025'!D249</f>
        <v/>
      </c>
      <c r="F249" s="20" t="str">
        <f>'[2]2025'!E249</f>
        <v/>
      </c>
      <c r="G249" s="73" t="str">
        <f>'[2]2025'!F249</f>
        <v/>
      </c>
      <c r="H249" s="42">
        <f>'[2]2025'!G249</f>
        <v>0</v>
      </c>
      <c r="I249" s="13">
        <f>'[2]2025'!H249</f>
        <v>0</v>
      </c>
      <c r="J249" s="14">
        <f>'[2]2025'!I249</f>
        <v>0</v>
      </c>
      <c r="K249" s="15">
        <f>'[2]2025'!J249</f>
        <v>0</v>
      </c>
      <c r="L249" s="15">
        <f>'[2]2025'!K249</f>
        <v>0</v>
      </c>
      <c r="M249" s="15">
        <f>'[2]2025'!L249</f>
        <v>0</v>
      </c>
      <c r="N249" s="16" t="str">
        <f t="shared" si="15"/>
        <v/>
      </c>
      <c r="O249" s="17" t="str">
        <f t="shared" si="16"/>
        <v/>
      </c>
      <c r="P249" s="17" t="str">
        <f t="shared" si="17"/>
        <v/>
      </c>
      <c r="Q249" s="18" t="str">
        <f t="shared" si="18"/>
        <v/>
      </c>
      <c r="R249" s="18" t="e">
        <f t="shared" si="19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19">
        <v>46267</v>
      </c>
      <c r="C250" s="75" t="str">
        <f>IF(H250=0,"",'[2]2025-2026'!C249)</f>
        <v/>
      </c>
      <c r="D250" s="68" t="str">
        <f>'[2]2025'!C250</f>
        <v/>
      </c>
      <c r="E250" s="68" t="str">
        <f>'[2]2025'!D250</f>
        <v/>
      </c>
      <c r="F250" s="20" t="str">
        <f>'[2]2025'!E250</f>
        <v/>
      </c>
      <c r="G250" s="73" t="str">
        <f>'[2]2025'!F250</f>
        <v/>
      </c>
      <c r="H250" s="42">
        <f>'[2]2025'!G250</f>
        <v>0</v>
      </c>
      <c r="I250" s="13">
        <f>'[2]2025'!H250</f>
        <v>0</v>
      </c>
      <c r="J250" s="14">
        <f>'[2]2025'!I250</f>
        <v>0</v>
      </c>
      <c r="K250" s="15">
        <f>'[2]2025'!J250</f>
        <v>0</v>
      </c>
      <c r="L250" s="15">
        <f>'[2]2025'!K250</f>
        <v>0</v>
      </c>
      <c r="M250" s="15">
        <f>'[2]2025'!L250</f>
        <v>0</v>
      </c>
      <c r="N250" s="16" t="str">
        <f t="shared" si="15"/>
        <v/>
      </c>
      <c r="O250" s="17" t="str">
        <f t="shared" si="16"/>
        <v/>
      </c>
      <c r="P250" s="17" t="str">
        <f t="shared" si="17"/>
        <v/>
      </c>
      <c r="Q250" s="18" t="str">
        <f t="shared" si="18"/>
        <v/>
      </c>
      <c r="R250" s="18" t="e">
        <f t="shared" si="19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19">
        <v>46268</v>
      </c>
      <c r="C251" s="75" t="str">
        <f>IF(H251=0,"",'[2]2025-2026'!C250)</f>
        <v/>
      </c>
      <c r="D251" s="68" t="str">
        <f>'[2]2025'!C251</f>
        <v/>
      </c>
      <c r="E251" s="68" t="str">
        <f>'[2]2025'!D251</f>
        <v/>
      </c>
      <c r="F251" s="20" t="str">
        <f>'[2]2025'!E251</f>
        <v/>
      </c>
      <c r="G251" s="73" t="str">
        <f>'[2]2025'!F251</f>
        <v/>
      </c>
      <c r="H251" s="42">
        <f>'[2]2025'!G251</f>
        <v>0</v>
      </c>
      <c r="I251" s="13">
        <f>'[2]2025'!H251</f>
        <v>0</v>
      </c>
      <c r="J251" s="14">
        <f>'[2]2025'!I251</f>
        <v>0</v>
      </c>
      <c r="K251" s="15">
        <f>'[2]2025'!J251</f>
        <v>0</v>
      </c>
      <c r="L251" s="15">
        <f>'[2]2025'!K251</f>
        <v>0</v>
      </c>
      <c r="M251" s="15">
        <f>'[2]2025'!L251</f>
        <v>0</v>
      </c>
      <c r="N251" s="16" t="str">
        <f t="shared" si="15"/>
        <v/>
      </c>
      <c r="O251" s="17" t="str">
        <f t="shared" si="16"/>
        <v/>
      </c>
      <c r="P251" s="17" t="str">
        <f t="shared" si="17"/>
        <v/>
      </c>
      <c r="Q251" s="18" t="str">
        <f t="shared" si="18"/>
        <v/>
      </c>
      <c r="R251" s="18" t="e">
        <f t="shared" si="19"/>
        <v>#DIV/0!</v>
      </c>
      <c r="S251" s="34"/>
      <c r="T251" s="29" t="s">
        <v>8</v>
      </c>
      <c r="U251" s="1738"/>
    </row>
    <row r="252" spans="1:21">
      <c r="A252" s="10" t="s">
        <v>14</v>
      </c>
      <c r="B252" s="19">
        <v>46269</v>
      </c>
      <c r="C252" s="75" t="str">
        <f>IF(H252=0,"",'[2]2025-2026'!C251)</f>
        <v/>
      </c>
      <c r="D252" s="68" t="str">
        <f>'[2]2025'!C252</f>
        <v/>
      </c>
      <c r="E252" s="68" t="str">
        <f>'[2]2025'!D252</f>
        <v/>
      </c>
      <c r="F252" s="20" t="str">
        <f>'[2]2025'!E252</f>
        <v/>
      </c>
      <c r="G252" s="73" t="str">
        <f>'[2]2025'!F252</f>
        <v/>
      </c>
      <c r="H252" s="42">
        <f>'[2]2025'!G252</f>
        <v>0</v>
      </c>
      <c r="I252" s="13">
        <f>'[2]2025'!H252</f>
        <v>0</v>
      </c>
      <c r="J252" s="14">
        <f>'[2]2025'!I252</f>
        <v>0</v>
      </c>
      <c r="K252" s="15">
        <f>'[2]2025'!J252</f>
        <v>0</v>
      </c>
      <c r="L252" s="15">
        <f>'[2]2025'!K252</f>
        <v>0</v>
      </c>
      <c r="M252" s="15">
        <f>'[2]2025'!L252</f>
        <v>0</v>
      </c>
      <c r="N252" s="16" t="str">
        <f t="shared" si="15"/>
        <v/>
      </c>
      <c r="O252" s="17" t="str">
        <f t="shared" si="16"/>
        <v/>
      </c>
      <c r="P252" s="17" t="str">
        <f t="shared" si="17"/>
        <v/>
      </c>
      <c r="Q252" s="18" t="str">
        <f t="shared" si="18"/>
        <v/>
      </c>
      <c r="R252" s="18" t="e">
        <f t="shared" si="19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19">
        <v>46270</v>
      </c>
      <c r="C253" s="75" t="str">
        <f>IF(H253=0,"",'[2]2025-2026'!C252)</f>
        <v/>
      </c>
      <c r="D253" s="68" t="str">
        <f>'[2]2025'!C253</f>
        <v/>
      </c>
      <c r="E253" s="68" t="str">
        <f>'[2]2025'!D253</f>
        <v/>
      </c>
      <c r="F253" s="20" t="str">
        <f>'[2]2025'!E253</f>
        <v/>
      </c>
      <c r="G253" s="73" t="str">
        <f>'[2]2025'!F253</f>
        <v/>
      </c>
      <c r="H253" s="42">
        <f>'[2]2025'!G253</f>
        <v>0</v>
      </c>
      <c r="I253" s="13">
        <f>'[2]2025'!H253</f>
        <v>0</v>
      </c>
      <c r="J253" s="14">
        <f>'[2]2025'!I253</f>
        <v>0</v>
      </c>
      <c r="K253" s="15">
        <f>'[2]2025'!J253</f>
        <v>0</v>
      </c>
      <c r="L253" s="15">
        <f>'[2]2025'!K253</f>
        <v>0</v>
      </c>
      <c r="M253" s="15">
        <f>'[2]2025'!L253</f>
        <v>0</v>
      </c>
      <c r="N253" s="16" t="str">
        <f t="shared" si="15"/>
        <v/>
      </c>
      <c r="O253" s="17" t="str">
        <f t="shared" si="16"/>
        <v/>
      </c>
      <c r="P253" s="17" t="str">
        <f t="shared" si="17"/>
        <v/>
      </c>
      <c r="Q253" s="18" t="str">
        <f t="shared" si="18"/>
        <v/>
      </c>
      <c r="R253" s="18" t="e">
        <f t="shared" si="19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19">
        <v>46271</v>
      </c>
      <c r="C254" s="75" t="str">
        <f>IF(H254=0,"",'[2]2025-2026'!C253)</f>
        <v/>
      </c>
      <c r="D254" s="68" t="str">
        <f>'[2]2025'!C254</f>
        <v/>
      </c>
      <c r="E254" s="68" t="str">
        <f>'[2]2025'!D254</f>
        <v/>
      </c>
      <c r="F254" s="20" t="str">
        <f>'[2]2025'!E254</f>
        <v/>
      </c>
      <c r="G254" s="73" t="str">
        <f>'[2]2025'!F254</f>
        <v/>
      </c>
      <c r="H254" s="42">
        <f>'[2]2025'!G254</f>
        <v>0</v>
      </c>
      <c r="I254" s="13">
        <f>'[2]2025'!H254</f>
        <v>0</v>
      </c>
      <c r="J254" s="14">
        <f>'[2]2025'!I254</f>
        <v>0</v>
      </c>
      <c r="K254" s="15">
        <f>'[2]2025'!J254</f>
        <v>0</v>
      </c>
      <c r="L254" s="15">
        <f>'[2]2025'!K254</f>
        <v>0</v>
      </c>
      <c r="M254" s="15">
        <f>'[2]2025'!L254</f>
        <v>0</v>
      </c>
      <c r="N254" s="16" t="str">
        <f t="shared" si="15"/>
        <v/>
      </c>
      <c r="O254" s="17" t="str">
        <f t="shared" si="16"/>
        <v/>
      </c>
      <c r="P254" s="17" t="str">
        <f t="shared" si="17"/>
        <v/>
      </c>
      <c r="Q254" s="18" t="str">
        <f t="shared" si="18"/>
        <v/>
      </c>
      <c r="R254" s="18" t="e">
        <f t="shared" si="19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19">
        <v>46272</v>
      </c>
      <c r="C255" s="75" t="str">
        <f>IF(H255=0,"",'[2]2025-2026'!C254)</f>
        <v/>
      </c>
      <c r="D255" s="68" t="str">
        <f>'[2]2025'!C255</f>
        <v/>
      </c>
      <c r="E255" s="68" t="str">
        <f>'[2]2025'!D255</f>
        <v/>
      </c>
      <c r="F255" s="20" t="str">
        <f>'[2]2025'!E255</f>
        <v/>
      </c>
      <c r="G255" s="73" t="str">
        <f>'[2]2025'!F255</f>
        <v/>
      </c>
      <c r="H255" s="42">
        <f>'[2]2025'!G255</f>
        <v>0</v>
      </c>
      <c r="I255" s="13">
        <f>'[2]2025'!H255</f>
        <v>0</v>
      </c>
      <c r="J255" s="14">
        <f>'[2]2025'!I255</f>
        <v>0</v>
      </c>
      <c r="K255" s="15">
        <f>'[2]2025'!J255</f>
        <v>0</v>
      </c>
      <c r="L255" s="15">
        <f>'[2]2025'!K255</f>
        <v>0</v>
      </c>
      <c r="M255" s="15">
        <f>'[2]2025'!L255</f>
        <v>0</v>
      </c>
      <c r="N255" s="16" t="str">
        <f t="shared" si="15"/>
        <v/>
      </c>
      <c r="O255" s="17" t="str">
        <f t="shared" si="16"/>
        <v/>
      </c>
      <c r="P255" s="17" t="str">
        <f t="shared" si="17"/>
        <v/>
      </c>
      <c r="Q255" s="18" t="str">
        <f t="shared" si="18"/>
        <v/>
      </c>
      <c r="R255" s="18" t="e">
        <f t="shared" si="19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19">
        <v>46273</v>
      </c>
      <c r="C256" s="75" t="str">
        <f>IF(H256=0,"",'[2]2025-2026'!C255)</f>
        <v/>
      </c>
      <c r="D256" s="68" t="str">
        <f>'[2]2025'!C256</f>
        <v/>
      </c>
      <c r="E256" s="68" t="str">
        <f>'[2]2025'!D256</f>
        <v/>
      </c>
      <c r="F256" s="20" t="str">
        <f>'[2]2025'!E256</f>
        <v/>
      </c>
      <c r="G256" s="73" t="str">
        <f>'[2]2025'!F256</f>
        <v/>
      </c>
      <c r="H256" s="42">
        <f>'[2]2025'!G256</f>
        <v>0</v>
      </c>
      <c r="I256" s="13">
        <f>'[2]2025'!H256</f>
        <v>0</v>
      </c>
      <c r="J256" s="14">
        <f>'[2]2025'!I256</f>
        <v>0</v>
      </c>
      <c r="K256" s="15">
        <f>'[2]2025'!J256</f>
        <v>0</v>
      </c>
      <c r="L256" s="15">
        <f>'[2]2025'!K256</f>
        <v>0</v>
      </c>
      <c r="M256" s="15">
        <f>'[2]2025'!L256</f>
        <v>0</v>
      </c>
      <c r="N256" s="16" t="str">
        <f t="shared" si="15"/>
        <v/>
      </c>
      <c r="O256" s="17" t="str">
        <f t="shared" si="16"/>
        <v/>
      </c>
      <c r="P256" s="17" t="str">
        <f t="shared" si="17"/>
        <v/>
      </c>
      <c r="Q256" s="18" t="str">
        <f t="shared" si="18"/>
        <v/>
      </c>
      <c r="R256" s="18" t="e">
        <f t="shared" si="19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19">
        <v>46274</v>
      </c>
      <c r="C257" s="75" t="str">
        <f>IF(H257=0,"",'[2]2025-2026'!C256)</f>
        <v/>
      </c>
      <c r="D257" s="68" t="str">
        <f>'[2]2025'!C257</f>
        <v/>
      </c>
      <c r="E257" s="68" t="str">
        <f>'[2]2025'!D257</f>
        <v/>
      </c>
      <c r="F257" s="20" t="str">
        <f>'[2]2025'!E257</f>
        <v/>
      </c>
      <c r="G257" s="73" t="str">
        <f>'[2]2025'!F257</f>
        <v/>
      </c>
      <c r="H257" s="42">
        <f>'[2]2025'!G257</f>
        <v>0</v>
      </c>
      <c r="I257" s="13">
        <f>'[2]2025'!H257</f>
        <v>0</v>
      </c>
      <c r="J257" s="14">
        <f>'[2]2025'!I257</f>
        <v>0</v>
      </c>
      <c r="K257" s="15">
        <f>'[2]2025'!J257</f>
        <v>0</v>
      </c>
      <c r="L257" s="15">
        <f>'[2]2025'!K257</f>
        <v>0</v>
      </c>
      <c r="M257" s="15">
        <f>'[2]2025'!L257</f>
        <v>0</v>
      </c>
      <c r="N257" s="16" t="str">
        <f t="shared" si="15"/>
        <v/>
      </c>
      <c r="O257" s="17" t="str">
        <f t="shared" si="16"/>
        <v/>
      </c>
      <c r="P257" s="17" t="str">
        <f t="shared" si="17"/>
        <v/>
      </c>
      <c r="Q257" s="18" t="str">
        <f t="shared" si="18"/>
        <v/>
      </c>
      <c r="R257" s="18" t="e">
        <f t="shared" si="19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19">
        <v>46275</v>
      </c>
      <c r="C258" s="75" t="str">
        <f>IF(H258=0,"",'[2]2025-2026'!C257)</f>
        <v/>
      </c>
      <c r="D258" s="68" t="str">
        <f>'[2]2025'!C258</f>
        <v/>
      </c>
      <c r="E258" s="68" t="str">
        <f>'[2]2025'!D258</f>
        <v/>
      </c>
      <c r="F258" s="20" t="str">
        <f>'[2]2025'!E258</f>
        <v/>
      </c>
      <c r="G258" s="73" t="str">
        <f>'[2]2025'!F258</f>
        <v/>
      </c>
      <c r="H258" s="42">
        <f>'[2]2025'!G258</f>
        <v>0</v>
      </c>
      <c r="I258" s="13">
        <f>'[2]2025'!H258</f>
        <v>0</v>
      </c>
      <c r="J258" s="14">
        <f>'[2]2025'!I258</f>
        <v>0</v>
      </c>
      <c r="K258" s="15">
        <f>'[2]2025'!J258</f>
        <v>0</v>
      </c>
      <c r="L258" s="15">
        <f>'[2]2025'!K258</f>
        <v>0</v>
      </c>
      <c r="M258" s="15">
        <f>'[2]2025'!L258</f>
        <v>0</v>
      </c>
      <c r="N258" s="16" t="str">
        <f t="shared" si="15"/>
        <v/>
      </c>
      <c r="O258" s="17" t="str">
        <f t="shared" si="16"/>
        <v/>
      </c>
      <c r="P258" s="17" t="str">
        <f t="shared" si="17"/>
        <v/>
      </c>
      <c r="Q258" s="18" t="str">
        <f t="shared" si="18"/>
        <v/>
      </c>
      <c r="R258" s="18" t="e">
        <f t="shared" si="19"/>
        <v>#DIV/0!</v>
      </c>
      <c r="S258" s="34"/>
      <c r="T258" s="29" t="s">
        <v>8</v>
      </c>
      <c r="U258" s="1738"/>
    </row>
    <row r="259" spans="1:21">
      <c r="A259" s="10" t="s">
        <v>14</v>
      </c>
      <c r="B259" s="19">
        <v>46276</v>
      </c>
      <c r="C259" s="75" t="str">
        <f>IF(H259=0,"",'[2]2025-2026'!C258)</f>
        <v/>
      </c>
      <c r="D259" s="68" t="str">
        <f>'[2]2025'!C259</f>
        <v/>
      </c>
      <c r="E259" s="68" t="str">
        <f>'[2]2025'!D259</f>
        <v/>
      </c>
      <c r="F259" s="20" t="str">
        <f>'[2]2025'!E259</f>
        <v/>
      </c>
      <c r="G259" s="73" t="str">
        <f>'[2]2025'!F259</f>
        <v/>
      </c>
      <c r="H259" s="42">
        <f>'[2]2025'!G259</f>
        <v>0</v>
      </c>
      <c r="I259" s="13">
        <f>'[2]2025'!H259</f>
        <v>0</v>
      </c>
      <c r="J259" s="14">
        <f>'[2]2025'!I259</f>
        <v>0</v>
      </c>
      <c r="K259" s="15">
        <f>'[2]2025'!J259</f>
        <v>0</v>
      </c>
      <c r="L259" s="15">
        <f>'[2]2025'!K259</f>
        <v>0</v>
      </c>
      <c r="M259" s="15">
        <f>'[2]2025'!L259</f>
        <v>0</v>
      </c>
      <c r="N259" s="16" t="str">
        <f t="shared" si="15"/>
        <v/>
      </c>
      <c r="O259" s="17" t="str">
        <f t="shared" si="16"/>
        <v/>
      </c>
      <c r="P259" s="17" t="str">
        <f t="shared" si="17"/>
        <v/>
      </c>
      <c r="Q259" s="18" t="str">
        <f t="shared" si="18"/>
        <v/>
      </c>
      <c r="R259" s="18" t="e">
        <f t="shared" si="19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19">
        <v>46277</v>
      </c>
      <c r="C260" s="75" t="str">
        <f>IF(H260=0,"",'[2]2025-2026'!C259)</f>
        <v/>
      </c>
      <c r="D260" s="68" t="str">
        <f>'[2]2025'!C260</f>
        <v/>
      </c>
      <c r="E260" s="68" t="str">
        <f>'[2]2025'!D260</f>
        <v/>
      </c>
      <c r="F260" s="20" t="str">
        <f>'[2]2025'!E260</f>
        <v/>
      </c>
      <c r="G260" s="73" t="str">
        <f>'[2]2025'!F260</f>
        <v/>
      </c>
      <c r="H260" s="42">
        <f>'[2]2025'!G260</f>
        <v>0</v>
      </c>
      <c r="I260" s="13">
        <f>'[2]2025'!H260</f>
        <v>0</v>
      </c>
      <c r="J260" s="14">
        <f>'[2]2025'!I260</f>
        <v>0</v>
      </c>
      <c r="K260" s="15">
        <f>'[2]2025'!J260</f>
        <v>0</v>
      </c>
      <c r="L260" s="15">
        <f>'[2]2025'!K260</f>
        <v>0</v>
      </c>
      <c r="M260" s="15">
        <f>'[2]2025'!L260</f>
        <v>0</v>
      </c>
      <c r="N260" s="16" t="str">
        <f t="shared" ref="N260:N323" si="20">IF(M260=0,"",M260/I260)</f>
        <v/>
      </c>
      <c r="O260" s="17" t="str">
        <f t="shared" ref="O260:O323" si="21">IF(I260=0,"",(I260-E260)/E260)</f>
        <v/>
      </c>
      <c r="P260" s="17" t="str">
        <f t="shared" ref="P260:P323" si="22">IF(J260=0,"",(J260-F260)/F260)</f>
        <v/>
      </c>
      <c r="Q260" s="18" t="str">
        <f t="shared" ref="Q260:Q323" si="23">IF(I260=0,"",I260/K260)</f>
        <v/>
      </c>
      <c r="R260" s="18" t="e">
        <f t="shared" ref="R260:R323" si="24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19">
        <v>46278</v>
      </c>
      <c r="C261" s="75" t="str">
        <f>IF(H261=0,"",'[2]2025-2026'!C260)</f>
        <v/>
      </c>
      <c r="D261" s="68" t="str">
        <f>'[2]2025'!C261</f>
        <v/>
      </c>
      <c r="E261" s="68" t="str">
        <f>'[2]2025'!D261</f>
        <v/>
      </c>
      <c r="F261" s="20" t="str">
        <f>'[2]2025'!E261</f>
        <v/>
      </c>
      <c r="G261" s="73" t="str">
        <f>'[2]2025'!F261</f>
        <v/>
      </c>
      <c r="H261" s="42">
        <f>'[2]2025'!G261</f>
        <v>0</v>
      </c>
      <c r="I261" s="13">
        <f>'[2]2025'!H261</f>
        <v>0</v>
      </c>
      <c r="J261" s="14">
        <f>'[2]2025'!I261</f>
        <v>0</v>
      </c>
      <c r="K261" s="15">
        <f>'[2]2025'!J261</f>
        <v>0</v>
      </c>
      <c r="L261" s="15">
        <f>'[2]2025'!K261</f>
        <v>0</v>
      </c>
      <c r="M261" s="15">
        <f>'[2]2025'!L261</f>
        <v>0</v>
      </c>
      <c r="N261" s="16" t="str">
        <f t="shared" si="20"/>
        <v/>
      </c>
      <c r="O261" s="17" t="str">
        <f t="shared" si="21"/>
        <v/>
      </c>
      <c r="P261" s="17" t="str">
        <f t="shared" si="22"/>
        <v/>
      </c>
      <c r="Q261" s="18" t="str">
        <f t="shared" si="23"/>
        <v/>
      </c>
      <c r="R261" s="18" t="e">
        <f t="shared" si="24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19">
        <v>46279</v>
      </c>
      <c r="C262" s="75" t="str">
        <f>IF(H262=0,"",'[2]2025-2026'!C261)</f>
        <v/>
      </c>
      <c r="D262" s="68" t="str">
        <f>'[2]2025'!C262</f>
        <v/>
      </c>
      <c r="E262" s="68" t="str">
        <f>'[2]2025'!D262</f>
        <v/>
      </c>
      <c r="F262" s="20" t="str">
        <f>'[2]2025'!E262</f>
        <v/>
      </c>
      <c r="G262" s="73" t="str">
        <f>'[2]2025'!F262</f>
        <v/>
      </c>
      <c r="H262" s="42">
        <f>'[2]2025'!G262</f>
        <v>0</v>
      </c>
      <c r="I262" s="13">
        <f>'[2]2025'!H262</f>
        <v>0</v>
      </c>
      <c r="J262" s="14">
        <f>'[2]2025'!I262</f>
        <v>0</v>
      </c>
      <c r="K262" s="15">
        <f>'[2]2025'!J262</f>
        <v>0</v>
      </c>
      <c r="L262" s="15">
        <f>'[2]2025'!K262</f>
        <v>0</v>
      </c>
      <c r="M262" s="15">
        <f>'[2]2025'!L262</f>
        <v>0</v>
      </c>
      <c r="N262" s="16" t="str">
        <f t="shared" si="20"/>
        <v/>
      </c>
      <c r="O262" s="17" t="str">
        <f t="shared" si="21"/>
        <v/>
      </c>
      <c r="P262" s="17" t="str">
        <f t="shared" si="22"/>
        <v/>
      </c>
      <c r="Q262" s="18" t="str">
        <f t="shared" si="23"/>
        <v/>
      </c>
      <c r="R262" s="18" t="e">
        <f t="shared" si="24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19">
        <v>46280</v>
      </c>
      <c r="C263" s="75" t="str">
        <f>IF(H263=0,"",'[2]2025-2026'!C262)</f>
        <v/>
      </c>
      <c r="D263" s="68" t="str">
        <f>'[2]2025'!C263</f>
        <v/>
      </c>
      <c r="E263" s="68" t="str">
        <f>'[2]2025'!D263</f>
        <v/>
      </c>
      <c r="F263" s="20" t="str">
        <f>'[2]2025'!E263</f>
        <v/>
      </c>
      <c r="G263" s="73" t="str">
        <f>'[2]2025'!F263</f>
        <v/>
      </c>
      <c r="H263" s="42">
        <f>'[2]2025'!G263</f>
        <v>0</v>
      </c>
      <c r="I263" s="13">
        <f>'[2]2025'!H263</f>
        <v>0</v>
      </c>
      <c r="J263" s="14">
        <f>'[2]2025'!I263</f>
        <v>0</v>
      </c>
      <c r="K263" s="15">
        <f>'[2]2025'!J263</f>
        <v>0</v>
      </c>
      <c r="L263" s="15">
        <f>'[2]2025'!K263</f>
        <v>0</v>
      </c>
      <c r="M263" s="15">
        <f>'[2]2025'!L263</f>
        <v>0</v>
      </c>
      <c r="N263" s="16" t="str">
        <f t="shared" si="20"/>
        <v/>
      </c>
      <c r="O263" s="17" t="str">
        <f t="shared" si="21"/>
        <v/>
      </c>
      <c r="P263" s="17" t="str">
        <f t="shared" si="22"/>
        <v/>
      </c>
      <c r="Q263" s="18" t="str">
        <f t="shared" si="23"/>
        <v/>
      </c>
      <c r="R263" s="18" t="e">
        <f t="shared" si="24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19">
        <v>46281</v>
      </c>
      <c r="C264" s="75" t="str">
        <f>IF(H264=0,"",'[2]2025-2026'!C263)</f>
        <v/>
      </c>
      <c r="D264" s="68" t="str">
        <f>'[2]2025'!C264</f>
        <v/>
      </c>
      <c r="E264" s="68" t="str">
        <f>'[2]2025'!D264</f>
        <v/>
      </c>
      <c r="F264" s="20" t="str">
        <f>'[2]2025'!E264</f>
        <v/>
      </c>
      <c r="G264" s="73" t="str">
        <f>'[2]2025'!F264</f>
        <v/>
      </c>
      <c r="H264" s="42">
        <f>'[2]2025'!G264</f>
        <v>0</v>
      </c>
      <c r="I264" s="13">
        <f>'[2]2025'!H264</f>
        <v>0</v>
      </c>
      <c r="J264" s="14">
        <f>'[2]2025'!I264</f>
        <v>0</v>
      </c>
      <c r="K264" s="15">
        <f>'[2]2025'!J264</f>
        <v>0</v>
      </c>
      <c r="L264" s="15">
        <f>'[2]2025'!K264</f>
        <v>0</v>
      </c>
      <c r="M264" s="15">
        <f>'[2]2025'!L264</f>
        <v>0</v>
      </c>
      <c r="N264" s="16" t="str">
        <f t="shared" si="20"/>
        <v/>
      </c>
      <c r="O264" s="17" t="str">
        <f t="shared" si="21"/>
        <v/>
      </c>
      <c r="P264" s="17" t="str">
        <f t="shared" si="22"/>
        <v/>
      </c>
      <c r="Q264" s="18" t="str">
        <f t="shared" si="23"/>
        <v/>
      </c>
      <c r="R264" s="18" t="e">
        <f t="shared" si="24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19">
        <v>46282</v>
      </c>
      <c r="C265" s="75" t="str">
        <f>IF(H265=0,"",'[2]2025-2026'!C264)</f>
        <v/>
      </c>
      <c r="D265" s="68" t="str">
        <f>'[2]2025'!C265</f>
        <v/>
      </c>
      <c r="E265" s="68" t="str">
        <f>'[2]2025'!D265</f>
        <v/>
      </c>
      <c r="F265" s="20" t="str">
        <f>'[2]2025'!E265</f>
        <v/>
      </c>
      <c r="G265" s="73" t="str">
        <f>'[2]2025'!F265</f>
        <v/>
      </c>
      <c r="H265" s="42">
        <f>'[2]2025'!G265</f>
        <v>0</v>
      </c>
      <c r="I265" s="13">
        <f>'[2]2025'!H265</f>
        <v>0</v>
      </c>
      <c r="J265" s="14">
        <f>'[2]2025'!I265</f>
        <v>0</v>
      </c>
      <c r="K265" s="15">
        <f>'[2]2025'!J265</f>
        <v>0</v>
      </c>
      <c r="L265" s="15">
        <f>'[2]2025'!K265</f>
        <v>0</v>
      </c>
      <c r="M265" s="15">
        <f>'[2]2025'!L265</f>
        <v>0</v>
      </c>
      <c r="N265" s="16" t="str">
        <f t="shared" si="20"/>
        <v/>
      </c>
      <c r="O265" s="17" t="str">
        <f t="shared" si="21"/>
        <v/>
      </c>
      <c r="P265" s="17" t="str">
        <f t="shared" si="22"/>
        <v/>
      </c>
      <c r="Q265" s="18" t="str">
        <f t="shared" si="23"/>
        <v/>
      </c>
      <c r="R265" s="18" t="e">
        <f t="shared" si="24"/>
        <v>#DIV/0!</v>
      </c>
      <c r="S265" s="34"/>
      <c r="T265" s="29" t="s">
        <v>8</v>
      </c>
      <c r="U265" s="1738"/>
    </row>
    <row r="266" spans="1:21">
      <c r="A266" s="10" t="s">
        <v>14</v>
      </c>
      <c r="B266" s="19">
        <v>46283</v>
      </c>
      <c r="C266" s="75" t="str">
        <f>IF(H266=0,"",'[2]2025-2026'!C265)</f>
        <v/>
      </c>
      <c r="D266" s="68" t="str">
        <f>'[2]2025'!C266</f>
        <v/>
      </c>
      <c r="E266" s="68" t="str">
        <f>'[2]2025'!D266</f>
        <v/>
      </c>
      <c r="F266" s="20" t="str">
        <f>'[2]2025'!E266</f>
        <v/>
      </c>
      <c r="G266" s="73" t="str">
        <f>'[2]2025'!F266</f>
        <v/>
      </c>
      <c r="H266" s="42">
        <f>'[2]2025'!G266</f>
        <v>0</v>
      </c>
      <c r="I266" s="13">
        <f>'[2]2025'!H266</f>
        <v>0</v>
      </c>
      <c r="J266" s="14">
        <f>'[2]2025'!I266</f>
        <v>0</v>
      </c>
      <c r="K266" s="15">
        <f>'[2]2025'!J266</f>
        <v>0</v>
      </c>
      <c r="L266" s="15">
        <f>'[2]2025'!K266</f>
        <v>0</v>
      </c>
      <c r="M266" s="15">
        <f>'[2]2025'!L266</f>
        <v>0</v>
      </c>
      <c r="N266" s="16" t="str">
        <f t="shared" si="20"/>
        <v/>
      </c>
      <c r="O266" s="17" t="str">
        <f t="shared" si="21"/>
        <v/>
      </c>
      <c r="P266" s="17" t="str">
        <f t="shared" si="22"/>
        <v/>
      </c>
      <c r="Q266" s="18" t="str">
        <f t="shared" si="23"/>
        <v/>
      </c>
      <c r="R266" s="18" t="e">
        <f t="shared" si="24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19">
        <v>46284</v>
      </c>
      <c r="C267" s="75" t="str">
        <f>IF(H267=0,"",'[2]2025-2026'!C266)</f>
        <v/>
      </c>
      <c r="D267" s="68" t="str">
        <f>'[2]2025'!C267</f>
        <v/>
      </c>
      <c r="E267" s="68" t="str">
        <f>'[2]2025'!D267</f>
        <v/>
      </c>
      <c r="F267" s="20" t="str">
        <f>'[2]2025'!E267</f>
        <v/>
      </c>
      <c r="G267" s="73" t="str">
        <f>'[2]2025'!F267</f>
        <v/>
      </c>
      <c r="H267" s="42">
        <f>'[2]2025'!G267</f>
        <v>0</v>
      </c>
      <c r="I267" s="13">
        <f>'[2]2025'!H267</f>
        <v>0</v>
      </c>
      <c r="J267" s="14">
        <f>'[2]2025'!I267</f>
        <v>0</v>
      </c>
      <c r="K267" s="15">
        <f>'[2]2025'!J267</f>
        <v>0</v>
      </c>
      <c r="L267" s="15">
        <f>'[2]2025'!K267</f>
        <v>0</v>
      </c>
      <c r="M267" s="15">
        <f>'[2]2025'!L267</f>
        <v>0</v>
      </c>
      <c r="N267" s="16" t="str">
        <f t="shared" si="20"/>
        <v/>
      </c>
      <c r="O267" s="17" t="str">
        <f t="shared" si="21"/>
        <v/>
      </c>
      <c r="P267" s="17" t="str">
        <f t="shared" si="22"/>
        <v/>
      </c>
      <c r="Q267" s="18" t="str">
        <f t="shared" si="23"/>
        <v/>
      </c>
      <c r="R267" s="18" t="e">
        <f t="shared" si="24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19">
        <v>46285</v>
      </c>
      <c r="C268" s="75" t="str">
        <f>IF(H268=0,"",'[2]2025-2026'!C267)</f>
        <v/>
      </c>
      <c r="D268" s="68" t="str">
        <f>'[2]2025'!C268</f>
        <v/>
      </c>
      <c r="E268" s="68" t="str">
        <f>'[2]2025'!D268</f>
        <v/>
      </c>
      <c r="F268" s="20" t="str">
        <f>'[2]2025'!E268</f>
        <v/>
      </c>
      <c r="G268" s="73" t="str">
        <f>'[2]2025'!F268</f>
        <v/>
      </c>
      <c r="H268" s="42">
        <f>'[2]2025'!G268</f>
        <v>0</v>
      </c>
      <c r="I268" s="13">
        <f>'[2]2025'!H268</f>
        <v>0</v>
      </c>
      <c r="J268" s="14">
        <f>'[2]2025'!I268</f>
        <v>0</v>
      </c>
      <c r="K268" s="15">
        <f>'[2]2025'!J268</f>
        <v>0</v>
      </c>
      <c r="L268" s="15">
        <f>'[2]2025'!K268</f>
        <v>0</v>
      </c>
      <c r="M268" s="15">
        <f>'[2]2025'!L268</f>
        <v>0</v>
      </c>
      <c r="N268" s="16" t="str">
        <f t="shared" si="20"/>
        <v/>
      </c>
      <c r="O268" s="17" t="str">
        <f t="shared" si="21"/>
        <v/>
      </c>
      <c r="P268" s="17" t="str">
        <f t="shared" si="22"/>
        <v/>
      </c>
      <c r="Q268" s="18" t="str">
        <f t="shared" si="23"/>
        <v/>
      </c>
      <c r="R268" s="18" t="e">
        <f t="shared" si="24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19">
        <v>46286</v>
      </c>
      <c r="C269" s="75" t="str">
        <f>IF(H269=0,"",'[2]2025-2026'!C268)</f>
        <v/>
      </c>
      <c r="D269" s="68" t="str">
        <f>'[2]2025'!C269</f>
        <v/>
      </c>
      <c r="E269" s="68" t="str">
        <f>'[2]2025'!D269</f>
        <v/>
      </c>
      <c r="F269" s="20" t="str">
        <f>'[2]2025'!E269</f>
        <v/>
      </c>
      <c r="G269" s="73" t="str">
        <f>'[2]2025'!F269</f>
        <v/>
      </c>
      <c r="H269" s="42">
        <f>'[2]2025'!G269</f>
        <v>0</v>
      </c>
      <c r="I269" s="13">
        <f>'[2]2025'!H269</f>
        <v>0</v>
      </c>
      <c r="J269" s="14">
        <f>'[2]2025'!I269</f>
        <v>0</v>
      </c>
      <c r="K269" s="15">
        <f>'[2]2025'!J269</f>
        <v>0</v>
      </c>
      <c r="L269" s="15">
        <f>'[2]2025'!K269</f>
        <v>0</v>
      </c>
      <c r="M269" s="15">
        <f>'[2]2025'!L269</f>
        <v>0</v>
      </c>
      <c r="N269" s="16" t="str">
        <f t="shared" si="20"/>
        <v/>
      </c>
      <c r="O269" s="17" t="str">
        <f t="shared" si="21"/>
        <v/>
      </c>
      <c r="P269" s="17" t="str">
        <f t="shared" si="22"/>
        <v/>
      </c>
      <c r="Q269" s="18" t="str">
        <f t="shared" si="23"/>
        <v/>
      </c>
      <c r="R269" s="18" t="e">
        <f t="shared" si="24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19">
        <v>46287</v>
      </c>
      <c r="C270" s="75" t="str">
        <f>IF(H270=0,"",'[2]2025-2026'!C269)</f>
        <v/>
      </c>
      <c r="D270" s="68" t="str">
        <f>'[2]2025'!C270</f>
        <v/>
      </c>
      <c r="E270" s="68" t="str">
        <f>'[2]2025'!D270</f>
        <v/>
      </c>
      <c r="F270" s="20" t="str">
        <f>'[2]2025'!E270</f>
        <v/>
      </c>
      <c r="G270" s="73" t="str">
        <f>'[2]2025'!F270</f>
        <v/>
      </c>
      <c r="H270" s="42">
        <f>'[2]2025'!G270</f>
        <v>0</v>
      </c>
      <c r="I270" s="13">
        <f>'[2]2025'!H270</f>
        <v>0</v>
      </c>
      <c r="J270" s="14">
        <f>'[2]2025'!I270</f>
        <v>0</v>
      </c>
      <c r="K270" s="15">
        <f>'[2]2025'!J270</f>
        <v>0</v>
      </c>
      <c r="L270" s="15">
        <f>'[2]2025'!K270</f>
        <v>0</v>
      </c>
      <c r="M270" s="15">
        <f>'[2]2025'!L270</f>
        <v>0</v>
      </c>
      <c r="N270" s="16" t="str">
        <f t="shared" si="20"/>
        <v/>
      </c>
      <c r="O270" s="17" t="str">
        <f t="shared" si="21"/>
        <v/>
      </c>
      <c r="P270" s="17" t="str">
        <f t="shared" si="22"/>
        <v/>
      </c>
      <c r="Q270" s="18" t="str">
        <f t="shared" si="23"/>
        <v/>
      </c>
      <c r="R270" s="18" t="e">
        <f t="shared" si="24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19">
        <v>46288</v>
      </c>
      <c r="C271" s="75" t="str">
        <f>IF(H271=0,"",'[2]2025-2026'!C270)</f>
        <v/>
      </c>
      <c r="D271" s="68" t="str">
        <f>'[2]2025'!C271</f>
        <v/>
      </c>
      <c r="E271" s="68" t="str">
        <f>'[2]2025'!D271</f>
        <v/>
      </c>
      <c r="F271" s="20" t="str">
        <f>'[2]2025'!E271</f>
        <v/>
      </c>
      <c r="G271" s="73" t="str">
        <f>'[2]2025'!F271</f>
        <v/>
      </c>
      <c r="H271" s="42">
        <f>'[2]2025'!G271</f>
        <v>0</v>
      </c>
      <c r="I271" s="13">
        <f>'[2]2025'!H271</f>
        <v>0</v>
      </c>
      <c r="J271" s="14">
        <f>'[2]2025'!I271</f>
        <v>0</v>
      </c>
      <c r="K271" s="15">
        <f>'[2]2025'!J271</f>
        <v>0</v>
      </c>
      <c r="L271" s="15">
        <f>'[2]2025'!K271</f>
        <v>0</v>
      </c>
      <c r="M271" s="15">
        <f>'[2]2025'!L271</f>
        <v>0</v>
      </c>
      <c r="N271" s="16" t="str">
        <f t="shared" si="20"/>
        <v/>
      </c>
      <c r="O271" s="17" t="str">
        <f t="shared" si="21"/>
        <v/>
      </c>
      <c r="P271" s="17" t="str">
        <f t="shared" si="22"/>
        <v/>
      </c>
      <c r="Q271" s="18" t="str">
        <f t="shared" si="23"/>
        <v/>
      </c>
      <c r="R271" s="18" t="e">
        <f t="shared" si="24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19">
        <v>46289</v>
      </c>
      <c r="C272" s="75" t="str">
        <f>IF(H272=0,"",'[2]2025-2026'!C271)</f>
        <v/>
      </c>
      <c r="D272" s="68" t="str">
        <f>'[2]2025'!C272</f>
        <v/>
      </c>
      <c r="E272" s="68" t="str">
        <f>'[2]2025'!D272</f>
        <v/>
      </c>
      <c r="F272" s="20" t="str">
        <f>'[2]2025'!E272</f>
        <v/>
      </c>
      <c r="G272" s="73" t="str">
        <f>'[2]2025'!F272</f>
        <v/>
      </c>
      <c r="H272" s="42">
        <f>'[2]2025'!G272</f>
        <v>0</v>
      </c>
      <c r="I272" s="13">
        <f>'[2]2025'!H272</f>
        <v>0</v>
      </c>
      <c r="J272" s="14">
        <f>'[2]2025'!I272</f>
        <v>0</v>
      </c>
      <c r="K272" s="15">
        <f>'[2]2025'!J272</f>
        <v>0</v>
      </c>
      <c r="L272" s="15">
        <f>'[2]2025'!K272</f>
        <v>0</v>
      </c>
      <c r="M272" s="15">
        <f>'[2]2025'!L272</f>
        <v>0</v>
      </c>
      <c r="N272" s="16" t="str">
        <f t="shared" si="20"/>
        <v/>
      </c>
      <c r="O272" s="17" t="str">
        <f t="shared" si="21"/>
        <v/>
      </c>
      <c r="P272" s="17" t="str">
        <f t="shared" si="22"/>
        <v/>
      </c>
      <c r="Q272" s="18" t="str">
        <f t="shared" si="23"/>
        <v/>
      </c>
      <c r="R272" s="18" t="e">
        <f t="shared" si="24"/>
        <v>#DIV/0!</v>
      </c>
      <c r="S272" s="34"/>
      <c r="T272" s="29" t="s">
        <v>8</v>
      </c>
      <c r="U272" s="1738"/>
    </row>
    <row r="273" spans="1:21">
      <c r="A273" s="10" t="s">
        <v>14</v>
      </c>
      <c r="B273" s="19">
        <v>46290</v>
      </c>
      <c r="C273" s="75" t="str">
        <f>IF(H273=0,"",'[2]2025-2026'!C272)</f>
        <v/>
      </c>
      <c r="D273" s="68" t="str">
        <f>'[2]2025'!C273</f>
        <v/>
      </c>
      <c r="E273" s="68" t="str">
        <f>'[2]2025'!D273</f>
        <v/>
      </c>
      <c r="F273" s="20" t="str">
        <f>'[2]2025'!E273</f>
        <v/>
      </c>
      <c r="G273" s="73" t="str">
        <f>'[2]2025'!F273</f>
        <v/>
      </c>
      <c r="H273" s="42">
        <f>'[2]2025'!G273</f>
        <v>0</v>
      </c>
      <c r="I273" s="13">
        <f>'[2]2025'!H273</f>
        <v>0</v>
      </c>
      <c r="J273" s="14">
        <f>'[2]2025'!I273</f>
        <v>0</v>
      </c>
      <c r="K273" s="15">
        <f>'[2]2025'!J273</f>
        <v>0</v>
      </c>
      <c r="L273" s="15">
        <f>'[2]2025'!K273</f>
        <v>0</v>
      </c>
      <c r="M273" s="15">
        <f>'[2]2025'!L273</f>
        <v>0</v>
      </c>
      <c r="N273" s="16" t="str">
        <f t="shared" si="20"/>
        <v/>
      </c>
      <c r="O273" s="17" t="str">
        <f t="shared" si="21"/>
        <v/>
      </c>
      <c r="P273" s="17" t="str">
        <f t="shared" si="22"/>
        <v/>
      </c>
      <c r="Q273" s="18" t="str">
        <f t="shared" si="23"/>
        <v/>
      </c>
      <c r="R273" s="18" t="e">
        <f t="shared" si="24"/>
        <v>#DIV/0!</v>
      </c>
      <c r="S273" s="36" t="s">
        <v>40</v>
      </c>
      <c r="T273" s="48" t="e">
        <f>SUM(I269:I275)/SUM(L269:L275)</f>
        <v>#DIV/0!</v>
      </c>
      <c r="U273" s="1738"/>
    </row>
    <row r="274" spans="1:21">
      <c r="A274" s="10" t="s">
        <v>15</v>
      </c>
      <c r="B274" s="19">
        <v>46291</v>
      </c>
      <c r="C274" s="75" t="str">
        <f>IF(H274=0,"",'[2]2025-2026'!C273)</f>
        <v/>
      </c>
      <c r="D274" s="68" t="str">
        <f>'[2]2025'!C274</f>
        <v/>
      </c>
      <c r="E274" s="68" t="str">
        <f>'[2]2025'!D274</f>
        <v/>
      </c>
      <c r="F274" s="20" t="str">
        <f>'[2]2025'!E274</f>
        <v/>
      </c>
      <c r="G274" s="73" t="str">
        <f>'[2]2025'!F274</f>
        <v/>
      </c>
      <c r="H274" s="42">
        <f>'[2]2025'!G274</f>
        <v>0</v>
      </c>
      <c r="I274" s="13">
        <f>'[2]2025'!H274</f>
        <v>0</v>
      </c>
      <c r="J274" s="14">
        <f>'[2]2025'!I274</f>
        <v>0</v>
      </c>
      <c r="K274" s="15">
        <f>'[2]2025'!J274</f>
        <v>0</v>
      </c>
      <c r="L274" s="15">
        <f>'[2]2025'!K274</f>
        <v>0</v>
      </c>
      <c r="M274" s="15">
        <f>'[2]2025'!L274</f>
        <v>0</v>
      </c>
      <c r="N274" s="16" t="str">
        <f t="shared" si="20"/>
        <v/>
      </c>
      <c r="O274" s="17" t="str">
        <f t="shared" si="21"/>
        <v/>
      </c>
      <c r="P274" s="17" t="str">
        <f t="shared" si="22"/>
        <v/>
      </c>
      <c r="Q274" s="18" t="str">
        <f t="shared" si="23"/>
        <v/>
      </c>
      <c r="R274" s="18" t="e">
        <f t="shared" si="24"/>
        <v>#DIV/0!</v>
      </c>
      <c r="S274" s="36">
        <f>SUM(J269:J275)</f>
        <v>0</v>
      </c>
      <c r="T274" s="30" t="s">
        <v>3</v>
      </c>
      <c r="U274" s="1738"/>
    </row>
    <row r="275" spans="1:21" ht="18" thickBot="1">
      <c r="A275" s="10" t="s">
        <v>16</v>
      </c>
      <c r="B275" s="19">
        <v>46292</v>
      </c>
      <c r="C275" s="75" t="str">
        <f>IF(H275=0,"",'[2]2025-2026'!C274)</f>
        <v/>
      </c>
      <c r="D275" s="68" t="str">
        <f>'[2]2025'!C275</f>
        <v/>
      </c>
      <c r="E275" s="68" t="str">
        <f>'[2]2025'!D275</f>
        <v/>
      </c>
      <c r="F275" s="20" t="str">
        <f>'[2]2025'!E275</f>
        <v/>
      </c>
      <c r="G275" s="73" t="str">
        <f>'[2]2025'!F275</f>
        <v/>
      </c>
      <c r="H275" s="42">
        <f>'[2]2025'!G275</f>
        <v>0</v>
      </c>
      <c r="I275" s="13">
        <f>'[2]2025'!H275</f>
        <v>0</v>
      </c>
      <c r="J275" s="14">
        <f>'[2]2025'!I275</f>
        <v>0</v>
      </c>
      <c r="K275" s="15">
        <f>'[2]2025'!J275</f>
        <v>0</v>
      </c>
      <c r="L275" s="15">
        <f>'[2]2025'!K275</f>
        <v>0</v>
      </c>
      <c r="M275" s="15">
        <f>'[2]2025'!L275</f>
        <v>0</v>
      </c>
      <c r="N275" s="16" t="str">
        <f t="shared" si="20"/>
        <v/>
      </c>
      <c r="O275" s="17" t="str">
        <f t="shared" si="21"/>
        <v/>
      </c>
      <c r="P275" s="17" t="str">
        <f t="shared" si="22"/>
        <v/>
      </c>
      <c r="Q275" s="18" t="str">
        <f t="shared" si="23"/>
        <v/>
      </c>
      <c r="R275" s="18" t="e">
        <f t="shared" si="24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1" ht="17" customHeight="1" thickTop="1">
      <c r="A276" s="10" t="s">
        <v>9</v>
      </c>
      <c r="B276" s="19">
        <v>46293</v>
      </c>
      <c r="C276" s="75" t="str">
        <f>IF(H276=0,"",'[2]2025-2026'!C275)</f>
        <v/>
      </c>
      <c r="D276" s="68" t="str">
        <f>'[2]2025'!C276</f>
        <v/>
      </c>
      <c r="E276" s="68" t="str">
        <f>'[2]2025'!D276</f>
        <v/>
      </c>
      <c r="F276" s="20" t="str">
        <f>'[2]2025'!E276</f>
        <v/>
      </c>
      <c r="G276" s="73" t="str">
        <f>'[2]2025'!F276</f>
        <v/>
      </c>
      <c r="H276" s="42">
        <f>'[2]2025'!G276</f>
        <v>0</v>
      </c>
      <c r="I276" s="13">
        <f>'[2]2025'!H276</f>
        <v>0</v>
      </c>
      <c r="J276" s="14">
        <f>'[2]2025'!I276</f>
        <v>0</v>
      </c>
      <c r="K276" s="15">
        <f>'[2]2025'!J276</f>
        <v>0</v>
      </c>
      <c r="L276" s="15">
        <f>'[2]2025'!K276</f>
        <v>0</v>
      </c>
      <c r="M276" s="15">
        <f>'[2]2025'!L276</f>
        <v>0</v>
      </c>
      <c r="N276" s="16" t="str">
        <f t="shared" si="20"/>
        <v/>
      </c>
      <c r="O276" s="17" t="str">
        <f t="shared" si="21"/>
        <v/>
      </c>
      <c r="P276" s="17" t="str">
        <f t="shared" si="22"/>
        <v/>
      </c>
      <c r="Q276" s="18" t="str">
        <f t="shared" si="23"/>
        <v/>
      </c>
      <c r="R276" s="18" t="e">
        <f t="shared" si="24"/>
        <v>#DIV/0!</v>
      </c>
      <c r="S276" s="33" t="s">
        <v>39</v>
      </c>
      <c r="T276" s="31" t="s">
        <v>42</v>
      </c>
      <c r="U276" s="1737" t="s">
        <v>122</v>
      </c>
    </row>
    <row r="277" spans="1:21">
      <c r="A277" s="10" t="s">
        <v>11</v>
      </c>
      <c r="B277" s="19">
        <v>46294</v>
      </c>
      <c r="C277" s="75" t="str">
        <f>IF(H277=0,"",'[2]2025-2026'!C276)</f>
        <v/>
      </c>
      <c r="D277" s="68" t="str">
        <f>'[2]2025'!C277</f>
        <v/>
      </c>
      <c r="E277" s="68" t="str">
        <f>'[2]2025'!D277</f>
        <v/>
      </c>
      <c r="F277" s="20" t="str">
        <f>'[2]2025'!E277</f>
        <v/>
      </c>
      <c r="G277" s="73" t="str">
        <f>'[2]2025'!F277</f>
        <v/>
      </c>
      <c r="H277" s="42">
        <f>'[2]2025'!G277</f>
        <v>0</v>
      </c>
      <c r="I277" s="13">
        <f>'[2]2025'!H277</f>
        <v>0</v>
      </c>
      <c r="J277" s="14">
        <f>'[2]2025'!I277</f>
        <v>0</v>
      </c>
      <c r="K277" s="15">
        <f>'[2]2025'!J277</f>
        <v>0</v>
      </c>
      <c r="L277" s="15">
        <f>'[2]2025'!K277</f>
        <v>0</v>
      </c>
      <c r="M277" s="15">
        <f>'[2]2025'!L277</f>
        <v>0</v>
      </c>
      <c r="N277" s="16" t="str">
        <f t="shared" si="20"/>
        <v/>
      </c>
      <c r="O277" s="17" t="str">
        <f t="shared" si="21"/>
        <v/>
      </c>
      <c r="P277" s="17" t="str">
        <f t="shared" si="22"/>
        <v/>
      </c>
      <c r="Q277" s="18" t="str">
        <f t="shared" si="23"/>
        <v/>
      </c>
      <c r="R277" s="18" t="e">
        <f t="shared" si="24"/>
        <v>#DIV/0!</v>
      </c>
      <c r="S277" s="34">
        <f>SUM(I276:I282)</f>
        <v>0</v>
      </c>
      <c r="T277" s="45" t="s">
        <v>41</v>
      </c>
      <c r="U277" s="1738"/>
    </row>
    <row r="278" spans="1:21">
      <c r="A278" s="10" t="s">
        <v>12</v>
      </c>
      <c r="B278" s="19">
        <v>46295</v>
      </c>
      <c r="C278" s="75" t="str">
        <f>IF(H278=0,"",'[2]2025-2026'!C277)</f>
        <v/>
      </c>
      <c r="D278" s="68" t="str">
        <f>'[2]2025'!C278</f>
        <v/>
      </c>
      <c r="E278" s="68" t="str">
        <f>'[2]2025'!D278</f>
        <v/>
      </c>
      <c r="F278" s="20" t="str">
        <f>'[2]2025'!E278</f>
        <v/>
      </c>
      <c r="G278" s="73" t="str">
        <f>'[2]2025'!F278</f>
        <v/>
      </c>
      <c r="H278" s="42">
        <f>'[2]2025'!G278</f>
        <v>0</v>
      </c>
      <c r="I278" s="13">
        <f>'[2]2025'!H278</f>
        <v>0</v>
      </c>
      <c r="J278" s="14">
        <f>'[2]2025'!I278</f>
        <v>0</v>
      </c>
      <c r="K278" s="15">
        <f>'[2]2025'!J278</f>
        <v>0</v>
      </c>
      <c r="L278" s="15">
        <f>'[2]2025'!K278</f>
        <v>0</v>
      </c>
      <c r="M278" s="15">
        <f>'[2]2025'!L278</f>
        <v>0</v>
      </c>
      <c r="N278" s="16" t="str">
        <f t="shared" si="20"/>
        <v/>
      </c>
      <c r="O278" s="17" t="str">
        <f t="shared" si="21"/>
        <v/>
      </c>
      <c r="P278" s="17" t="str">
        <f t="shared" si="22"/>
        <v/>
      </c>
      <c r="Q278" s="18" t="str">
        <f t="shared" si="23"/>
        <v/>
      </c>
      <c r="R278" s="18" t="e">
        <f t="shared" si="24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</row>
    <row r="279" spans="1:21">
      <c r="A279" s="10" t="s">
        <v>13</v>
      </c>
      <c r="B279" s="19">
        <v>46296</v>
      </c>
      <c r="C279" s="75" t="str">
        <f>IF(H279=0,"",'[2]2025-2026'!C278)</f>
        <v/>
      </c>
      <c r="D279" s="68" t="str">
        <f>'[2]2025'!C279</f>
        <v/>
      </c>
      <c r="E279" s="68" t="str">
        <f>'[2]2025'!D279</f>
        <v/>
      </c>
      <c r="F279" s="20" t="str">
        <f>'[2]2025'!E279</f>
        <v/>
      </c>
      <c r="G279" s="73" t="str">
        <f>'[2]2025'!F279</f>
        <v/>
      </c>
      <c r="H279" s="42">
        <f>'[2]2025'!G279</f>
        <v>0</v>
      </c>
      <c r="I279" s="13">
        <f>'[2]2025'!H279</f>
        <v>0</v>
      </c>
      <c r="J279" s="14">
        <f>'[2]2025'!I279</f>
        <v>0</v>
      </c>
      <c r="K279" s="15">
        <f>'[2]2025'!J279</f>
        <v>0</v>
      </c>
      <c r="L279" s="15">
        <f>'[2]2025'!K279</f>
        <v>0</v>
      </c>
      <c r="M279" s="15">
        <f>'[2]2025'!L279</f>
        <v>0</v>
      </c>
      <c r="N279" s="16" t="str">
        <f t="shared" si="20"/>
        <v/>
      </c>
      <c r="O279" s="17" t="str">
        <f t="shared" si="21"/>
        <v/>
      </c>
      <c r="P279" s="17" t="str">
        <f t="shared" si="22"/>
        <v/>
      </c>
      <c r="Q279" s="18" t="str">
        <f t="shared" si="23"/>
        <v/>
      </c>
      <c r="R279" s="18" t="e">
        <f t="shared" si="24"/>
        <v>#DIV/0!</v>
      </c>
      <c r="S279" s="34"/>
      <c r="T279" s="29" t="s">
        <v>8</v>
      </c>
      <c r="U279" s="1738"/>
    </row>
    <row r="280" spans="1:21">
      <c r="A280" s="10" t="s">
        <v>14</v>
      </c>
      <c r="B280" s="19">
        <v>46297</v>
      </c>
      <c r="C280" s="75" t="str">
        <f>IF(H280=0,"",'[2]2025-2026'!C279)</f>
        <v/>
      </c>
      <c r="D280" s="68" t="str">
        <f>'[2]2025'!C280</f>
        <v/>
      </c>
      <c r="E280" s="68" t="str">
        <f>'[2]2025'!D280</f>
        <v/>
      </c>
      <c r="F280" s="20" t="str">
        <f>'[2]2025'!E280</f>
        <v/>
      </c>
      <c r="G280" s="73" t="str">
        <f>'[2]2025'!F280</f>
        <v/>
      </c>
      <c r="H280" s="42">
        <f>'[2]2025'!G280</f>
        <v>0</v>
      </c>
      <c r="I280" s="13">
        <f>'[2]2025'!H280</f>
        <v>0</v>
      </c>
      <c r="J280" s="14">
        <f>'[2]2025'!I280</f>
        <v>0</v>
      </c>
      <c r="K280" s="15">
        <f>'[2]2025'!J280</f>
        <v>0</v>
      </c>
      <c r="L280" s="15">
        <f>'[2]2025'!K280</f>
        <v>0</v>
      </c>
      <c r="M280" s="15">
        <f>'[2]2025'!L280</f>
        <v>0</v>
      </c>
      <c r="N280" s="16" t="str">
        <f t="shared" si="20"/>
        <v/>
      </c>
      <c r="O280" s="17" t="str">
        <f t="shared" si="21"/>
        <v/>
      </c>
      <c r="P280" s="17" t="str">
        <f t="shared" si="22"/>
        <v/>
      </c>
      <c r="Q280" s="18" t="str">
        <f t="shared" si="23"/>
        <v/>
      </c>
      <c r="R280" s="18" t="e">
        <f t="shared" si="24"/>
        <v>#DIV/0!</v>
      </c>
      <c r="S280" s="36" t="s">
        <v>40</v>
      </c>
      <c r="T280" s="48" t="e">
        <f>SUM(I276:I282)/SUM(L276:L282)</f>
        <v>#DIV/0!</v>
      </c>
      <c r="U280" s="1738"/>
    </row>
    <row r="281" spans="1:21">
      <c r="A281" s="10" t="s">
        <v>15</v>
      </c>
      <c r="B281" s="19">
        <v>46298</v>
      </c>
      <c r="C281" s="75" t="str">
        <f>IF(H281=0,"",'[2]2025-2026'!C280)</f>
        <v/>
      </c>
      <c r="D281" s="68" t="str">
        <f>'[2]2025'!C281</f>
        <v/>
      </c>
      <c r="E281" s="68" t="str">
        <f>'[2]2025'!D281</f>
        <v/>
      </c>
      <c r="F281" s="20" t="str">
        <f>'[2]2025'!E281</f>
        <v/>
      </c>
      <c r="G281" s="73" t="str">
        <f>'[2]2025'!F281</f>
        <v/>
      </c>
      <c r="H281" s="42">
        <f>'[2]2025'!G281</f>
        <v>0</v>
      </c>
      <c r="I281" s="13">
        <f>'[2]2025'!H281</f>
        <v>0</v>
      </c>
      <c r="J281" s="14">
        <f>'[2]2025'!I281</f>
        <v>0</v>
      </c>
      <c r="K281" s="15">
        <f>'[2]2025'!J281</f>
        <v>0</v>
      </c>
      <c r="L281" s="15">
        <f>'[2]2025'!K281</f>
        <v>0</v>
      </c>
      <c r="M281" s="15">
        <f>'[2]2025'!L281</f>
        <v>0</v>
      </c>
      <c r="N281" s="16" t="str">
        <f t="shared" si="20"/>
        <v/>
      </c>
      <c r="O281" s="17" t="str">
        <f t="shared" si="21"/>
        <v/>
      </c>
      <c r="P281" s="17" t="str">
        <f t="shared" si="22"/>
        <v/>
      </c>
      <c r="Q281" s="18" t="str">
        <f t="shared" si="23"/>
        <v/>
      </c>
      <c r="R281" s="18" t="e">
        <f t="shared" si="24"/>
        <v>#DIV/0!</v>
      </c>
      <c r="S281" s="36">
        <f>SUM(J276:J282)</f>
        <v>0</v>
      </c>
      <c r="T281" s="30" t="s">
        <v>3</v>
      </c>
      <c r="U281" s="1738"/>
    </row>
    <row r="282" spans="1:21" ht="18" thickBot="1">
      <c r="A282" s="10" t="s">
        <v>16</v>
      </c>
      <c r="B282" s="19">
        <v>46299</v>
      </c>
      <c r="C282" s="75" t="str">
        <f>IF(H282=0,"",'[2]2025-2026'!C281)</f>
        <v/>
      </c>
      <c r="D282" s="68" t="str">
        <f>'[2]2025'!C282</f>
        <v/>
      </c>
      <c r="E282" s="68" t="str">
        <f>'[2]2025'!D282</f>
        <v/>
      </c>
      <c r="F282" s="20" t="str">
        <f>'[2]2025'!E282</f>
        <v/>
      </c>
      <c r="G282" s="73" t="str">
        <f>'[2]2025'!F282</f>
        <v/>
      </c>
      <c r="H282" s="42">
        <f>'[2]2025'!G282</f>
        <v>0</v>
      </c>
      <c r="I282" s="13">
        <f>'[2]2025'!H282</f>
        <v>0</v>
      </c>
      <c r="J282" s="14">
        <f>'[2]2025'!I282</f>
        <v>0</v>
      </c>
      <c r="K282" s="15">
        <f>'[2]2025'!J282</f>
        <v>0</v>
      </c>
      <c r="L282" s="15">
        <f>'[2]2025'!K282</f>
        <v>0</v>
      </c>
      <c r="M282" s="15">
        <f>'[2]2025'!L282</f>
        <v>0</v>
      </c>
      <c r="N282" s="16" t="str">
        <f t="shared" si="20"/>
        <v/>
      </c>
      <c r="O282" s="17" t="str">
        <f t="shared" si="21"/>
        <v/>
      </c>
      <c r="P282" s="17" t="str">
        <f t="shared" si="22"/>
        <v/>
      </c>
      <c r="Q282" s="18" t="str">
        <f t="shared" si="23"/>
        <v/>
      </c>
      <c r="R282" s="18" t="e">
        <f t="shared" si="24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</row>
    <row r="283" spans="1:21" ht="17" customHeight="1" thickTop="1">
      <c r="A283" s="10" t="s">
        <v>9</v>
      </c>
      <c r="B283" s="19">
        <v>46300</v>
      </c>
      <c r="C283" s="75" t="str">
        <f>IF(H283=0,"",'[2]2025-2026'!C282)</f>
        <v/>
      </c>
      <c r="D283" s="68" t="str">
        <f>'[2]2025'!C283</f>
        <v/>
      </c>
      <c r="E283" s="68" t="str">
        <f>'[2]2025'!D283</f>
        <v/>
      </c>
      <c r="F283" s="20" t="str">
        <f>'[2]2025'!E283</f>
        <v/>
      </c>
      <c r="G283" s="73" t="str">
        <f>'[2]2025'!F283</f>
        <v/>
      </c>
      <c r="H283" s="42">
        <f>'[2]2025'!G283</f>
        <v>0</v>
      </c>
      <c r="I283" s="13">
        <f>'[2]2025'!H283</f>
        <v>0</v>
      </c>
      <c r="J283" s="14">
        <f>'[2]2025'!I283</f>
        <v>0</v>
      </c>
      <c r="K283" s="15">
        <f>'[2]2025'!J283</f>
        <v>0</v>
      </c>
      <c r="L283" s="15">
        <f>'[2]2025'!K283</f>
        <v>0</v>
      </c>
      <c r="M283" s="15">
        <f>'[2]2025'!L283</f>
        <v>0</v>
      </c>
      <c r="N283" s="16" t="str">
        <f t="shared" si="20"/>
        <v/>
      </c>
      <c r="O283" s="17" t="str">
        <f t="shared" si="21"/>
        <v/>
      </c>
      <c r="P283" s="17" t="str">
        <f t="shared" si="22"/>
        <v/>
      </c>
      <c r="Q283" s="18" t="str">
        <f t="shared" si="23"/>
        <v/>
      </c>
      <c r="R283" s="18" t="e">
        <f t="shared" si="24"/>
        <v>#DIV/0!</v>
      </c>
      <c r="S283" s="33" t="s">
        <v>39</v>
      </c>
      <c r="T283" s="31" t="s">
        <v>42</v>
      </c>
      <c r="U283" s="1737" t="s">
        <v>123</v>
      </c>
    </row>
    <row r="284" spans="1:21">
      <c r="A284" s="10" t="s">
        <v>11</v>
      </c>
      <c r="B284" s="19">
        <v>46301</v>
      </c>
      <c r="C284" s="75" t="str">
        <f>IF(H284=0,"",'[2]2025-2026'!C283)</f>
        <v/>
      </c>
      <c r="D284" s="68" t="str">
        <f>'[2]2025'!C284</f>
        <v/>
      </c>
      <c r="E284" s="68" t="str">
        <f>'[2]2025'!D284</f>
        <v/>
      </c>
      <c r="F284" s="20" t="str">
        <f>'[2]2025'!E284</f>
        <v/>
      </c>
      <c r="G284" s="73" t="str">
        <f>'[2]2025'!F284</f>
        <v/>
      </c>
      <c r="H284" s="42">
        <f>'[2]2025'!G284</f>
        <v>0</v>
      </c>
      <c r="I284" s="13">
        <f>'[2]2025'!H284</f>
        <v>0</v>
      </c>
      <c r="J284" s="14">
        <f>'[2]2025'!I284</f>
        <v>0</v>
      </c>
      <c r="K284" s="15">
        <f>'[2]2025'!J284</f>
        <v>0</v>
      </c>
      <c r="L284" s="15">
        <f>'[2]2025'!K284</f>
        <v>0</v>
      </c>
      <c r="M284" s="15">
        <f>'[2]2025'!L284</f>
        <v>0</v>
      </c>
      <c r="N284" s="16" t="str">
        <f t="shared" si="20"/>
        <v/>
      </c>
      <c r="O284" s="17" t="str">
        <f t="shared" si="21"/>
        <v/>
      </c>
      <c r="P284" s="17" t="str">
        <f t="shared" si="22"/>
        <v/>
      </c>
      <c r="Q284" s="18" t="str">
        <f t="shared" si="23"/>
        <v/>
      </c>
      <c r="R284" s="18" t="e">
        <f t="shared" si="24"/>
        <v>#DIV/0!</v>
      </c>
      <c r="S284" s="34">
        <f>SUM(I283:I289)</f>
        <v>0</v>
      </c>
      <c r="T284" s="45" t="s">
        <v>41</v>
      </c>
      <c r="U284" s="1738"/>
    </row>
    <row r="285" spans="1:21">
      <c r="A285" s="10" t="s">
        <v>12</v>
      </c>
      <c r="B285" s="19">
        <v>46302</v>
      </c>
      <c r="C285" s="75" t="str">
        <f>IF(H285=0,"",'[2]2025-2026'!C284)</f>
        <v/>
      </c>
      <c r="D285" s="68" t="str">
        <f>'[2]2025'!C285</f>
        <v/>
      </c>
      <c r="E285" s="68" t="str">
        <f>'[2]2025'!D285</f>
        <v/>
      </c>
      <c r="F285" s="20" t="str">
        <f>'[2]2025'!E285</f>
        <v/>
      </c>
      <c r="G285" s="73" t="str">
        <f>'[2]2025'!F285</f>
        <v/>
      </c>
      <c r="H285" s="42">
        <f>'[2]2025'!G285</f>
        <v>0</v>
      </c>
      <c r="I285" s="13">
        <f>'[2]2025'!H285</f>
        <v>0</v>
      </c>
      <c r="J285" s="14">
        <f>'[2]2025'!I285</f>
        <v>0</v>
      </c>
      <c r="K285" s="15">
        <f>'[2]2025'!J285</f>
        <v>0</v>
      </c>
      <c r="L285" s="15">
        <f>'[2]2025'!K285</f>
        <v>0</v>
      </c>
      <c r="M285" s="15">
        <f>'[2]2025'!L285</f>
        <v>0</v>
      </c>
      <c r="N285" s="16" t="str">
        <f t="shared" si="20"/>
        <v/>
      </c>
      <c r="O285" s="17" t="str">
        <f t="shared" si="21"/>
        <v/>
      </c>
      <c r="P285" s="17" t="str">
        <f t="shared" si="22"/>
        <v/>
      </c>
      <c r="Q285" s="18" t="str">
        <f t="shared" si="23"/>
        <v/>
      </c>
      <c r="R285" s="18" t="e">
        <f t="shared" si="24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</row>
    <row r="286" spans="1:21">
      <c r="A286" s="10" t="s">
        <v>13</v>
      </c>
      <c r="B286" s="19">
        <v>46303</v>
      </c>
      <c r="C286" s="75" t="str">
        <f>IF(H286=0,"",'[2]2025-2026'!C285)</f>
        <v/>
      </c>
      <c r="D286" s="68" t="str">
        <f>'[2]2025'!C286</f>
        <v/>
      </c>
      <c r="E286" s="68" t="str">
        <f>'[2]2025'!D286</f>
        <v/>
      </c>
      <c r="F286" s="20" t="str">
        <f>'[2]2025'!E286</f>
        <v/>
      </c>
      <c r="G286" s="73" t="str">
        <f>'[2]2025'!F286</f>
        <v/>
      </c>
      <c r="H286" s="42">
        <f>'[2]2025'!G286</f>
        <v>0</v>
      </c>
      <c r="I286" s="13">
        <f>'[2]2025'!H286</f>
        <v>0</v>
      </c>
      <c r="J286" s="14">
        <f>'[2]2025'!I286</f>
        <v>0</v>
      </c>
      <c r="K286" s="15">
        <f>'[2]2025'!J286</f>
        <v>0</v>
      </c>
      <c r="L286" s="15">
        <f>'[2]2025'!K286</f>
        <v>0</v>
      </c>
      <c r="M286" s="15">
        <f>'[2]2025'!L286</f>
        <v>0</v>
      </c>
      <c r="N286" s="16" t="str">
        <f t="shared" si="20"/>
        <v/>
      </c>
      <c r="O286" s="17" t="str">
        <f t="shared" si="21"/>
        <v/>
      </c>
      <c r="P286" s="17" t="str">
        <f t="shared" si="22"/>
        <v/>
      </c>
      <c r="Q286" s="18" t="str">
        <f t="shared" si="23"/>
        <v/>
      </c>
      <c r="R286" s="18" t="e">
        <f t="shared" si="24"/>
        <v>#DIV/0!</v>
      </c>
      <c r="S286" s="34"/>
      <c r="T286" s="29" t="s">
        <v>8</v>
      </c>
      <c r="U286" s="1738"/>
    </row>
    <row r="287" spans="1:21">
      <c r="A287" s="10" t="s">
        <v>14</v>
      </c>
      <c r="B287" s="19">
        <v>46304</v>
      </c>
      <c r="C287" s="75" t="str">
        <f>IF(H287=0,"",'[2]2025-2026'!C286)</f>
        <v/>
      </c>
      <c r="D287" s="68" t="str">
        <f>'[2]2025'!C287</f>
        <v/>
      </c>
      <c r="E287" s="68" t="str">
        <f>'[2]2025'!D287</f>
        <v/>
      </c>
      <c r="F287" s="20" t="str">
        <f>'[2]2025'!E287</f>
        <v/>
      </c>
      <c r="G287" s="73" t="str">
        <f>'[2]2025'!F287</f>
        <v/>
      </c>
      <c r="H287" s="42">
        <f>'[2]2025'!G287</f>
        <v>0</v>
      </c>
      <c r="I287" s="13">
        <f>'[2]2025'!H287</f>
        <v>0</v>
      </c>
      <c r="J287" s="14">
        <f>'[2]2025'!I287</f>
        <v>0</v>
      </c>
      <c r="K287" s="15">
        <f>'[2]2025'!J287</f>
        <v>0</v>
      </c>
      <c r="L287" s="15">
        <f>'[2]2025'!K287</f>
        <v>0</v>
      </c>
      <c r="M287" s="15">
        <f>'[2]2025'!L287</f>
        <v>0</v>
      </c>
      <c r="N287" s="16" t="str">
        <f t="shared" si="20"/>
        <v/>
      </c>
      <c r="O287" s="17" t="str">
        <f t="shared" si="21"/>
        <v/>
      </c>
      <c r="P287" s="17" t="str">
        <f t="shared" si="22"/>
        <v/>
      </c>
      <c r="Q287" s="18" t="str">
        <f t="shared" si="23"/>
        <v/>
      </c>
      <c r="R287" s="18" t="e">
        <f t="shared" si="24"/>
        <v>#DIV/0!</v>
      </c>
      <c r="S287" s="36" t="s">
        <v>40</v>
      </c>
      <c r="T287" s="48" t="e">
        <f>SUM(I283:I289)/SUM(L283:L289)</f>
        <v>#DIV/0!</v>
      </c>
      <c r="U287" s="1738"/>
    </row>
    <row r="288" spans="1:21">
      <c r="A288" s="10" t="s">
        <v>15</v>
      </c>
      <c r="B288" s="19">
        <v>46305</v>
      </c>
      <c r="C288" s="75" t="str">
        <f>IF(H288=0,"",'[2]2025-2026'!C287)</f>
        <v/>
      </c>
      <c r="D288" s="68" t="str">
        <f>'[2]2025'!C288</f>
        <v/>
      </c>
      <c r="E288" s="68" t="str">
        <f>'[2]2025'!D288</f>
        <v/>
      </c>
      <c r="F288" s="20" t="str">
        <f>'[2]2025'!E288</f>
        <v/>
      </c>
      <c r="G288" s="73" t="str">
        <f>'[2]2025'!F288</f>
        <v/>
      </c>
      <c r="H288" s="42">
        <f>'[2]2025'!G288</f>
        <v>0</v>
      </c>
      <c r="I288" s="13">
        <f>'[2]2025'!H288</f>
        <v>0</v>
      </c>
      <c r="J288" s="14">
        <f>'[2]2025'!I288</f>
        <v>0</v>
      </c>
      <c r="K288" s="15">
        <f>'[2]2025'!J288</f>
        <v>0</v>
      </c>
      <c r="L288" s="15">
        <f>'[2]2025'!K288</f>
        <v>0</v>
      </c>
      <c r="M288" s="15">
        <f>'[2]2025'!L288</f>
        <v>0</v>
      </c>
      <c r="N288" s="16" t="str">
        <f t="shared" si="20"/>
        <v/>
      </c>
      <c r="O288" s="17" t="str">
        <f t="shared" si="21"/>
        <v/>
      </c>
      <c r="P288" s="17" t="str">
        <f t="shared" si="22"/>
        <v/>
      </c>
      <c r="Q288" s="18" t="str">
        <f t="shared" si="23"/>
        <v/>
      </c>
      <c r="R288" s="18" t="e">
        <f t="shared" si="24"/>
        <v>#DIV/0!</v>
      </c>
      <c r="S288" s="36">
        <f>SUM(J283:J289)</f>
        <v>0</v>
      </c>
      <c r="T288" s="30" t="s">
        <v>3</v>
      </c>
      <c r="U288" s="1738"/>
    </row>
    <row r="289" spans="1:21" ht="18" thickBot="1">
      <c r="A289" s="10" t="s">
        <v>16</v>
      </c>
      <c r="B289" s="19">
        <v>46306</v>
      </c>
      <c r="C289" s="75" t="str">
        <f>IF(H289=0,"",'[2]2025-2026'!C288)</f>
        <v/>
      </c>
      <c r="D289" s="68" t="str">
        <f>'[2]2025'!C289</f>
        <v/>
      </c>
      <c r="E289" s="68" t="str">
        <f>'[2]2025'!D289</f>
        <v/>
      </c>
      <c r="F289" s="20" t="str">
        <f>'[2]2025'!E289</f>
        <v/>
      </c>
      <c r="G289" s="73" t="str">
        <f>'[2]2025'!F289</f>
        <v/>
      </c>
      <c r="H289" s="42">
        <f>'[2]2025'!G289</f>
        <v>0</v>
      </c>
      <c r="I289" s="13">
        <f>'[2]2025'!H289</f>
        <v>0</v>
      </c>
      <c r="J289" s="14">
        <f>'[2]2025'!I289</f>
        <v>0</v>
      </c>
      <c r="K289" s="15">
        <f>'[2]2025'!J289</f>
        <v>0</v>
      </c>
      <c r="L289" s="15">
        <f>'[2]2025'!K289</f>
        <v>0</v>
      </c>
      <c r="M289" s="15">
        <f>'[2]2025'!L289</f>
        <v>0</v>
      </c>
      <c r="N289" s="16" t="str">
        <f t="shared" si="20"/>
        <v/>
      </c>
      <c r="O289" s="17" t="str">
        <f t="shared" si="21"/>
        <v/>
      </c>
      <c r="P289" s="17" t="str">
        <f t="shared" si="22"/>
        <v/>
      </c>
      <c r="Q289" s="18" t="str">
        <f t="shared" si="23"/>
        <v/>
      </c>
      <c r="R289" s="18" t="e">
        <f t="shared" si="24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</row>
    <row r="290" spans="1:21" ht="17" customHeight="1" thickTop="1">
      <c r="A290" s="10" t="s">
        <v>9</v>
      </c>
      <c r="B290" s="19">
        <v>46307</v>
      </c>
      <c r="C290" s="75" t="str">
        <f>IF(H290=0,"",'[2]2025-2026'!C289)</f>
        <v/>
      </c>
      <c r="D290" s="68" t="str">
        <f>'[2]2025'!C290</f>
        <v/>
      </c>
      <c r="E290" s="68" t="str">
        <f>'[2]2025'!D290</f>
        <v/>
      </c>
      <c r="F290" s="20" t="str">
        <f>'[2]2025'!E290</f>
        <v/>
      </c>
      <c r="G290" s="73" t="str">
        <f>'[2]2025'!F290</f>
        <v/>
      </c>
      <c r="H290" s="42">
        <f>'[2]2025'!G290</f>
        <v>0</v>
      </c>
      <c r="I290" s="13">
        <f>'[2]2025'!H290</f>
        <v>0</v>
      </c>
      <c r="J290" s="14">
        <f>'[2]2025'!I290</f>
        <v>0</v>
      </c>
      <c r="K290" s="15">
        <f>'[2]2025'!J290</f>
        <v>0</v>
      </c>
      <c r="L290" s="15">
        <f>'[2]2025'!K290</f>
        <v>0</v>
      </c>
      <c r="M290" s="15">
        <f>'[2]2025'!L290</f>
        <v>0</v>
      </c>
      <c r="N290" s="16" t="str">
        <f t="shared" si="20"/>
        <v/>
      </c>
      <c r="O290" s="17" t="str">
        <f t="shared" si="21"/>
        <v/>
      </c>
      <c r="P290" s="17" t="str">
        <f t="shared" si="22"/>
        <v/>
      </c>
      <c r="Q290" s="18" t="str">
        <f t="shared" si="23"/>
        <v/>
      </c>
      <c r="R290" s="18" t="e">
        <f t="shared" si="24"/>
        <v>#DIV/0!</v>
      </c>
      <c r="S290" s="33" t="s">
        <v>39</v>
      </c>
      <c r="T290" s="31" t="s">
        <v>42</v>
      </c>
      <c r="U290" s="1737" t="s">
        <v>124</v>
      </c>
    </row>
    <row r="291" spans="1:21">
      <c r="A291" s="10" t="s">
        <v>11</v>
      </c>
      <c r="B291" s="19">
        <v>46308</v>
      </c>
      <c r="C291" s="75" t="str">
        <f>IF(H291=0,"",'[2]2025-2026'!C290)</f>
        <v/>
      </c>
      <c r="D291" s="68" t="str">
        <f>'[2]2025'!C291</f>
        <v/>
      </c>
      <c r="E291" s="68" t="str">
        <f>'[2]2025'!D291</f>
        <v/>
      </c>
      <c r="F291" s="20" t="str">
        <f>'[2]2025'!E291</f>
        <v/>
      </c>
      <c r="G291" s="73" t="str">
        <f>'[2]2025'!F291</f>
        <v/>
      </c>
      <c r="H291" s="42">
        <f>'[2]2025'!G291</f>
        <v>0</v>
      </c>
      <c r="I291" s="13">
        <f>'[2]2025'!H291</f>
        <v>0</v>
      </c>
      <c r="J291" s="14">
        <f>'[2]2025'!I291</f>
        <v>0</v>
      </c>
      <c r="K291" s="15">
        <f>'[2]2025'!J291</f>
        <v>0</v>
      </c>
      <c r="L291" s="15">
        <f>'[2]2025'!K291</f>
        <v>0</v>
      </c>
      <c r="M291" s="15">
        <f>'[2]2025'!L291</f>
        <v>0</v>
      </c>
      <c r="N291" s="16" t="str">
        <f t="shared" si="20"/>
        <v/>
      </c>
      <c r="O291" s="17" t="str">
        <f t="shared" si="21"/>
        <v/>
      </c>
      <c r="P291" s="17" t="str">
        <f t="shared" si="22"/>
        <v/>
      </c>
      <c r="Q291" s="18" t="str">
        <f t="shared" si="23"/>
        <v/>
      </c>
      <c r="R291" s="18" t="e">
        <f t="shared" si="24"/>
        <v>#DIV/0!</v>
      </c>
      <c r="S291" s="34">
        <f>SUM(I290:I296)</f>
        <v>0</v>
      </c>
      <c r="T291" s="45" t="s">
        <v>41</v>
      </c>
      <c r="U291" s="1738"/>
    </row>
    <row r="292" spans="1:21">
      <c r="A292" s="10" t="s">
        <v>12</v>
      </c>
      <c r="B292" s="19">
        <v>46309</v>
      </c>
      <c r="C292" s="75" t="str">
        <f>IF(H292=0,"",'[2]2025-2026'!C291)</f>
        <v/>
      </c>
      <c r="D292" s="68" t="str">
        <f>'[2]2025'!C292</f>
        <v/>
      </c>
      <c r="E292" s="68" t="str">
        <f>'[2]2025'!D292</f>
        <v/>
      </c>
      <c r="F292" s="20" t="str">
        <f>'[2]2025'!E292</f>
        <v/>
      </c>
      <c r="G292" s="73" t="str">
        <f>'[2]2025'!F292</f>
        <v/>
      </c>
      <c r="H292" s="42">
        <f>'[2]2025'!G292</f>
        <v>0</v>
      </c>
      <c r="I292" s="13">
        <f>'[2]2025'!H292</f>
        <v>0</v>
      </c>
      <c r="J292" s="14">
        <f>'[2]2025'!I292</f>
        <v>0</v>
      </c>
      <c r="K292" s="15">
        <f>'[2]2025'!J292</f>
        <v>0</v>
      </c>
      <c r="L292" s="15">
        <f>'[2]2025'!K292</f>
        <v>0</v>
      </c>
      <c r="M292" s="15">
        <f>'[2]2025'!L292</f>
        <v>0</v>
      </c>
      <c r="N292" s="16" t="str">
        <f t="shared" si="20"/>
        <v/>
      </c>
      <c r="O292" s="17" t="str">
        <f t="shared" si="21"/>
        <v/>
      </c>
      <c r="P292" s="17" t="str">
        <f t="shared" si="22"/>
        <v/>
      </c>
      <c r="Q292" s="18" t="str">
        <f t="shared" si="23"/>
        <v/>
      </c>
      <c r="R292" s="18" t="e">
        <f t="shared" si="24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</row>
    <row r="293" spans="1:21">
      <c r="A293" s="10" t="s">
        <v>13</v>
      </c>
      <c r="B293" s="19">
        <v>46310</v>
      </c>
      <c r="C293" s="75" t="str">
        <f>IF(H293=0,"",'[2]2025-2026'!C292)</f>
        <v/>
      </c>
      <c r="D293" s="68" t="str">
        <f>'[2]2025'!C293</f>
        <v/>
      </c>
      <c r="E293" s="68" t="str">
        <f>'[2]2025'!D293</f>
        <v/>
      </c>
      <c r="F293" s="20" t="str">
        <f>'[2]2025'!E293</f>
        <v/>
      </c>
      <c r="G293" s="73" t="str">
        <f>'[2]2025'!F293</f>
        <v/>
      </c>
      <c r="H293" s="42">
        <f>'[2]2025'!G293</f>
        <v>0</v>
      </c>
      <c r="I293" s="13">
        <f>'[2]2025'!H293</f>
        <v>0</v>
      </c>
      <c r="J293" s="14">
        <f>'[2]2025'!I293</f>
        <v>0</v>
      </c>
      <c r="K293" s="15">
        <f>'[2]2025'!J293</f>
        <v>0</v>
      </c>
      <c r="L293" s="15">
        <f>'[2]2025'!K293</f>
        <v>0</v>
      </c>
      <c r="M293" s="15">
        <f>'[2]2025'!L293</f>
        <v>0</v>
      </c>
      <c r="N293" s="16" t="str">
        <f t="shared" si="20"/>
        <v/>
      </c>
      <c r="O293" s="17" t="str">
        <f t="shared" si="21"/>
        <v/>
      </c>
      <c r="P293" s="17" t="str">
        <f t="shared" si="22"/>
        <v/>
      </c>
      <c r="Q293" s="18" t="str">
        <f t="shared" si="23"/>
        <v/>
      </c>
      <c r="R293" s="18" t="e">
        <f t="shared" si="24"/>
        <v>#DIV/0!</v>
      </c>
      <c r="S293" s="34"/>
      <c r="T293" s="29" t="s">
        <v>8</v>
      </c>
      <c r="U293" s="1738"/>
    </row>
    <row r="294" spans="1:21">
      <c r="A294" s="10" t="s">
        <v>14</v>
      </c>
      <c r="B294" s="19">
        <v>46311</v>
      </c>
      <c r="C294" s="75" t="str">
        <f>IF(H294=0,"",'[2]2025-2026'!C293)</f>
        <v/>
      </c>
      <c r="D294" s="68" t="str">
        <f>'[2]2025'!C294</f>
        <v/>
      </c>
      <c r="E294" s="68" t="str">
        <f>'[2]2025'!D294</f>
        <v/>
      </c>
      <c r="F294" s="20" t="str">
        <f>'[2]2025'!E294</f>
        <v/>
      </c>
      <c r="G294" s="73" t="str">
        <f>'[2]2025'!F294</f>
        <v/>
      </c>
      <c r="H294" s="42">
        <f>'[2]2025'!G294</f>
        <v>0</v>
      </c>
      <c r="I294" s="13">
        <f>'[2]2025'!H294</f>
        <v>0</v>
      </c>
      <c r="J294" s="14">
        <f>'[2]2025'!I294</f>
        <v>0</v>
      </c>
      <c r="K294" s="15">
        <f>'[2]2025'!J294</f>
        <v>0</v>
      </c>
      <c r="L294" s="15">
        <f>'[2]2025'!K294</f>
        <v>0</v>
      </c>
      <c r="M294" s="15">
        <f>'[2]2025'!L294</f>
        <v>0</v>
      </c>
      <c r="N294" s="16" t="str">
        <f t="shared" si="20"/>
        <v/>
      </c>
      <c r="O294" s="17" t="str">
        <f t="shared" si="21"/>
        <v/>
      </c>
      <c r="P294" s="17" t="str">
        <f t="shared" si="22"/>
        <v/>
      </c>
      <c r="Q294" s="18" t="str">
        <f t="shared" si="23"/>
        <v/>
      </c>
      <c r="R294" s="18" t="e">
        <f t="shared" si="24"/>
        <v>#DIV/0!</v>
      </c>
      <c r="S294" s="36" t="s">
        <v>40</v>
      </c>
      <c r="T294" s="48" t="e">
        <f>SUM(I290:I296)/SUM(L290:L296)</f>
        <v>#DIV/0!</v>
      </c>
      <c r="U294" s="1738"/>
    </row>
    <row r="295" spans="1:21">
      <c r="A295" s="10" t="s">
        <v>15</v>
      </c>
      <c r="B295" s="19">
        <v>46312</v>
      </c>
      <c r="C295" s="75" t="str">
        <f>IF(H295=0,"",'[2]2025-2026'!C294)</f>
        <v/>
      </c>
      <c r="D295" s="68" t="str">
        <f>'[2]2025'!C295</f>
        <v/>
      </c>
      <c r="E295" s="68" t="str">
        <f>'[2]2025'!D295</f>
        <v/>
      </c>
      <c r="F295" s="20" t="str">
        <f>'[2]2025'!E295</f>
        <v/>
      </c>
      <c r="G295" s="73" t="str">
        <f>'[2]2025'!F295</f>
        <v/>
      </c>
      <c r="H295" s="42">
        <f>'[2]2025'!G295</f>
        <v>0</v>
      </c>
      <c r="I295" s="13">
        <f>'[2]2025'!H295</f>
        <v>0</v>
      </c>
      <c r="J295" s="14">
        <f>'[2]2025'!I295</f>
        <v>0</v>
      </c>
      <c r="K295" s="15">
        <f>'[2]2025'!J295</f>
        <v>0</v>
      </c>
      <c r="L295" s="15">
        <f>'[2]2025'!K295</f>
        <v>0</v>
      </c>
      <c r="M295" s="15">
        <f>'[2]2025'!L295</f>
        <v>0</v>
      </c>
      <c r="N295" s="16" t="str">
        <f t="shared" si="20"/>
        <v/>
      </c>
      <c r="O295" s="17" t="str">
        <f t="shared" si="21"/>
        <v/>
      </c>
      <c r="P295" s="17" t="str">
        <f t="shared" si="22"/>
        <v/>
      </c>
      <c r="Q295" s="18" t="str">
        <f t="shared" si="23"/>
        <v/>
      </c>
      <c r="R295" s="18" t="e">
        <f t="shared" si="24"/>
        <v>#DIV/0!</v>
      </c>
      <c r="S295" s="36">
        <f>SUM(J290:J296)</f>
        <v>0</v>
      </c>
      <c r="T295" s="30" t="s">
        <v>3</v>
      </c>
      <c r="U295" s="1738"/>
    </row>
    <row r="296" spans="1:21" ht="18" thickBot="1">
      <c r="A296" s="10" t="s">
        <v>16</v>
      </c>
      <c r="B296" s="19">
        <v>46313</v>
      </c>
      <c r="C296" s="75" t="str">
        <f>IF(H296=0,"",'[2]2025-2026'!C295)</f>
        <v/>
      </c>
      <c r="D296" s="68" t="str">
        <f>'[2]2025'!C296</f>
        <v/>
      </c>
      <c r="E296" s="68" t="str">
        <f>'[2]2025'!D296</f>
        <v/>
      </c>
      <c r="F296" s="20" t="str">
        <f>'[2]2025'!E296</f>
        <v/>
      </c>
      <c r="G296" s="73" t="str">
        <f>'[2]2025'!F296</f>
        <v/>
      </c>
      <c r="H296" s="42">
        <f>'[2]2025'!G296</f>
        <v>0</v>
      </c>
      <c r="I296" s="13">
        <f>'[2]2025'!H296</f>
        <v>0</v>
      </c>
      <c r="J296" s="14">
        <f>'[2]2025'!I296</f>
        <v>0</v>
      </c>
      <c r="K296" s="15">
        <f>'[2]2025'!J296</f>
        <v>0</v>
      </c>
      <c r="L296" s="15">
        <f>'[2]2025'!K296</f>
        <v>0</v>
      </c>
      <c r="M296" s="15">
        <f>'[2]2025'!L296</f>
        <v>0</v>
      </c>
      <c r="N296" s="16" t="str">
        <f t="shared" si="20"/>
        <v/>
      </c>
      <c r="O296" s="17" t="str">
        <f t="shared" si="21"/>
        <v/>
      </c>
      <c r="P296" s="17" t="str">
        <f t="shared" si="22"/>
        <v/>
      </c>
      <c r="Q296" s="18" t="str">
        <f t="shared" si="23"/>
        <v/>
      </c>
      <c r="R296" s="18" t="e">
        <f t="shared" si="24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</row>
    <row r="297" spans="1:21" ht="17" customHeight="1" thickTop="1">
      <c r="A297" s="10" t="s">
        <v>9</v>
      </c>
      <c r="B297" s="19">
        <v>46314</v>
      </c>
      <c r="C297" s="75" t="str">
        <f>IF(H297=0,"",'[2]2025-2026'!C296)</f>
        <v/>
      </c>
      <c r="D297" s="68" t="str">
        <f>'[2]2025'!C297</f>
        <v/>
      </c>
      <c r="E297" s="68" t="str">
        <f>'[2]2025'!D297</f>
        <v/>
      </c>
      <c r="F297" s="20" t="str">
        <f>'[2]2025'!E297</f>
        <v/>
      </c>
      <c r="G297" s="73" t="str">
        <f>'[2]2025'!F297</f>
        <v/>
      </c>
      <c r="H297" s="42">
        <f>'[2]2025'!G297</f>
        <v>0</v>
      </c>
      <c r="I297" s="13">
        <f>'[2]2025'!H297</f>
        <v>0</v>
      </c>
      <c r="J297" s="14">
        <f>'[2]2025'!I297</f>
        <v>0</v>
      </c>
      <c r="K297" s="15">
        <f>'[2]2025'!J297</f>
        <v>0</v>
      </c>
      <c r="L297" s="15">
        <f>'[2]2025'!K297</f>
        <v>0</v>
      </c>
      <c r="M297" s="15">
        <f>'[2]2025'!L297</f>
        <v>0</v>
      </c>
      <c r="N297" s="16" t="str">
        <f t="shared" si="20"/>
        <v/>
      </c>
      <c r="O297" s="17" t="str">
        <f t="shared" si="21"/>
        <v/>
      </c>
      <c r="P297" s="17" t="str">
        <f t="shared" si="22"/>
        <v/>
      </c>
      <c r="Q297" s="18" t="str">
        <f t="shared" si="23"/>
        <v/>
      </c>
      <c r="R297" s="18" t="e">
        <f t="shared" si="24"/>
        <v>#DIV/0!</v>
      </c>
      <c r="S297" s="33" t="s">
        <v>39</v>
      </c>
      <c r="T297" s="31" t="s">
        <v>42</v>
      </c>
      <c r="U297" s="1737" t="s">
        <v>125</v>
      </c>
    </row>
    <row r="298" spans="1:21">
      <c r="A298" s="10" t="s">
        <v>11</v>
      </c>
      <c r="B298" s="19">
        <v>46315</v>
      </c>
      <c r="C298" s="75" t="str">
        <f>IF(H298=0,"",'[2]2025-2026'!C297)</f>
        <v/>
      </c>
      <c r="D298" s="68" t="str">
        <f>'[2]2025'!C298</f>
        <v/>
      </c>
      <c r="E298" s="68" t="str">
        <f>'[2]2025'!D298</f>
        <v/>
      </c>
      <c r="F298" s="20" t="str">
        <f>'[2]2025'!E298</f>
        <v/>
      </c>
      <c r="G298" s="73" t="str">
        <f>'[2]2025'!F298</f>
        <v/>
      </c>
      <c r="H298" s="42">
        <f>'[2]2025'!G298</f>
        <v>0</v>
      </c>
      <c r="I298" s="13">
        <f>'[2]2025'!H298</f>
        <v>0</v>
      </c>
      <c r="J298" s="14">
        <f>'[2]2025'!I298</f>
        <v>0</v>
      </c>
      <c r="K298" s="15">
        <f>'[2]2025'!J298</f>
        <v>0</v>
      </c>
      <c r="L298" s="15">
        <f>'[2]2025'!K298</f>
        <v>0</v>
      </c>
      <c r="M298" s="15">
        <f>'[2]2025'!L298</f>
        <v>0</v>
      </c>
      <c r="N298" s="16" t="str">
        <f t="shared" si="20"/>
        <v/>
      </c>
      <c r="O298" s="17" t="str">
        <f t="shared" si="21"/>
        <v/>
      </c>
      <c r="P298" s="17" t="str">
        <f t="shared" si="22"/>
        <v/>
      </c>
      <c r="Q298" s="18" t="str">
        <f t="shared" si="23"/>
        <v/>
      </c>
      <c r="R298" s="18" t="e">
        <f t="shared" si="24"/>
        <v>#DIV/0!</v>
      </c>
      <c r="S298" s="34">
        <f>SUM(I297:I303)</f>
        <v>0</v>
      </c>
      <c r="T298" s="45" t="s">
        <v>41</v>
      </c>
      <c r="U298" s="1738"/>
    </row>
    <row r="299" spans="1:21">
      <c r="A299" s="10" t="s">
        <v>12</v>
      </c>
      <c r="B299" s="19">
        <v>46316</v>
      </c>
      <c r="C299" s="75" t="str">
        <f>IF(H299=0,"",'[2]2025-2026'!C298)</f>
        <v/>
      </c>
      <c r="D299" s="68" t="str">
        <f>'[2]2025'!C299</f>
        <v/>
      </c>
      <c r="E299" s="68" t="str">
        <f>'[2]2025'!D299</f>
        <v/>
      </c>
      <c r="F299" s="20" t="str">
        <f>'[2]2025'!E299</f>
        <v/>
      </c>
      <c r="G299" s="73" t="str">
        <f>'[2]2025'!F299</f>
        <v/>
      </c>
      <c r="H299" s="42">
        <f>'[2]2025'!G299</f>
        <v>0</v>
      </c>
      <c r="I299" s="13">
        <f>'[2]2025'!H299</f>
        <v>0</v>
      </c>
      <c r="J299" s="14">
        <f>'[2]2025'!I299</f>
        <v>0</v>
      </c>
      <c r="K299" s="15">
        <f>'[2]2025'!J299</f>
        <v>0</v>
      </c>
      <c r="L299" s="15">
        <f>'[2]2025'!K299</f>
        <v>0</v>
      </c>
      <c r="M299" s="15">
        <f>'[2]2025'!L299</f>
        <v>0</v>
      </c>
      <c r="N299" s="16" t="str">
        <f t="shared" si="20"/>
        <v/>
      </c>
      <c r="O299" s="17" t="str">
        <f t="shared" si="21"/>
        <v/>
      </c>
      <c r="P299" s="17" t="str">
        <f t="shared" si="22"/>
        <v/>
      </c>
      <c r="Q299" s="18" t="str">
        <f t="shared" si="23"/>
        <v/>
      </c>
      <c r="R299" s="18" t="e">
        <f t="shared" si="24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</row>
    <row r="300" spans="1:21">
      <c r="A300" s="10" t="s">
        <v>13</v>
      </c>
      <c r="B300" s="19">
        <v>46317</v>
      </c>
      <c r="C300" s="75" t="str">
        <f>IF(H300=0,"",'[2]2025-2026'!C299)</f>
        <v/>
      </c>
      <c r="D300" s="68" t="str">
        <f>'[2]2025'!C300</f>
        <v/>
      </c>
      <c r="E300" s="68" t="str">
        <f>'[2]2025'!D300</f>
        <v/>
      </c>
      <c r="F300" s="20" t="str">
        <f>'[2]2025'!E300</f>
        <v/>
      </c>
      <c r="G300" s="73" t="str">
        <f>'[2]2025'!F300</f>
        <v/>
      </c>
      <c r="H300" s="42">
        <f>'[2]2025'!G300</f>
        <v>0</v>
      </c>
      <c r="I300" s="13">
        <f>'[2]2025'!H300</f>
        <v>0</v>
      </c>
      <c r="J300" s="14">
        <f>'[2]2025'!I300</f>
        <v>0</v>
      </c>
      <c r="K300" s="15">
        <f>'[2]2025'!J300</f>
        <v>0</v>
      </c>
      <c r="L300" s="15">
        <f>'[2]2025'!K300</f>
        <v>0</v>
      </c>
      <c r="M300" s="15">
        <f>'[2]2025'!L300</f>
        <v>0</v>
      </c>
      <c r="N300" s="16" t="str">
        <f t="shared" si="20"/>
        <v/>
      </c>
      <c r="O300" s="17" t="str">
        <f t="shared" si="21"/>
        <v/>
      </c>
      <c r="P300" s="17" t="str">
        <f t="shared" si="22"/>
        <v/>
      </c>
      <c r="Q300" s="18" t="str">
        <f t="shared" si="23"/>
        <v/>
      </c>
      <c r="R300" s="18" t="e">
        <f t="shared" si="24"/>
        <v>#DIV/0!</v>
      </c>
      <c r="S300" s="34"/>
      <c r="T300" s="29" t="s">
        <v>8</v>
      </c>
      <c r="U300" s="1738"/>
    </row>
    <row r="301" spans="1:21">
      <c r="A301" s="10" t="s">
        <v>14</v>
      </c>
      <c r="B301" s="19">
        <v>46318</v>
      </c>
      <c r="C301" s="75" t="str">
        <f>IF(H301=0,"",'[2]2025-2026'!C300)</f>
        <v/>
      </c>
      <c r="D301" s="68" t="str">
        <f>'[2]2025'!C301</f>
        <v/>
      </c>
      <c r="E301" s="68" t="str">
        <f>'[2]2025'!D301</f>
        <v/>
      </c>
      <c r="F301" s="20" t="str">
        <f>'[2]2025'!E301</f>
        <v/>
      </c>
      <c r="G301" s="73" t="str">
        <f>'[2]2025'!F301</f>
        <v/>
      </c>
      <c r="H301" s="42">
        <f>'[2]2025'!G301</f>
        <v>0</v>
      </c>
      <c r="I301" s="13">
        <f>'[2]2025'!H301</f>
        <v>0</v>
      </c>
      <c r="J301" s="14">
        <f>'[2]2025'!I301</f>
        <v>0</v>
      </c>
      <c r="K301" s="15">
        <f>'[2]2025'!J301</f>
        <v>0</v>
      </c>
      <c r="L301" s="15">
        <f>'[2]2025'!K301</f>
        <v>0</v>
      </c>
      <c r="M301" s="15">
        <f>'[2]2025'!L301</f>
        <v>0</v>
      </c>
      <c r="N301" s="16" t="str">
        <f t="shared" si="20"/>
        <v/>
      </c>
      <c r="O301" s="17" t="str">
        <f t="shared" si="21"/>
        <v/>
      </c>
      <c r="P301" s="17" t="str">
        <f t="shared" si="22"/>
        <v/>
      </c>
      <c r="Q301" s="18" t="str">
        <f t="shared" si="23"/>
        <v/>
      </c>
      <c r="R301" s="18" t="e">
        <f t="shared" si="24"/>
        <v>#DIV/0!</v>
      </c>
      <c r="S301" s="36" t="s">
        <v>40</v>
      </c>
      <c r="T301" s="48" t="e">
        <f>SUM(I297:I303)/SUM(L297:L303)</f>
        <v>#DIV/0!</v>
      </c>
      <c r="U301" s="1738"/>
    </row>
    <row r="302" spans="1:21">
      <c r="A302" s="10" t="s">
        <v>15</v>
      </c>
      <c r="B302" s="19">
        <v>46319</v>
      </c>
      <c r="C302" s="75" t="str">
        <f>IF(H302=0,"",'[2]2025-2026'!C301)</f>
        <v/>
      </c>
      <c r="D302" s="68" t="str">
        <f>'[2]2025'!C302</f>
        <v/>
      </c>
      <c r="E302" s="68" t="str">
        <f>'[2]2025'!D302</f>
        <v/>
      </c>
      <c r="F302" s="20" t="str">
        <f>'[2]2025'!E302</f>
        <v/>
      </c>
      <c r="G302" s="73" t="str">
        <f>'[2]2025'!F302</f>
        <v/>
      </c>
      <c r="H302" s="42">
        <f>'[2]2025'!G302</f>
        <v>0</v>
      </c>
      <c r="I302" s="13">
        <f>'[2]2025'!H302</f>
        <v>0</v>
      </c>
      <c r="J302" s="14">
        <f>'[2]2025'!I302</f>
        <v>0</v>
      </c>
      <c r="K302" s="15">
        <f>'[2]2025'!J302</f>
        <v>0</v>
      </c>
      <c r="L302" s="15">
        <f>'[2]2025'!K302</f>
        <v>0</v>
      </c>
      <c r="M302" s="15">
        <f>'[2]2025'!L302</f>
        <v>0</v>
      </c>
      <c r="N302" s="16" t="str">
        <f t="shared" si="20"/>
        <v/>
      </c>
      <c r="O302" s="17" t="str">
        <f t="shared" si="21"/>
        <v/>
      </c>
      <c r="P302" s="17" t="str">
        <f t="shared" si="22"/>
        <v/>
      </c>
      <c r="Q302" s="18" t="str">
        <f t="shared" si="23"/>
        <v/>
      </c>
      <c r="R302" s="18" t="e">
        <f t="shared" si="24"/>
        <v>#DIV/0!</v>
      </c>
      <c r="S302" s="36">
        <f>SUM(J297:J303)</f>
        <v>0</v>
      </c>
      <c r="T302" s="30" t="s">
        <v>3</v>
      </c>
      <c r="U302" s="1738"/>
    </row>
    <row r="303" spans="1:21" ht="18" thickBot="1">
      <c r="A303" s="10" t="s">
        <v>16</v>
      </c>
      <c r="B303" s="19">
        <v>46320</v>
      </c>
      <c r="C303" s="75" t="str">
        <f>IF(H303=0,"",'[2]2025-2026'!C302)</f>
        <v/>
      </c>
      <c r="D303" s="68" t="str">
        <f>'[2]2025'!C303</f>
        <v/>
      </c>
      <c r="E303" s="68" t="str">
        <f>'[2]2025'!D303</f>
        <v/>
      </c>
      <c r="F303" s="20" t="str">
        <f>'[2]2025'!E303</f>
        <v/>
      </c>
      <c r="G303" s="73" t="str">
        <f>'[2]2025'!F303</f>
        <v/>
      </c>
      <c r="H303" s="42">
        <f>'[2]2025'!G303</f>
        <v>0</v>
      </c>
      <c r="I303" s="13">
        <f>'[2]2025'!H303</f>
        <v>0</v>
      </c>
      <c r="J303" s="14">
        <f>'[2]2025'!I303</f>
        <v>0</v>
      </c>
      <c r="K303" s="15">
        <f>'[2]2025'!J303</f>
        <v>0</v>
      </c>
      <c r="L303" s="15">
        <f>'[2]2025'!K303</f>
        <v>0</v>
      </c>
      <c r="M303" s="15">
        <f>'[2]2025'!L303</f>
        <v>0</v>
      </c>
      <c r="N303" s="16" t="str">
        <f t="shared" si="20"/>
        <v/>
      </c>
      <c r="O303" s="17" t="str">
        <f t="shared" si="21"/>
        <v/>
      </c>
      <c r="P303" s="17" t="str">
        <f t="shared" si="22"/>
        <v/>
      </c>
      <c r="Q303" s="18" t="str">
        <f t="shared" si="23"/>
        <v/>
      </c>
      <c r="R303" s="18" t="e">
        <f t="shared" si="24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</row>
    <row r="304" spans="1:21" ht="17" customHeight="1" thickTop="1">
      <c r="A304" s="10" t="s">
        <v>9</v>
      </c>
      <c r="B304" s="19">
        <v>46321</v>
      </c>
      <c r="C304" s="75" t="str">
        <f>IF(H304=0,"",'[2]2025-2026'!C303)</f>
        <v/>
      </c>
      <c r="D304" s="68" t="str">
        <f>'[2]2025'!C304</f>
        <v/>
      </c>
      <c r="E304" s="68" t="str">
        <f>'[2]2025'!D304</f>
        <v/>
      </c>
      <c r="F304" s="20" t="str">
        <f>'[2]2025'!E304</f>
        <v/>
      </c>
      <c r="G304" s="73" t="str">
        <f>'[2]2025'!F304</f>
        <v/>
      </c>
      <c r="H304" s="42">
        <f>'[2]2025'!G304</f>
        <v>0</v>
      </c>
      <c r="I304" s="13">
        <f>'[2]2025'!H304</f>
        <v>0</v>
      </c>
      <c r="J304" s="14">
        <f>'[2]2025'!I304</f>
        <v>0</v>
      </c>
      <c r="K304" s="15">
        <f>'[2]2025'!J304</f>
        <v>0</v>
      </c>
      <c r="L304" s="15">
        <f>'[2]2025'!K304</f>
        <v>0</v>
      </c>
      <c r="M304" s="15">
        <f>'[2]2025'!L304</f>
        <v>0</v>
      </c>
      <c r="N304" s="16" t="str">
        <f t="shared" si="20"/>
        <v/>
      </c>
      <c r="O304" s="17" t="str">
        <f t="shared" si="21"/>
        <v/>
      </c>
      <c r="P304" s="17" t="str">
        <f t="shared" si="22"/>
        <v/>
      </c>
      <c r="Q304" s="18" t="str">
        <f t="shared" si="23"/>
        <v/>
      </c>
      <c r="R304" s="18" t="e">
        <f t="shared" si="24"/>
        <v>#DIV/0!</v>
      </c>
      <c r="S304" s="33" t="s">
        <v>39</v>
      </c>
      <c r="T304" s="31" t="s">
        <v>42</v>
      </c>
      <c r="U304" s="1737" t="s">
        <v>126</v>
      </c>
    </row>
    <row r="305" spans="1:21">
      <c r="A305" s="10" t="s">
        <v>11</v>
      </c>
      <c r="B305" s="19">
        <v>46322</v>
      </c>
      <c r="C305" s="75" t="str">
        <f>IF(H305=0,"",'[2]2025-2026'!C304)</f>
        <v/>
      </c>
      <c r="D305" s="68" t="str">
        <f>'[2]2025'!C305</f>
        <v/>
      </c>
      <c r="E305" s="68" t="str">
        <f>'[2]2025'!D305</f>
        <v/>
      </c>
      <c r="F305" s="20" t="str">
        <f>'[2]2025'!E305</f>
        <v/>
      </c>
      <c r="G305" s="73" t="str">
        <f>'[2]2025'!F305</f>
        <v/>
      </c>
      <c r="H305" s="42">
        <f>'[2]2025'!G305</f>
        <v>0</v>
      </c>
      <c r="I305" s="13">
        <f>'[2]2025'!H305</f>
        <v>0</v>
      </c>
      <c r="J305" s="14">
        <f>'[2]2025'!I305</f>
        <v>0</v>
      </c>
      <c r="K305" s="15">
        <f>'[2]2025'!J305</f>
        <v>0</v>
      </c>
      <c r="L305" s="15">
        <f>'[2]2025'!K305</f>
        <v>0</v>
      </c>
      <c r="M305" s="15">
        <f>'[2]2025'!L305</f>
        <v>0</v>
      </c>
      <c r="N305" s="16" t="str">
        <f t="shared" si="20"/>
        <v/>
      </c>
      <c r="O305" s="17" t="str">
        <f t="shared" si="21"/>
        <v/>
      </c>
      <c r="P305" s="17" t="str">
        <f t="shared" si="22"/>
        <v/>
      </c>
      <c r="Q305" s="18" t="str">
        <f t="shared" si="23"/>
        <v/>
      </c>
      <c r="R305" s="18" t="e">
        <f t="shared" si="24"/>
        <v>#DIV/0!</v>
      </c>
      <c r="S305" s="34">
        <f>SUM(I304:I310)</f>
        <v>0</v>
      </c>
      <c r="T305" s="45" t="s">
        <v>41</v>
      </c>
      <c r="U305" s="1738"/>
    </row>
    <row r="306" spans="1:21">
      <c r="A306" s="10" t="s">
        <v>12</v>
      </c>
      <c r="B306" s="19">
        <v>46323</v>
      </c>
      <c r="C306" s="75" t="str">
        <f>IF(H306=0,"",'[2]2025-2026'!C305)</f>
        <v/>
      </c>
      <c r="D306" s="68" t="str">
        <f>'[2]2025'!C306</f>
        <v/>
      </c>
      <c r="E306" s="68" t="str">
        <f>'[2]2025'!D306</f>
        <v/>
      </c>
      <c r="F306" s="20" t="str">
        <f>'[2]2025'!E306</f>
        <v/>
      </c>
      <c r="G306" s="73" t="str">
        <f>'[2]2025'!F306</f>
        <v/>
      </c>
      <c r="H306" s="42">
        <f>'[2]2025'!G306</f>
        <v>0</v>
      </c>
      <c r="I306" s="13">
        <f>'[2]2025'!H306</f>
        <v>0</v>
      </c>
      <c r="J306" s="14">
        <f>'[2]2025'!I306</f>
        <v>0</v>
      </c>
      <c r="K306" s="15">
        <f>'[2]2025'!J306</f>
        <v>0</v>
      </c>
      <c r="L306" s="15">
        <f>'[2]2025'!K306</f>
        <v>0</v>
      </c>
      <c r="M306" s="15">
        <f>'[2]2025'!L306</f>
        <v>0</v>
      </c>
      <c r="N306" s="16" t="str">
        <f t="shared" si="20"/>
        <v/>
      </c>
      <c r="O306" s="17" t="str">
        <f t="shared" si="21"/>
        <v/>
      </c>
      <c r="P306" s="17" t="str">
        <f t="shared" si="22"/>
        <v/>
      </c>
      <c r="Q306" s="18" t="str">
        <f t="shared" si="23"/>
        <v/>
      </c>
      <c r="R306" s="18" t="e">
        <f t="shared" si="24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</row>
    <row r="307" spans="1:21">
      <c r="A307" s="10" t="s">
        <v>13</v>
      </c>
      <c r="B307" s="19">
        <v>46324</v>
      </c>
      <c r="C307" s="75" t="str">
        <f>IF(H307=0,"",'[2]2025-2026'!C306)</f>
        <v/>
      </c>
      <c r="D307" s="68" t="str">
        <f>'[2]2025'!C307</f>
        <v/>
      </c>
      <c r="E307" s="68" t="str">
        <f>'[2]2025'!D307</f>
        <v/>
      </c>
      <c r="F307" s="20" t="str">
        <f>'[2]2025'!E307</f>
        <v/>
      </c>
      <c r="G307" s="73" t="str">
        <f>'[2]2025'!F307</f>
        <v/>
      </c>
      <c r="H307" s="42">
        <f>'[2]2025'!G307</f>
        <v>0</v>
      </c>
      <c r="I307" s="13">
        <f>'[2]2025'!H307</f>
        <v>0</v>
      </c>
      <c r="J307" s="14">
        <f>'[2]2025'!I307</f>
        <v>0</v>
      </c>
      <c r="K307" s="15">
        <f>'[2]2025'!J307</f>
        <v>0</v>
      </c>
      <c r="L307" s="15">
        <f>'[2]2025'!K307</f>
        <v>0</v>
      </c>
      <c r="M307" s="15">
        <f>'[2]2025'!L307</f>
        <v>0</v>
      </c>
      <c r="N307" s="16" t="str">
        <f t="shared" si="20"/>
        <v/>
      </c>
      <c r="O307" s="17" t="str">
        <f t="shared" si="21"/>
        <v/>
      </c>
      <c r="P307" s="17" t="str">
        <f t="shared" si="22"/>
        <v/>
      </c>
      <c r="Q307" s="18" t="str">
        <f t="shared" si="23"/>
        <v/>
      </c>
      <c r="R307" s="18" t="e">
        <f t="shared" si="24"/>
        <v>#DIV/0!</v>
      </c>
      <c r="S307" s="34"/>
      <c r="T307" s="29" t="s">
        <v>8</v>
      </c>
      <c r="U307" s="1738"/>
    </row>
    <row r="308" spans="1:21">
      <c r="A308" s="10" t="s">
        <v>14</v>
      </c>
      <c r="B308" s="19">
        <v>46325</v>
      </c>
      <c r="C308" s="75" t="str">
        <f>IF(H308=0,"",'[2]2025-2026'!C307)</f>
        <v/>
      </c>
      <c r="D308" s="68" t="str">
        <f>'[2]2025'!C308</f>
        <v/>
      </c>
      <c r="E308" s="68" t="str">
        <f>'[2]2025'!D308</f>
        <v/>
      </c>
      <c r="F308" s="20" t="str">
        <f>'[2]2025'!E308</f>
        <v/>
      </c>
      <c r="G308" s="73" t="str">
        <f>'[2]2025'!F308</f>
        <v/>
      </c>
      <c r="H308" s="42">
        <f>'[2]2025'!G308</f>
        <v>0</v>
      </c>
      <c r="I308" s="13">
        <f>'[2]2025'!H308</f>
        <v>0</v>
      </c>
      <c r="J308" s="14">
        <f>'[2]2025'!I308</f>
        <v>0</v>
      </c>
      <c r="K308" s="15">
        <f>'[2]2025'!J308</f>
        <v>0</v>
      </c>
      <c r="L308" s="15">
        <f>'[2]2025'!K308</f>
        <v>0</v>
      </c>
      <c r="M308" s="15">
        <f>'[2]2025'!L308</f>
        <v>0</v>
      </c>
      <c r="N308" s="16" t="str">
        <f t="shared" si="20"/>
        <v/>
      </c>
      <c r="O308" s="17" t="str">
        <f t="shared" si="21"/>
        <v/>
      </c>
      <c r="P308" s="17" t="str">
        <f t="shared" si="22"/>
        <v/>
      </c>
      <c r="Q308" s="18" t="str">
        <f t="shared" si="23"/>
        <v/>
      </c>
      <c r="R308" s="18" t="e">
        <f t="shared" si="24"/>
        <v>#DIV/0!</v>
      </c>
      <c r="S308" s="36" t="s">
        <v>40</v>
      </c>
      <c r="T308" s="48" t="e">
        <f>SUM(I304:I310)/SUM(L304:L310)</f>
        <v>#DIV/0!</v>
      </c>
      <c r="U308" s="1738"/>
    </row>
    <row r="309" spans="1:21">
      <c r="A309" s="10" t="s">
        <v>15</v>
      </c>
      <c r="B309" s="19">
        <v>46326</v>
      </c>
      <c r="C309" s="75" t="str">
        <f>IF(H309=0,"",'[2]2025-2026'!C308)</f>
        <v/>
      </c>
      <c r="D309" s="68" t="str">
        <f>'[2]2025'!C309</f>
        <v/>
      </c>
      <c r="E309" s="68" t="str">
        <f>'[2]2025'!D309</f>
        <v/>
      </c>
      <c r="F309" s="20" t="str">
        <f>'[2]2025'!E309</f>
        <v/>
      </c>
      <c r="G309" s="73" t="str">
        <f>'[2]2025'!F309</f>
        <v/>
      </c>
      <c r="H309" s="42">
        <f>'[2]2025'!G309</f>
        <v>0</v>
      </c>
      <c r="I309" s="13">
        <f>'[2]2025'!H309</f>
        <v>0</v>
      </c>
      <c r="J309" s="14">
        <f>'[2]2025'!I309</f>
        <v>0</v>
      </c>
      <c r="K309" s="15">
        <f>'[2]2025'!J309</f>
        <v>0</v>
      </c>
      <c r="L309" s="15">
        <f>'[2]2025'!K309</f>
        <v>0</v>
      </c>
      <c r="M309" s="15">
        <f>'[2]2025'!L309</f>
        <v>0</v>
      </c>
      <c r="N309" s="16" t="str">
        <f t="shared" si="20"/>
        <v/>
      </c>
      <c r="O309" s="17" t="str">
        <f t="shared" si="21"/>
        <v/>
      </c>
      <c r="P309" s="17" t="str">
        <f t="shared" si="22"/>
        <v/>
      </c>
      <c r="Q309" s="18" t="str">
        <f t="shared" si="23"/>
        <v/>
      </c>
      <c r="R309" s="18" t="e">
        <f t="shared" si="24"/>
        <v>#DIV/0!</v>
      </c>
      <c r="S309" s="36">
        <f>SUM(J304:J310)</f>
        <v>0</v>
      </c>
      <c r="T309" s="30" t="s">
        <v>3</v>
      </c>
      <c r="U309" s="1738"/>
    </row>
    <row r="310" spans="1:21" ht="18" thickBot="1">
      <c r="A310" s="10" t="s">
        <v>16</v>
      </c>
      <c r="B310" s="19">
        <v>46327</v>
      </c>
      <c r="C310" s="75" t="str">
        <f>IF(H310=0,"",'[2]2025-2026'!C309)</f>
        <v/>
      </c>
      <c r="D310" s="68" t="str">
        <f>'[2]2025'!C310</f>
        <v/>
      </c>
      <c r="E310" s="68" t="str">
        <f>'[2]2025'!D310</f>
        <v/>
      </c>
      <c r="F310" s="20" t="str">
        <f>'[2]2025'!E310</f>
        <v/>
      </c>
      <c r="G310" s="73" t="str">
        <f>'[2]2025'!F310</f>
        <v/>
      </c>
      <c r="H310" s="42">
        <f>'[2]2025'!G310</f>
        <v>0</v>
      </c>
      <c r="I310" s="13">
        <f>'[2]2025'!H310</f>
        <v>0</v>
      </c>
      <c r="J310" s="14">
        <f>'[2]2025'!I310</f>
        <v>0</v>
      </c>
      <c r="K310" s="15">
        <f>'[2]2025'!J310</f>
        <v>0</v>
      </c>
      <c r="L310" s="15">
        <f>'[2]2025'!K310</f>
        <v>0</v>
      </c>
      <c r="M310" s="15">
        <f>'[2]2025'!L310</f>
        <v>0</v>
      </c>
      <c r="N310" s="16" t="str">
        <f t="shared" si="20"/>
        <v/>
      </c>
      <c r="O310" s="17" t="str">
        <f t="shared" si="21"/>
        <v/>
      </c>
      <c r="P310" s="17" t="str">
        <f t="shared" si="22"/>
        <v/>
      </c>
      <c r="Q310" s="18" t="str">
        <f t="shared" si="23"/>
        <v/>
      </c>
      <c r="R310" s="18" t="e">
        <f t="shared" si="24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</row>
    <row r="311" spans="1:21" ht="17" customHeight="1" thickTop="1">
      <c r="A311" s="10" t="s">
        <v>9</v>
      </c>
      <c r="B311" s="19">
        <v>46328</v>
      </c>
      <c r="C311" s="75" t="str">
        <f>IF(H311=0,"",'[2]2025-2026'!C310)</f>
        <v/>
      </c>
      <c r="D311" s="68" t="str">
        <f>'[2]2025'!C311</f>
        <v/>
      </c>
      <c r="E311" s="68" t="str">
        <f>'[2]2025'!D311</f>
        <v/>
      </c>
      <c r="F311" s="20" t="str">
        <f>'[2]2025'!E311</f>
        <v/>
      </c>
      <c r="G311" s="73" t="str">
        <f>'[2]2025'!F311</f>
        <v/>
      </c>
      <c r="H311" s="42">
        <f>'[2]2025'!G311</f>
        <v>0</v>
      </c>
      <c r="I311" s="13">
        <f>'[2]2025'!H311</f>
        <v>0</v>
      </c>
      <c r="J311" s="14">
        <f>'[2]2025'!I311</f>
        <v>0</v>
      </c>
      <c r="K311" s="15">
        <f>'[2]2025'!J311</f>
        <v>0</v>
      </c>
      <c r="L311" s="15">
        <f>'[2]2025'!K311</f>
        <v>0</v>
      </c>
      <c r="M311" s="15">
        <f>'[2]2025'!L311</f>
        <v>0</v>
      </c>
      <c r="N311" s="16" t="str">
        <f t="shared" si="20"/>
        <v/>
      </c>
      <c r="O311" s="17" t="str">
        <f t="shared" si="21"/>
        <v/>
      </c>
      <c r="P311" s="17" t="str">
        <f t="shared" si="22"/>
        <v/>
      </c>
      <c r="Q311" s="18" t="str">
        <f t="shared" si="23"/>
        <v/>
      </c>
      <c r="R311" s="18" t="e">
        <f t="shared" si="24"/>
        <v>#DIV/0!</v>
      </c>
      <c r="S311" s="33" t="s">
        <v>39</v>
      </c>
      <c r="T311" s="31" t="s">
        <v>42</v>
      </c>
      <c r="U311" s="1737" t="s">
        <v>127</v>
      </c>
    </row>
    <row r="312" spans="1:21">
      <c r="A312" s="10" t="s">
        <v>11</v>
      </c>
      <c r="B312" s="19">
        <v>46329</v>
      </c>
      <c r="C312" s="75" t="str">
        <f>IF(H312=0,"",'[2]2025-2026'!C311)</f>
        <v/>
      </c>
      <c r="D312" s="68" t="str">
        <f>'[2]2025'!C312</f>
        <v/>
      </c>
      <c r="E312" s="68" t="str">
        <f>'[2]2025'!D312</f>
        <v/>
      </c>
      <c r="F312" s="20" t="str">
        <f>'[2]2025'!E312</f>
        <v/>
      </c>
      <c r="G312" s="73" t="str">
        <f>'[2]2025'!F312</f>
        <v/>
      </c>
      <c r="H312" s="42">
        <f>'[2]2025'!G312</f>
        <v>0</v>
      </c>
      <c r="I312" s="13">
        <f>'[2]2025'!H312</f>
        <v>0</v>
      </c>
      <c r="J312" s="14">
        <f>'[2]2025'!I312</f>
        <v>0</v>
      </c>
      <c r="K312" s="15">
        <f>'[2]2025'!J312</f>
        <v>0</v>
      </c>
      <c r="L312" s="15">
        <f>'[2]2025'!K312</f>
        <v>0</v>
      </c>
      <c r="M312" s="15">
        <f>'[2]2025'!L312</f>
        <v>0</v>
      </c>
      <c r="N312" s="16" t="str">
        <f t="shared" si="20"/>
        <v/>
      </c>
      <c r="O312" s="17" t="str">
        <f t="shared" si="21"/>
        <v/>
      </c>
      <c r="P312" s="17" t="str">
        <f t="shared" si="22"/>
        <v/>
      </c>
      <c r="Q312" s="18" t="str">
        <f t="shared" si="23"/>
        <v/>
      </c>
      <c r="R312" s="18" t="e">
        <f t="shared" si="24"/>
        <v>#DIV/0!</v>
      </c>
      <c r="S312" s="34">
        <f>SUM(I311:I317)</f>
        <v>0</v>
      </c>
      <c r="T312" s="45" t="s">
        <v>41</v>
      </c>
      <c r="U312" s="1738"/>
    </row>
    <row r="313" spans="1:21">
      <c r="A313" s="10" t="s">
        <v>12</v>
      </c>
      <c r="B313" s="19">
        <v>46330</v>
      </c>
      <c r="C313" s="75" t="str">
        <f>IF(H313=0,"",'[2]2025-2026'!C312)</f>
        <v/>
      </c>
      <c r="D313" s="68" t="str">
        <f>'[2]2025'!C313</f>
        <v/>
      </c>
      <c r="E313" s="68" t="str">
        <f>'[2]2025'!D313</f>
        <v/>
      </c>
      <c r="F313" s="20" t="str">
        <f>'[2]2025'!E313</f>
        <v/>
      </c>
      <c r="G313" s="73" t="str">
        <f>'[2]2025'!F313</f>
        <v/>
      </c>
      <c r="H313" s="42">
        <f>'[2]2025'!G313</f>
        <v>0</v>
      </c>
      <c r="I313" s="13">
        <f>'[2]2025'!H313</f>
        <v>0</v>
      </c>
      <c r="J313" s="14">
        <f>'[2]2025'!I313</f>
        <v>0</v>
      </c>
      <c r="K313" s="15">
        <f>'[2]2025'!J313</f>
        <v>0</v>
      </c>
      <c r="L313" s="15">
        <f>'[2]2025'!K313</f>
        <v>0</v>
      </c>
      <c r="M313" s="15">
        <f>'[2]2025'!L313</f>
        <v>0</v>
      </c>
      <c r="N313" s="16" t="str">
        <f t="shared" si="20"/>
        <v/>
      </c>
      <c r="O313" s="17" t="str">
        <f t="shared" si="21"/>
        <v/>
      </c>
      <c r="P313" s="17" t="str">
        <f t="shared" si="22"/>
        <v/>
      </c>
      <c r="Q313" s="18" t="str">
        <f t="shared" si="23"/>
        <v/>
      </c>
      <c r="R313" s="18" t="e">
        <f t="shared" si="24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</row>
    <row r="314" spans="1:21">
      <c r="A314" s="10" t="s">
        <v>13</v>
      </c>
      <c r="B314" s="19">
        <v>46331</v>
      </c>
      <c r="C314" s="75" t="str">
        <f>IF(H314=0,"",'[2]2025-2026'!C313)</f>
        <v/>
      </c>
      <c r="D314" s="68" t="str">
        <f>'[2]2025'!C314</f>
        <v/>
      </c>
      <c r="E314" s="68" t="str">
        <f>'[2]2025'!D314</f>
        <v/>
      </c>
      <c r="F314" s="20" t="str">
        <f>'[2]2025'!E314</f>
        <v/>
      </c>
      <c r="G314" s="73" t="str">
        <f>'[2]2025'!F314</f>
        <v/>
      </c>
      <c r="H314" s="42">
        <f>'[2]2025'!G314</f>
        <v>0</v>
      </c>
      <c r="I314" s="13">
        <f>'[2]2025'!H314</f>
        <v>0</v>
      </c>
      <c r="J314" s="14">
        <f>'[2]2025'!I314</f>
        <v>0</v>
      </c>
      <c r="K314" s="15">
        <f>'[2]2025'!J314</f>
        <v>0</v>
      </c>
      <c r="L314" s="15">
        <f>'[2]2025'!K314</f>
        <v>0</v>
      </c>
      <c r="M314" s="15">
        <f>'[2]2025'!L314</f>
        <v>0</v>
      </c>
      <c r="N314" s="16" t="str">
        <f t="shared" si="20"/>
        <v/>
      </c>
      <c r="O314" s="17" t="str">
        <f t="shared" si="21"/>
        <v/>
      </c>
      <c r="P314" s="17" t="str">
        <f t="shared" si="22"/>
        <v/>
      </c>
      <c r="Q314" s="18" t="str">
        <f t="shared" si="23"/>
        <v/>
      </c>
      <c r="R314" s="18" t="e">
        <f t="shared" si="24"/>
        <v>#DIV/0!</v>
      </c>
      <c r="S314" s="34"/>
      <c r="T314" s="29" t="s">
        <v>8</v>
      </c>
      <c r="U314" s="1738"/>
    </row>
    <row r="315" spans="1:21">
      <c r="A315" s="10" t="s">
        <v>14</v>
      </c>
      <c r="B315" s="19">
        <v>46332</v>
      </c>
      <c r="C315" s="75" t="str">
        <f>IF(H315=0,"",'[2]2025-2026'!C314)</f>
        <v/>
      </c>
      <c r="D315" s="68" t="str">
        <f>'[2]2025'!C315</f>
        <v/>
      </c>
      <c r="E315" s="68" t="str">
        <f>'[2]2025'!D315</f>
        <v/>
      </c>
      <c r="F315" s="20" t="str">
        <f>'[2]2025'!E315</f>
        <v/>
      </c>
      <c r="G315" s="73" t="str">
        <f>'[2]2025'!F315</f>
        <v/>
      </c>
      <c r="H315" s="42">
        <f>'[2]2025'!G315</f>
        <v>0</v>
      </c>
      <c r="I315" s="13">
        <f>'[2]2025'!H315</f>
        <v>0</v>
      </c>
      <c r="J315" s="14">
        <f>'[2]2025'!I315</f>
        <v>0</v>
      </c>
      <c r="K315" s="15">
        <f>'[2]2025'!J315</f>
        <v>0</v>
      </c>
      <c r="L315" s="15">
        <f>'[2]2025'!K315</f>
        <v>0</v>
      </c>
      <c r="M315" s="15">
        <f>'[2]2025'!L315</f>
        <v>0</v>
      </c>
      <c r="N315" s="16" t="str">
        <f t="shared" si="20"/>
        <v/>
      </c>
      <c r="O315" s="17" t="str">
        <f t="shared" si="21"/>
        <v/>
      </c>
      <c r="P315" s="17" t="str">
        <f t="shared" si="22"/>
        <v/>
      </c>
      <c r="Q315" s="18" t="str">
        <f t="shared" si="23"/>
        <v/>
      </c>
      <c r="R315" s="18" t="e">
        <f t="shared" si="24"/>
        <v>#DIV/0!</v>
      </c>
      <c r="S315" s="36" t="s">
        <v>40</v>
      </c>
      <c r="T315" s="48" t="e">
        <f>SUM(I311:I317)/SUM(L311:L317)</f>
        <v>#DIV/0!</v>
      </c>
      <c r="U315" s="1738"/>
    </row>
    <row r="316" spans="1:21">
      <c r="A316" s="10" t="s">
        <v>15</v>
      </c>
      <c r="B316" s="19">
        <v>46333</v>
      </c>
      <c r="C316" s="75" t="str">
        <f>IF(H316=0,"",'[2]2025-2026'!C315)</f>
        <v/>
      </c>
      <c r="D316" s="68" t="str">
        <f>'[2]2025'!C316</f>
        <v/>
      </c>
      <c r="E316" s="68" t="str">
        <f>'[2]2025'!D316</f>
        <v/>
      </c>
      <c r="F316" s="20" t="str">
        <f>'[2]2025'!E316</f>
        <v/>
      </c>
      <c r="G316" s="73" t="str">
        <f>'[2]2025'!F316</f>
        <v/>
      </c>
      <c r="H316" s="42">
        <f>'[2]2025'!G316</f>
        <v>0</v>
      </c>
      <c r="I316" s="13">
        <f>'[2]2025'!H316</f>
        <v>0</v>
      </c>
      <c r="J316" s="14">
        <f>'[2]2025'!I316</f>
        <v>0</v>
      </c>
      <c r="K316" s="15">
        <f>'[2]2025'!J316</f>
        <v>0</v>
      </c>
      <c r="L316" s="15">
        <f>'[2]2025'!K316</f>
        <v>0</v>
      </c>
      <c r="M316" s="15">
        <f>'[2]2025'!L316</f>
        <v>0</v>
      </c>
      <c r="N316" s="16" t="str">
        <f t="shared" si="20"/>
        <v/>
      </c>
      <c r="O316" s="17" t="str">
        <f t="shared" si="21"/>
        <v/>
      </c>
      <c r="P316" s="17" t="str">
        <f t="shared" si="22"/>
        <v/>
      </c>
      <c r="Q316" s="18" t="str">
        <f t="shared" si="23"/>
        <v/>
      </c>
      <c r="R316" s="18" t="e">
        <f t="shared" si="24"/>
        <v>#DIV/0!</v>
      </c>
      <c r="S316" s="36">
        <f>SUM(J311:J317)</f>
        <v>0</v>
      </c>
      <c r="T316" s="30" t="s">
        <v>3</v>
      </c>
      <c r="U316" s="1738"/>
    </row>
    <row r="317" spans="1:21" ht="18" thickBot="1">
      <c r="A317" s="10" t="s">
        <v>16</v>
      </c>
      <c r="B317" s="19">
        <v>46334</v>
      </c>
      <c r="C317" s="75" t="str">
        <f>IF(H317=0,"",'[2]2025-2026'!C316)</f>
        <v/>
      </c>
      <c r="D317" s="68" t="str">
        <f>'[2]2025'!C317</f>
        <v/>
      </c>
      <c r="E317" s="68" t="str">
        <f>'[2]2025'!D317</f>
        <v/>
      </c>
      <c r="F317" s="20" t="str">
        <f>'[2]2025'!E317</f>
        <v/>
      </c>
      <c r="G317" s="73" t="str">
        <f>'[2]2025'!F317</f>
        <v/>
      </c>
      <c r="H317" s="42">
        <f>'[2]2025'!G317</f>
        <v>0</v>
      </c>
      <c r="I317" s="13">
        <f>'[2]2025'!H317</f>
        <v>0</v>
      </c>
      <c r="J317" s="14">
        <f>'[2]2025'!I317</f>
        <v>0</v>
      </c>
      <c r="K317" s="15">
        <f>'[2]2025'!J317</f>
        <v>0</v>
      </c>
      <c r="L317" s="15">
        <f>'[2]2025'!K317</f>
        <v>0</v>
      </c>
      <c r="M317" s="15">
        <f>'[2]2025'!L317</f>
        <v>0</v>
      </c>
      <c r="N317" s="16" t="str">
        <f t="shared" si="20"/>
        <v/>
      </c>
      <c r="O317" s="17" t="str">
        <f t="shared" si="21"/>
        <v/>
      </c>
      <c r="P317" s="17" t="str">
        <f t="shared" si="22"/>
        <v/>
      </c>
      <c r="Q317" s="18" t="str">
        <f t="shared" si="23"/>
        <v/>
      </c>
      <c r="R317" s="18" t="e">
        <f t="shared" si="24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</row>
    <row r="318" spans="1:21" ht="17" customHeight="1" thickTop="1">
      <c r="A318" s="10" t="s">
        <v>9</v>
      </c>
      <c r="B318" s="19">
        <v>46335</v>
      </c>
      <c r="C318" s="75" t="str">
        <f>IF(H318=0,"",'[2]2025-2026'!C317)</f>
        <v/>
      </c>
      <c r="D318" s="68" t="str">
        <f>'[2]2025'!C318</f>
        <v/>
      </c>
      <c r="E318" s="68" t="str">
        <f>'[2]2025'!D318</f>
        <v/>
      </c>
      <c r="F318" s="20" t="str">
        <f>'[2]2025'!E318</f>
        <v/>
      </c>
      <c r="G318" s="73" t="str">
        <f>'[2]2025'!F318</f>
        <v/>
      </c>
      <c r="H318" s="42">
        <f>'[2]2025'!G318</f>
        <v>0</v>
      </c>
      <c r="I318" s="13">
        <f>'[2]2025'!H318</f>
        <v>0</v>
      </c>
      <c r="J318" s="14">
        <f>'[2]2025'!I318</f>
        <v>0</v>
      </c>
      <c r="K318" s="15">
        <f>'[2]2025'!J318</f>
        <v>0</v>
      </c>
      <c r="L318" s="15">
        <f>'[2]2025'!K318</f>
        <v>0</v>
      </c>
      <c r="M318" s="15">
        <f>'[2]2025'!L318</f>
        <v>0</v>
      </c>
      <c r="N318" s="16" t="str">
        <f t="shared" si="20"/>
        <v/>
      </c>
      <c r="O318" s="17" t="str">
        <f t="shared" si="21"/>
        <v/>
      </c>
      <c r="P318" s="17" t="str">
        <f t="shared" si="22"/>
        <v/>
      </c>
      <c r="Q318" s="18" t="str">
        <f t="shared" si="23"/>
        <v/>
      </c>
      <c r="R318" s="18" t="e">
        <f t="shared" si="24"/>
        <v>#DIV/0!</v>
      </c>
      <c r="S318" s="33" t="s">
        <v>39</v>
      </c>
      <c r="T318" s="31" t="s">
        <v>42</v>
      </c>
      <c r="U318" s="1737" t="s">
        <v>128</v>
      </c>
    </row>
    <row r="319" spans="1:21">
      <c r="A319" s="10" t="s">
        <v>11</v>
      </c>
      <c r="B319" s="19">
        <v>46336</v>
      </c>
      <c r="C319" s="75" t="str">
        <f>IF(H319=0,"",'[2]2025-2026'!C318)</f>
        <v/>
      </c>
      <c r="D319" s="68" t="str">
        <f>'[2]2025'!C319</f>
        <v/>
      </c>
      <c r="E319" s="68" t="str">
        <f>'[2]2025'!D319</f>
        <v/>
      </c>
      <c r="F319" s="20" t="str">
        <f>'[2]2025'!E319</f>
        <v/>
      </c>
      <c r="G319" s="73" t="str">
        <f>'[2]2025'!F319</f>
        <v/>
      </c>
      <c r="H319" s="42">
        <f>'[2]2025'!G319</f>
        <v>0</v>
      </c>
      <c r="I319" s="13">
        <f>'[2]2025'!H319</f>
        <v>0</v>
      </c>
      <c r="J319" s="14">
        <f>'[2]2025'!I319</f>
        <v>0</v>
      </c>
      <c r="K319" s="15">
        <f>'[2]2025'!J319</f>
        <v>0</v>
      </c>
      <c r="L319" s="15">
        <f>'[2]2025'!K319</f>
        <v>0</v>
      </c>
      <c r="M319" s="15">
        <f>'[2]2025'!L319</f>
        <v>0</v>
      </c>
      <c r="N319" s="16" t="str">
        <f t="shared" si="20"/>
        <v/>
      </c>
      <c r="O319" s="17" t="str">
        <f t="shared" si="21"/>
        <v/>
      </c>
      <c r="P319" s="17" t="str">
        <f t="shared" si="22"/>
        <v/>
      </c>
      <c r="Q319" s="18" t="str">
        <f t="shared" si="23"/>
        <v/>
      </c>
      <c r="R319" s="18" t="e">
        <f t="shared" si="24"/>
        <v>#DIV/0!</v>
      </c>
      <c r="S319" s="34">
        <f>SUM(I318:I324)</f>
        <v>0</v>
      </c>
      <c r="T319" s="45" t="s">
        <v>41</v>
      </c>
      <c r="U319" s="1738"/>
    </row>
    <row r="320" spans="1:21">
      <c r="A320" s="10" t="s">
        <v>12</v>
      </c>
      <c r="B320" s="19">
        <v>46337</v>
      </c>
      <c r="C320" s="75" t="str">
        <f>IF(H320=0,"",'[2]2025-2026'!C319)</f>
        <v/>
      </c>
      <c r="D320" s="68" t="str">
        <f>'[2]2025'!C320</f>
        <v/>
      </c>
      <c r="E320" s="68" t="str">
        <f>'[2]2025'!D320</f>
        <v/>
      </c>
      <c r="F320" s="20" t="str">
        <f>'[2]2025'!E320</f>
        <v/>
      </c>
      <c r="G320" s="73" t="str">
        <f>'[2]2025'!F320</f>
        <v/>
      </c>
      <c r="H320" s="42">
        <f>'[2]2025'!G320</f>
        <v>0</v>
      </c>
      <c r="I320" s="13">
        <f>'[2]2025'!H320</f>
        <v>0</v>
      </c>
      <c r="J320" s="14">
        <f>'[2]2025'!I320</f>
        <v>0</v>
      </c>
      <c r="K320" s="15">
        <f>'[2]2025'!J320</f>
        <v>0</v>
      </c>
      <c r="L320" s="15">
        <f>'[2]2025'!K320</f>
        <v>0</v>
      </c>
      <c r="M320" s="15">
        <f>'[2]2025'!L320</f>
        <v>0</v>
      </c>
      <c r="N320" s="16" t="str">
        <f t="shared" si="20"/>
        <v/>
      </c>
      <c r="O320" s="17" t="str">
        <f t="shared" si="21"/>
        <v/>
      </c>
      <c r="P320" s="17" t="str">
        <f t="shared" si="22"/>
        <v/>
      </c>
      <c r="Q320" s="18" t="str">
        <f t="shared" si="23"/>
        <v/>
      </c>
      <c r="R320" s="18" t="e">
        <f t="shared" si="24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</row>
    <row r="321" spans="1:21">
      <c r="A321" s="10" t="s">
        <v>13</v>
      </c>
      <c r="B321" s="19">
        <v>46338</v>
      </c>
      <c r="C321" s="75" t="str">
        <f>IF(H321=0,"",'[2]2025-2026'!C320)</f>
        <v/>
      </c>
      <c r="D321" s="68" t="str">
        <f>'[2]2025'!C321</f>
        <v/>
      </c>
      <c r="E321" s="68" t="str">
        <f>'[2]2025'!D321</f>
        <v/>
      </c>
      <c r="F321" s="20" t="str">
        <f>'[2]2025'!E321</f>
        <v/>
      </c>
      <c r="G321" s="73" t="str">
        <f>'[2]2025'!F321</f>
        <v/>
      </c>
      <c r="H321" s="42">
        <f>'[2]2025'!G321</f>
        <v>0</v>
      </c>
      <c r="I321" s="13">
        <f>'[2]2025'!H321</f>
        <v>0</v>
      </c>
      <c r="J321" s="14">
        <f>'[2]2025'!I321</f>
        <v>0</v>
      </c>
      <c r="K321" s="15">
        <f>'[2]2025'!J321</f>
        <v>0</v>
      </c>
      <c r="L321" s="15">
        <f>'[2]2025'!K321</f>
        <v>0</v>
      </c>
      <c r="M321" s="15">
        <f>'[2]2025'!L321</f>
        <v>0</v>
      </c>
      <c r="N321" s="16" t="str">
        <f t="shared" si="20"/>
        <v/>
      </c>
      <c r="O321" s="17" t="str">
        <f t="shared" si="21"/>
        <v/>
      </c>
      <c r="P321" s="17" t="str">
        <f t="shared" si="22"/>
        <v/>
      </c>
      <c r="Q321" s="18" t="str">
        <f t="shared" si="23"/>
        <v/>
      </c>
      <c r="R321" s="18" t="e">
        <f t="shared" si="24"/>
        <v>#DIV/0!</v>
      </c>
      <c r="S321" s="34"/>
      <c r="T321" s="29" t="s">
        <v>8</v>
      </c>
      <c r="U321" s="1738"/>
    </row>
    <row r="322" spans="1:21">
      <c r="A322" s="10" t="s">
        <v>14</v>
      </c>
      <c r="B322" s="19">
        <v>46339</v>
      </c>
      <c r="C322" s="75" t="str">
        <f>IF(H322=0,"",'[2]2025-2026'!C321)</f>
        <v/>
      </c>
      <c r="D322" s="68" t="str">
        <f>'[2]2025'!C322</f>
        <v/>
      </c>
      <c r="E322" s="68" t="str">
        <f>'[2]2025'!D322</f>
        <v/>
      </c>
      <c r="F322" s="20" t="str">
        <f>'[2]2025'!E322</f>
        <v/>
      </c>
      <c r="G322" s="73" t="str">
        <f>'[2]2025'!F322</f>
        <v/>
      </c>
      <c r="H322" s="42">
        <f>'[2]2025'!G322</f>
        <v>0</v>
      </c>
      <c r="I322" s="13">
        <f>'[2]2025'!H322</f>
        <v>0</v>
      </c>
      <c r="J322" s="14">
        <f>'[2]2025'!I322</f>
        <v>0</v>
      </c>
      <c r="K322" s="15">
        <f>'[2]2025'!J322</f>
        <v>0</v>
      </c>
      <c r="L322" s="15">
        <f>'[2]2025'!K322</f>
        <v>0</v>
      </c>
      <c r="M322" s="15">
        <f>'[2]2025'!L322</f>
        <v>0</v>
      </c>
      <c r="N322" s="16" t="str">
        <f t="shared" si="20"/>
        <v/>
      </c>
      <c r="O322" s="17" t="str">
        <f t="shared" si="21"/>
        <v/>
      </c>
      <c r="P322" s="17" t="str">
        <f t="shared" si="22"/>
        <v/>
      </c>
      <c r="Q322" s="18" t="str">
        <f t="shared" si="23"/>
        <v/>
      </c>
      <c r="R322" s="18" t="e">
        <f t="shared" si="24"/>
        <v>#DIV/0!</v>
      </c>
      <c r="S322" s="36" t="s">
        <v>40</v>
      </c>
      <c r="T322" s="48" t="e">
        <f>SUM(I318:I324)/SUM(L318:L324)</f>
        <v>#DIV/0!</v>
      </c>
      <c r="U322" s="1738"/>
    </row>
    <row r="323" spans="1:21">
      <c r="A323" s="10" t="s">
        <v>15</v>
      </c>
      <c r="B323" s="19">
        <v>46340</v>
      </c>
      <c r="C323" s="75" t="str">
        <f>IF(H323=0,"",'[2]2025-2026'!C322)</f>
        <v/>
      </c>
      <c r="D323" s="68" t="str">
        <f>'[2]2025'!C323</f>
        <v/>
      </c>
      <c r="E323" s="68" t="str">
        <f>'[2]2025'!D323</f>
        <v/>
      </c>
      <c r="F323" s="20" t="str">
        <f>'[2]2025'!E323</f>
        <v/>
      </c>
      <c r="G323" s="73" t="str">
        <f>'[2]2025'!F323</f>
        <v/>
      </c>
      <c r="H323" s="42">
        <f>'[2]2025'!G323</f>
        <v>0</v>
      </c>
      <c r="I323" s="13">
        <f>'[2]2025'!H323</f>
        <v>0</v>
      </c>
      <c r="J323" s="14">
        <f>'[2]2025'!I323</f>
        <v>0</v>
      </c>
      <c r="K323" s="15">
        <f>'[2]2025'!J323</f>
        <v>0</v>
      </c>
      <c r="L323" s="15">
        <f>'[2]2025'!K323</f>
        <v>0</v>
      </c>
      <c r="M323" s="15">
        <f>'[2]2025'!L323</f>
        <v>0</v>
      </c>
      <c r="N323" s="16" t="str">
        <f t="shared" si="20"/>
        <v/>
      </c>
      <c r="O323" s="17" t="str">
        <f t="shared" si="21"/>
        <v/>
      </c>
      <c r="P323" s="17" t="str">
        <f t="shared" si="22"/>
        <v/>
      </c>
      <c r="Q323" s="18" t="str">
        <f t="shared" si="23"/>
        <v/>
      </c>
      <c r="R323" s="18" t="e">
        <f t="shared" si="24"/>
        <v>#DIV/0!</v>
      </c>
      <c r="S323" s="36">
        <f>SUM(J318:J324)</f>
        <v>0</v>
      </c>
      <c r="T323" s="30" t="s">
        <v>3</v>
      </c>
      <c r="U323" s="1738"/>
    </row>
    <row r="324" spans="1:21" ht="18" thickBot="1">
      <c r="A324" s="10" t="s">
        <v>16</v>
      </c>
      <c r="B324" s="19">
        <v>46341</v>
      </c>
      <c r="C324" s="75" t="str">
        <f>IF(H324=0,"",'[2]2025-2026'!C323)</f>
        <v/>
      </c>
      <c r="D324" s="68" t="str">
        <f>'[2]2025'!C324</f>
        <v/>
      </c>
      <c r="E324" s="68" t="str">
        <f>'[2]2025'!D324</f>
        <v/>
      </c>
      <c r="F324" s="20" t="str">
        <f>'[2]2025'!E324</f>
        <v/>
      </c>
      <c r="G324" s="73" t="str">
        <f>'[2]2025'!F324</f>
        <v/>
      </c>
      <c r="H324" s="42">
        <f>'[2]2025'!G324</f>
        <v>0</v>
      </c>
      <c r="I324" s="13">
        <f>'[2]2025'!H324</f>
        <v>0</v>
      </c>
      <c r="J324" s="14">
        <f>'[2]2025'!I324</f>
        <v>0</v>
      </c>
      <c r="K324" s="15">
        <f>'[2]2025'!J324</f>
        <v>0</v>
      </c>
      <c r="L324" s="15">
        <f>'[2]2025'!K324</f>
        <v>0</v>
      </c>
      <c r="M324" s="15">
        <f>'[2]2025'!L324</f>
        <v>0</v>
      </c>
      <c r="N324" s="16" t="str">
        <f t="shared" ref="N324:N368" si="25">IF(M324=0,"",M324/I324)</f>
        <v/>
      </c>
      <c r="O324" s="17" t="str">
        <f t="shared" ref="O324:O366" si="26">IF(I324=0,"",(I324-E324)/E324)</f>
        <v/>
      </c>
      <c r="P324" s="17" t="str">
        <f t="shared" ref="P324:P367" si="27">IF(J324=0,"",(J324-F324)/F324)</f>
        <v/>
      </c>
      <c r="Q324" s="18" t="str">
        <f t="shared" ref="Q324:Q368" si="28">IF(I324=0,"",I324/K324)</f>
        <v/>
      </c>
      <c r="R324" s="18" t="e">
        <f t="shared" ref="R324:R368" si="29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</row>
    <row r="325" spans="1:21" ht="17" customHeight="1" thickTop="1">
      <c r="A325" s="10" t="s">
        <v>9</v>
      </c>
      <c r="B325" s="19">
        <v>46342</v>
      </c>
      <c r="C325" s="75" t="str">
        <f>IF(H325=0,"",'[2]2025-2026'!C324)</f>
        <v/>
      </c>
      <c r="D325" s="68" t="str">
        <f>'[2]2025'!C325</f>
        <v/>
      </c>
      <c r="E325" s="68" t="str">
        <f>'[2]2025'!D325</f>
        <v/>
      </c>
      <c r="F325" s="20" t="str">
        <f>'[2]2025'!E325</f>
        <v/>
      </c>
      <c r="G325" s="73" t="str">
        <f>'[2]2025'!F325</f>
        <v/>
      </c>
      <c r="H325" s="42">
        <f>'[2]2025'!G325</f>
        <v>0</v>
      </c>
      <c r="I325" s="13">
        <f>'[2]2025'!H325</f>
        <v>0</v>
      </c>
      <c r="J325" s="14">
        <f>'[2]2025'!I325</f>
        <v>0</v>
      </c>
      <c r="K325" s="15">
        <f>'[2]2025'!J325</f>
        <v>0</v>
      </c>
      <c r="L325" s="15">
        <f>'[2]2025'!K325</f>
        <v>0</v>
      </c>
      <c r="M325" s="15">
        <f>'[2]2025'!L325</f>
        <v>0</v>
      </c>
      <c r="N325" s="16" t="str">
        <f t="shared" si="25"/>
        <v/>
      </c>
      <c r="O325" s="17" t="str">
        <f t="shared" si="26"/>
        <v/>
      </c>
      <c r="P325" s="17" t="str">
        <f t="shared" si="27"/>
        <v/>
      </c>
      <c r="Q325" s="18" t="str">
        <f t="shared" si="28"/>
        <v/>
      </c>
      <c r="R325" s="18" t="e">
        <f t="shared" si="29"/>
        <v>#DIV/0!</v>
      </c>
      <c r="S325" s="33" t="s">
        <v>39</v>
      </c>
      <c r="T325" s="31" t="s">
        <v>42</v>
      </c>
      <c r="U325" s="1737" t="s">
        <v>129</v>
      </c>
    </row>
    <row r="326" spans="1:21">
      <c r="A326" s="10" t="s">
        <v>11</v>
      </c>
      <c r="B326" s="19">
        <v>46343</v>
      </c>
      <c r="C326" s="75" t="str">
        <f>IF(H326=0,"",'[2]2025-2026'!C325)</f>
        <v/>
      </c>
      <c r="D326" s="68" t="str">
        <f>'[2]2025'!C326</f>
        <v/>
      </c>
      <c r="E326" s="68" t="str">
        <f>'[2]2025'!D326</f>
        <v/>
      </c>
      <c r="F326" s="20" t="str">
        <f>'[2]2025'!E326</f>
        <v/>
      </c>
      <c r="G326" s="73" t="str">
        <f>'[2]2025'!F326</f>
        <v/>
      </c>
      <c r="H326" s="42">
        <f>'[2]2025'!G326</f>
        <v>0</v>
      </c>
      <c r="I326" s="13">
        <f>'[2]2025'!H326</f>
        <v>0</v>
      </c>
      <c r="J326" s="14">
        <f>'[2]2025'!I326</f>
        <v>0</v>
      </c>
      <c r="K326" s="15">
        <f>'[2]2025'!J326</f>
        <v>0</v>
      </c>
      <c r="L326" s="15">
        <f>'[2]2025'!K326</f>
        <v>0</v>
      </c>
      <c r="M326" s="15">
        <f>'[2]2025'!L326</f>
        <v>0</v>
      </c>
      <c r="N326" s="16" t="str">
        <f t="shared" si="25"/>
        <v/>
      </c>
      <c r="O326" s="17" t="str">
        <f t="shared" si="26"/>
        <v/>
      </c>
      <c r="P326" s="17" t="str">
        <f t="shared" si="27"/>
        <v/>
      </c>
      <c r="Q326" s="18" t="str">
        <f t="shared" si="28"/>
        <v/>
      </c>
      <c r="R326" s="18" t="e">
        <f t="shared" si="29"/>
        <v>#DIV/0!</v>
      </c>
      <c r="S326" s="34">
        <f>SUM(I325:I331)</f>
        <v>0</v>
      </c>
      <c r="T326" s="45" t="s">
        <v>41</v>
      </c>
      <c r="U326" s="1738"/>
    </row>
    <row r="327" spans="1:21">
      <c r="A327" s="10" t="s">
        <v>12</v>
      </c>
      <c r="B327" s="19">
        <v>46344</v>
      </c>
      <c r="C327" s="75" t="str">
        <f>IF(H327=0,"",'[2]2025-2026'!C326)</f>
        <v/>
      </c>
      <c r="D327" s="68" t="str">
        <f>'[2]2025'!C327</f>
        <v/>
      </c>
      <c r="E327" s="68" t="str">
        <f>'[2]2025'!D327</f>
        <v/>
      </c>
      <c r="F327" s="20" t="str">
        <f>'[2]2025'!E327</f>
        <v/>
      </c>
      <c r="G327" s="73" t="str">
        <f>'[2]2025'!F327</f>
        <v/>
      </c>
      <c r="H327" s="42">
        <f>'[2]2025'!G327</f>
        <v>0</v>
      </c>
      <c r="I327" s="13">
        <f>'[2]2025'!H327</f>
        <v>0</v>
      </c>
      <c r="J327" s="14">
        <f>'[2]2025'!I327</f>
        <v>0</v>
      </c>
      <c r="K327" s="15">
        <f>'[2]2025'!J327</f>
        <v>0</v>
      </c>
      <c r="L327" s="15">
        <f>'[2]2025'!K327</f>
        <v>0</v>
      </c>
      <c r="M327" s="15">
        <f>'[2]2025'!L327</f>
        <v>0</v>
      </c>
      <c r="N327" s="16" t="str">
        <f t="shared" si="25"/>
        <v/>
      </c>
      <c r="O327" s="17" t="str">
        <f t="shared" si="26"/>
        <v/>
      </c>
      <c r="P327" s="17" t="str">
        <f t="shared" si="27"/>
        <v/>
      </c>
      <c r="Q327" s="18" t="str">
        <f t="shared" si="28"/>
        <v/>
      </c>
      <c r="R327" s="18" t="e">
        <f t="shared" si="29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</row>
    <row r="328" spans="1:21">
      <c r="A328" s="10" t="s">
        <v>13</v>
      </c>
      <c r="B328" s="19">
        <v>46345</v>
      </c>
      <c r="C328" s="75" t="str">
        <f>IF(H328=0,"",'[2]2025-2026'!C327)</f>
        <v/>
      </c>
      <c r="D328" s="68" t="str">
        <f>'[2]2025'!C328</f>
        <v/>
      </c>
      <c r="E328" s="68" t="str">
        <f>'[2]2025'!D328</f>
        <v/>
      </c>
      <c r="F328" s="20" t="str">
        <f>'[2]2025'!E328</f>
        <v/>
      </c>
      <c r="G328" s="73" t="str">
        <f>'[2]2025'!F328</f>
        <v/>
      </c>
      <c r="H328" s="42">
        <f>'[2]2025'!G328</f>
        <v>0</v>
      </c>
      <c r="I328" s="13">
        <f>'[2]2025'!H328</f>
        <v>0</v>
      </c>
      <c r="J328" s="14">
        <f>'[2]2025'!I328</f>
        <v>0</v>
      </c>
      <c r="K328" s="15">
        <f>'[2]2025'!J328</f>
        <v>0</v>
      </c>
      <c r="L328" s="15">
        <f>'[2]2025'!K328</f>
        <v>0</v>
      </c>
      <c r="M328" s="15">
        <f>'[2]2025'!L328</f>
        <v>0</v>
      </c>
      <c r="N328" s="16" t="str">
        <f t="shared" si="25"/>
        <v/>
      </c>
      <c r="O328" s="17" t="str">
        <f t="shared" si="26"/>
        <v/>
      </c>
      <c r="P328" s="17" t="str">
        <f t="shared" si="27"/>
        <v/>
      </c>
      <c r="Q328" s="18" t="str">
        <f t="shared" si="28"/>
        <v/>
      </c>
      <c r="R328" s="18" t="e">
        <f t="shared" si="29"/>
        <v>#DIV/0!</v>
      </c>
      <c r="S328" s="34"/>
      <c r="T328" s="29" t="s">
        <v>8</v>
      </c>
      <c r="U328" s="1738"/>
    </row>
    <row r="329" spans="1:21">
      <c r="A329" s="10" t="s">
        <v>14</v>
      </c>
      <c r="B329" s="19">
        <v>46346</v>
      </c>
      <c r="C329" s="75" t="str">
        <f>IF(H329=0,"",'[2]2025-2026'!C328)</f>
        <v/>
      </c>
      <c r="D329" s="68" t="str">
        <f>'[2]2025'!C329</f>
        <v/>
      </c>
      <c r="E329" s="68" t="str">
        <f>'[2]2025'!D329</f>
        <v/>
      </c>
      <c r="F329" s="20" t="str">
        <f>'[2]2025'!E329</f>
        <v/>
      </c>
      <c r="G329" s="73" t="str">
        <f>'[2]2025'!F329</f>
        <v/>
      </c>
      <c r="H329" s="42">
        <f>'[2]2025'!G329</f>
        <v>0</v>
      </c>
      <c r="I329" s="13">
        <f>'[2]2025'!H329</f>
        <v>0</v>
      </c>
      <c r="J329" s="14">
        <f>'[2]2025'!I329</f>
        <v>0</v>
      </c>
      <c r="K329" s="15">
        <f>'[2]2025'!J329</f>
        <v>0</v>
      </c>
      <c r="L329" s="15">
        <f>'[2]2025'!K329</f>
        <v>0</v>
      </c>
      <c r="M329" s="15">
        <f>'[2]2025'!L329</f>
        <v>0</v>
      </c>
      <c r="N329" s="16" t="str">
        <f t="shared" si="25"/>
        <v/>
      </c>
      <c r="O329" s="17" t="str">
        <f t="shared" si="26"/>
        <v/>
      </c>
      <c r="P329" s="17" t="str">
        <f t="shared" si="27"/>
        <v/>
      </c>
      <c r="Q329" s="18" t="str">
        <f t="shared" si="28"/>
        <v/>
      </c>
      <c r="R329" s="18" t="e">
        <f t="shared" si="29"/>
        <v>#DIV/0!</v>
      </c>
      <c r="S329" s="36" t="s">
        <v>40</v>
      </c>
      <c r="T329" s="48" t="e">
        <f>SUM(I325:I331)/SUM(L325:L331)</f>
        <v>#DIV/0!</v>
      </c>
      <c r="U329" s="1738"/>
    </row>
    <row r="330" spans="1:21">
      <c r="A330" s="10" t="s">
        <v>15</v>
      </c>
      <c r="B330" s="19">
        <v>46347</v>
      </c>
      <c r="C330" s="75" t="str">
        <f>IF(H330=0,"",'[2]2025-2026'!C329)</f>
        <v/>
      </c>
      <c r="D330" s="68" t="str">
        <f>'[2]2025'!C330</f>
        <v/>
      </c>
      <c r="E330" s="68" t="str">
        <f>'[2]2025'!D330</f>
        <v/>
      </c>
      <c r="F330" s="20" t="str">
        <f>'[2]2025'!E330</f>
        <v/>
      </c>
      <c r="G330" s="73" t="str">
        <f>'[2]2025'!F330</f>
        <v/>
      </c>
      <c r="H330" s="42">
        <f>'[2]2025'!G330</f>
        <v>0</v>
      </c>
      <c r="I330" s="13">
        <f>'[2]2025'!H330</f>
        <v>0</v>
      </c>
      <c r="J330" s="14">
        <f>'[2]2025'!I330</f>
        <v>0</v>
      </c>
      <c r="K330" s="15">
        <f>'[2]2025'!J330</f>
        <v>0</v>
      </c>
      <c r="L330" s="15">
        <f>'[2]2025'!K330</f>
        <v>0</v>
      </c>
      <c r="M330" s="15">
        <f>'[2]2025'!L330</f>
        <v>0</v>
      </c>
      <c r="N330" s="16" t="str">
        <f t="shared" si="25"/>
        <v/>
      </c>
      <c r="O330" s="17" t="str">
        <f t="shared" si="26"/>
        <v/>
      </c>
      <c r="P330" s="17" t="str">
        <f t="shared" si="27"/>
        <v/>
      </c>
      <c r="Q330" s="18" t="str">
        <f t="shared" si="28"/>
        <v/>
      </c>
      <c r="R330" s="18" t="e">
        <f t="shared" si="29"/>
        <v>#DIV/0!</v>
      </c>
      <c r="S330" s="36">
        <f>SUM(J325:J331)</f>
        <v>0</v>
      </c>
      <c r="T330" s="30" t="s">
        <v>3</v>
      </c>
      <c r="U330" s="1738"/>
    </row>
    <row r="331" spans="1:21" ht="18" thickBot="1">
      <c r="A331" s="10" t="s">
        <v>16</v>
      </c>
      <c r="B331" s="19">
        <v>46348</v>
      </c>
      <c r="C331" s="75" t="str">
        <f>IF(H331=0,"",'[2]2025-2026'!C330)</f>
        <v/>
      </c>
      <c r="D331" s="68" t="str">
        <f>'[2]2025'!C331</f>
        <v/>
      </c>
      <c r="E331" s="68" t="str">
        <f>'[2]2025'!D331</f>
        <v/>
      </c>
      <c r="F331" s="20" t="str">
        <f>'[2]2025'!E331</f>
        <v/>
      </c>
      <c r="G331" s="73" t="str">
        <f>'[2]2025'!F331</f>
        <v/>
      </c>
      <c r="H331" s="42">
        <f>'[2]2025'!G331</f>
        <v>0</v>
      </c>
      <c r="I331" s="13">
        <f>'[2]2025'!H331</f>
        <v>0</v>
      </c>
      <c r="J331" s="14">
        <f>'[2]2025'!I331</f>
        <v>0</v>
      </c>
      <c r="K331" s="15">
        <f>'[2]2025'!J331</f>
        <v>0</v>
      </c>
      <c r="L331" s="15">
        <f>'[2]2025'!K331</f>
        <v>0</v>
      </c>
      <c r="M331" s="15">
        <f>'[2]2025'!L331</f>
        <v>0</v>
      </c>
      <c r="N331" s="16" t="str">
        <f t="shared" si="25"/>
        <v/>
      </c>
      <c r="O331" s="17" t="str">
        <f t="shared" si="26"/>
        <v/>
      </c>
      <c r="P331" s="17" t="str">
        <f t="shared" si="27"/>
        <v/>
      </c>
      <c r="Q331" s="18" t="str">
        <f t="shared" si="28"/>
        <v/>
      </c>
      <c r="R331" s="18" t="e">
        <f t="shared" si="29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</row>
    <row r="332" spans="1:21" ht="17" customHeight="1" thickTop="1">
      <c r="A332" s="10" t="s">
        <v>9</v>
      </c>
      <c r="B332" s="19">
        <v>46349</v>
      </c>
      <c r="C332" s="75" t="str">
        <f>IF(H332=0,"",'[2]2025-2026'!C331)</f>
        <v/>
      </c>
      <c r="D332" s="68" t="str">
        <f>'[2]2025'!C332</f>
        <v/>
      </c>
      <c r="E332" s="68" t="str">
        <f>'[2]2025'!D332</f>
        <v/>
      </c>
      <c r="F332" s="20" t="str">
        <f>'[2]2025'!E332</f>
        <v/>
      </c>
      <c r="G332" s="73" t="str">
        <f>'[2]2025'!F332</f>
        <v/>
      </c>
      <c r="H332" s="42">
        <f>'[2]2025'!G332</f>
        <v>0</v>
      </c>
      <c r="I332" s="13">
        <f>'[2]2025'!H332</f>
        <v>0</v>
      </c>
      <c r="J332" s="14">
        <f>'[2]2025'!I332</f>
        <v>0</v>
      </c>
      <c r="K332" s="15">
        <f>'[2]2025'!J332</f>
        <v>0</v>
      </c>
      <c r="L332" s="15">
        <f>'[2]2025'!K332</f>
        <v>0</v>
      </c>
      <c r="M332" s="15">
        <f>'[2]2025'!L332</f>
        <v>0</v>
      </c>
      <c r="N332" s="16" t="str">
        <f t="shared" si="25"/>
        <v/>
      </c>
      <c r="O332" s="17" t="str">
        <f t="shared" si="26"/>
        <v/>
      </c>
      <c r="P332" s="17" t="str">
        <f t="shared" si="27"/>
        <v/>
      </c>
      <c r="Q332" s="18" t="str">
        <f t="shared" si="28"/>
        <v/>
      </c>
      <c r="R332" s="18" t="e">
        <f t="shared" si="29"/>
        <v>#DIV/0!</v>
      </c>
      <c r="S332" s="33" t="s">
        <v>39</v>
      </c>
      <c r="T332" s="31" t="s">
        <v>42</v>
      </c>
      <c r="U332" s="1737" t="s">
        <v>130</v>
      </c>
    </row>
    <row r="333" spans="1:21">
      <c r="A333" s="10" t="s">
        <v>11</v>
      </c>
      <c r="B333" s="19">
        <v>46350</v>
      </c>
      <c r="C333" s="75" t="str">
        <f>IF(H333=0,"",'[2]2025-2026'!C332)</f>
        <v/>
      </c>
      <c r="D333" s="68" t="str">
        <f>'[2]2025'!C333</f>
        <v/>
      </c>
      <c r="E333" s="68" t="str">
        <f>'[2]2025'!D333</f>
        <v/>
      </c>
      <c r="F333" s="20" t="str">
        <f>'[2]2025'!E333</f>
        <v/>
      </c>
      <c r="G333" s="73" t="str">
        <f>'[2]2025'!F333</f>
        <v/>
      </c>
      <c r="H333" s="42">
        <f>'[2]2025'!G333</f>
        <v>0</v>
      </c>
      <c r="I333" s="13">
        <f>'[2]2025'!H333</f>
        <v>0</v>
      </c>
      <c r="J333" s="14">
        <f>'[2]2025'!I333</f>
        <v>0</v>
      </c>
      <c r="K333" s="15">
        <f>'[2]2025'!J333</f>
        <v>0</v>
      </c>
      <c r="L333" s="15">
        <f>'[2]2025'!K333</f>
        <v>0</v>
      </c>
      <c r="M333" s="15">
        <f>'[2]2025'!L333</f>
        <v>0</v>
      </c>
      <c r="N333" s="16" t="str">
        <f t="shared" si="25"/>
        <v/>
      </c>
      <c r="O333" s="17" t="str">
        <f t="shared" si="26"/>
        <v/>
      </c>
      <c r="P333" s="17" t="str">
        <f t="shared" si="27"/>
        <v/>
      </c>
      <c r="Q333" s="18" t="str">
        <f t="shared" si="28"/>
        <v/>
      </c>
      <c r="R333" s="18" t="e">
        <f t="shared" si="29"/>
        <v>#DIV/0!</v>
      </c>
      <c r="S333" s="34">
        <f>SUM(I332:I338)</f>
        <v>0</v>
      </c>
      <c r="T333" s="45" t="s">
        <v>41</v>
      </c>
      <c r="U333" s="1738"/>
    </row>
    <row r="334" spans="1:21">
      <c r="A334" s="10" t="s">
        <v>12</v>
      </c>
      <c r="B334" s="19">
        <v>46351</v>
      </c>
      <c r="C334" s="75" t="str">
        <f>IF(H334=0,"",'[2]2025-2026'!C333)</f>
        <v/>
      </c>
      <c r="D334" s="68" t="str">
        <f>'[2]2025'!C334</f>
        <v/>
      </c>
      <c r="E334" s="68" t="str">
        <f>'[2]2025'!D334</f>
        <v/>
      </c>
      <c r="F334" s="20" t="str">
        <f>'[2]2025'!E334</f>
        <v/>
      </c>
      <c r="G334" s="73" t="str">
        <f>'[2]2025'!F334</f>
        <v/>
      </c>
      <c r="H334" s="42">
        <f>'[2]2025'!G334</f>
        <v>0</v>
      </c>
      <c r="I334" s="13">
        <f>'[2]2025'!H334</f>
        <v>0</v>
      </c>
      <c r="J334" s="14">
        <f>'[2]2025'!I334</f>
        <v>0</v>
      </c>
      <c r="K334" s="15">
        <f>'[2]2025'!J334</f>
        <v>0</v>
      </c>
      <c r="L334" s="15">
        <f>'[2]2025'!K334</f>
        <v>0</v>
      </c>
      <c r="M334" s="15">
        <f>'[2]2025'!L334</f>
        <v>0</v>
      </c>
      <c r="N334" s="16" t="str">
        <f t="shared" si="25"/>
        <v/>
      </c>
      <c r="O334" s="17" t="str">
        <f t="shared" si="26"/>
        <v/>
      </c>
      <c r="P334" s="17" t="str">
        <f t="shared" si="27"/>
        <v/>
      </c>
      <c r="Q334" s="18" t="str">
        <f t="shared" si="28"/>
        <v/>
      </c>
      <c r="R334" s="18" t="e">
        <f t="shared" si="29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</row>
    <row r="335" spans="1:21">
      <c r="A335" s="10" t="s">
        <v>13</v>
      </c>
      <c r="B335" s="19">
        <v>46352</v>
      </c>
      <c r="C335" s="75" t="str">
        <f>IF(H335=0,"",'[2]2025-2026'!C334)</f>
        <v/>
      </c>
      <c r="D335" s="68" t="str">
        <f>'[2]2025'!C335</f>
        <v/>
      </c>
      <c r="E335" s="68" t="str">
        <f>'[2]2025'!D335</f>
        <v/>
      </c>
      <c r="F335" s="20" t="str">
        <f>'[2]2025'!E335</f>
        <v/>
      </c>
      <c r="G335" s="73" t="str">
        <f>'[2]2025'!F335</f>
        <v/>
      </c>
      <c r="H335" s="42">
        <f>'[2]2025'!G335</f>
        <v>0</v>
      </c>
      <c r="I335" s="13">
        <f>'[2]2025'!H335</f>
        <v>0</v>
      </c>
      <c r="J335" s="14">
        <f>'[2]2025'!I335</f>
        <v>0</v>
      </c>
      <c r="K335" s="15">
        <f>'[2]2025'!J335</f>
        <v>0</v>
      </c>
      <c r="L335" s="15">
        <f>'[2]2025'!K335</f>
        <v>0</v>
      </c>
      <c r="M335" s="15">
        <f>'[2]2025'!L335</f>
        <v>0</v>
      </c>
      <c r="N335" s="16" t="str">
        <f t="shared" si="25"/>
        <v/>
      </c>
      <c r="O335" s="17" t="str">
        <f t="shared" si="26"/>
        <v/>
      </c>
      <c r="P335" s="17" t="str">
        <f t="shared" si="27"/>
        <v/>
      </c>
      <c r="Q335" s="18" t="str">
        <f t="shared" si="28"/>
        <v/>
      </c>
      <c r="R335" s="18" t="e">
        <f t="shared" si="29"/>
        <v>#DIV/0!</v>
      </c>
      <c r="S335" s="34"/>
      <c r="T335" s="29" t="s">
        <v>8</v>
      </c>
      <c r="U335" s="1738"/>
    </row>
    <row r="336" spans="1:21">
      <c r="A336" s="10" t="s">
        <v>14</v>
      </c>
      <c r="B336" s="19">
        <v>46353</v>
      </c>
      <c r="C336" s="75" t="str">
        <f>IF(H336=0,"",'[2]2025-2026'!C335)</f>
        <v/>
      </c>
      <c r="D336" s="68" t="str">
        <f>'[2]2025'!C336</f>
        <v/>
      </c>
      <c r="E336" s="68" t="str">
        <f>'[2]2025'!D336</f>
        <v/>
      </c>
      <c r="F336" s="20" t="str">
        <f>'[2]2025'!E336</f>
        <v/>
      </c>
      <c r="G336" s="73" t="str">
        <f>'[2]2025'!F336</f>
        <v/>
      </c>
      <c r="H336" s="42">
        <f>'[2]2025'!G336</f>
        <v>0</v>
      </c>
      <c r="I336" s="13">
        <f>'[2]2025'!H336</f>
        <v>0</v>
      </c>
      <c r="J336" s="14">
        <f>'[2]2025'!I336</f>
        <v>0</v>
      </c>
      <c r="K336" s="15">
        <f>'[2]2025'!J336</f>
        <v>0</v>
      </c>
      <c r="L336" s="15">
        <f>'[2]2025'!K336</f>
        <v>0</v>
      </c>
      <c r="M336" s="15">
        <f>'[2]2025'!L336</f>
        <v>0</v>
      </c>
      <c r="N336" s="16" t="str">
        <f t="shared" si="25"/>
        <v/>
      </c>
      <c r="O336" s="17" t="str">
        <f t="shared" si="26"/>
        <v/>
      </c>
      <c r="P336" s="17" t="str">
        <f t="shared" si="27"/>
        <v/>
      </c>
      <c r="Q336" s="18" t="str">
        <f t="shared" si="28"/>
        <v/>
      </c>
      <c r="R336" s="18" t="e">
        <f t="shared" si="29"/>
        <v>#DIV/0!</v>
      </c>
      <c r="S336" s="36" t="s">
        <v>40</v>
      </c>
      <c r="T336" s="48" t="e">
        <f>SUM(I332:I338)/SUM(L332:L338)</f>
        <v>#DIV/0!</v>
      </c>
      <c r="U336" s="1738"/>
    </row>
    <row r="337" spans="1:21">
      <c r="A337" s="10" t="s">
        <v>15</v>
      </c>
      <c r="B337" s="19">
        <v>46354</v>
      </c>
      <c r="C337" s="75" t="str">
        <f>IF(H337=0,"",'[2]2025-2026'!C336)</f>
        <v/>
      </c>
      <c r="D337" s="68" t="str">
        <f>'[2]2025'!C337</f>
        <v/>
      </c>
      <c r="E337" s="68" t="str">
        <f>'[2]2025'!D337</f>
        <v/>
      </c>
      <c r="F337" s="20" t="str">
        <f>'[2]2025'!E337</f>
        <v/>
      </c>
      <c r="G337" s="73" t="str">
        <f>'[2]2025'!F337</f>
        <v/>
      </c>
      <c r="H337" s="42">
        <f>'[2]2025'!G337</f>
        <v>0</v>
      </c>
      <c r="I337" s="13">
        <f>'[2]2025'!H337</f>
        <v>0</v>
      </c>
      <c r="J337" s="14">
        <f>'[2]2025'!I337</f>
        <v>0</v>
      </c>
      <c r="K337" s="15">
        <f>'[2]2025'!J337</f>
        <v>0</v>
      </c>
      <c r="L337" s="15">
        <f>'[2]2025'!K337</f>
        <v>0</v>
      </c>
      <c r="M337" s="15">
        <f>'[2]2025'!L337</f>
        <v>0</v>
      </c>
      <c r="N337" s="16" t="str">
        <f t="shared" si="25"/>
        <v/>
      </c>
      <c r="O337" s="17" t="str">
        <f t="shared" si="26"/>
        <v/>
      </c>
      <c r="P337" s="17" t="str">
        <f t="shared" si="27"/>
        <v/>
      </c>
      <c r="Q337" s="18" t="str">
        <f t="shared" si="28"/>
        <v/>
      </c>
      <c r="R337" s="18" t="e">
        <f t="shared" si="29"/>
        <v>#DIV/0!</v>
      </c>
      <c r="S337" s="36">
        <f>SUM(J332:J338)</f>
        <v>0</v>
      </c>
      <c r="T337" s="30" t="s">
        <v>3</v>
      </c>
      <c r="U337" s="1738"/>
    </row>
    <row r="338" spans="1:21" ht="18" thickBot="1">
      <c r="A338" s="10" t="s">
        <v>16</v>
      </c>
      <c r="B338" s="19">
        <v>46355</v>
      </c>
      <c r="C338" s="75" t="str">
        <f>IF(H338=0,"",'[2]2025-2026'!C337)</f>
        <v/>
      </c>
      <c r="D338" s="68" t="str">
        <f>'[2]2025'!C338</f>
        <v/>
      </c>
      <c r="E338" s="68" t="str">
        <f>'[2]2025'!D338</f>
        <v/>
      </c>
      <c r="F338" s="20" t="str">
        <f>'[2]2025'!E338</f>
        <v/>
      </c>
      <c r="G338" s="73" t="str">
        <f>'[2]2025'!F338</f>
        <v/>
      </c>
      <c r="H338" s="42">
        <f>'[2]2025'!G338</f>
        <v>0</v>
      </c>
      <c r="I338" s="13">
        <f>'[2]2025'!H338</f>
        <v>0</v>
      </c>
      <c r="J338" s="14">
        <f>'[2]2025'!I338</f>
        <v>0</v>
      </c>
      <c r="K338" s="15">
        <f>'[2]2025'!J338</f>
        <v>0</v>
      </c>
      <c r="L338" s="15">
        <f>'[2]2025'!K338</f>
        <v>0</v>
      </c>
      <c r="M338" s="15">
        <f>'[2]2025'!L338</f>
        <v>0</v>
      </c>
      <c r="N338" s="16" t="str">
        <f t="shared" si="25"/>
        <v/>
      </c>
      <c r="O338" s="17" t="str">
        <f t="shared" si="26"/>
        <v/>
      </c>
      <c r="P338" s="17" t="str">
        <f t="shared" si="27"/>
        <v/>
      </c>
      <c r="Q338" s="18" t="str">
        <f t="shared" si="28"/>
        <v/>
      </c>
      <c r="R338" s="18" t="e">
        <f t="shared" si="29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1" ht="17" customHeight="1" thickTop="1">
      <c r="A339" s="10" t="s">
        <v>9</v>
      </c>
      <c r="B339" s="19">
        <v>46356</v>
      </c>
      <c r="C339" s="75" t="str">
        <f>IF(H339=0,"",'[2]2025-2026'!C338)</f>
        <v/>
      </c>
      <c r="D339" s="68" t="str">
        <f>'[2]2025'!C339</f>
        <v/>
      </c>
      <c r="E339" s="68" t="str">
        <f>'[2]2025'!D339</f>
        <v/>
      </c>
      <c r="F339" s="20" t="str">
        <f>'[2]2025'!E339</f>
        <v/>
      </c>
      <c r="G339" s="73" t="str">
        <f>'[2]2025'!F339</f>
        <v/>
      </c>
      <c r="H339" s="42">
        <f>'[2]2025'!G339</f>
        <v>0</v>
      </c>
      <c r="I339" s="13">
        <f>'[2]2025'!H339</f>
        <v>0</v>
      </c>
      <c r="J339" s="14">
        <f>'[2]2025'!I339</f>
        <v>0</v>
      </c>
      <c r="K339" s="15">
        <f>'[2]2025'!J339</f>
        <v>0</v>
      </c>
      <c r="L339" s="15">
        <f>'[2]2025'!K339</f>
        <v>0</v>
      </c>
      <c r="M339" s="15">
        <f>'[2]2025'!L339</f>
        <v>0</v>
      </c>
      <c r="N339" s="16" t="str">
        <f t="shared" si="25"/>
        <v/>
      </c>
      <c r="O339" s="17" t="str">
        <f t="shared" si="26"/>
        <v/>
      </c>
      <c r="P339" s="17" t="str">
        <f t="shared" si="27"/>
        <v/>
      </c>
      <c r="Q339" s="18" t="str">
        <f t="shared" si="28"/>
        <v/>
      </c>
      <c r="R339" s="18" t="e">
        <f t="shared" si="29"/>
        <v>#DIV/0!</v>
      </c>
      <c r="S339" s="33" t="s">
        <v>39</v>
      </c>
      <c r="T339" s="31" t="s">
        <v>42</v>
      </c>
      <c r="U339" s="1737" t="s">
        <v>131</v>
      </c>
    </row>
    <row r="340" spans="1:21">
      <c r="A340" s="10" t="s">
        <v>11</v>
      </c>
      <c r="B340" s="19">
        <v>46357</v>
      </c>
      <c r="C340" s="75" t="str">
        <f>IF(H340=0,"",'[2]2025-2026'!C339)</f>
        <v/>
      </c>
      <c r="D340" s="68" t="str">
        <f>'[2]2025'!C340</f>
        <v/>
      </c>
      <c r="E340" s="68" t="str">
        <f>'[2]2025'!D340</f>
        <v/>
      </c>
      <c r="F340" s="20" t="str">
        <f>'[2]2025'!E340</f>
        <v/>
      </c>
      <c r="G340" s="73" t="str">
        <f>'[2]2025'!F340</f>
        <v/>
      </c>
      <c r="H340" s="42">
        <f>'[2]2025'!G340</f>
        <v>0</v>
      </c>
      <c r="I340" s="13">
        <f>'[2]2025'!H340</f>
        <v>0</v>
      </c>
      <c r="J340" s="14">
        <f>'[2]2025'!I340</f>
        <v>0</v>
      </c>
      <c r="K340" s="15">
        <f>'[2]2025'!J340</f>
        <v>0</v>
      </c>
      <c r="L340" s="15">
        <f>'[2]2025'!K340</f>
        <v>0</v>
      </c>
      <c r="M340" s="15">
        <f>'[2]2025'!L340</f>
        <v>0</v>
      </c>
      <c r="N340" s="16" t="str">
        <f t="shared" si="25"/>
        <v/>
      </c>
      <c r="O340" s="17" t="str">
        <f t="shared" si="26"/>
        <v/>
      </c>
      <c r="P340" s="17" t="str">
        <f t="shared" si="27"/>
        <v/>
      </c>
      <c r="Q340" s="18" t="str">
        <f t="shared" si="28"/>
        <v/>
      </c>
      <c r="R340" s="18" t="e">
        <f t="shared" si="29"/>
        <v>#DIV/0!</v>
      </c>
      <c r="S340" s="34">
        <f>SUM(I339:I345)</f>
        <v>0</v>
      </c>
      <c r="T340" s="45" t="s">
        <v>41</v>
      </c>
      <c r="U340" s="1738"/>
    </row>
    <row r="341" spans="1:21">
      <c r="A341" s="10" t="s">
        <v>12</v>
      </c>
      <c r="B341" s="19">
        <v>46358</v>
      </c>
      <c r="C341" s="75" t="str">
        <f>IF(H341=0,"",'[2]2025-2026'!C340)</f>
        <v/>
      </c>
      <c r="D341" s="68" t="str">
        <f>'[2]2025'!C341</f>
        <v/>
      </c>
      <c r="E341" s="68" t="str">
        <f>'[2]2025'!D341</f>
        <v/>
      </c>
      <c r="F341" s="20" t="str">
        <f>'[2]2025'!E341</f>
        <v/>
      </c>
      <c r="G341" s="73" t="str">
        <f>'[2]2025'!F341</f>
        <v/>
      </c>
      <c r="H341" s="42">
        <f>'[2]2025'!G341</f>
        <v>0</v>
      </c>
      <c r="I341" s="13">
        <f>'[2]2025'!H341</f>
        <v>0</v>
      </c>
      <c r="J341" s="14">
        <f>'[2]2025'!I341</f>
        <v>0</v>
      </c>
      <c r="K341" s="15">
        <f>'[2]2025'!J341</f>
        <v>0</v>
      </c>
      <c r="L341" s="15">
        <f>'[2]2025'!K341</f>
        <v>0</v>
      </c>
      <c r="M341" s="15">
        <f>'[2]2025'!L341</f>
        <v>0</v>
      </c>
      <c r="N341" s="16" t="str">
        <f t="shared" si="25"/>
        <v/>
      </c>
      <c r="O341" s="17" t="str">
        <f t="shared" si="26"/>
        <v/>
      </c>
      <c r="P341" s="17" t="str">
        <f t="shared" si="27"/>
        <v/>
      </c>
      <c r="Q341" s="18" t="str">
        <f t="shared" si="28"/>
        <v/>
      </c>
      <c r="R341" s="18" t="e">
        <f t="shared" si="29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1">
      <c r="A342" s="10" t="s">
        <v>13</v>
      </c>
      <c r="B342" s="19">
        <v>46359</v>
      </c>
      <c r="C342" s="75" t="str">
        <f>IF(H342=0,"",'[2]2025-2026'!C341)</f>
        <v/>
      </c>
      <c r="D342" s="68" t="str">
        <f>'[2]2025'!C342</f>
        <v/>
      </c>
      <c r="E342" s="68" t="str">
        <f>'[2]2025'!D342</f>
        <v/>
      </c>
      <c r="F342" s="20" t="str">
        <f>'[2]2025'!E342</f>
        <v/>
      </c>
      <c r="G342" s="73" t="str">
        <f>'[2]2025'!F342</f>
        <v/>
      </c>
      <c r="H342" s="42">
        <f>'[2]2025'!G342</f>
        <v>0</v>
      </c>
      <c r="I342" s="13">
        <f>'[2]2025'!H342</f>
        <v>0</v>
      </c>
      <c r="J342" s="14">
        <f>'[2]2025'!I342</f>
        <v>0</v>
      </c>
      <c r="K342" s="15">
        <f>'[2]2025'!J342</f>
        <v>0</v>
      </c>
      <c r="L342" s="15">
        <f>'[2]2025'!K342</f>
        <v>0</v>
      </c>
      <c r="M342" s="15">
        <f>'[2]2025'!L342</f>
        <v>0</v>
      </c>
      <c r="N342" s="16" t="str">
        <f t="shared" si="25"/>
        <v/>
      </c>
      <c r="O342" s="17" t="str">
        <f t="shared" si="26"/>
        <v/>
      </c>
      <c r="P342" s="17" t="str">
        <f t="shared" si="27"/>
        <v/>
      </c>
      <c r="Q342" s="18" t="str">
        <f t="shared" si="28"/>
        <v/>
      </c>
      <c r="R342" s="18" t="e">
        <f t="shared" si="29"/>
        <v>#DIV/0!</v>
      </c>
      <c r="S342" s="34"/>
      <c r="T342" s="29" t="s">
        <v>8</v>
      </c>
      <c r="U342" s="1738"/>
    </row>
    <row r="343" spans="1:21">
      <c r="A343" s="10" t="s">
        <v>14</v>
      </c>
      <c r="B343" s="19">
        <v>46360</v>
      </c>
      <c r="C343" s="75" t="str">
        <f>IF(H343=0,"",'[2]2025-2026'!C342)</f>
        <v/>
      </c>
      <c r="D343" s="68" t="str">
        <f>'[2]2025'!C343</f>
        <v/>
      </c>
      <c r="E343" s="68" t="str">
        <f>'[2]2025'!D343</f>
        <v/>
      </c>
      <c r="F343" s="20" t="str">
        <f>'[2]2025'!E343</f>
        <v/>
      </c>
      <c r="G343" s="73" t="str">
        <f>'[2]2025'!F343</f>
        <v/>
      </c>
      <c r="H343" s="42">
        <f>'[2]2025'!G343</f>
        <v>0</v>
      </c>
      <c r="I343" s="13">
        <f>'[2]2025'!H343</f>
        <v>0</v>
      </c>
      <c r="J343" s="14">
        <f>'[2]2025'!I343</f>
        <v>0</v>
      </c>
      <c r="K343" s="15">
        <f>'[2]2025'!J343</f>
        <v>0</v>
      </c>
      <c r="L343" s="15">
        <f>'[2]2025'!K343</f>
        <v>0</v>
      </c>
      <c r="M343" s="15">
        <f>'[2]2025'!L343</f>
        <v>0</v>
      </c>
      <c r="N343" s="16" t="str">
        <f t="shared" si="25"/>
        <v/>
      </c>
      <c r="O343" s="17" t="str">
        <f t="shared" si="26"/>
        <v/>
      </c>
      <c r="P343" s="17" t="str">
        <f t="shared" si="27"/>
        <v/>
      </c>
      <c r="Q343" s="18" t="str">
        <f t="shared" si="28"/>
        <v/>
      </c>
      <c r="R343" s="18" t="e">
        <f t="shared" si="29"/>
        <v>#DIV/0!</v>
      </c>
      <c r="S343" s="36" t="s">
        <v>40</v>
      </c>
      <c r="T343" s="48" t="e">
        <f>SUM(I339:I345)/SUM(L339:L345)</f>
        <v>#DIV/0!</v>
      </c>
      <c r="U343" s="1738"/>
    </row>
    <row r="344" spans="1:21">
      <c r="A344" s="10" t="s">
        <v>15</v>
      </c>
      <c r="B344" s="19">
        <v>46361</v>
      </c>
      <c r="C344" s="75" t="str">
        <f>IF(H344=0,"",'[2]2025-2026'!C343)</f>
        <v/>
      </c>
      <c r="D344" s="68" t="str">
        <f>'[2]2025'!C344</f>
        <v/>
      </c>
      <c r="E344" s="68" t="str">
        <f>'[2]2025'!D344</f>
        <v/>
      </c>
      <c r="F344" s="20" t="str">
        <f>'[2]2025'!E344</f>
        <v/>
      </c>
      <c r="G344" s="73" t="str">
        <f>'[2]2025'!F344</f>
        <v/>
      </c>
      <c r="H344" s="42">
        <f>'[2]2025'!G344</f>
        <v>0</v>
      </c>
      <c r="I344" s="13">
        <f>'[2]2025'!H344</f>
        <v>0</v>
      </c>
      <c r="J344" s="14">
        <f>'[2]2025'!I344</f>
        <v>0</v>
      </c>
      <c r="K344" s="15">
        <f>'[2]2025'!J344</f>
        <v>0</v>
      </c>
      <c r="L344" s="15">
        <f>'[2]2025'!K344</f>
        <v>0</v>
      </c>
      <c r="M344" s="15">
        <f>'[2]2025'!L344</f>
        <v>0</v>
      </c>
      <c r="N344" s="16" t="str">
        <f t="shared" si="25"/>
        <v/>
      </c>
      <c r="O344" s="17" t="str">
        <f t="shared" si="26"/>
        <v/>
      </c>
      <c r="P344" s="17" t="str">
        <f t="shared" si="27"/>
        <v/>
      </c>
      <c r="Q344" s="18" t="str">
        <f t="shared" si="28"/>
        <v/>
      </c>
      <c r="R344" s="18" t="e">
        <f t="shared" si="29"/>
        <v>#DIV/0!</v>
      </c>
      <c r="S344" s="36">
        <f>SUM(J339:J345)</f>
        <v>0</v>
      </c>
      <c r="T344" s="30" t="s">
        <v>3</v>
      </c>
      <c r="U344" s="1738"/>
    </row>
    <row r="345" spans="1:21" ht="18" thickBot="1">
      <c r="A345" s="10" t="s">
        <v>16</v>
      </c>
      <c r="B345" s="19">
        <v>46362</v>
      </c>
      <c r="C345" s="75" t="str">
        <f>IF(H345=0,"",'[2]2025-2026'!C344)</f>
        <v/>
      </c>
      <c r="D345" s="68" t="str">
        <f>'[2]2025'!C345</f>
        <v/>
      </c>
      <c r="E345" s="68" t="str">
        <f>'[2]2025'!D345</f>
        <v/>
      </c>
      <c r="F345" s="20" t="str">
        <f>'[2]2025'!E345</f>
        <v/>
      </c>
      <c r="G345" s="73" t="str">
        <f>'[2]2025'!F345</f>
        <v/>
      </c>
      <c r="H345" s="42">
        <f>'[2]2025'!G345</f>
        <v>0</v>
      </c>
      <c r="I345" s="13">
        <f>'[2]2025'!H345</f>
        <v>0</v>
      </c>
      <c r="J345" s="14">
        <f>'[2]2025'!I345</f>
        <v>0</v>
      </c>
      <c r="K345" s="15">
        <f>'[2]2025'!J345</f>
        <v>0</v>
      </c>
      <c r="L345" s="15">
        <f>'[2]2025'!K345</f>
        <v>0</v>
      </c>
      <c r="M345" s="15">
        <f>'[2]2025'!L345</f>
        <v>0</v>
      </c>
      <c r="N345" s="16" t="str">
        <f t="shared" si="25"/>
        <v/>
      </c>
      <c r="O345" s="17" t="str">
        <f t="shared" si="26"/>
        <v/>
      </c>
      <c r="P345" s="17" t="str">
        <f t="shared" si="27"/>
        <v/>
      </c>
      <c r="Q345" s="18" t="str">
        <f t="shared" si="28"/>
        <v/>
      </c>
      <c r="R345" s="18" t="e">
        <f t="shared" si="29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1" ht="17" customHeight="1" thickTop="1">
      <c r="A346" s="10" t="s">
        <v>9</v>
      </c>
      <c r="B346" s="19">
        <v>46363</v>
      </c>
      <c r="C346" s="75" t="str">
        <f>IF(H346=0,"",'[2]2025-2026'!C345)</f>
        <v/>
      </c>
      <c r="D346" s="68" t="str">
        <f>'[2]2025'!C346</f>
        <v/>
      </c>
      <c r="E346" s="68" t="str">
        <f>'[2]2025'!D346</f>
        <v/>
      </c>
      <c r="F346" s="20" t="str">
        <f>'[2]2025'!E346</f>
        <v/>
      </c>
      <c r="G346" s="73" t="str">
        <f>'[2]2025'!F346</f>
        <v/>
      </c>
      <c r="H346" s="42">
        <f>'[2]2025'!G346</f>
        <v>0</v>
      </c>
      <c r="I346" s="13">
        <f>'[2]2025'!H346</f>
        <v>0</v>
      </c>
      <c r="J346" s="14">
        <f>'[2]2025'!I346</f>
        <v>0</v>
      </c>
      <c r="K346" s="15">
        <f>'[2]2025'!J346</f>
        <v>0</v>
      </c>
      <c r="L346" s="15">
        <f>'[2]2025'!K346</f>
        <v>0</v>
      </c>
      <c r="M346" s="15">
        <f>'[2]2025'!L346</f>
        <v>0</v>
      </c>
      <c r="N346" s="16" t="str">
        <f t="shared" si="25"/>
        <v/>
      </c>
      <c r="O346" s="17" t="str">
        <f t="shared" si="26"/>
        <v/>
      </c>
      <c r="P346" s="17" t="str">
        <f t="shared" si="27"/>
        <v/>
      </c>
      <c r="Q346" s="18" t="str">
        <f t="shared" si="28"/>
        <v/>
      </c>
      <c r="R346" s="18" t="e">
        <f t="shared" si="29"/>
        <v>#DIV/0!</v>
      </c>
      <c r="S346" s="33" t="s">
        <v>39</v>
      </c>
      <c r="T346" s="31" t="s">
        <v>42</v>
      </c>
      <c r="U346" s="1737" t="s">
        <v>132</v>
      </c>
    </row>
    <row r="347" spans="1:21">
      <c r="A347" s="10" t="s">
        <v>11</v>
      </c>
      <c r="B347" s="19">
        <v>46364</v>
      </c>
      <c r="C347" s="75" t="str">
        <f>IF(H347=0,"",'[2]2025-2026'!C346)</f>
        <v/>
      </c>
      <c r="D347" s="68" t="str">
        <f>'[2]2025'!C347</f>
        <v/>
      </c>
      <c r="E347" s="68" t="str">
        <f>'[2]2025'!D347</f>
        <v/>
      </c>
      <c r="F347" s="20" t="str">
        <f>'[2]2025'!E347</f>
        <v/>
      </c>
      <c r="G347" s="73" t="str">
        <f>'[2]2025'!F347</f>
        <v/>
      </c>
      <c r="H347" s="42">
        <f>'[2]2025'!G347</f>
        <v>0</v>
      </c>
      <c r="I347" s="13">
        <f>'[2]2025'!H347</f>
        <v>0</v>
      </c>
      <c r="J347" s="14">
        <f>'[2]2025'!I347</f>
        <v>0</v>
      </c>
      <c r="K347" s="15">
        <f>'[2]2025'!J347</f>
        <v>0</v>
      </c>
      <c r="L347" s="15">
        <f>'[2]2025'!K347</f>
        <v>0</v>
      </c>
      <c r="M347" s="15">
        <f>'[2]2025'!L347</f>
        <v>0</v>
      </c>
      <c r="N347" s="16" t="str">
        <f t="shared" si="25"/>
        <v/>
      </c>
      <c r="O347" s="17" t="str">
        <f t="shared" si="26"/>
        <v/>
      </c>
      <c r="P347" s="17" t="str">
        <f t="shared" si="27"/>
        <v/>
      </c>
      <c r="Q347" s="18" t="str">
        <f t="shared" si="28"/>
        <v/>
      </c>
      <c r="R347" s="18" t="e">
        <f t="shared" si="29"/>
        <v>#DIV/0!</v>
      </c>
      <c r="S347" s="34">
        <f>SUM(I346:I352)</f>
        <v>0</v>
      </c>
      <c r="T347" s="45" t="s">
        <v>41</v>
      </c>
      <c r="U347" s="1738"/>
    </row>
    <row r="348" spans="1:21">
      <c r="A348" s="10" t="s">
        <v>12</v>
      </c>
      <c r="B348" s="19">
        <v>46365</v>
      </c>
      <c r="C348" s="75" t="str">
        <f>IF(H348=0,"",'[2]2025-2026'!C347)</f>
        <v/>
      </c>
      <c r="D348" s="68" t="str">
        <f>'[2]2025'!C348</f>
        <v/>
      </c>
      <c r="E348" s="68" t="str">
        <f>'[2]2025'!D348</f>
        <v/>
      </c>
      <c r="F348" s="20" t="str">
        <f>'[2]2025'!E348</f>
        <v/>
      </c>
      <c r="G348" s="73" t="str">
        <f>'[2]2025'!F348</f>
        <v/>
      </c>
      <c r="H348" s="42">
        <f>'[2]2025'!G348</f>
        <v>0</v>
      </c>
      <c r="I348" s="13">
        <f>'[2]2025'!H348</f>
        <v>0</v>
      </c>
      <c r="J348" s="14">
        <f>'[2]2025'!I348</f>
        <v>0</v>
      </c>
      <c r="K348" s="15">
        <f>'[2]2025'!J348</f>
        <v>0</v>
      </c>
      <c r="L348" s="15">
        <f>'[2]2025'!K348</f>
        <v>0</v>
      </c>
      <c r="M348" s="15">
        <f>'[2]2025'!L348</f>
        <v>0</v>
      </c>
      <c r="N348" s="16" t="str">
        <f t="shared" si="25"/>
        <v/>
      </c>
      <c r="O348" s="17" t="str">
        <f t="shared" si="26"/>
        <v/>
      </c>
      <c r="P348" s="17" t="str">
        <f t="shared" si="27"/>
        <v/>
      </c>
      <c r="Q348" s="18" t="str">
        <f t="shared" si="28"/>
        <v/>
      </c>
      <c r="R348" s="18" t="e">
        <f t="shared" si="29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1">
      <c r="A349" s="10" t="s">
        <v>13</v>
      </c>
      <c r="B349" s="19">
        <v>46366</v>
      </c>
      <c r="C349" s="75" t="str">
        <f>IF(H349=0,"",'[2]2025-2026'!C348)</f>
        <v/>
      </c>
      <c r="D349" s="68" t="str">
        <f>'[2]2025'!C349</f>
        <v/>
      </c>
      <c r="E349" s="68" t="str">
        <f>'[2]2025'!D349</f>
        <v/>
      </c>
      <c r="F349" s="20" t="str">
        <f>'[2]2025'!E349</f>
        <v/>
      </c>
      <c r="G349" s="73" t="str">
        <f>'[2]2025'!F349</f>
        <v/>
      </c>
      <c r="H349" s="42">
        <f>'[2]2025'!G349</f>
        <v>0</v>
      </c>
      <c r="I349" s="13">
        <f>'[2]2025'!H349</f>
        <v>0</v>
      </c>
      <c r="J349" s="14">
        <f>'[2]2025'!I349</f>
        <v>0</v>
      </c>
      <c r="K349" s="15">
        <f>'[2]2025'!J349</f>
        <v>0</v>
      </c>
      <c r="L349" s="15">
        <f>'[2]2025'!K349</f>
        <v>0</v>
      </c>
      <c r="M349" s="15">
        <f>'[2]2025'!L349</f>
        <v>0</v>
      </c>
      <c r="N349" s="16" t="str">
        <f t="shared" si="25"/>
        <v/>
      </c>
      <c r="O349" s="17" t="str">
        <f t="shared" si="26"/>
        <v/>
      </c>
      <c r="P349" s="17" t="str">
        <f t="shared" si="27"/>
        <v/>
      </c>
      <c r="Q349" s="18" t="str">
        <f t="shared" si="28"/>
        <v/>
      </c>
      <c r="R349" s="18" t="e">
        <f t="shared" si="29"/>
        <v>#DIV/0!</v>
      </c>
      <c r="S349" s="34"/>
      <c r="T349" s="29" t="s">
        <v>8</v>
      </c>
      <c r="U349" s="1738"/>
    </row>
    <row r="350" spans="1:21">
      <c r="A350" s="10" t="s">
        <v>14</v>
      </c>
      <c r="B350" s="19">
        <v>46367</v>
      </c>
      <c r="C350" s="75" t="str">
        <f>IF(H350=0,"",'[2]2025-2026'!C349)</f>
        <v/>
      </c>
      <c r="D350" s="68" t="str">
        <f>'[2]2025'!C350</f>
        <v/>
      </c>
      <c r="E350" s="68" t="str">
        <f>'[2]2025'!D350</f>
        <v/>
      </c>
      <c r="F350" s="20" t="str">
        <f>'[2]2025'!E350</f>
        <v/>
      </c>
      <c r="G350" s="73" t="str">
        <f>'[2]2025'!F350</f>
        <v/>
      </c>
      <c r="H350" s="42">
        <f>'[2]2025'!G350</f>
        <v>0</v>
      </c>
      <c r="I350" s="13">
        <f>'[2]2025'!H350</f>
        <v>0</v>
      </c>
      <c r="J350" s="14">
        <f>'[2]2025'!I350</f>
        <v>0</v>
      </c>
      <c r="K350" s="15">
        <f>'[2]2025'!J350</f>
        <v>0</v>
      </c>
      <c r="L350" s="15">
        <f>'[2]2025'!K350</f>
        <v>0</v>
      </c>
      <c r="M350" s="15">
        <f>'[2]2025'!L350</f>
        <v>0</v>
      </c>
      <c r="N350" s="16" t="str">
        <f t="shared" si="25"/>
        <v/>
      </c>
      <c r="O350" s="17" t="str">
        <f t="shared" si="26"/>
        <v/>
      </c>
      <c r="P350" s="17" t="str">
        <f t="shared" si="27"/>
        <v/>
      </c>
      <c r="Q350" s="18" t="str">
        <f t="shared" si="28"/>
        <v/>
      </c>
      <c r="R350" s="18" t="e">
        <f t="shared" si="29"/>
        <v>#DIV/0!</v>
      </c>
      <c r="S350" s="36" t="s">
        <v>40</v>
      </c>
      <c r="T350" s="48" t="e">
        <f>SUM(I346:I352)/SUM(L346:L352)</f>
        <v>#DIV/0!</v>
      </c>
      <c r="U350" s="1738"/>
    </row>
    <row r="351" spans="1:21">
      <c r="A351" s="10" t="s">
        <v>15</v>
      </c>
      <c r="B351" s="19">
        <v>46368</v>
      </c>
      <c r="C351" s="75" t="str">
        <f>IF(H351=0,"",'[2]2025-2026'!C350)</f>
        <v/>
      </c>
      <c r="D351" s="68" t="str">
        <f>'[2]2025'!C351</f>
        <v/>
      </c>
      <c r="E351" s="68" t="str">
        <f>'[2]2025'!D351</f>
        <v/>
      </c>
      <c r="F351" s="20" t="str">
        <f>'[2]2025'!E351</f>
        <v/>
      </c>
      <c r="G351" s="73" t="str">
        <f>'[2]2025'!F351</f>
        <v/>
      </c>
      <c r="H351" s="42">
        <f>'[2]2025'!G351</f>
        <v>0</v>
      </c>
      <c r="I351" s="13">
        <f>'[2]2025'!H351</f>
        <v>0</v>
      </c>
      <c r="J351" s="14">
        <f>'[2]2025'!I351</f>
        <v>0</v>
      </c>
      <c r="K351" s="15">
        <f>'[2]2025'!J351</f>
        <v>0</v>
      </c>
      <c r="L351" s="15">
        <f>'[2]2025'!K351</f>
        <v>0</v>
      </c>
      <c r="M351" s="15">
        <f>'[2]2025'!L351</f>
        <v>0</v>
      </c>
      <c r="N351" s="16" t="str">
        <f t="shared" si="25"/>
        <v/>
      </c>
      <c r="O351" s="17" t="str">
        <f t="shared" si="26"/>
        <v/>
      </c>
      <c r="P351" s="17" t="str">
        <f t="shared" si="27"/>
        <v/>
      </c>
      <c r="Q351" s="18" t="str">
        <f t="shared" si="28"/>
        <v/>
      </c>
      <c r="R351" s="18" t="e">
        <f t="shared" si="29"/>
        <v>#DIV/0!</v>
      </c>
      <c r="S351" s="36">
        <f>SUM(J346:J352)</f>
        <v>0</v>
      </c>
      <c r="T351" s="30" t="s">
        <v>3</v>
      </c>
      <c r="U351" s="1738"/>
    </row>
    <row r="352" spans="1:21" ht="18" thickBot="1">
      <c r="A352" s="10" t="s">
        <v>16</v>
      </c>
      <c r="B352" s="19">
        <v>46369</v>
      </c>
      <c r="C352" s="75" t="str">
        <f>IF(H352=0,"",'[2]2025-2026'!C351)</f>
        <v/>
      </c>
      <c r="D352" s="68" t="str">
        <f>'[2]2025'!C352</f>
        <v/>
      </c>
      <c r="E352" s="68" t="str">
        <f>'[2]2025'!D352</f>
        <v/>
      </c>
      <c r="F352" s="20" t="str">
        <f>'[2]2025'!E352</f>
        <v/>
      </c>
      <c r="G352" s="73" t="str">
        <f>'[2]2025'!F352</f>
        <v/>
      </c>
      <c r="H352" s="42">
        <f>'[2]2025'!G352</f>
        <v>0</v>
      </c>
      <c r="I352" s="13">
        <f>'[2]2025'!H352</f>
        <v>0</v>
      </c>
      <c r="J352" s="14">
        <f>'[2]2025'!I352</f>
        <v>0</v>
      </c>
      <c r="K352" s="15">
        <f>'[2]2025'!J352</f>
        <v>0</v>
      </c>
      <c r="L352" s="15">
        <f>'[2]2025'!K352</f>
        <v>0</v>
      </c>
      <c r="M352" s="15">
        <f>'[2]2025'!L352</f>
        <v>0</v>
      </c>
      <c r="N352" s="16" t="str">
        <f t="shared" si="25"/>
        <v/>
      </c>
      <c r="O352" s="17" t="str">
        <f t="shared" si="26"/>
        <v/>
      </c>
      <c r="P352" s="17" t="str">
        <f t="shared" si="27"/>
        <v/>
      </c>
      <c r="Q352" s="18" t="str">
        <f t="shared" si="28"/>
        <v/>
      </c>
      <c r="R352" s="18" t="e">
        <f t="shared" si="29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19">
        <v>46370</v>
      </c>
      <c r="C353" s="75" t="str">
        <f>IF(H353=0,"",'[2]2025-2026'!C352)</f>
        <v/>
      </c>
      <c r="D353" s="68" t="str">
        <f>'[2]2025'!C353</f>
        <v/>
      </c>
      <c r="E353" s="68" t="str">
        <f>'[2]2025'!D353</f>
        <v/>
      </c>
      <c r="F353" s="20" t="str">
        <f>'[2]2025'!E353</f>
        <v/>
      </c>
      <c r="G353" s="73" t="str">
        <f>'[2]2025'!F353</f>
        <v/>
      </c>
      <c r="H353" s="42">
        <f>'[2]2025'!G353</f>
        <v>0</v>
      </c>
      <c r="I353" s="13">
        <f>'[2]2025'!H353</f>
        <v>0</v>
      </c>
      <c r="J353" s="14">
        <f>'[2]2025'!I353</f>
        <v>0</v>
      </c>
      <c r="K353" s="15">
        <f>'[2]2025'!J353</f>
        <v>0</v>
      </c>
      <c r="L353" s="15">
        <f>'[2]2025'!K353</f>
        <v>0</v>
      </c>
      <c r="M353" s="15">
        <f>'[2]2025'!L353</f>
        <v>0</v>
      </c>
      <c r="N353" s="16" t="str">
        <f t="shared" si="25"/>
        <v/>
      </c>
      <c r="O353" s="17" t="str">
        <f t="shared" si="26"/>
        <v/>
      </c>
      <c r="P353" s="17" t="str">
        <f t="shared" si="27"/>
        <v/>
      </c>
      <c r="Q353" s="18" t="str">
        <f t="shared" si="28"/>
        <v/>
      </c>
      <c r="R353" s="18" t="e">
        <f t="shared" si="29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19">
        <v>46371</v>
      </c>
      <c r="C354" s="75" t="str">
        <f>IF(H354=0,"",'[2]2025-2026'!C353)</f>
        <v/>
      </c>
      <c r="D354" s="68" t="str">
        <f>'[2]2025'!C354</f>
        <v/>
      </c>
      <c r="E354" s="68" t="str">
        <f>'[2]2025'!D354</f>
        <v/>
      </c>
      <c r="F354" s="20" t="str">
        <f>'[2]2025'!E354</f>
        <v/>
      </c>
      <c r="G354" s="73" t="str">
        <f>'[2]2025'!F354</f>
        <v/>
      </c>
      <c r="H354" s="42">
        <f>'[2]2025'!G354</f>
        <v>0</v>
      </c>
      <c r="I354" s="13">
        <f>'[2]2025'!H354</f>
        <v>0</v>
      </c>
      <c r="J354" s="14">
        <f>'[2]2025'!I354</f>
        <v>0</v>
      </c>
      <c r="K354" s="15">
        <f>'[2]2025'!J354</f>
        <v>0</v>
      </c>
      <c r="L354" s="15">
        <f>'[2]2025'!K354</f>
        <v>0</v>
      </c>
      <c r="M354" s="15">
        <f>'[2]2025'!L354</f>
        <v>0</v>
      </c>
      <c r="N354" s="16" t="str">
        <f t="shared" si="25"/>
        <v/>
      </c>
      <c r="O354" s="17" t="str">
        <f t="shared" si="26"/>
        <v/>
      </c>
      <c r="P354" s="17" t="str">
        <f t="shared" si="27"/>
        <v/>
      </c>
      <c r="Q354" s="18" t="str">
        <f t="shared" si="28"/>
        <v/>
      </c>
      <c r="R354" s="18" t="e">
        <f t="shared" si="29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19">
        <v>46372</v>
      </c>
      <c r="C355" s="75" t="str">
        <f>IF(H355=0,"",'[2]2025-2026'!C354)</f>
        <v/>
      </c>
      <c r="D355" s="68" t="str">
        <f>'[2]2025'!C355</f>
        <v/>
      </c>
      <c r="E355" s="68" t="str">
        <f>'[2]2025'!D355</f>
        <v/>
      </c>
      <c r="F355" s="20" t="str">
        <f>'[2]2025'!E355</f>
        <v/>
      </c>
      <c r="G355" s="73" t="str">
        <f>'[2]2025'!F355</f>
        <v/>
      </c>
      <c r="H355" s="42">
        <f>'[2]2025'!G355</f>
        <v>0</v>
      </c>
      <c r="I355" s="13">
        <f>'[2]2025'!H355</f>
        <v>0</v>
      </c>
      <c r="J355" s="14">
        <f>'[2]2025'!I355</f>
        <v>0</v>
      </c>
      <c r="K355" s="15">
        <f>'[2]2025'!J355</f>
        <v>0</v>
      </c>
      <c r="L355" s="15">
        <f>'[2]2025'!K355</f>
        <v>0</v>
      </c>
      <c r="M355" s="15">
        <f>'[2]2025'!L355</f>
        <v>0</v>
      </c>
      <c r="N355" s="16" t="str">
        <f t="shared" si="25"/>
        <v/>
      </c>
      <c r="O355" s="17" t="str">
        <f t="shared" si="26"/>
        <v/>
      </c>
      <c r="P355" s="17" t="str">
        <f t="shared" si="27"/>
        <v/>
      </c>
      <c r="Q355" s="18" t="str">
        <f t="shared" si="28"/>
        <v/>
      </c>
      <c r="R355" s="18" t="e">
        <f t="shared" si="29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19">
        <v>46373</v>
      </c>
      <c r="C356" s="75" t="str">
        <f>IF(H356=0,"",'[2]2025-2026'!C355)</f>
        <v/>
      </c>
      <c r="D356" s="68" t="str">
        <f>'[2]2025'!C356</f>
        <v/>
      </c>
      <c r="E356" s="68" t="str">
        <f>'[2]2025'!D356</f>
        <v/>
      </c>
      <c r="F356" s="20" t="str">
        <f>'[2]2025'!E356</f>
        <v/>
      </c>
      <c r="G356" s="73" t="str">
        <f>'[2]2025'!F356</f>
        <v/>
      </c>
      <c r="H356" s="42">
        <f>'[2]2025'!G356</f>
        <v>0</v>
      </c>
      <c r="I356" s="13">
        <f>'[2]2025'!H356</f>
        <v>0</v>
      </c>
      <c r="J356" s="14">
        <f>'[2]2025'!I356</f>
        <v>0</v>
      </c>
      <c r="K356" s="15">
        <f>'[2]2025'!J356</f>
        <v>0</v>
      </c>
      <c r="L356" s="15">
        <f>'[2]2025'!K356</f>
        <v>0</v>
      </c>
      <c r="M356" s="15">
        <f>'[2]2025'!L356</f>
        <v>0</v>
      </c>
      <c r="N356" s="16" t="str">
        <f t="shared" si="25"/>
        <v/>
      </c>
      <c r="O356" s="17" t="str">
        <f t="shared" si="26"/>
        <v/>
      </c>
      <c r="P356" s="17" t="str">
        <f t="shared" si="27"/>
        <v/>
      </c>
      <c r="Q356" s="18" t="str">
        <f t="shared" si="28"/>
        <v/>
      </c>
      <c r="R356" s="18" t="e">
        <f t="shared" si="29"/>
        <v>#DIV/0!</v>
      </c>
      <c r="S356" s="34"/>
      <c r="T356" s="29" t="s">
        <v>8</v>
      </c>
      <c r="U356" s="1738"/>
    </row>
    <row r="357" spans="1:21">
      <c r="A357" s="10" t="s">
        <v>14</v>
      </c>
      <c r="B357" s="19">
        <v>46374</v>
      </c>
      <c r="C357" s="75" t="str">
        <f>IF(H357=0,"",'[2]2025-2026'!C356)</f>
        <v/>
      </c>
      <c r="D357" s="68" t="str">
        <f>'[2]2025'!C357</f>
        <v/>
      </c>
      <c r="E357" s="68" t="str">
        <f>'[2]2025'!D357</f>
        <v/>
      </c>
      <c r="F357" s="20" t="str">
        <f>'[2]2025'!E357</f>
        <v/>
      </c>
      <c r="G357" s="73" t="str">
        <f>'[2]2025'!F357</f>
        <v/>
      </c>
      <c r="H357" s="42">
        <f>'[2]2025'!G357</f>
        <v>0</v>
      </c>
      <c r="I357" s="13">
        <f>'[2]2025'!H357</f>
        <v>0</v>
      </c>
      <c r="J357" s="14">
        <f>'[2]2025'!I357</f>
        <v>0</v>
      </c>
      <c r="K357" s="15">
        <f>'[2]2025'!J357</f>
        <v>0</v>
      </c>
      <c r="L357" s="15">
        <f>'[2]2025'!K357</f>
        <v>0</v>
      </c>
      <c r="M357" s="15">
        <f>'[2]2025'!L357</f>
        <v>0</v>
      </c>
      <c r="N357" s="16" t="str">
        <f t="shared" si="25"/>
        <v/>
      </c>
      <c r="O357" s="17" t="str">
        <f t="shared" si="26"/>
        <v/>
      </c>
      <c r="P357" s="17" t="str">
        <f t="shared" si="27"/>
        <v/>
      </c>
      <c r="Q357" s="18" t="str">
        <f t="shared" si="28"/>
        <v/>
      </c>
      <c r="R357" s="18" t="e">
        <f t="shared" si="29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19">
        <v>46375</v>
      </c>
      <c r="C358" s="75" t="str">
        <f>IF(H358=0,"",'[2]2025-2026'!C357)</f>
        <v/>
      </c>
      <c r="D358" s="68" t="str">
        <f>'[2]2025'!C358</f>
        <v/>
      </c>
      <c r="E358" s="68" t="str">
        <f>'[2]2025'!D358</f>
        <v/>
      </c>
      <c r="F358" s="20" t="str">
        <f>'[2]2025'!E358</f>
        <v/>
      </c>
      <c r="G358" s="73" t="str">
        <f>'[2]2025'!F358</f>
        <v/>
      </c>
      <c r="H358" s="42">
        <f>'[2]2025'!G358</f>
        <v>0</v>
      </c>
      <c r="I358" s="13">
        <f>'[2]2025'!H358</f>
        <v>0</v>
      </c>
      <c r="J358" s="14">
        <f>'[2]2025'!I358</f>
        <v>0</v>
      </c>
      <c r="K358" s="15">
        <f>'[2]2025'!J358</f>
        <v>0</v>
      </c>
      <c r="L358" s="15">
        <f>'[2]2025'!K358</f>
        <v>0</v>
      </c>
      <c r="M358" s="15">
        <f>'[2]2025'!L358</f>
        <v>0</v>
      </c>
      <c r="N358" s="16" t="str">
        <f t="shared" si="25"/>
        <v/>
      </c>
      <c r="O358" s="17" t="str">
        <f t="shared" si="26"/>
        <v/>
      </c>
      <c r="P358" s="17" t="str">
        <f t="shared" si="27"/>
        <v/>
      </c>
      <c r="Q358" s="18" t="str">
        <f t="shared" si="28"/>
        <v/>
      </c>
      <c r="R358" s="18" t="e">
        <f t="shared" si="29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19">
        <v>46376</v>
      </c>
      <c r="C359" s="75" t="str">
        <f>IF(H359=0,"",'[2]2025-2026'!C358)</f>
        <v/>
      </c>
      <c r="D359" s="68" t="str">
        <f>'[2]2025'!C359</f>
        <v/>
      </c>
      <c r="E359" s="68" t="str">
        <f>'[2]2025'!D359</f>
        <v/>
      </c>
      <c r="F359" s="20" t="str">
        <f>'[2]2025'!E359</f>
        <v/>
      </c>
      <c r="G359" s="73" t="str">
        <f>'[2]2025'!F359</f>
        <v/>
      </c>
      <c r="H359" s="42">
        <f>'[2]2025'!G359</f>
        <v>0</v>
      </c>
      <c r="I359" s="13">
        <f>'[2]2025'!H359</f>
        <v>0</v>
      </c>
      <c r="J359" s="14">
        <f>'[2]2025'!I359</f>
        <v>0</v>
      </c>
      <c r="K359" s="15">
        <f>'[2]2025'!J359</f>
        <v>0</v>
      </c>
      <c r="L359" s="15">
        <f>'[2]2025'!K359</f>
        <v>0</v>
      </c>
      <c r="M359" s="15">
        <f>'[2]2025'!L359</f>
        <v>0</v>
      </c>
      <c r="N359" s="16" t="str">
        <f t="shared" si="25"/>
        <v/>
      </c>
      <c r="O359" s="17" t="str">
        <f t="shared" si="26"/>
        <v/>
      </c>
      <c r="P359" s="17" t="str">
        <f t="shared" si="27"/>
        <v/>
      </c>
      <c r="Q359" s="18" t="str">
        <f t="shared" si="28"/>
        <v/>
      </c>
      <c r="R359" s="18" t="e">
        <f t="shared" si="29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19">
        <v>46377</v>
      </c>
      <c r="C360" s="75" t="str">
        <f>IF(H360=0,"",'[2]2025-2026'!C359)</f>
        <v/>
      </c>
      <c r="D360" s="68" t="str">
        <f>'[2]2025'!C360</f>
        <v/>
      </c>
      <c r="E360" s="68" t="str">
        <f>'[2]2025'!D360</f>
        <v/>
      </c>
      <c r="F360" s="20" t="str">
        <f>'[2]2025'!E360</f>
        <v/>
      </c>
      <c r="G360" s="73" t="str">
        <f>'[2]2025'!F360</f>
        <v/>
      </c>
      <c r="H360" s="42">
        <f>'[2]2025'!G360</f>
        <v>0</v>
      </c>
      <c r="I360" s="13">
        <f>'[2]2025'!H360</f>
        <v>0</v>
      </c>
      <c r="J360" s="14">
        <f>'[2]2025'!I360</f>
        <v>0</v>
      </c>
      <c r="K360" s="15">
        <f>'[2]2025'!J360</f>
        <v>0</v>
      </c>
      <c r="L360" s="15">
        <f>'[2]2025'!K360</f>
        <v>0</v>
      </c>
      <c r="M360" s="15">
        <f>'[2]2025'!L360</f>
        <v>0</v>
      </c>
      <c r="N360" s="16" t="str">
        <f t="shared" si="25"/>
        <v/>
      </c>
      <c r="O360" s="17" t="str">
        <f t="shared" si="26"/>
        <v/>
      </c>
      <c r="P360" s="17" t="str">
        <f t="shared" si="27"/>
        <v/>
      </c>
      <c r="Q360" s="18" t="str">
        <f t="shared" si="28"/>
        <v/>
      </c>
      <c r="R360" s="18" t="e">
        <f t="shared" si="29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19">
        <v>46378</v>
      </c>
      <c r="C361" s="75" t="str">
        <f>IF(H361=0,"",'[2]2025-2026'!C360)</f>
        <v/>
      </c>
      <c r="D361" s="68" t="str">
        <f>'[2]2025'!C361</f>
        <v/>
      </c>
      <c r="E361" s="68" t="str">
        <f>'[2]2025'!D361</f>
        <v/>
      </c>
      <c r="F361" s="20" t="str">
        <f>'[2]2025'!E361</f>
        <v/>
      </c>
      <c r="G361" s="73" t="str">
        <f>'[2]2025'!F361</f>
        <v/>
      </c>
      <c r="H361" s="42">
        <f>'[2]2025'!G361</f>
        <v>0</v>
      </c>
      <c r="I361" s="13">
        <f>'[2]2025'!H361</f>
        <v>0</v>
      </c>
      <c r="J361" s="14">
        <f>'[2]2025'!I361</f>
        <v>0</v>
      </c>
      <c r="K361" s="15">
        <f>'[2]2025'!J361</f>
        <v>0</v>
      </c>
      <c r="L361" s="15">
        <f>'[2]2025'!K361</f>
        <v>0</v>
      </c>
      <c r="M361" s="15">
        <f>'[2]2025'!L361</f>
        <v>0</v>
      </c>
      <c r="N361" s="16" t="str">
        <f t="shared" si="25"/>
        <v/>
      </c>
      <c r="O361" s="17" t="str">
        <f t="shared" si="26"/>
        <v/>
      </c>
      <c r="P361" s="17" t="str">
        <f t="shared" si="27"/>
        <v/>
      </c>
      <c r="Q361" s="18" t="str">
        <f t="shared" si="28"/>
        <v/>
      </c>
      <c r="R361" s="18" t="e">
        <f t="shared" si="29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19">
        <v>46379</v>
      </c>
      <c r="C362" s="75" t="str">
        <f>IF(H362=0,"",'[2]2025-2026'!C361)</f>
        <v/>
      </c>
      <c r="D362" s="68" t="str">
        <f>'[2]2025'!C362</f>
        <v/>
      </c>
      <c r="E362" s="68" t="str">
        <f>'[2]2025'!D362</f>
        <v/>
      </c>
      <c r="F362" s="20" t="str">
        <f>'[2]2025'!E362</f>
        <v/>
      </c>
      <c r="G362" s="73" t="str">
        <f>'[2]2025'!F362</f>
        <v/>
      </c>
      <c r="H362" s="42">
        <f>'[2]2025'!G362</f>
        <v>0</v>
      </c>
      <c r="I362" s="13">
        <f>'[2]2025'!H362</f>
        <v>0</v>
      </c>
      <c r="J362" s="14">
        <f>'[2]2025'!I362</f>
        <v>0</v>
      </c>
      <c r="K362" s="15">
        <f>'[2]2025'!J362</f>
        <v>0</v>
      </c>
      <c r="L362" s="15">
        <f>'[2]2025'!K362</f>
        <v>0</v>
      </c>
      <c r="M362" s="15">
        <f>'[2]2025'!L362</f>
        <v>0</v>
      </c>
      <c r="N362" s="16" t="str">
        <f t="shared" si="25"/>
        <v/>
      </c>
      <c r="O362" s="17" t="str">
        <f t="shared" si="26"/>
        <v/>
      </c>
      <c r="P362" s="17" t="str">
        <f t="shared" si="27"/>
        <v/>
      </c>
      <c r="Q362" s="18" t="str">
        <f t="shared" si="28"/>
        <v/>
      </c>
      <c r="R362" s="18" t="e">
        <f t="shared" si="29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19">
        <v>46380</v>
      </c>
      <c r="C363" s="75" t="str">
        <f>IF(H363=0,"",'[2]2025-2026'!C362)</f>
        <v/>
      </c>
      <c r="D363" s="68" t="str">
        <f>'[2]2025'!C363</f>
        <v/>
      </c>
      <c r="E363" s="68" t="str">
        <f>'[2]2025'!D363</f>
        <v/>
      </c>
      <c r="F363" s="20" t="str">
        <f>'[2]2025'!E363</f>
        <v/>
      </c>
      <c r="G363" s="73" t="str">
        <f>'[2]2025'!F363</f>
        <v/>
      </c>
      <c r="H363" s="42">
        <f>'[2]2025'!G363</f>
        <v>0</v>
      </c>
      <c r="I363" s="13">
        <f>'[2]2025'!H363</f>
        <v>0</v>
      </c>
      <c r="J363" s="14">
        <f>'[2]2025'!I363</f>
        <v>0</v>
      </c>
      <c r="K363" s="15">
        <f>'[2]2025'!J363</f>
        <v>0</v>
      </c>
      <c r="L363" s="15">
        <f>'[2]2025'!K363</f>
        <v>0</v>
      </c>
      <c r="M363" s="15">
        <f>'[2]2025'!L363</f>
        <v>0</v>
      </c>
      <c r="N363" s="16" t="str">
        <f t="shared" si="25"/>
        <v/>
      </c>
      <c r="O363" s="17" t="str">
        <f t="shared" si="26"/>
        <v/>
      </c>
      <c r="P363" s="17" t="str">
        <f t="shared" si="27"/>
        <v/>
      </c>
      <c r="Q363" s="18" t="str">
        <f t="shared" si="28"/>
        <v/>
      </c>
      <c r="R363" s="18" t="e">
        <f t="shared" si="29"/>
        <v>#DIV/0!</v>
      </c>
      <c r="S363" s="34"/>
      <c r="T363" s="29" t="s">
        <v>8</v>
      </c>
      <c r="U363" s="1738"/>
    </row>
    <row r="364" spans="1:21">
      <c r="A364" s="10" t="s">
        <v>14</v>
      </c>
      <c r="B364" s="19">
        <v>46381</v>
      </c>
      <c r="C364" s="75" t="str">
        <f>IF(H364=0,"",'[2]2025-2026'!C363)</f>
        <v/>
      </c>
      <c r="D364" s="68" t="str">
        <f>'[2]2025'!C364</f>
        <v/>
      </c>
      <c r="E364" s="68" t="str">
        <f>'[2]2025'!D364</f>
        <v/>
      </c>
      <c r="F364" s="20" t="str">
        <f>'[2]2025'!E364</f>
        <v/>
      </c>
      <c r="G364" s="73" t="str">
        <f>'[2]2025'!F364</f>
        <v/>
      </c>
      <c r="H364" s="42">
        <f>'[2]2025'!G364</f>
        <v>0</v>
      </c>
      <c r="I364" s="13">
        <f>'[2]2025'!H364</f>
        <v>0</v>
      </c>
      <c r="J364" s="14">
        <f>'[2]2025'!I364</f>
        <v>0</v>
      </c>
      <c r="K364" s="15">
        <f>'[2]2025'!J364</f>
        <v>0</v>
      </c>
      <c r="L364" s="15">
        <f>'[2]2025'!K364</f>
        <v>0</v>
      </c>
      <c r="M364" s="15">
        <f>'[2]2025'!L364</f>
        <v>0</v>
      </c>
      <c r="N364" s="16" t="str">
        <f t="shared" si="25"/>
        <v/>
      </c>
      <c r="O364" s="17" t="str">
        <f t="shared" si="26"/>
        <v/>
      </c>
      <c r="P364" s="17" t="str">
        <f t="shared" si="27"/>
        <v/>
      </c>
      <c r="Q364" s="18" t="str">
        <f t="shared" si="28"/>
        <v/>
      </c>
      <c r="R364" s="18" t="e">
        <f t="shared" si="29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19">
        <v>46382</v>
      </c>
      <c r="C365" s="75" t="str">
        <f>IF(H365=0,"",'[2]2025-2026'!C364)</f>
        <v/>
      </c>
      <c r="D365" s="68" t="str">
        <f>'[2]2025'!C365</f>
        <v/>
      </c>
      <c r="E365" s="68" t="str">
        <f>'[2]2025'!D365</f>
        <v/>
      </c>
      <c r="F365" s="20" t="str">
        <f>'[2]2025'!E365</f>
        <v/>
      </c>
      <c r="G365" s="73" t="str">
        <f>'[2]2025'!F365</f>
        <v/>
      </c>
      <c r="H365" s="42">
        <f>'[2]2025'!G365</f>
        <v>0</v>
      </c>
      <c r="I365" s="13">
        <f>'[2]2025'!H365</f>
        <v>0</v>
      </c>
      <c r="J365" s="14">
        <f>'[2]2025'!I365</f>
        <v>0</v>
      </c>
      <c r="K365" s="15">
        <f>'[2]2025'!J365</f>
        <v>0</v>
      </c>
      <c r="L365" s="15">
        <f>'[2]2025'!K365</f>
        <v>0</v>
      </c>
      <c r="M365" s="15">
        <f>'[2]2025'!L365</f>
        <v>0</v>
      </c>
      <c r="N365" s="16" t="str">
        <f t="shared" si="25"/>
        <v/>
      </c>
      <c r="O365" s="17" t="str">
        <f t="shared" si="26"/>
        <v/>
      </c>
      <c r="P365" s="17" t="str">
        <f t="shared" si="27"/>
        <v/>
      </c>
      <c r="Q365" s="18" t="str">
        <f t="shared" si="28"/>
        <v/>
      </c>
      <c r="R365" s="18" t="e">
        <f t="shared" si="29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19">
        <v>46383</v>
      </c>
      <c r="C366" s="75" t="str">
        <f>IF(H366=0,"",'[2]2025-2026'!C365)</f>
        <v/>
      </c>
      <c r="D366" s="68" t="str">
        <f>'[2]2025'!C366</f>
        <v/>
      </c>
      <c r="E366" s="68" t="str">
        <f>'[2]2025'!D366</f>
        <v/>
      </c>
      <c r="F366" s="20" t="str">
        <f>'[2]2025'!E366</f>
        <v/>
      </c>
      <c r="G366" s="73" t="str">
        <f>'[2]2025'!F366</f>
        <v/>
      </c>
      <c r="H366" s="42">
        <f>'[2]2025'!G366</f>
        <v>0</v>
      </c>
      <c r="I366" s="13">
        <f>'[2]2025'!H366</f>
        <v>0</v>
      </c>
      <c r="J366" s="14">
        <f>'[2]2025'!I366</f>
        <v>0</v>
      </c>
      <c r="K366" s="15">
        <f>'[2]2025'!J366</f>
        <v>0</v>
      </c>
      <c r="L366" s="15">
        <f>'[2]2025'!K366</f>
        <v>0</v>
      </c>
      <c r="M366" s="15">
        <f>'[2]2025'!L366</f>
        <v>0</v>
      </c>
      <c r="N366" s="16" t="str">
        <f t="shared" si="25"/>
        <v/>
      </c>
      <c r="O366" s="17" t="str">
        <f t="shared" si="26"/>
        <v/>
      </c>
      <c r="P366" s="17" t="str">
        <f t="shared" si="27"/>
        <v/>
      </c>
      <c r="Q366" s="18" t="str">
        <f t="shared" si="28"/>
        <v/>
      </c>
      <c r="R366" s="18" t="e">
        <f t="shared" si="29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19">
        <v>46384</v>
      </c>
      <c r="C367" s="75" t="str">
        <f>IF(H367=0,"",'[2]2025-2026'!C366)</f>
        <v/>
      </c>
      <c r="D367" s="68" t="str">
        <f>'[2]2025'!C367</f>
        <v/>
      </c>
      <c r="E367" s="68">
        <f>'[2]2025'!D367</f>
        <v>0</v>
      </c>
      <c r="F367" s="20" t="str">
        <f>'[2]2025'!E367</f>
        <v/>
      </c>
      <c r="G367" s="73" t="str">
        <f>'[2]2025'!F367</f>
        <v/>
      </c>
      <c r="H367" s="42">
        <f>'[2]2025'!G367</f>
        <v>0</v>
      </c>
      <c r="I367" s="13">
        <f>'[2]2025'!H367</f>
        <v>0</v>
      </c>
      <c r="J367" s="14">
        <f>'[2]2025'!I367</f>
        <v>0</v>
      </c>
      <c r="K367" s="15">
        <f>'[2]2025'!J367</f>
        <v>0</v>
      </c>
      <c r="L367" s="15">
        <f>'[2]2025'!K367</f>
        <v>0</v>
      </c>
      <c r="M367" s="15">
        <f>'[2]2025'!L367</f>
        <v>0</v>
      </c>
      <c r="N367" s="16" t="str">
        <f t="shared" si="25"/>
        <v/>
      </c>
      <c r="O367" s="17" t="str">
        <f>IF(I367=0,"",(I367-E367)/E367)</f>
        <v/>
      </c>
      <c r="P367" s="17" t="str">
        <f t="shared" si="27"/>
        <v/>
      </c>
      <c r="Q367" s="18" t="str">
        <f t="shared" si="28"/>
        <v/>
      </c>
      <c r="R367" s="18" t="e">
        <f t="shared" si="29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19">
        <v>46385</v>
      </c>
      <c r="C368" s="75" t="str">
        <f>IF(H368=0,"",'[2]2025-2026'!C367)</f>
        <v/>
      </c>
      <c r="D368" s="68" t="str">
        <f>'[2]2025'!C368</f>
        <v/>
      </c>
      <c r="E368" s="68">
        <f>'[2]2025'!D368</f>
        <v>0</v>
      </c>
      <c r="F368" s="20" t="str">
        <f>'[2]2025'!E368</f>
        <v/>
      </c>
      <c r="G368" s="73" t="str">
        <f>'[2]2025'!F368</f>
        <v/>
      </c>
      <c r="H368" s="42">
        <f>'[2]2025'!G368</f>
        <v>0</v>
      </c>
      <c r="I368" s="13">
        <f>'[2]2025'!H368</f>
        <v>0</v>
      </c>
      <c r="J368" s="14">
        <f>'[2]2025'!I368</f>
        <v>0</v>
      </c>
      <c r="K368" s="15">
        <f>'[2]2025'!J368</f>
        <v>0</v>
      </c>
      <c r="L368" s="15">
        <f>'[2]2025'!K368</f>
        <v>0</v>
      </c>
      <c r="M368" s="15">
        <f>'[2]2025'!L368</f>
        <v>0</v>
      </c>
      <c r="N368" s="17" t="str">
        <f t="shared" si="25"/>
        <v/>
      </c>
      <c r="O368" s="17" t="str">
        <f>IF(I368=0,"",(I368-E368)/E368)</f>
        <v/>
      </c>
      <c r="P368" s="17" t="str">
        <f>IF(J368=0,"",(J368-F368)/F368)</f>
        <v/>
      </c>
      <c r="Q368" s="18" t="str">
        <f t="shared" si="28"/>
        <v/>
      </c>
      <c r="R368" s="18" t="e">
        <f t="shared" si="29"/>
        <v>#DIV/0!</v>
      </c>
      <c r="S368" s="34">
        <f>SUM(I367:I373)</f>
        <v>0</v>
      </c>
      <c r="T368" s="45" t="s">
        <v>41</v>
      </c>
      <c r="U368" s="1738"/>
    </row>
    <row r="369" spans="1:26">
      <c r="A369" s="10" t="s">
        <v>12</v>
      </c>
      <c r="B369" s="19">
        <v>46386</v>
      </c>
      <c r="C369" s="75" t="str">
        <f>IF(H369=0,"",'[2]2025-2026'!C368)</f>
        <v/>
      </c>
      <c r="D369" s="68" t="str">
        <f>'[2]2025'!C369</f>
        <v/>
      </c>
      <c r="E369" s="68">
        <f>'[2]2025'!D369</f>
        <v>0</v>
      </c>
      <c r="F369" s="20">
        <f>'[2]2025'!E369</f>
        <v>0</v>
      </c>
      <c r="G369" s="73">
        <f>'[2]2025'!F369</f>
        <v>0</v>
      </c>
      <c r="H369" s="42">
        <f>'[2]2025'!G369</f>
        <v>0</v>
      </c>
      <c r="I369" s="13">
        <f>'[2]2025'!H369</f>
        <v>0</v>
      </c>
      <c r="J369" s="14">
        <f>'[2]2025'!I369</f>
        <v>0</v>
      </c>
      <c r="K369" s="60">
        <f>'[2]2025'!J369</f>
        <v>0</v>
      </c>
      <c r="L369" s="60">
        <f>'[2]2025'!K369</f>
        <v>0</v>
      </c>
      <c r="M369" s="60">
        <f>'[2]2025'!L369</f>
        <v>0</v>
      </c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64">
        <v>46387</v>
      </c>
      <c r="C370" s="75" t="str">
        <f>IF(H370=0,"",'[2]2025-2026'!C369)</f>
        <v/>
      </c>
      <c r="D370" s="68" t="str">
        <f>'[2]2025'!C370</f>
        <v/>
      </c>
      <c r="E370" s="68"/>
      <c r="F370" s="20"/>
      <c r="G370" s="73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64">
        <v>46388</v>
      </c>
      <c r="C371" s="75" t="str">
        <f>IF(H371=0,"",'[2]2025-2026'!C370)</f>
        <v/>
      </c>
      <c r="D371" s="68" t="str">
        <f>'[2]2025'!C371</f>
        <v/>
      </c>
      <c r="E371" s="68"/>
      <c r="F371" s="20"/>
      <c r="G371" s="73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64">
        <v>46389</v>
      </c>
      <c r="C372" s="75" t="str">
        <f>IF(H372=0,"",'[2]2025-2026'!C371)</f>
        <v/>
      </c>
      <c r="D372" s="68" t="str">
        <f>'[2]2025'!C372</f>
        <v/>
      </c>
      <c r="E372" s="68"/>
      <c r="F372" s="20"/>
      <c r="G372" s="73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64">
        <v>46390</v>
      </c>
      <c r="C373" s="75" t="str">
        <f>IF(H373=0,"",'[2]2025-2026'!C372)</f>
        <v/>
      </c>
      <c r="D373" s="71"/>
      <c r="E373" s="71"/>
      <c r="F373" s="21"/>
      <c r="G373" s="74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69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>
      <c r="B377" s="98" t="s">
        <v>10</v>
      </c>
      <c r="C377" s="204"/>
      <c r="D377" s="84">
        <f>SUM(C$6:C$36)</f>
        <v>691983.69000000006</v>
      </c>
      <c r="E377" s="104"/>
      <c r="F377" s="102">
        <v>97</v>
      </c>
      <c r="G377" s="105">
        <f>M377/F377</f>
        <v>6697.432989690722</v>
      </c>
      <c r="H377" s="84">
        <f>SUM(D$6:D$36)</f>
        <v>684830.51000000013</v>
      </c>
      <c r="I377" s="84">
        <f t="shared" ref="I377:Q377" si="30">SUM(E$6:E$36)</f>
        <v>676153.33000000007</v>
      </c>
      <c r="J377" s="89">
        <f t="shared" si="30"/>
        <v>37821</v>
      </c>
      <c r="K377" s="84">
        <f t="shared" si="30"/>
        <v>699600</v>
      </c>
      <c r="L377" s="84">
        <f t="shared" si="30"/>
        <v>658679.48999999976</v>
      </c>
      <c r="M377" s="84">
        <f t="shared" si="30"/>
        <v>649651</v>
      </c>
      <c r="N377" s="89">
        <f t="shared" si="30"/>
        <v>34075</v>
      </c>
      <c r="O377" s="89">
        <f t="shared" si="30"/>
        <v>6234.6</v>
      </c>
      <c r="P377" s="89">
        <f t="shared" si="30"/>
        <v>6720.73</v>
      </c>
      <c r="Q377" s="87">
        <f t="shared" si="30"/>
        <v>3793.3300000000004</v>
      </c>
      <c r="R377" s="87">
        <f>'[2]2025'!$G$387</f>
        <v>1528.0800000000004</v>
      </c>
      <c r="S377" s="87">
        <f>'[2]2025'!$G$388</f>
        <v>-169.3</v>
      </c>
      <c r="T377" s="87">
        <f>'[2]2025'!$G$389</f>
        <v>192.51</v>
      </c>
      <c r="V377" s="1503">
        <f>(L377-D377)/D377</f>
        <v>-4.8128591007687335E-2</v>
      </c>
      <c r="W377" s="1503">
        <f>(L377-H377)/H377</f>
        <v>-3.8186119949592146E-2</v>
      </c>
      <c r="X377" s="1503">
        <f>(M377-I377)/I377</f>
        <v>-3.9195739818363495E-2</v>
      </c>
      <c r="Y377" s="1503">
        <f>(N377-J377)/J377</f>
        <v>-9.9045503820628752E-2</v>
      </c>
    </row>
    <row r="378" spans="1:26">
      <c r="B378" s="98" t="s">
        <v>25</v>
      </c>
      <c r="C378" s="204"/>
      <c r="D378" s="84">
        <f>SUM(C$37:C$64)</f>
        <v>629631.20000000019</v>
      </c>
      <c r="E378" s="104"/>
      <c r="F378" s="102">
        <v>97</v>
      </c>
      <c r="G378" s="105">
        <f t="shared" ref="G378:G388" si="31">M378/F378</f>
        <v>6180.8282474226817</v>
      </c>
      <c r="H378" s="83">
        <f>SUM(D$37:D$64)</f>
        <v>628191.81000000006</v>
      </c>
      <c r="I378" s="83">
        <f t="shared" ref="I378:Q378" si="32">SUM(E$37:E$64)</f>
        <v>621038.9</v>
      </c>
      <c r="J378" s="89">
        <f t="shared" si="32"/>
        <v>34371</v>
      </c>
      <c r="K378" s="84">
        <f t="shared" si="32"/>
        <v>626700</v>
      </c>
      <c r="L378" s="88">
        <f t="shared" si="32"/>
        <v>607702.89000000013</v>
      </c>
      <c r="M378" s="88">
        <f t="shared" si="32"/>
        <v>599540.34000000008</v>
      </c>
      <c r="N378" s="93">
        <f t="shared" si="32"/>
        <v>31123</v>
      </c>
      <c r="O378" s="93">
        <f t="shared" si="32"/>
        <v>5712.0599999999995</v>
      </c>
      <c r="P378" s="93">
        <f t="shared" si="32"/>
        <v>6205.9899999999989</v>
      </c>
      <c r="Q378" s="87">
        <f t="shared" si="32"/>
        <v>3215.85</v>
      </c>
      <c r="R378" s="87">
        <f>'[2]2025'!$H$387</f>
        <v>1440.77</v>
      </c>
      <c r="S378" s="87">
        <f>'[2]2025'!$H$388</f>
        <v>-30168.03</v>
      </c>
      <c r="T378" s="87">
        <f>'[2]2025'!$H$389</f>
        <v>249.14999999999998</v>
      </c>
      <c r="V378" s="1503">
        <f t="shared" ref="V378:V388" si="33">(L378-D378)/D378</f>
        <v>-3.4827229019146526E-2</v>
      </c>
      <c r="W378" s="1503">
        <f t="shared" ref="W378:W388" si="34">(L378-H378)/H378</f>
        <v>-3.2615706976504392E-2</v>
      </c>
      <c r="X378" s="1503">
        <f t="shared" ref="X378:X388" si="35">(M378-I378)/I378</f>
        <v>-3.4617090813473902E-2</v>
      </c>
      <c r="Y378" s="1503">
        <f t="shared" ref="Y378:Y388" si="36">(N378-J378)/J378</f>
        <v>-9.4498268889470771E-2</v>
      </c>
    </row>
    <row r="379" spans="1:26">
      <c r="B379" s="98" t="s">
        <v>17</v>
      </c>
      <c r="C379" s="204"/>
      <c r="D379" s="84">
        <f>SUM(C$65:C$95)</f>
        <v>660508.60000000009</v>
      </c>
      <c r="E379" s="104"/>
      <c r="F379" s="102">
        <v>97</v>
      </c>
      <c r="G379" s="105">
        <f t="shared" si="31"/>
        <v>6189.4479381443298</v>
      </c>
      <c r="H379" s="83">
        <f>SUM(D$65:D$95)</f>
        <v>647614.15000000014</v>
      </c>
      <c r="I379" s="83">
        <f t="shared" ref="I379:Q379" si="37">SUM(E$65:E$95)</f>
        <v>638701.78999999992</v>
      </c>
      <c r="J379" s="90">
        <f t="shared" si="37"/>
        <v>36032</v>
      </c>
      <c r="K379" s="83">
        <f t="shared" si="37"/>
        <v>644100</v>
      </c>
      <c r="L379" s="83">
        <f t="shared" si="37"/>
        <v>609514.53000000026</v>
      </c>
      <c r="M379" s="83">
        <f t="shared" si="37"/>
        <v>600376.44999999995</v>
      </c>
      <c r="N379" s="90">
        <f t="shared" si="37"/>
        <v>32183</v>
      </c>
      <c r="O379" s="90">
        <f t="shared" si="37"/>
        <v>6176.86</v>
      </c>
      <c r="P379" s="90">
        <f t="shared" si="37"/>
        <v>6615.2199999999984</v>
      </c>
      <c r="Q379" s="83">
        <f t="shared" si="37"/>
        <v>3116.0399999999995</v>
      </c>
      <c r="R379" s="87">
        <f>'[2]2025'!$I$387</f>
        <v>1413.72</v>
      </c>
      <c r="S379" s="87">
        <f>'[2]2025'!$I$388</f>
        <v>-18289.38</v>
      </c>
      <c r="T379" s="87">
        <f>'[2]2025'!$I$389</f>
        <v>249.28</v>
      </c>
      <c r="V379" s="1503">
        <f t="shared" si="33"/>
        <v>-7.7204248362549438E-2</v>
      </c>
      <c r="W379" s="1503">
        <f t="shared" si="34"/>
        <v>-5.883074049571009E-2</v>
      </c>
      <c r="X379" s="1503">
        <f t="shared" si="35"/>
        <v>-6.0005061203914856E-2</v>
      </c>
      <c r="Y379" s="1503">
        <f t="shared" si="36"/>
        <v>-0.10682171403197158</v>
      </c>
    </row>
    <row r="380" spans="1:26">
      <c r="B380" s="98" t="s">
        <v>18</v>
      </c>
      <c r="C380" s="204"/>
      <c r="D380" s="84">
        <f>SUM(C$96:C$125)</f>
        <v>631103.37</v>
      </c>
      <c r="E380" s="104"/>
      <c r="F380" s="102">
        <v>97</v>
      </c>
      <c r="G380" s="105">
        <f t="shared" si="31"/>
        <v>5879.0517525773212</v>
      </c>
      <c r="H380" s="83">
        <f>SUM(D$96:D$125)</f>
        <v>636162.85</v>
      </c>
      <c r="I380" s="83">
        <f t="shared" ref="I380:Q380" si="38">SUM(E$96:E$125)</f>
        <v>627440.92000000004</v>
      </c>
      <c r="J380" s="90">
        <f t="shared" si="38"/>
        <v>35558</v>
      </c>
      <c r="K380" s="83">
        <f t="shared" si="38"/>
        <v>644400</v>
      </c>
      <c r="L380" s="83">
        <f t="shared" si="38"/>
        <v>581204.20999999985</v>
      </c>
      <c r="M380" s="83">
        <f t="shared" si="38"/>
        <v>570268.02000000014</v>
      </c>
      <c r="N380" s="90">
        <f t="shared" si="38"/>
        <v>30309</v>
      </c>
      <c r="O380" s="90">
        <f t="shared" si="38"/>
        <v>5660.13</v>
      </c>
      <c r="P380" s="90">
        <f t="shared" si="38"/>
        <v>6124.15</v>
      </c>
      <c r="Q380" s="83">
        <f t="shared" si="38"/>
        <v>3822</v>
      </c>
      <c r="R380" s="87">
        <f>'[2]2025'!$J$387</f>
        <v>1263.3200000000002</v>
      </c>
      <c r="S380" s="87">
        <f>'[2]2025'!$J$388</f>
        <v>-25775</v>
      </c>
      <c r="T380" s="87">
        <f>'[2]2025'!$J$389</f>
        <v>196.4</v>
      </c>
      <c r="V380" s="1503">
        <f t="shared" si="33"/>
        <v>-7.9066540240468289E-2</v>
      </c>
      <c r="W380" s="1503">
        <f t="shared" si="34"/>
        <v>-8.6390835302627519E-2</v>
      </c>
      <c r="X380" s="1503">
        <f t="shared" si="35"/>
        <v>-9.1120770382651969E-2</v>
      </c>
      <c r="Y380" s="1503">
        <f t="shared" si="36"/>
        <v>-0.14761797626413184</v>
      </c>
    </row>
    <row r="381" spans="1:26">
      <c r="B381" s="98" t="s">
        <v>19</v>
      </c>
      <c r="C381" s="204"/>
      <c r="D381" s="84">
        <f>SUM(C$126:C$156)</f>
        <v>623186.78000000014</v>
      </c>
      <c r="E381" s="104"/>
      <c r="F381" s="102">
        <v>97</v>
      </c>
      <c r="G381" s="105">
        <f t="shared" si="31"/>
        <v>5762.8294845360833</v>
      </c>
      <c r="H381" s="84">
        <f>SUM(D$126:D$156)</f>
        <v>631095.55000000016</v>
      </c>
      <c r="I381" s="84">
        <f t="shared" ref="I381:Q381" si="39">SUM(E$126:E$156)</f>
        <v>624200.08999999985</v>
      </c>
      <c r="J381" s="89">
        <f t="shared" si="39"/>
        <v>35405</v>
      </c>
      <c r="K381" s="84">
        <f t="shared" si="39"/>
        <v>654300</v>
      </c>
      <c r="L381" s="84">
        <f t="shared" si="39"/>
        <v>567959.03000000014</v>
      </c>
      <c r="M381" s="84">
        <f t="shared" si="39"/>
        <v>558994.46000000008</v>
      </c>
      <c r="N381" s="89">
        <f t="shared" si="39"/>
        <v>30543</v>
      </c>
      <c r="O381" s="89">
        <f t="shared" si="39"/>
        <v>5760.38</v>
      </c>
      <c r="P381" s="89">
        <f t="shared" si="39"/>
        <v>6183.9199999999992</v>
      </c>
      <c r="Q381" s="87">
        <f t="shared" si="39"/>
        <v>4892.2900000000009</v>
      </c>
      <c r="R381" s="87">
        <f>'[2]2025'!$K$387</f>
        <v>1352.75</v>
      </c>
      <c r="S381" s="87">
        <f>'[2]2025'!$K$388</f>
        <v>-995.72</v>
      </c>
      <c r="T381" s="87">
        <f>'[2]2025'!$K$389</f>
        <v>377.19</v>
      </c>
      <c r="V381" s="1503">
        <f t="shared" si="33"/>
        <v>-8.8621504454892294E-2</v>
      </c>
      <c r="W381" s="1503">
        <f t="shared" si="34"/>
        <v>-0.10004272728590782</v>
      </c>
      <c r="X381" s="1503">
        <f t="shared" si="35"/>
        <v>-0.10446270522005177</v>
      </c>
      <c r="Y381" s="1503">
        <f t="shared" si="36"/>
        <v>-0.13732523654851009</v>
      </c>
    </row>
    <row r="382" spans="1:26">
      <c r="B382" s="98" t="s">
        <v>20</v>
      </c>
      <c r="C382" s="204"/>
      <c r="D382" s="84">
        <f>SUM(C$157:C$186)</f>
        <v>149064.57</v>
      </c>
      <c r="E382" s="104"/>
      <c r="F382" s="102">
        <v>97</v>
      </c>
      <c r="G382" s="105">
        <f>M382/F382</f>
        <v>1347.2747422680411</v>
      </c>
      <c r="H382" s="84">
        <f>SUM(D$157:D$186)</f>
        <v>142119</v>
      </c>
      <c r="I382" s="84">
        <f t="shared" ref="I382:Q382" si="40">SUM(E$157:E$186)</f>
        <v>140420.47</v>
      </c>
      <c r="J382" s="89">
        <f t="shared" si="40"/>
        <v>7945</v>
      </c>
      <c r="K382" s="84">
        <f t="shared" si="40"/>
        <v>141700</v>
      </c>
      <c r="L382" s="84">
        <f t="shared" si="40"/>
        <v>132697.91999999998</v>
      </c>
      <c r="M382" s="84">
        <f t="shared" si="40"/>
        <v>130685.65</v>
      </c>
      <c r="N382" s="89">
        <f t="shared" si="40"/>
        <v>7229</v>
      </c>
      <c r="O382" s="89">
        <f t="shared" si="40"/>
        <v>1324.3999999999999</v>
      </c>
      <c r="P382" s="89">
        <f t="shared" si="40"/>
        <v>1444.27</v>
      </c>
      <c r="Q382" s="87">
        <f t="shared" si="40"/>
        <v>-549.47</v>
      </c>
      <c r="R382" s="87">
        <f>'[2]2025'!$L$387</f>
        <v>181.44</v>
      </c>
      <c r="S382" s="87">
        <f>'[2]2025'!$L$388</f>
        <v>-46.52</v>
      </c>
      <c r="T382" s="87">
        <f>'[2]2025'!$L$389</f>
        <v>45.39</v>
      </c>
      <c r="V382" s="1503">
        <f t="shared" si="33"/>
        <v>-0.10979570799419354</v>
      </c>
      <c r="W382" s="1503">
        <f t="shared" si="34"/>
        <v>-6.6290080847740393E-2</v>
      </c>
      <c r="X382" s="1503">
        <f t="shared" si="35"/>
        <v>-6.9326217181868197E-2</v>
      </c>
      <c r="Y382" s="1503">
        <f t="shared" si="36"/>
        <v>-9.0119572057898042E-2</v>
      </c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97</v>
      </c>
      <c r="G383" s="105">
        <f t="shared" si="31"/>
        <v>0</v>
      </c>
      <c r="H383" s="84">
        <f>SUM(D$187:D$217)</f>
        <v>0</v>
      </c>
      <c r="I383" s="84">
        <f t="shared" ref="I383:Q383" si="41">SUM(E$187:E$217)</f>
        <v>0</v>
      </c>
      <c r="J383" s="89">
        <f t="shared" si="41"/>
        <v>0</v>
      </c>
      <c r="K383" s="84">
        <f t="shared" si="41"/>
        <v>0</v>
      </c>
      <c r="L383" s="84">
        <f t="shared" si="41"/>
        <v>0</v>
      </c>
      <c r="M383" s="84">
        <f t="shared" si="41"/>
        <v>0</v>
      </c>
      <c r="N383" s="89">
        <f t="shared" si="41"/>
        <v>0</v>
      </c>
      <c r="O383" s="89">
        <f t="shared" si="41"/>
        <v>0</v>
      </c>
      <c r="P383" s="89">
        <f t="shared" si="41"/>
        <v>0</v>
      </c>
      <c r="Q383" s="87">
        <f t="shared" si="41"/>
        <v>0</v>
      </c>
      <c r="R383" s="87">
        <f>'[2]2025'!$M$387</f>
        <v>0</v>
      </c>
      <c r="S383" s="87">
        <f>'[2]2025'!$M$388</f>
        <v>0</v>
      </c>
      <c r="T383" s="87">
        <f>'[2]2025'!$M$389</f>
        <v>0</v>
      </c>
      <c r="V383" s="1503" t="e">
        <f t="shared" si="33"/>
        <v>#DIV/0!</v>
      </c>
      <c r="W383" s="1503" t="e">
        <f t="shared" si="34"/>
        <v>#DIV/0!</v>
      </c>
      <c r="X383" s="1503" t="e">
        <f t="shared" si="35"/>
        <v>#DIV/0!</v>
      </c>
      <c r="Y383" s="1503" t="e">
        <f t="shared" si="36"/>
        <v>#DIV/0!</v>
      </c>
    </row>
    <row r="384" spans="1:26">
      <c r="B384" s="98" t="s">
        <v>26</v>
      </c>
      <c r="C384" s="204"/>
      <c r="D384" s="84">
        <f>SUM(C$218:C$248)</f>
        <v>0</v>
      </c>
      <c r="E384" s="104"/>
      <c r="F384" s="102">
        <v>97</v>
      </c>
      <c r="G384" s="105">
        <f t="shared" si="31"/>
        <v>0</v>
      </c>
      <c r="H384" s="84">
        <f>SUM(D$218:D$248)</f>
        <v>0</v>
      </c>
      <c r="I384" s="84">
        <f t="shared" ref="I384:Q384" si="42">SUM(E$218:E$248)</f>
        <v>0</v>
      </c>
      <c r="J384" s="89">
        <f t="shared" si="42"/>
        <v>0</v>
      </c>
      <c r="K384" s="84">
        <f t="shared" si="42"/>
        <v>0</v>
      </c>
      <c r="L384" s="84">
        <f t="shared" si="42"/>
        <v>0</v>
      </c>
      <c r="M384" s="84">
        <f t="shared" si="42"/>
        <v>0</v>
      </c>
      <c r="N384" s="89">
        <f t="shared" si="42"/>
        <v>0</v>
      </c>
      <c r="O384" s="89">
        <f t="shared" si="42"/>
        <v>0</v>
      </c>
      <c r="P384" s="89">
        <f t="shared" si="42"/>
        <v>0</v>
      </c>
      <c r="Q384" s="84">
        <f t="shared" si="42"/>
        <v>0</v>
      </c>
      <c r="R384" s="87">
        <f>'[2]2025'!$N$387</f>
        <v>0</v>
      </c>
      <c r="S384" s="87">
        <f>'[2]2025'!$N$388</f>
        <v>0</v>
      </c>
      <c r="T384" s="87">
        <f>'[2]2025'!$N$389</f>
        <v>0</v>
      </c>
      <c r="V384" s="1503" t="e">
        <f t="shared" si="33"/>
        <v>#DIV/0!</v>
      </c>
      <c r="W384" s="1503" t="e">
        <f t="shared" si="34"/>
        <v>#DIV/0!</v>
      </c>
      <c r="X384" s="1503" t="e">
        <f t="shared" si="35"/>
        <v>#DIV/0!</v>
      </c>
      <c r="Y384" s="1503" t="e">
        <f t="shared" si="36"/>
        <v>#DIV/0!</v>
      </c>
    </row>
    <row r="385" spans="1:25">
      <c r="B385" s="98" t="s">
        <v>22</v>
      </c>
      <c r="C385" s="204"/>
      <c r="D385" s="84">
        <f>SUM(C$249:C$278)</f>
        <v>0</v>
      </c>
      <c r="E385" s="104"/>
      <c r="F385" s="102">
        <v>97</v>
      </c>
      <c r="G385" s="105">
        <f t="shared" si="31"/>
        <v>0</v>
      </c>
      <c r="H385" s="85">
        <f>SUM(D$249:D$278)</f>
        <v>0</v>
      </c>
      <c r="I385" s="85">
        <f t="shared" ref="I385:Q385" si="43">SUM(E$249:E$278)</f>
        <v>0</v>
      </c>
      <c r="J385" s="91">
        <f t="shared" si="43"/>
        <v>0</v>
      </c>
      <c r="K385" s="85">
        <f t="shared" si="43"/>
        <v>0</v>
      </c>
      <c r="L385" s="85">
        <f t="shared" si="43"/>
        <v>0</v>
      </c>
      <c r="M385" s="85">
        <f t="shared" si="43"/>
        <v>0</v>
      </c>
      <c r="N385" s="91">
        <f t="shared" si="43"/>
        <v>0</v>
      </c>
      <c r="O385" s="91">
        <f t="shared" si="43"/>
        <v>0</v>
      </c>
      <c r="P385" s="91">
        <f t="shared" si="43"/>
        <v>0</v>
      </c>
      <c r="Q385" s="85">
        <f t="shared" si="43"/>
        <v>0</v>
      </c>
      <c r="R385" s="87">
        <f>'[2]2025'!$O$387</f>
        <v>0</v>
      </c>
      <c r="S385" s="87">
        <f>'[2]2025'!$O$388</f>
        <v>0</v>
      </c>
      <c r="T385" s="87">
        <f>'[2]2025'!$O$389</f>
        <v>0</v>
      </c>
      <c r="V385" s="1503" t="e">
        <f t="shared" si="33"/>
        <v>#DIV/0!</v>
      </c>
      <c r="W385" s="1503" t="e">
        <f t="shared" si="34"/>
        <v>#DIV/0!</v>
      </c>
      <c r="X385" s="1503" t="e">
        <f t="shared" si="35"/>
        <v>#DIV/0!</v>
      </c>
      <c r="Y385" s="1503" t="e">
        <f t="shared" si="36"/>
        <v>#DIV/0!</v>
      </c>
    </row>
    <row r="386" spans="1:25">
      <c r="B386" s="98" t="s">
        <v>23</v>
      </c>
      <c r="C386" s="204"/>
      <c r="D386" s="84">
        <f>SUM(C$279:C$309)</f>
        <v>0</v>
      </c>
      <c r="E386" s="104"/>
      <c r="F386" s="102">
        <v>97</v>
      </c>
      <c r="G386" s="105">
        <f t="shared" si="31"/>
        <v>0</v>
      </c>
      <c r="H386" s="84">
        <f>SUM(D$279:D$309)</f>
        <v>0</v>
      </c>
      <c r="I386" s="84">
        <f t="shared" ref="I386:Q386" si="44">SUM(E$279:E$309)</f>
        <v>0</v>
      </c>
      <c r="J386" s="89">
        <f t="shared" si="44"/>
        <v>0</v>
      </c>
      <c r="K386" s="84">
        <f t="shared" si="44"/>
        <v>0</v>
      </c>
      <c r="L386" s="84">
        <f t="shared" si="44"/>
        <v>0</v>
      </c>
      <c r="M386" s="84">
        <f t="shared" si="44"/>
        <v>0</v>
      </c>
      <c r="N386" s="89">
        <f t="shared" si="44"/>
        <v>0</v>
      </c>
      <c r="O386" s="89">
        <f t="shared" si="44"/>
        <v>0</v>
      </c>
      <c r="P386" s="89">
        <f t="shared" si="44"/>
        <v>0</v>
      </c>
      <c r="Q386" s="84">
        <f t="shared" si="44"/>
        <v>0</v>
      </c>
      <c r="R386" s="87">
        <f>'[2]2025'!$P$387</f>
        <v>0</v>
      </c>
      <c r="S386" s="87">
        <f>'[2]2025'!$P$388</f>
        <v>0</v>
      </c>
      <c r="T386" s="87">
        <f>'[2]2025'!$P$389</f>
        <v>0</v>
      </c>
      <c r="V386" s="1503" t="e">
        <f t="shared" si="33"/>
        <v>#DIV/0!</v>
      </c>
      <c r="W386" s="1503" t="e">
        <f t="shared" si="34"/>
        <v>#DIV/0!</v>
      </c>
      <c r="X386" s="1503" t="e">
        <f t="shared" si="35"/>
        <v>#DIV/0!</v>
      </c>
      <c r="Y386" s="1503" t="e">
        <f t="shared" si="36"/>
        <v>#DIV/0!</v>
      </c>
    </row>
    <row r="387" spans="1:25">
      <c r="B387" s="98" t="s">
        <v>24</v>
      </c>
      <c r="C387" s="204"/>
      <c r="D387" s="84">
        <f>SUM(C$310:C$339)</f>
        <v>0</v>
      </c>
      <c r="E387" s="104"/>
      <c r="F387" s="102">
        <v>97</v>
      </c>
      <c r="G387" s="105">
        <f t="shared" si="31"/>
        <v>0</v>
      </c>
      <c r="H387" s="86">
        <f>SUM(D$310:D$339)</f>
        <v>0</v>
      </c>
      <c r="I387" s="86">
        <f t="shared" ref="I387:Q387" si="45">SUM(E$310:E$339)</f>
        <v>0</v>
      </c>
      <c r="J387" s="92">
        <f t="shared" si="45"/>
        <v>0</v>
      </c>
      <c r="K387" s="86">
        <f t="shared" si="45"/>
        <v>0</v>
      </c>
      <c r="L387" s="86">
        <f t="shared" si="45"/>
        <v>0</v>
      </c>
      <c r="M387" s="86">
        <f t="shared" si="45"/>
        <v>0</v>
      </c>
      <c r="N387" s="92">
        <f t="shared" si="45"/>
        <v>0</v>
      </c>
      <c r="O387" s="92">
        <f t="shared" si="45"/>
        <v>0</v>
      </c>
      <c r="P387" s="92">
        <f t="shared" si="45"/>
        <v>0</v>
      </c>
      <c r="Q387" s="86">
        <f t="shared" si="45"/>
        <v>0</v>
      </c>
      <c r="R387" s="87">
        <f>'[2]2025'!$Q$387</f>
        <v>0</v>
      </c>
      <c r="S387" s="87">
        <f>'[2]2025'!$Q$388</f>
        <v>0</v>
      </c>
      <c r="T387" s="87">
        <f>'[2]2025'!$Q$389</f>
        <v>0</v>
      </c>
      <c r="V387" s="1503" t="e">
        <f t="shared" si="33"/>
        <v>#DIV/0!</v>
      </c>
      <c r="W387" s="1503" t="e">
        <f t="shared" si="34"/>
        <v>#DIV/0!</v>
      </c>
      <c r="X387" s="1503" t="e">
        <f t="shared" si="35"/>
        <v>#DIV/0!</v>
      </c>
      <c r="Y387" s="1503" t="e">
        <f t="shared" si="36"/>
        <v>#DIV/0!</v>
      </c>
    </row>
    <row r="388" spans="1:25">
      <c r="B388" s="98" t="s">
        <v>27</v>
      </c>
      <c r="C388" s="204"/>
      <c r="D388" s="84">
        <f>SUM(C$340:C$370)</f>
        <v>0</v>
      </c>
      <c r="E388" s="104"/>
      <c r="F388" s="102">
        <v>97</v>
      </c>
      <c r="G388" s="105">
        <f t="shared" si="31"/>
        <v>0</v>
      </c>
      <c r="H388" s="84">
        <f>SUM(D$340:D$370)</f>
        <v>0</v>
      </c>
      <c r="I388" s="84">
        <f t="shared" ref="I388:Q388" si="46">SUM(E$340:E$370)</f>
        <v>0</v>
      </c>
      <c r="J388" s="89">
        <f t="shared" si="46"/>
        <v>0</v>
      </c>
      <c r="K388" s="84">
        <f t="shared" si="46"/>
        <v>0</v>
      </c>
      <c r="L388" s="84">
        <f t="shared" si="46"/>
        <v>0</v>
      </c>
      <c r="M388" s="84">
        <f t="shared" si="46"/>
        <v>0</v>
      </c>
      <c r="N388" s="89">
        <f t="shared" si="46"/>
        <v>0</v>
      </c>
      <c r="O388" s="89">
        <f t="shared" si="46"/>
        <v>0</v>
      </c>
      <c r="P388" s="89">
        <f t="shared" si="46"/>
        <v>0</v>
      </c>
      <c r="Q388" s="84">
        <f t="shared" si="46"/>
        <v>0</v>
      </c>
      <c r="R388" s="87">
        <f>'[2]2025'!$R$387</f>
        <v>0</v>
      </c>
      <c r="S388" s="87">
        <f>'[2]2025'!$R$388</f>
        <v>0</v>
      </c>
      <c r="T388" s="87">
        <f>'[2]2025'!$R$389</f>
        <v>0</v>
      </c>
      <c r="V388" s="1503" t="e">
        <f t="shared" si="33"/>
        <v>#DIV/0!</v>
      </c>
      <c r="W388" s="1503" t="e">
        <f t="shared" si="34"/>
        <v>#DIV/0!</v>
      </c>
      <c r="X388" s="1503" t="e">
        <f t="shared" si="35"/>
        <v>#DIV/0!</v>
      </c>
      <c r="Y388" s="1503" t="e">
        <f t="shared" si="36"/>
        <v>#DIV/0!</v>
      </c>
    </row>
    <row r="389" spans="1:25" ht="18" thickBot="1">
      <c r="B389" s="99" t="s">
        <v>45</v>
      </c>
      <c r="C389" s="205"/>
      <c r="D389" s="96">
        <f>SUM(D377:D388)</f>
        <v>3385478.2100000004</v>
      </c>
      <c r="E389" s="106"/>
      <c r="F389" s="100">
        <f>AVERAGE(F377:F388)</f>
        <v>97</v>
      </c>
      <c r="G389" s="106">
        <f>SUM(G377:G388)</f>
        <v>32056.865154639177</v>
      </c>
      <c r="H389" s="96">
        <f>SUM(H377:H388)</f>
        <v>3370013.8700000006</v>
      </c>
      <c r="I389" s="96">
        <f t="shared" ref="I389:T389" si="47">SUM(I377:I388)</f>
        <v>3327955.5</v>
      </c>
      <c r="J389" s="97">
        <f t="shared" si="47"/>
        <v>187132</v>
      </c>
      <c r="K389" s="96">
        <f t="shared" si="47"/>
        <v>3410800</v>
      </c>
      <c r="L389" s="96">
        <f t="shared" si="47"/>
        <v>3157758.0700000003</v>
      </c>
      <c r="M389" s="96">
        <f t="shared" si="47"/>
        <v>3109515.92</v>
      </c>
      <c r="N389" s="97">
        <f t="shared" si="47"/>
        <v>165462</v>
      </c>
      <c r="O389" s="97">
        <f t="shared" si="47"/>
        <v>30868.430000000004</v>
      </c>
      <c r="P389" s="97">
        <f t="shared" si="47"/>
        <v>33294.279999999992</v>
      </c>
      <c r="Q389" s="96">
        <f t="shared" si="47"/>
        <v>18290.04</v>
      </c>
      <c r="R389" s="96">
        <f t="shared" si="47"/>
        <v>7180.0800000000008</v>
      </c>
      <c r="S389" s="96">
        <f t="shared" si="47"/>
        <v>-75443.95</v>
      </c>
      <c r="T389" s="96">
        <f t="shared" si="47"/>
        <v>1309.92</v>
      </c>
      <c r="V389" s="1503">
        <f>(L389-D389)/D389</f>
        <v>-6.7263803183657211E-2</v>
      </c>
      <c r="W389" s="1503">
        <f>(L389-H389)/H389</f>
        <v>-6.2983657690405953E-2</v>
      </c>
      <c r="X389" s="1503">
        <f>(M389-I389)/I389</f>
        <v>-6.5637770697354603E-2</v>
      </c>
      <c r="Y389" s="1503">
        <f>(N389-J389)/J389</f>
        <v>-0.11580061133317658</v>
      </c>
    </row>
    <row r="390" spans="1:25">
      <c r="P390" s="198"/>
    </row>
    <row r="391" spans="1:25">
      <c r="P391" s="198"/>
    </row>
    <row r="392" spans="1:25">
      <c r="P392" s="198"/>
    </row>
    <row r="393" spans="1:25" ht="32" customHeight="1">
      <c r="A393" s="94"/>
      <c r="P393" s="198"/>
      <c r="Q393" s="38"/>
      <c r="R393" s="38"/>
      <c r="S393" s="38"/>
      <c r="T393" s="38"/>
      <c r="U393" s="38"/>
    </row>
    <row r="394" spans="1:25">
      <c r="P394" s="198"/>
      <c r="Q394" s="38"/>
      <c r="R394" s="38"/>
      <c r="S394" s="38"/>
      <c r="T394" s="38"/>
      <c r="U394" s="38"/>
    </row>
    <row r="395" spans="1:25">
      <c r="P395" s="198"/>
    </row>
    <row r="396" spans="1:25">
      <c r="P396" s="198"/>
    </row>
    <row r="397" spans="1:25">
      <c r="P397" s="198"/>
    </row>
    <row r="398" spans="1:25">
      <c r="P398" s="198"/>
    </row>
    <row r="399" spans="1:25">
      <c r="P399" s="198"/>
    </row>
    <row r="400" spans="1:25">
      <c r="P400" s="198"/>
    </row>
    <row r="401" spans="16:16">
      <c r="P401" s="198"/>
    </row>
  </sheetData>
  <mergeCells count="56"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  <mergeCell ref="U66:U72"/>
    <mergeCell ref="U73:U79"/>
    <mergeCell ref="U80:U86"/>
    <mergeCell ref="U87:U93"/>
    <mergeCell ref="U94:U100"/>
    <mergeCell ref="U101:U107"/>
    <mergeCell ref="U108:U114"/>
    <mergeCell ref="U115:U121"/>
    <mergeCell ref="U122:U128"/>
    <mergeCell ref="U129:U135"/>
    <mergeCell ref="U136:U142"/>
    <mergeCell ref="U143:U149"/>
    <mergeCell ref="U150:U156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62:U268"/>
    <mergeCell ref="U269:U275"/>
    <mergeCell ref="U276:U282"/>
    <mergeCell ref="U213:U219"/>
    <mergeCell ref="U220:U226"/>
    <mergeCell ref="U227:U233"/>
    <mergeCell ref="U234:U240"/>
    <mergeCell ref="U241:U247"/>
    <mergeCell ref="V3:V9"/>
    <mergeCell ref="U353:U359"/>
    <mergeCell ref="U360:U366"/>
    <mergeCell ref="U367:U373"/>
    <mergeCell ref="U318:U324"/>
    <mergeCell ref="U325:U331"/>
    <mergeCell ref="U332:U338"/>
    <mergeCell ref="U339:U345"/>
    <mergeCell ref="U346:U352"/>
    <mergeCell ref="U283:U289"/>
    <mergeCell ref="U290:U296"/>
    <mergeCell ref="U297:U303"/>
    <mergeCell ref="U304:U310"/>
    <mergeCell ref="U311:U317"/>
    <mergeCell ref="U248:U254"/>
    <mergeCell ref="U255:U261"/>
  </mergeCells>
  <phoneticPr fontId="5" type="noConversion"/>
  <conditionalFormatting sqref="N3:N367">
    <cfRule type="cellIs" dxfId="359" priority="1" operator="lessThan">
      <formula>0.006</formula>
    </cfRule>
    <cfRule type="cellIs" dxfId="358" priority="2" operator="greaterThan">
      <formula>0.006</formula>
    </cfRule>
  </conditionalFormatting>
  <conditionalFormatting sqref="O3:P373">
    <cfRule type="cellIs" dxfId="357" priority="3" operator="lessThan">
      <formula>0</formula>
    </cfRule>
    <cfRule type="cellIs" dxfId="356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EA03-A1F9-024C-8BDB-1278D3DE72CC}">
  <sheetPr codeName="Feuil6"/>
  <dimension ref="A1:Z389"/>
  <sheetViews>
    <sheetView showGridLines="0" topLeftCell="A149" workbookViewId="0">
      <selection activeCell="M157" sqref="M157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4" width="10.83203125" style="70"/>
    <col min="5" max="5" width="10.83203125" style="70" customWidth="1"/>
    <col min="6" max="6" width="10.83203125" style="38"/>
    <col min="7" max="7" width="10.83203125" style="70" customWidth="1"/>
    <col min="8" max="8" width="11.5" style="44" bestFit="1" customWidth="1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22" width="10.83203125" style="38"/>
    <col min="23" max="23" width="15.1640625" style="38" bestFit="1" customWidth="1"/>
    <col min="24" max="24" width="15.83203125" style="38" bestFit="1" customWidth="1"/>
    <col min="25" max="16384" width="10.83203125" style="38"/>
  </cols>
  <sheetData>
    <row r="1" spans="1:21" ht="16" customHeight="1">
      <c r="A1" s="1740"/>
      <c r="B1" s="1"/>
      <c r="C1" s="206"/>
      <c r="D1" s="1741" t="s">
        <v>146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1" s="39" customFormat="1" ht="37" customHeight="1" thickBot="1">
      <c r="A2" s="1740"/>
      <c r="B2" s="2"/>
      <c r="C2" s="203"/>
      <c r="D2" s="5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1" ht="17" customHeight="1" thickTop="1">
      <c r="A3" s="10" t="s">
        <v>9</v>
      </c>
      <c r="B3" s="11"/>
      <c r="C3" s="207"/>
      <c r="D3" s="68"/>
      <c r="E3" s="68"/>
      <c r="F3" s="20"/>
      <c r="G3" s="73"/>
      <c r="H3" s="42"/>
      <c r="I3" s="13"/>
      <c r="J3" s="14"/>
      <c r="K3" s="15"/>
      <c r="L3" s="15"/>
      <c r="M3" s="15"/>
      <c r="N3" s="16"/>
      <c r="O3" s="17"/>
      <c r="Q3" s="18"/>
      <c r="S3" s="33" t="s">
        <v>39</v>
      </c>
      <c r="T3" s="31" t="s">
        <v>42</v>
      </c>
      <c r="U3" s="1737" t="s">
        <v>83</v>
      </c>
    </row>
    <row r="4" spans="1:21">
      <c r="A4" s="10" t="s">
        <v>11</v>
      </c>
      <c r="B4" s="11"/>
      <c r="C4" s="207"/>
      <c r="D4" s="68"/>
      <c r="E4" s="68"/>
      <c r="F4" s="20"/>
      <c r="G4" s="73"/>
      <c r="H4" s="42"/>
      <c r="I4" s="13"/>
      <c r="J4" s="14"/>
      <c r="K4" s="15"/>
      <c r="L4" s="15"/>
      <c r="M4" s="15"/>
      <c r="N4" s="16"/>
      <c r="O4" s="17"/>
      <c r="Q4" s="18"/>
      <c r="S4" s="34">
        <f>SUM(I3:I9)</f>
        <v>78893.2</v>
      </c>
      <c r="T4" s="45" t="s">
        <v>41</v>
      </c>
      <c r="U4" s="1738"/>
    </row>
    <row r="5" spans="1:21">
      <c r="A5" s="10" t="s">
        <v>12</v>
      </c>
      <c r="B5" s="200"/>
      <c r="C5" s="75"/>
      <c r="D5" s="68"/>
      <c r="E5" s="68"/>
      <c r="F5" s="20"/>
      <c r="G5" s="73"/>
      <c r="H5" s="42"/>
      <c r="I5" s="13"/>
      <c r="J5" s="14"/>
      <c r="K5" s="15"/>
      <c r="L5" s="15"/>
      <c r="M5" s="15"/>
      <c r="N5" s="16" t="str">
        <f t="shared" ref="N5:N67" si="0">IF(M5=0,"",M5/I5)</f>
        <v/>
      </c>
      <c r="O5" s="17" t="str">
        <f t="shared" ref="O5:P67" si="1">IF(I5=0,"",(I5-E5)/E5)</f>
        <v/>
      </c>
      <c r="P5" s="17" t="str">
        <f t="shared" si="1"/>
        <v/>
      </c>
      <c r="Q5" s="18" t="str">
        <f t="shared" ref="Q5:Q67" si="2">IF(I5=0,"",I5/K5)</f>
        <v/>
      </c>
      <c r="R5" s="18" t="e">
        <f t="shared" ref="R5:R67" si="3">I5/L5</f>
        <v>#DIV/0!</v>
      </c>
      <c r="S5" s="35">
        <f>(S4-SUM(E3:E9))/SUM(E3:E9)</f>
        <v>0.21200017390398637</v>
      </c>
      <c r="T5" s="48">
        <f>SUM(I3:I9)/SUM(K3:K9)</f>
        <v>127.29021120056794</v>
      </c>
      <c r="U5" s="1738"/>
    </row>
    <row r="6" spans="1:21">
      <c r="A6" s="10" t="s">
        <v>13</v>
      </c>
      <c r="B6" s="200">
        <f>+CHAMNORD!B6</f>
        <v>46023</v>
      </c>
      <c r="C6" s="75">
        <f>IF(H6=0,"",'[3]2025-2026'!C5)</f>
        <v>36941.949999999997</v>
      </c>
      <c r="D6" s="68">
        <f>'[3]2025'!C6</f>
        <v>17782.21</v>
      </c>
      <c r="E6" s="68">
        <f>'[3]2025'!D6</f>
        <v>17326.93</v>
      </c>
      <c r="F6" s="20">
        <f>'[3]2025'!E6</f>
        <v>944</v>
      </c>
      <c r="G6" s="73">
        <f>'[3]2025'!F6</f>
        <v>27000</v>
      </c>
      <c r="H6" s="42">
        <f>'[3]2025'!G6</f>
        <v>32161</v>
      </c>
      <c r="I6" s="13">
        <f>'[3]2025'!H6</f>
        <v>31332.53</v>
      </c>
      <c r="J6" s="14">
        <f>'[3]2025'!I6</f>
        <v>1445</v>
      </c>
      <c r="K6" s="15">
        <f>'[3]2025'!J6</f>
        <v>194.72</v>
      </c>
      <c r="L6" s="15">
        <f>'[3]2025'!K6</f>
        <v>220.22</v>
      </c>
      <c r="M6" s="15">
        <f>'[3]2025'!L6</f>
        <v>113.71</v>
      </c>
      <c r="N6" s="16">
        <f t="shared" si="0"/>
        <v>3.6291355980509711E-3</v>
      </c>
      <c r="O6" s="17">
        <f t="shared" si="1"/>
        <v>0.80831399445833729</v>
      </c>
      <c r="P6" s="17">
        <f t="shared" si="1"/>
        <v>0.53072033898305082</v>
      </c>
      <c r="Q6" s="18">
        <f t="shared" si="2"/>
        <v>160.91069227608872</v>
      </c>
      <c r="R6" s="18">
        <f t="shared" si="3"/>
        <v>142.2783125964944</v>
      </c>
      <c r="S6" s="34"/>
      <c r="T6" s="29" t="s">
        <v>8</v>
      </c>
      <c r="U6" s="1738"/>
    </row>
    <row r="7" spans="1:21">
      <c r="A7" s="10" t="s">
        <v>14</v>
      </c>
      <c r="B7" s="200">
        <f>+CHAMNORD!B7</f>
        <v>46024</v>
      </c>
      <c r="C7" s="75">
        <f>IF(H7=0,"",'[3]2025-2026'!C6)</f>
        <v>17782.21</v>
      </c>
      <c r="D7" s="68">
        <f>'[3]2025'!C7</f>
        <v>18199.61</v>
      </c>
      <c r="E7" s="68">
        <f>'[3]2025'!D7</f>
        <v>17850.8</v>
      </c>
      <c r="F7" s="20">
        <f>'[3]2025'!E7</f>
        <v>996</v>
      </c>
      <c r="G7" s="73">
        <f>'[3]2025'!F7</f>
        <v>14000</v>
      </c>
      <c r="H7" s="42">
        <f>'[3]2025'!G7</f>
        <v>17063.2</v>
      </c>
      <c r="I7" s="13">
        <f>'[3]2025'!H7</f>
        <v>16719.599999999999</v>
      </c>
      <c r="J7" s="14">
        <f>'[3]2025'!I7</f>
        <v>930</v>
      </c>
      <c r="K7" s="15">
        <f>'[3]2025'!J7</f>
        <v>166.35</v>
      </c>
      <c r="L7" s="15">
        <f>'[3]2025'!K7</f>
        <v>175.35</v>
      </c>
      <c r="M7" s="15">
        <f>'[3]2025'!L7</f>
        <v>41.42</v>
      </c>
      <c r="N7" s="16">
        <f t="shared" si="0"/>
        <v>2.4773319935883636E-3</v>
      </c>
      <c r="O7" s="17">
        <f t="shared" si="1"/>
        <v>-6.3369708920608642E-2</v>
      </c>
      <c r="P7" s="17">
        <f t="shared" si="1"/>
        <v>-6.6265060240963861E-2</v>
      </c>
      <c r="Q7" s="18">
        <f t="shared" si="2"/>
        <v>100.50856627592425</v>
      </c>
      <c r="R7" s="18">
        <f t="shared" si="3"/>
        <v>95.349871685201023</v>
      </c>
      <c r="S7" s="36" t="s">
        <v>40</v>
      </c>
      <c r="T7" s="48">
        <f>SUM(I3:I9)/SUM(L3:L9)</f>
        <v>114.48564089913076</v>
      </c>
      <c r="U7" s="1738"/>
    </row>
    <row r="8" spans="1:21">
      <c r="A8" s="10" t="s">
        <v>15</v>
      </c>
      <c r="B8" s="200">
        <f>+CHAMNORD!B8</f>
        <v>46025</v>
      </c>
      <c r="C8" s="75">
        <f>IF(H8=0,"",'[3]2025-2026'!C7)</f>
        <v>18199.61</v>
      </c>
      <c r="D8" s="68">
        <f>'[3]2025'!C8</f>
        <v>15044.47</v>
      </c>
      <c r="E8" s="68">
        <f>'[3]2025'!D8</f>
        <v>14652.28</v>
      </c>
      <c r="F8" s="20">
        <f>'[3]2025'!E8</f>
        <v>852</v>
      </c>
      <c r="G8" s="73">
        <f>'[3]2025'!F8</f>
        <v>14900</v>
      </c>
      <c r="H8" s="42">
        <f>'[3]2025'!G8</f>
        <v>16145.71</v>
      </c>
      <c r="I8" s="13">
        <f>'[3]2025'!H8</f>
        <v>15888.6</v>
      </c>
      <c r="J8" s="14">
        <f>'[3]2025'!I8</f>
        <v>819</v>
      </c>
      <c r="K8" s="15">
        <f>'[3]2025'!J8</f>
        <v>140.32</v>
      </c>
      <c r="L8" s="15">
        <f>'[3]2025'!K8</f>
        <v>158.07</v>
      </c>
      <c r="M8" s="15">
        <f>'[3]2025'!L8</f>
        <v>44.85</v>
      </c>
      <c r="N8" s="16">
        <f t="shared" si="0"/>
        <v>2.8227785959744722E-3</v>
      </c>
      <c r="O8" s="17">
        <f t="shared" si="1"/>
        <v>8.4377311926880985E-2</v>
      </c>
      <c r="P8" s="17">
        <f t="shared" si="1"/>
        <v>-3.873239436619718E-2</v>
      </c>
      <c r="Q8" s="18">
        <f t="shared" si="2"/>
        <v>113.2311858608894</v>
      </c>
      <c r="R8" s="18">
        <f t="shared" si="3"/>
        <v>100.51622698804327</v>
      </c>
      <c r="S8" s="36">
        <f>SUM(J3:J9)</f>
        <v>3952</v>
      </c>
      <c r="T8" s="30" t="s">
        <v>3</v>
      </c>
      <c r="U8" s="1738"/>
    </row>
    <row r="9" spans="1:21" ht="18" thickBot="1">
      <c r="A9" s="10" t="s">
        <v>16</v>
      </c>
      <c r="B9" s="200">
        <f>+CHAMNORD!B9</f>
        <v>46026</v>
      </c>
      <c r="C9" s="75">
        <f>IF(H9=0,"",'[3]2025-2026'!C8)</f>
        <v>15044.47</v>
      </c>
      <c r="D9" s="68">
        <f>'[3]2025'!C9</f>
        <v>15676.81</v>
      </c>
      <c r="E9" s="68">
        <f>'[3]2025'!D9</f>
        <v>15263.38</v>
      </c>
      <c r="F9" s="20">
        <f>'[3]2025'!E9</f>
        <v>797</v>
      </c>
      <c r="G9" s="73">
        <f>'[3]2025'!F9</f>
        <v>15500</v>
      </c>
      <c r="H9" s="42">
        <f>'[3]2025'!G9</f>
        <v>15234.05</v>
      </c>
      <c r="I9" s="13">
        <f>'[3]2025'!H9</f>
        <v>14952.47</v>
      </c>
      <c r="J9" s="14">
        <f>'[3]2025'!I9</f>
        <v>758</v>
      </c>
      <c r="K9" s="15">
        <f>'[3]2025'!J9</f>
        <v>118.4</v>
      </c>
      <c r="L9" s="15">
        <f>'[3]2025'!K9</f>
        <v>135.47</v>
      </c>
      <c r="M9" s="15">
        <f>'[3]2025'!L9</f>
        <v>31.44</v>
      </c>
      <c r="N9" s="16">
        <f t="shared" si="0"/>
        <v>2.1026626370091363E-3</v>
      </c>
      <c r="O9" s="17">
        <f t="shared" si="1"/>
        <v>-2.0369669103435798E-2</v>
      </c>
      <c r="P9" s="17">
        <f t="shared" si="1"/>
        <v>-4.8933500627352571E-2</v>
      </c>
      <c r="Q9" s="18">
        <f t="shared" si="2"/>
        <v>126.28775337837837</v>
      </c>
      <c r="R9" s="18">
        <f t="shared" si="3"/>
        <v>110.37476932162102</v>
      </c>
      <c r="S9" s="37">
        <f>(S8-SUM(F3:F9))/SUM(F3:F9)</f>
        <v>0.10114237949289495</v>
      </c>
      <c r="T9" s="47">
        <f>SUM(M3:M9)/SUM(I3:I9)</f>
        <v>2.9333326573139384E-3</v>
      </c>
      <c r="U9" s="1739"/>
    </row>
    <row r="10" spans="1:21" ht="17" customHeight="1" thickTop="1">
      <c r="A10" s="10" t="s">
        <v>9</v>
      </c>
      <c r="B10" s="200">
        <f>+CHAMNORD!B10</f>
        <v>46027</v>
      </c>
      <c r="C10" s="75">
        <f>IF(H10=0,"",'[3]2025-2026'!C9)</f>
        <v>15676.81</v>
      </c>
      <c r="D10" s="68">
        <f>'[3]2025'!C10</f>
        <v>8456.82</v>
      </c>
      <c r="E10" s="68">
        <f>'[3]2025'!D10</f>
        <v>8278.52</v>
      </c>
      <c r="F10" s="20">
        <f>'[3]2025'!E10</f>
        <v>498</v>
      </c>
      <c r="G10" s="73">
        <f>'[3]2025'!F10</f>
        <v>8400</v>
      </c>
      <c r="H10" s="42">
        <f>'[3]2025'!G10</f>
        <v>8688.06</v>
      </c>
      <c r="I10" s="13">
        <f>'[3]2025'!H10</f>
        <v>8519.86</v>
      </c>
      <c r="J10" s="14">
        <f>'[3]2025'!I10</f>
        <v>486</v>
      </c>
      <c r="K10" s="15">
        <f>'[3]2025'!J10</f>
        <v>85.82</v>
      </c>
      <c r="L10" s="15">
        <f>'[3]2025'!K10</f>
        <v>101.28</v>
      </c>
      <c r="M10" s="15">
        <f>'[3]2025'!L10</f>
        <v>79.92</v>
      </c>
      <c r="N10" s="16">
        <f t="shared" si="0"/>
        <v>9.3804358287577494E-3</v>
      </c>
      <c r="O10" s="17">
        <f t="shared" si="1"/>
        <v>2.9152553838125671E-2</v>
      </c>
      <c r="P10" s="17">
        <f t="shared" si="1"/>
        <v>-2.4096385542168676E-2</v>
      </c>
      <c r="Q10" s="18">
        <f t="shared" si="2"/>
        <v>99.275926357492438</v>
      </c>
      <c r="R10" s="18">
        <f t="shared" si="3"/>
        <v>84.121840442338083</v>
      </c>
      <c r="S10" s="33" t="s">
        <v>39</v>
      </c>
      <c r="T10" s="31" t="s">
        <v>42</v>
      </c>
      <c r="U10" s="1737" t="s">
        <v>84</v>
      </c>
    </row>
    <row r="11" spans="1:21">
      <c r="A11" s="10" t="s">
        <v>11</v>
      </c>
      <c r="B11" s="200">
        <f>+CHAMNORD!B11</f>
        <v>46028</v>
      </c>
      <c r="C11" s="75">
        <f>IF(H11=0,"",'[3]2025-2026'!C10)</f>
        <v>8456.82</v>
      </c>
      <c r="D11" s="68">
        <f>'[3]2025'!C11</f>
        <v>9497.94</v>
      </c>
      <c r="E11" s="68">
        <f>'[3]2025'!D11</f>
        <v>9297.5300000000007</v>
      </c>
      <c r="F11" s="20">
        <f>'[3]2025'!E11</f>
        <v>573</v>
      </c>
      <c r="G11" s="73">
        <f>'[3]2025'!F11</f>
        <v>9500</v>
      </c>
      <c r="H11" s="42">
        <f>'[3]2025'!G11</f>
        <v>8801.6299999999992</v>
      </c>
      <c r="I11" s="13">
        <f>'[3]2025'!H11</f>
        <v>8624.1</v>
      </c>
      <c r="J11" s="14">
        <f>'[3]2025'!I11</f>
        <v>487</v>
      </c>
      <c r="K11" s="15">
        <f>'[3]2025'!J11</f>
        <v>93.72999999999999</v>
      </c>
      <c r="L11" s="15">
        <f>'[3]2025'!K11</f>
        <v>101.6</v>
      </c>
      <c r="M11" s="15">
        <f>'[3]2025'!L11</f>
        <v>56.07</v>
      </c>
      <c r="N11" s="16">
        <f t="shared" si="0"/>
        <v>6.501547987616099E-3</v>
      </c>
      <c r="O11" s="17">
        <f t="shared" si="1"/>
        <v>-7.2431065024796931E-2</v>
      </c>
      <c r="P11" s="17">
        <f t="shared" si="1"/>
        <v>-0.15008726003490402</v>
      </c>
      <c r="Q11" s="18">
        <f t="shared" si="2"/>
        <v>92.010028806145328</v>
      </c>
      <c r="R11" s="18">
        <f t="shared" si="3"/>
        <v>84.882874015748044</v>
      </c>
      <c r="S11" s="34">
        <f>SUM(I10:I16)</f>
        <v>75284.039999999994</v>
      </c>
      <c r="T11" s="45" t="s">
        <v>41</v>
      </c>
      <c r="U11" s="1738"/>
    </row>
    <row r="12" spans="1:21">
      <c r="A12" s="10" t="s">
        <v>12</v>
      </c>
      <c r="B12" s="200">
        <f>+CHAMNORD!B12</f>
        <v>46029</v>
      </c>
      <c r="C12" s="75">
        <f>IF(H12=0,"",'[3]2025-2026'!C11)</f>
        <v>9497.94</v>
      </c>
      <c r="D12" s="68">
        <f>'[3]2025'!C12</f>
        <v>10942.18</v>
      </c>
      <c r="E12" s="68">
        <f>'[3]2025'!D12</f>
        <v>10650.72</v>
      </c>
      <c r="F12" s="20">
        <f>'[3]2025'!E12</f>
        <v>636</v>
      </c>
      <c r="G12" s="73">
        <f>'[3]2025'!F12</f>
        <v>10800</v>
      </c>
      <c r="H12" s="42">
        <f>'[3]2025'!G12</f>
        <v>9807.25</v>
      </c>
      <c r="I12" s="13">
        <f>'[3]2025'!H12</f>
        <v>9610.0499999999993</v>
      </c>
      <c r="J12" s="14">
        <f>'[3]2025'!I12</f>
        <v>561</v>
      </c>
      <c r="K12" s="15">
        <f>'[3]2025'!J12</f>
        <v>109.4</v>
      </c>
      <c r="L12" s="15">
        <f>'[3]2025'!K12</f>
        <v>126.15</v>
      </c>
      <c r="M12" s="15">
        <f>'[3]2025'!L12</f>
        <v>47.1</v>
      </c>
      <c r="N12" s="16">
        <f t="shared" si="0"/>
        <v>4.9011191408993718E-3</v>
      </c>
      <c r="O12" s="17">
        <f t="shared" si="1"/>
        <v>-9.7708887286493323E-2</v>
      </c>
      <c r="P12" s="17">
        <f t="shared" si="1"/>
        <v>-0.11792452830188679</v>
      </c>
      <c r="Q12" s="18">
        <f t="shared" si="2"/>
        <v>87.843235831809864</v>
      </c>
      <c r="R12" s="18">
        <f t="shared" si="3"/>
        <v>76.179548156956002</v>
      </c>
      <c r="S12" s="35">
        <f>(S11-SUM(E10:E16))/SUM(E10:E16)</f>
        <v>-6.5955881686980952E-2</v>
      </c>
      <c r="T12" s="48">
        <f>SUM(I10:I16)/SUM(K10:K16)</f>
        <v>88.791961031761929</v>
      </c>
      <c r="U12" s="1738"/>
    </row>
    <row r="13" spans="1:21">
      <c r="A13" s="10" t="s">
        <v>13</v>
      </c>
      <c r="B13" s="200">
        <f>+CHAMNORD!B13</f>
        <v>46030</v>
      </c>
      <c r="C13" s="75">
        <f>IF(H13=0,"",'[3]2025-2026'!C12)</f>
        <v>10942.18</v>
      </c>
      <c r="D13" s="68">
        <f>'[3]2025'!C13</f>
        <v>8865.89</v>
      </c>
      <c r="E13" s="68">
        <f>'[3]2025'!D13</f>
        <v>8708.57</v>
      </c>
      <c r="F13" s="20">
        <f>'[3]2025'!E13</f>
        <v>540</v>
      </c>
      <c r="G13" s="73">
        <f>'[3]2025'!F13</f>
        <v>8900</v>
      </c>
      <c r="H13" s="42">
        <f>'[3]2025'!G13</f>
        <v>7688.78</v>
      </c>
      <c r="I13" s="13">
        <f>'[3]2025'!H13</f>
        <v>7507.25</v>
      </c>
      <c r="J13" s="14">
        <f>'[3]2025'!I13</f>
        <v>433</v>
      </c>
      <c r="K13" s="15">
        <f>'[3]2025'!J13</f>
        <v>112.4</v>
      </c>
      <c r="L13" s="15">
        <f>'[3]2025'!K13</f>
        <v>120.22</v>
      </c>
      <c r="M13" s="15">
        <f>'[3]2025'!L13</f>
        <v>33.590000000000003</v>
      </c>
      <c r="N13" s="16">
        <f t="shared" si="0"/>
        <v>4.4743414699124186E-3</v>
      </c>
      <c r="O13" s="17">
        <f t="shared" si="1"/>
        <v>-0.13794687302278097</v>
      </c>
      <c r="P13" s="17">
        <f t="shared" si="1"/>
        <v>-0.19814814814814816</v>
      </c>
      <c r="Q13" s="18">
        <f t="shared" si="2"/>
        <v>66.790480427046262</v>
      </c>
      <c r="R13" s="18">
        <f t="shared" si="3"/>
        <v>62.445932457161874</v>
      </c>
      <c r="S13" s="34"/>
      <c r="T13" s="29" t="s">
        <v>8</v>
      </c>
      <c r="U13" s="1738"/>
    </row>
    <row r="14" spans="1:21">
      <c r="A14" s="10" t="s">
        <v>14</v>
      </c>
      <c r="B14" s="200">
        <f>+CHAMNORD!B14</f>
        <v>46031</v>
      </c>
      <c r="C14" s="75">
        <f>IF(H14=0,"",'[3]2025-2026'!C13)</f>
        <v>8865.89</v>
      </c>
      <c r="D14" s="68">
        <f>'[3]2025'!C14</f>
        <v>13428.21</v>
      </c>
      <c r="E14" s="68">
        <f>'[3]2025'!D14</f>
        <v>13201.23</v>
      </c>
      <c r="F14" s="20">
        <f>'[3]2025'!E14</f>
        <v>834</v>
      </c>
      <c r="G14" s="73">
        <f>'[3]2025'!F14</f>
        <v>13400</v>
      </c>
      <c r="H14" s="42">
        <f>'[3]2025'!G14</f>
        <v>12240.46</v>
      </c>
      <c r="I14" s="13">
        <f>'[3]2025'!H14</f>
        <v>11927.49</v>
      </c>
      <c r="J14" s="14">
        <f>'[3]2025'!I14</f>
        <v>680</v>
      </c>
      <c r="K14" s="15">
        <f>'[3]2025'!J14</f>
        <v>136.07000000000002</v>
      </c>
      <c r="L14" s="15">
        <f>'[3]2025'!K14</f>
        <v>162.59</v>
      </c>
      <c r="M14" s="15">
        <f>'[3]2025'!L14</f>
        <v>38.06</v>
      </c>
      <c r="N14" s="16">
        <f t="shared" si="0"/>
        <v>3.1909479697740267E-3</v>
      </c>
      <c r="O14" s="17">
        <f t="shared" si="1"/>
        <v>-9.6486463761331312E-2</v>
      </c>
      <c r="P14" s="17">
        <f t="shared" si="1"/>
        <v>-0.18465227817745802</v>
      </c>
      <c r="Q14" s="18">
        <f t="shared" si="2"/>
        <v>87.657014771808619</v>
      </c>
      <c r="R14" s="18">
        <f t="shared" si="3"/>
        <v>73.359308690571368</v>
      </c>
      <c r="S14" s="36" t="s">
        <v>40</v>
      </c>
      <c r="T14" s="48">
        <f>SUM(I10:I16)/SUM(L10:L16)</f>
        <v>79.485651540426957</v>
      </c>
      <c r="U14" s="1738"/>
    </row>
    <row r="15" spans="1:21">
      <c r="A15" s="10" t="s">
        <v>15</v>
      </c>
      <c r="B15" s="200">
        <f>+CHAMNORD!B15</f>
        <v>46032</v>
      </c>
      <c r="C15" s="75">
        <f>IF(H15=0,"",'[3]2025-2026'!C14)</f>
        <v>13428.21</v>
      </c>
      <c r="D15" s="68">
        <f>'[3]2025'!C15</f>
        <v>16348.51</v>
      </c>
      <c r="E15" s="68">
        <f>'[3]2025'!D15</f>
        <v>15997.91</v>
      </c>
      <c r="F15" s="20">
        <f>'[3]2025'!E15</f>
        <v>900</v>
      </c>
      <c r="G15" s="73">
        <f>'[3]2025'!F15</f>
        <v>16300</v>
      </c>
      <c r="H15" s="42">
        <f>'[3]2025'!G15</f>
        <v>14780.17</v>
      </c>
      <c r="I15" s="13">
        <f>'[3]2025'!H15</f>
        <v>14476.26</v>
      </c>
      <c r="J15" s="14">
        <f>'[3]2025'!I15</f>
        <v>785</v>
      </c>
      <c r="K15" s="15">
        <f>'[3]2025'!J15</f>
        <v>164.13</v>
      </c>
      <c r="L15" s="15">
        <f>'[3]2025'!K15</f>
        <v>172.38</v>
      </c>
      <c r="M15" s="15">
        <f>'[3]2025'!L15</f>
        <v>65.069999999999993</v>
      </c>
      <c r="N15" s="16">
        <f t="shared" si="0"/>
        <v>4.4949455176958681E-3</v>
      </c>
      <c r="O15" s="17">
        <f t="shared" si="1"/>
        <v>-9.5115549468649321E-2</v>
      </c>
      <c r="P15" s="17">
        <f t="shared" si="1"/>
        <v>-0.12777777777777777</v>
      </c>
      <c r="Q15" s="18">
        <f t="shared" si="2"/>
        <v>88.199963443611779</v>
      </c>
      <c r="R15" s="18">
        <f t="shared" si="3"/>
        <v>83.978767838496353</v>
      </c>
      <c r="S15" s="36">
        <f>SUM(J10:J16)</f>
        <v>4181</v>
      </c>
      <c r="T15" s="30" t="s">
        <v>3</v>
      </c>
      <c r="U15" s="1738"/>
    </row>
    <row r="16" spans="1:21" ht="18" thickBot="1">
      <c r="A16" s="10" t="s">
        <v>16</v>
      </c>
      <c r="B16" s="200">
        <f>+CHAMNORD!B16</f>
        <v>46033</v>
      </c>
      <c r="C16" s="75">
        <f>IF(H16=0,"",'[3]2025-2026'!C15)</f>
        <v>16348.51</v>
      </c>
      <c r="D16" s="68">
        <f>'[3]2025'!C16</f>
        <v>14802.29</v>
      </c>
      <c r="E16" s="68">
        <f>'[3]2025'!D16</f>
        <v>14465.61</v>
      </c>
      <c r="F16" s="20">
        <f>'[3]2025'!E16</f>
        <v>754</v>
      </c>
      <c r="G16" s="73">
        <f>'[3]2025'!F16</f>
        <v>14700</v>
      </c>
      <c r="H16" s="42">
        <f>'[3]2025'!G16</f>
        <v>14937.84</v>
      </c>
      <c r="I16" s="13">
        <f>'[3]2025'!H16</f>
        <v>14619.03</v>
      </c>
      <c r="J16" s="14">
        <f>'[3]2025'!I16</f>
        <v>749</v>
      </c>
      <c r="K16" s="15">
        <f>'[3]2025'!J16</f>
        <v>146.32</v>
      </c>
      <c r="L16" s="15">
        <f>'[3]2025'!K16</f>
        <v>162.91999999999999</v>
      </c>
      <c r="M16" s="15">
        <f>'[3]2025'!L16</f>
        <v>77.010000000000005</v>
      </c>
      <c r="N16" s="16">
        <f t="shared" si="0"/>
        <v>5.2677913650905706E-3</v>
      </c>
      <c r="O16" s="17">
        <f t="shared" si="1"/>
        <v>1.0605843790894409E-2</v>
      </c>
      <c r="P16" s="17">
        <f t="shared" si="1"/>
        <v>-6.6312997347480109E-3</v>
      </c>
      <c r="Q16" s="18">
        <f t="shared" si="2"/>
        <v>99.911358665937684</v>
      </c>
      <c r="R16" s="18">
        <f t="shared" si="3"/>
        <v>89.731340535232022</v>
      </c>
      <c r="S16" s="37">
        <f>(S15-SUM(F10:F16))/SUM(F10:F16)</f>
        <v>-0.11700105596620908</v>
      </c>
      <c r="T16" s="47">
        <f>SUM(M10:M16)/SUM(I10:I16)</f>
        <v>5.2709711115397108E-3</v>
      </c>
      <c r="U16" s="1739"/>
    </row>
    <row r="17" spans="1:21" ht="17" customHeight="1" thickTop="1">
      <c r="A17" s="10" t="s">
        <v>9</v>
      </c>
      <c r="B17" s="200">
        <f>+CHAMNORD!B17</f>
        <v>46034</v>
      </c>
      <c r="C17" s="75">
        <f>IF(H17=0,"",'[3]2025-2026'!C16)</f>
        <v>14802.29</v>
      </c>
      <c r="D17" s="68">
        <f>'[3]2025'!C17</f>
        <v>8932.0300000000007</v>
      </c>
      <c r="E17" s="68">
        <f>'[3]2025'!D17</f>
        <v>8727.31</v>
      </c>
      <c r="F17" s="20">
        <f>'[3]2025'!E17</f>
        <v>554</v>
      </c>
      <c r="G17" s="73">
        <f>'[3]2025'!F17</f>
        <v>8900</v>
      </c>
      <c r="H17" s="42">
        <f>'[3]2025'!G17</f>
        <v>7845.08</v>
      </c>
      <c r="I17" s="13">
        <f>'[3]2025'!H17</f>
        <v>7709.89</v>
      </c>
      <c r="J17" s="14">
        <f>'[3]2025'!I17</f>
        <v>453</v>
      </c>
      <c r="K17" s="15">
        <f>'[3]2025'!J17</f>
        <v>100.6</v>
      </c>
      <c r="L17" s="15">
        <f>'[3]2025'!K17</f>
        <v>108.1</v>
      </c>
      <c r="M17" s="15">
        <f>'[3]2025'!L17</f>
        <v>99.42</v>
      </c>
      <c r="N17" s="16">
        <f t="shared" si="0"/>
        <v>1.2895125611390045E-2</v>
      </c>
      <c r="O17" s="17">
        <f t="shared" si="1"/>
        <v>-0.11657887711104559</v>
      </c>
      <c r="P17" s="17">
        <f t="shared" si="1"/>
        <v>-0.18231046931407943</v>
      </c>
      <c r="Q17" s="18">
        <f t="shared" si="2"/>
        <v>76.639065606361839</v>
      </c>
      <c r="R17" s="18">
        <f t="shared" si="3"/>
        <v>71.32183163737281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200">
        <f>+CHAMNORD!B18</f>
        <v>46035</v>
      </c>
      <c r="C18" s="75">
        <f>IF(H18=0,"",'[3]2025-2026'!C17)</f>
        <v>8932.0300000000007</v>
      </c>
      <c r="D18" s="68">
        <f>'[3]2025'!C18</f>
        <v>9228.01</v>
      </c>
      <c r="E18" s="68">
        <f>'[3]2025'!D18</f>
        <v>9059.8799999999992</v>
      </c>
      <c r="F18" s="20">
        <f>'[3]2025'!E18</f>
        <v>584</v>
      </c>
      <c r="G18" s="73">
        <f>'[3]2025'!F18</f>
        <v>9200</v>
      </c>
      <c r="H18" s="42">
        <f>'[3]2025'!G18</f>
        <v>9969.4599999999991</v>
      </c>
      <c r="I18" s="13">
        <f>'[3]2025'!H18</f>
        <v>9765.73</v>
      </c>
      <c r="J18" s="14">
        <f>'[3]2025'!I18</f>
        <v>555</v>
      </c>
      <c r="K18" s="15">
        <f>'[3]2025'!J18</f>
        <v>102.75</v>
      </c>
      <c r="L18" s="15">
        <f>'[3]2025'!K18</f>
        <v>110.72</v>
      </c>
      <c r="M18" s="15">
        <f>'[3]2025'!L18</f>
        <v>104.5</v>
      </c>
      <c r="N18" s="16">
        <f t="shared" si="0"/>
        <v>1.0700684946235458E-2</v>
      </c>
      <c r="O18" s="17">
        <f t="shared" si="1"/>
        <v>7.7909420433824775E-2</v>
      </c>
      <c r="P18" s="17">
        <f t="shared" si="1"/>
        <v>-4.965753424657534E-2</v>
      </c>
      <c r="Q18" s="18">
        <f t="shared" si="2"/>
        <v>95.043600973236011</v>
      </c>
      <c r="R18" s="18">
        <f t="shared" si="3"/>
        <v>88.202041184971094</v>
      </c>
      <c r="S18" s="34">
        <f>SUM(I17:I23)</f>
        <v>80959.81</v>
      </c>
      <c r="T18" s="45" t="s">
        <v>41</v>
      </c>
      <c r="U18" s="1738"/>
    </row>
    <row r="19" spans="1:21">
      <c r="A19" s="10" t="s">
        <v>12</v>
      </c>
      <c r="B19" s="200">
        <f>+CHAMNORD!B19</f>
        <v>46036</v>
      </c>
      <c r="C19" s="75">
        <f>IF(H19=0,"",'[3]2025-2026'!C18)</f>
        <v>9228.01</v>
      </c>
      <c r="D19" s="68">
        <f>'[3]2025'!C19</f>
        <v>10737.5</v>
      </c>
      <c r="E19" s="68">
        <f>'[3]2025'!D19</f>
        <v>10528.44</v>
      </c>
      <c r="F19" s="20">
        <f>'[3]2025'!E19</f>
        <v>613</v>
      </c>
      <c r="G19" s="73">
        <f>'[3]2025'!F19</f>
        <v>10700</v>
      </c>
      <c r="H19" s="42">
        <f>'[3]2025'!G19</f>
        <v>11371.5</v>
      </c>
      <c r="I19" s="13">
        <f>'[3]2025'!H19</f>
        <v>11128.6</v>
      </c>
      <c r="J19" s="14">
        <f>'[3]2025'!I19</f>
        <v>631</v>
      </c>
      <c r="K19" s="15">
        <f>'[3]2025'!J19</f>
        <v>113.24000000000001</v>
      </c>
      <c r="L19" s="15">
        <f>'[3]2025'!K19</f>
        <v>147.35</v>
      </c>
      <c r="M19" s="15">
        <f>'[3]2025'!L19</f>
        <v>29.34</v>
      </c>
      <c r="N19" s="16">
        <f t="shared" si="0"/>
        <v>2.6364502273421631E-3</v>
      </c>
      <c r="O19" s="17">
        <f t="shared" si="1"/>
        <v>5.7003696654015203E-2</v>
      </c>
      <c r="P19" s="17">
        <f t="shared" si="1"/>
        <v>2.936378466557912E-2</v>
      </c>
      <c r="Q19" s="18">
        <f t="shared" si="2"/>
        <v>98.274461321087955</v>
      </c>
      <c r="R19" s="18">
        <f t="shared" si="3"/>
        <v>75.524940617577201</v>
      </c>
      <c r="S19" s="35">
        <f>(S18-SUM(E17:E23))/SUM(E17:E23)</f>
        <v>-1.0311560666295488E-2</v>
      </c>
      <c r="T19" s="48">
        <f>SUM(I17:I23)/SUM(K17:K23)</f>
        <v>96.012677593036216</v>
      </c>
      <c r="U19" s="1738"/>
    </row>
    <row r="20" spans="1:21">
      <c r="A20" s="10" t="s">
        <v>13</v>
      </c>
      <c r="B20" s="200">
        <f>+CHAMNORD!B20</f>
        <v>46037</v>
      </c>
      <c r="C20" s="75">
        <f>IF(H20=0,"",'[3]2025-2026'!C19)</f>
        <v>10737.5</v>
      </c>
      <c r="D20" s="68">
        <f>'[3]2025'!C20</f>
        <v>9307.19</v>
      </c>
      <c r="E20" s="68">
        <f>'[3]2025'!D20</f>
        <v>9160.0499999999993</v>
      </c>
      <c r="F20" s="20">
        <f>'[3]2025'!E20</f>
        <v>555</v>
      </c>
      <c r="G20" s="73">
        <f>'[3]2025'!F20</f>
        <v>9300</v>
      </c>
      <c r="H20" s="42">
        <f>'[3]2025'!G20</f>
        <v>9178.98</v>
      </c>
      <c r="I20" s="13">
        <f>'[3]2025'!H20</f>
        <v>9012.49</v>
      </c>
      <c r="J20" s="14">
        <f>'[3]2025'!I20</f>
        <v>561</v>
      </c>
      <c r="K20" s="15">
        <f>'[3]2025'!J20</f>
        <v>102.46</v>
      </c>
      <c r="L20" s="15">
        <f>'[3]2025'!K20</f>
        <v>118.8</v>
      </c>
      <c r="M20" s="15">
        <f>'[3]2025'!L20</f>
        <v>64.66</v>
      </c>
      <c r="N20" s="16">
        <f t="shared" si="0"/>
        <v>7.1744878496397772E-3</v>
      </c>
      <c r="O20" s="17">
        <f t="shared" si="1"/>
        <v>-1.6109082374004453E-2</v>
      </c>
      <c r="P20" s="17">
        <f t="shared" si="1"/>
        <v>1.0810810810810811E-2</v>
      </c>
      <c r="Q20" s="18">
        <f t="shared" si="2"/>
        <v>87.961057973843452</v>
      </c>
      <c r="R20" s="18">
        <f t="shared" si="3"/>
        <v>75.862710437710433</v>
      </c>
      <c r="S20" s="34"/>
      <c r="T20" s="29" t="s">
        <v>8</v>
      </c>
      <c r="U20" s="1738"/>
    </row>
    <row r="21" spans="1:21">
      <c r="A21" s="10" t="s">
        <v>14</v>
      </c>
      <c r="B21" s="200">
        <f>+CHAMNORD!B21</f>
        <v>46038</v>
      </c>
      <c r="C21" s="75">
        <f>IF(H21=0,"",'[3]2025-2026'!C20)</f>
        <v>9307.19</v>
      </c>
      <c r="D21" s="68">
        <f>'[3]2025'!C21</f>
        <v>14777.96</v>
      </c>
      <c r="E21" s="68">
        <f>'[3]2025'!D21</f>
        <v>14499.42</v>
      </c>
      <c r="F21" s="20">
        <f>'[3]2025'!E21</f>
        <v>912</v>
      </c>
      <c r="G21" s="73">
        <f>'[3]2025'!F21</f>
        <v>14800</v>
      </c>
      <c r="H21" s="42">
        <f>'[3]2025'!G21</f>
        <v>14330.52</v>
      </c>
      <c r="I21" s="13">
        <f>'[3]2025'!H21</f>
        <v>14028.15</v>
      </c>
      <c r="J21" s="14">
        <f>'[3]2025'!I21</f>
        <v>828</v>
      </c>
      <c r="K21" s="15">
        <f>'[3]2025'!J21</f>
        <v>142.67000000000002</v>
      </c>
      <c r="L21" s="15">
        <f>'[3]2025'!K21</f>
        <v>169.52</v>
      </c>
      <c r="M21" s="15">
        <f>'[3]2025'!L21</f>
        <v>40.119999999999997</v>
      </c>
      <c r="N21" s="16">
        <f t="shared" si="0"/>
        <v>2.8599637158142734E-3</v>
      </c>
      <c r="O21" s="17">
        <f t="shared" si="1"/>
        <v>-3.2502679417521559E-2</v>
      </c>
      <c r="P21" s="17">
        <f t="shared" si="1"/>
        <v>-9.2105263157894732E-2</v>
      </c>
      <c r="Q21" s="18">
        <f t="shared" si="2"/>
        <v>98.325856872502968</v>
      </c>
      <c r="R21" s="18">
        <f t="shared" si="3"/>
        <v>82.752182633317602</v>
      </c>
      <c r="S21" s="36" t="s">
        <v>40</v>
      </c>
      <c r="T21" s="48">
        <f>SUM(I17:I23)/SUM(L17:L23)</f>
        <v>81.851169232946802</v>
      </c>
      <c r="U21" s="1738"/>
    </row>
    <row r="22" spans="1:21">
      <c r="A22" s="10" t="s">
        <v>15</v>
      </c>
      <c r="B22" s="200">
        <f>+CHAMNORD!B22</f>
        <v>46039</v>
      </c>
      <c r="C22" s="75">
        <f>IF(H22=0,"",'[3]2025-2026'!C21)</f>
        <v>14777.96</v>
      </c>
      <c r="D22" s="68">
        <f>'[3]2025'!C22</f>
        <v>14592.33</v>
      </c>
      <c r="E22" s="68">
        <f>'[3]2025'!D22</f>
        <v>14341.11</v>
      </c>
      <c r="F22" s="20">
        <f>'[3]2025'!E22</f>
        <v>874</v>
      </c>
      <c r="G22" s="73">
        <f>'[3]2025'!F22</f>
        <v>14600</v>
      </c>
      <c r="H22" s="42">
        <f>'[3]2025'!G22</f>
        <v>14126.15</v>
      </c>
      <c r="I22" s="13">
        <f>'[3]2025'!H22</f>
        <v>13797.17</v>
      </c>
      <c r="J22" s="14">
        <f>'[3]2025'!I22</f>
        <v>743</v>
      </c>
      <c r="K22" s="15">
        <f>'[3]2025'!J22</f>
        <v>153.13999999999999</v>
      </c>
      <c r="L22" s="15">
        <f>'[3]2025'!K22</f>
        <v>179.8</v>
      </c>
      <c r="M22" s="15">
        <f>'[3]2025'!L22</f>
        <v>31.74</v>
      </c>
      <c r="N22" s="16">
        <f t="shared" si="0"/>
        <v>2.3004717634123517E-3</v>
      </c>
      <c r="O22" s="17">
        <f t="shared" si="1"/>
        <v>-3.7928723787768202E-2</v>
      </c>
      <c r="P22" s="17">
        <f t="shared" si="1"/>
        <v>-0.14988558352402745</v>
      </c>
      <c r="Q22" s="18">
        <f t="shared" si="2"/>
        <v>90.095141700404866</v>
      </c>
      <c r="R22" s="18">
        <f t="shared" si="3"/>
        <v>76.736206896551721</v>
      </c>
      <c r="S22" s="36">
        <f>SUM(J17:J23)</f>
        <v>4528</v>
      </c>
      <c r="T22" s="30" t="s">
        <v>3</v>
      </c>
      <c r="U22" s="1738"/>
    </row>
    <row r="23" spans="1:21" ht="18" thickBot="1">
      <c r="A23" s="10" t="s">
        <v>16</v>
      </c>
      <c r="B23" s="200">
        <f>+CHAMNORD!B23</f>
        <v>46040</v>
      </c>
      <c r="C23" s="75">
        <f>IF(H23=0,"",'[3]2025-2026'!C22)</f>
        <v>14592.33</v>
      </c>
      <c r="D23" s="68">
        <f>'[3]2025'!C23</f>
        <v>15755.11</v>
      </c>
      <c r="E23" s="68">
        <f>'[3]2025'!D23</f>
        <v>15487.12</v>
      </c>
      <c r="F23" s="20">
        <f>'[3]2025'!E23</f>
        <v>862</v>
      </c>
      <c r="G23" s="73">
        <f>'[3]2025'!F23</f>
        <v>15800</v>
      </c>
      <c r="H23" s="42">
        <f>'[3]2025'!G23</f>
        <v>15948.59</v>
      </c>
      <c r="I23" s="13">
        <f>'[3]2025'!H23</f>
        <v>15517.78</v>
      </c>
      <c r="J23" s="14">
        <f>'[3]2025'!I23</f>
        <v>757</v>
      </c>
      <c r="K23" s="15">
        <f>'[3]2025'!J23</f>
        <v>128.35999999999999</v>
      </c>
      <c r="L23" s="15">
        <f>'[3]2025'!K23</f>
        <v>154.82</v>
      </c>
      <c r="M23" s="15">
        <f>'[3]2025'!L23</f>
        <v>27.16</v>
      </c>
      <c r="N23" s="16">
        <f t="shared" si="0"/>
        <v>1.750250357976463E-3</v>
      </c>
      <c r="O23" s="17">
        <f t="shared" si="1"/>
        <v>1.9797095909374922E-3</v>
      </c>
      <c r="P23" s="17">
        <f t="shared" si="1"/>
        <v>-0.12180974477958237</v>
      </c>
      <c r="Q23" s="18">
        <f t="shared" si="2"/>
        <v>120.89264568401373</v>
      </c>
      <c r="R23" s="18">
        <f t="shared" si="3"/>
        <v>100.23110709210697</v>
      </c>
      <c r="S23" s="37">
        <f>(S22-SUM(F17:F23))/SUM(F17:F23)</f>
        <v>-8.5991118288251914E-2</v>
      </c>
      <c r="T23" s="47">
        <f>SUM(M17:M23)/SUM(I17:I23)</f>
        <v>4.9029265261368582E-3</v>
      </c>
      <c r="U23" s="1739"/>
    </row>
    <row r="24" spans="1:21" ht="17" customHeight="1" thickTop="1">
      <c r="A24" s="10" t="s">
        <v>9</v>
      </c>
      <c r="B24" s="200">
        <f>+CHAMNORD!B24</f>
        <v>46041</v>
      </c>
      <c r="C24" s="75">
        <f>IF(H24=0,"",'[3]2025-2026'!C23)</f>
        <v>15755.11</v>
      </c>
      <c r="D24" s="68">
        <f>'[3]2025'!C24</f>
        <v>9122.0300000000007</v>
      </c>
      <c r="E24" s="68">
        <f>'[3]2025'!D24</f>
        <v>8974.5400000000009</v>
      </c>
      <c r="F24" s="20">
        <f>'[3]2025'!E24</f>
        <v>552</v>
      </c>
      <c r="G24" s="73">
        <f>'[3]2025'!F24</f>
        <v>9100</v>
      </c>
      <c r="H24" s="42">
        <f>'[3]2025'!G24</f>
        <v>8497.19</v>
      </c>
      <c r="I24" s="13">
        <f>'[3]2025'!H24</f>
        <v>8371.2800000000007</v>
      </c>
      <c r="J24" s="14">
        <f>'[3]2025'!I24</f>
        <v>516</v>
      </c>
      <c r="K24" s="15">
        <f>'[3]2025'!J24</f>
        <v>89.9</v>
      </c>
      <c r="L24" s="15">
        <f>'[3]2025'!K24</f>
        <v>106.78</v>
      </c>
      <c r="M24" s="15">
        <f>'[3]2025'!L24</f>
        <v>34.35</v>
      </c>
      <c r="N24" s="16">
        <f t="shared" si="0"/>
        <v>4.1033151441595547E-3</v>
      </c>
      <c r="O24" s="17">
        <f t="shared" si="1"/>
        <v>-6.72190440958534E-2</v>
      </c>
      <c r="P24" s="17">
        <f t="shared" si="1"/>
        <v>-6.5217391304347824E-2</v>
      </c>
      <c r="Q24" s="18">
        <f t="shared" si="2"/>
        <v>93.117686318131263</v>
      </c>
      <c r="R24" s="18">
        <f t="shared" si="3"/>
        <v>78.397452706499351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200">
        <f>+CHAMNORD!B25</f>
        <v>46042</v>
      </c>
      <c r="C25" s="75">
        <f>IF(H25=0,"",'[3]2025-2026'!C24)</f>
        <v>9122.0300000000007</v>
      </c>
      <c r="D25" s="68">
        <f>'[3]2025'!C25</f>
        <v>9560.85</v>
      </c>
      <c r="E25" s="68">
        <f>'[3]2025'!D25</f>
        <v>9445.14</v>
      </c>
      <c r="F25" s="20">
        <f>'[3]2025'!E25</f>
        <v>569</v>
      </c>
      <c r="G25" s="73">
        <f>'[3]2025'!F25</f>
        <v>9600</v>
      </c>
      <c r="H25" s="42">
        <f>'[3]2025'!G25</f>
        <v>8814.41</v>
      </c>
      <c r="I25" s="13">
        <f>'[3]2025'!H25</f>
        <v>8633.59</v>
      </c>
      <c r="J25" s="14">
        <f>'[3]2025'!I25</f>
        <v>525</v>
      </c>
      <c r="K25" s="15">
        <f>'[3]2025'!J25</f>
        <v>92.5</v>
      </c>
      <c r="L25" s="15">
        <f>'[3]2025'!K25</f>
        <v>117.7</v>
      </c>
      <c r="M25" s="15">
        <f>'[3]2025'!L25</f>
        <v>28.3</v>
      </c>
      <c r="N25" s="16">
        <f t="shared" si="0"/>
        <v>3.2778948270649868E-3</v>
      </c>
      <c r="O25" s="17">
        <f t="shared" si="1"/>
        <v>-8.5922495590324693E-2</v>
      </c>
      <c r="P25" s="17">
        <f t="shared" si="1"/>
        <v>-7.7328646748681895E-2</v>
      </c>
      <c r="Q25" s="18">
        <f t="shared" si="2"/>
        <v>93.336108108108107</v>
      </c>
      <c r="R25" s="18">
        <f t="shared" si="3"/>
        <v>73.352506372132538</v>
      </c>
      <c r="S25" s="34">
        <f>SUM(I24:I30)</f>
        <v>77971.28</v>
      </c>
      <c r="T25" s="45" t="s">
        <v>41</v>
      </c>
      <c r="U25" s="1738"/>
    </row>
    <row r="26" spans="1:21">
      <c r="A26" s="10" t="s">
        <v>12</v>
      </c>
      <c r="B26" s="200">
        <f>+CHAMNORD!B26</f>
        <v>46043</v>
      </c>
      <c r="C26" s="75">
        <f>IF(H26=0,"",'[3]2025-2026'!C25)</f>
        <v>9560.85</v>
      </c>
      <c r="D26" s="68">
        <f>'[3]2025'!C26</f>
        <v>10712.73</v>
      </c>
      <c r="E26" s="68">
        <f>'[3]2025'!D26</f>
        <v>10513.57</v>
      </c>
      <c r="F26" s="20">
        <f>'[3]2025'!E26</f>
        <v>661</v>
      </c>
      <c r="G26" s="73">
        <f>'[3]2025'!F26</f>
        <v>10700</v>
      </c>
      <c r="H26" s="42">
        <f>'[3]2025'!G26</f>
        <v>10534.59</v>
      </c>
      <c r="I26" s="13">
        <f>'[3]2025'!H26</f>
        <v>10315.66</v>
      </c>
      <c r="J26" s="14">
        <f>'[3]2025'!I26</f>
        <v>635</v>
      </c>
      <c r="K26" s="15">
        <f>'[3]2025'!J26</f>
        <v>102.73</v>
      </c>
      <c r="L26" s="15">
        <f>'[3]2025'!K26</f>
        <v>127.83</v>
      </c>
      <c r="M26" s="15">
        <f>'[3]2025'!L26</f>
        <v>48.64</v>
      </c>
      <c r="N26" s="16">
        <f t="shared" si="0"/>
        <v>4.7151612209010377E-3</v>
      </c>
      <c r="O26" s="17">
        <f t="shared" si="1"/>
        <v>-1.8824243335042224E-2</v>
      </c>
      <c r="P26" s="17">
        <f t="shared" si="1"/>
        <v>-3.9334341906202726E-2</v>
      </c>
      <c r="Q26" s="18">
        <f t="shared" si="2"/>
        <v>100.41526331159349</v>
      </c>
      <c r="R26" s="18">
        <f t="shared" si="3"/>
        <v>80.698271141359612</v>
      </c>
      <c r="S26" s="35">
        <f>(S25-SUM(E24:E30))/SUM(E24:E30)</f>
        <v>-6.22339536936155E-2</v>
      </c>
      <c r="T26" s="48">
        <f>SUM(I24:I30)/SUM(K24:K30)</f>
        <v>99.109314622737443</v>
      </c>
      <c r="U26" s="1738"/>
    </row>
    <row r="27" spans="1:21">
      <c r="A27" s="10" t="s">
        <v>13</v>
      </c>
      <c r="B27" s="200">
        <f>+CHAMNORD!B27</f>
        <v>46044</v>
      </c>
      <c r="C27" s="75">
        <f>IF(H27=0,"",'[3]2025-2026'!C26)</f>
        <v>10712.73</v>
      </c>
      <c r="D27" s="68">
        <f>'[3]2025'!C27</f>
        <v>9177.68</v>
      </c>
      <c r="E27" s="68">
        <f>'[3]2025'!D27</f>
        <v>9005.02</v>
      </c>
      <c r="F27" s="20">
        <f>'[3]2025'!E27</f>
        <v>584</v>
      </c>
      <c r="G27" s="73">
        <f>'[3]2025'!F27</f>
        <v>9200</v>
      </c>
      <c r="H27" s="42">
        <f>'[3]2025'!G27</f>
        <v>8942.59</v>
      </c>
      <c r="I27" s="13">
        <f>'[3]2025'!H27</f>
        <v>8741.25</v>
      </c>
      <c r="J27" s="14">
        <f>'[3]2025'!I27</f>
        <v>531</v>
      </c>
      <c r="K27" s="15">
        <f>'[3]2025'!J27</f>
        <v>97.580000000000013</v>
      </c>
      <c r="L27" s="15">
        <f>'[3]2025'!K27</f>
        <v>113.98</v>
      </c>
      <c r="M27" s="15">
        <f>'[3]2025'!L27</f>
        <v>72.040000000000006</v>
      </c>
      <c r="N27" s="16">
        <f t="shared" si="0"/>
        <v>8.2413842413842416E-3</v>
      </c>
      <c r="O27" s="17">
        <f t="shared" si="1"/>
        <v>-2.9291439663654321E-2</v>
      </c>
      <c r="P27" s="17">
        <f t="shared" si="1"/>
        <v>-9.0753424657534248E-2</v>
      </c>
      <c r="Q27" s="18">
        <f t="shared" si="2"/>
        <v>89.580344332855077</v>
      </c>
      <c r="R27" s="18">
        <f t="shared" si="3"/>
        <v>76.691086155465868</v>
      </c>
      <c r="S27" s="34"/>
      <c r="T27" s="29" t="s">
        <v>8</v>
      </c>
      <c r="U27" s="1738"/>
    </row>
    <row r="28" spans="1:21">
      <c r="A28" s="10" t="s">
        <v>14</v>
      </c>
      <c r="B28" s="200">
        <f>+CHAMNORD!B28</f>
        <v>46045</v>
      </c>
      <c r="C28" s="75">
        <f>IF(H28=0,"",'[3]2025-2026'!C27)</f>
        <v>9177.68</v>
      </c>
      <c r="D28" s="68">
        <f>'[3]2025'!C28</f>
        <v>13427.27</v>
      </c>
      <c r="E28" s="68">
        <f>'[3]2025'!D28</f>
        <v>13235.25</v>
      </c>
      <c r="F28" s="20">
        <f>'[3]2025'!E28</f>
        <v>828</v>
      </c>
      <c r="G28" s="73">
        <f>'[3]2025'!F28</f>
        <v>13500</v>
      </c>
      <c r="H28" s="42">
        <f>'[3]2025'!G28</f>
        <v>12133.88</v>
      </c>
      <c r="I28" s="13">
        <f>'[3]2025'!H28</f>
        <v>11950.3</v>
      </c>
      <c r="J28" s="14">
        <f>'[3]2025'!I28</f>
        <v>697</v>
      </c>
      <c r="K28" s="15">
        <f>'[3]2025'!J28</f>
        <v>136.20999999999998</v>
      </c>
      <c r="L28" s="15">
        <f>'[3]2025'!K28</f>
        <v>154.16999999999999</v>
      </c>
      <c r="M28" s="15">
        <f>'[3]2025'!L28</f>
        <v>56.14</v>
      </c>
      <c r="N28" s="16">
        <f t="shared" si="0"/>
        <v>4.6977900136398257E-3</v>
      </c>
      <c r="O28" s="17">
        <f t="shared" si="1"/>
        <v>-9.7085434729226927E-2</v>
      </c>
      <c r="P28" s="17">
        <f t="shared" si="1"/>
        <v>-0.15821256038647344</v>
      </c>
      <c r="Q28" s="18">
        <f t="shared" si="2"/>
        <v>87.734380735628818</v>
      </c>
      <c r="R28" s="18">
        <f t="shared" si="3"/>
        <v>77.513783485762474</v>
      </c>
      <c r="S28" s="36" t="s">
        <v>40</v>
      </c>
      <c r="T28" s="48">
        <f>SUM(I24:I30)/SUM(L24:L30)</f>
        <v>82.780847223696767</v>
      </c>
      <c r="U28" s="1738"/>
    </row>
    <row r="29" spans="1:21">
      <c r="A29" s="10" t="s">
        <v>15</v>
      </c>
      <c r="B29" s="200">
        <f>+CHAMNORD!B29</f>
        <v>46046</v>
      </c>
      <c r="C29" s="75">
        <f>IF(H29=0,"",'[3]2025-2026'!C28)</f>
        <v>13427.27</v>
      </c>
      <c r="D29" s="68">
        <f>'[3]2025'!C29</f>
        <v>18168.75</v>
      </c>
      <c r="E29" s="68">
        <f>'[3]2025'!D29</f>
        <v>17850.23</v>
      </c>
      <c r="F29" s="20">
        <f>'[3]2025'!E29</f>
        <v>1042</v>
      </c>
      <c r="G29" s="73">
        <f>'[3]2025'!F29</f>
        <v>18200</v>
      </c>
      <c r="H29" s="42">
        <f>'[3]2025'!G29</f>
        <v>14367.24</v>
      </c>
      <c r="I29" s="13">
        <f>'[3]2025'!H29</f>
        <v>14140.8</v>
      </c>
      <c r="J29" s="14">
        <f>'[3]2025'!I29</f>
        <v>814</v>
      </c>
      <c r="K29" s="15">
        <f>'[3]2025'!J29</f>
        <v>139.75</v>
      </c>
      <c r="L29" s="15">
        <f>'[3]2025'!K29</f>
        <v>167.22</v>
      </c>
      <c r="M29" s="15">
        <f>'[3]2025'!L29</f>
        <v>91.44</v>
      </c>
      <c r="N29" s="16">
        <f t="shared" si="0"/>
        <v>6.4663951120162936E-3</v>
      </c>
      <c r="O29" s="17">
        <f t="shared" si="1"/>
        <v>-0.20780852683690912</v>
      </c>
      <c r="P29" s="17">
        <f t="shared" si="1"/>
        <v>-0.21880998080614203</v>
      </c>
      <c r="Q29" s="18">
        <f t="shared" si="2"/>
        <v>101.18640429338103</v>
      </c>
      <c r="R29" s="18">
        <f t="shared" si="3"/>
        <v>84.564047362755645</v>
      </c>
      <c r="S29" s="36">
        <f>SUM(J24:J30)</f>
        <v>4480</v>
      </c>
      <c r="T29" s="30" t="s">
        <v>3</v>
      </c>
      <c r="U29" s="1738"/>
    </row>
    <row r="30" spans="1:21" ht="18" thickBot="1">
      <c r="A30" s="10" t="s">
        <v>16</v>
      </c>
      <c r="B30" s="200">
        <f>+CHAMNORD!B30</f>
        <v>46047</v>
      </c>
      <c r="C30" s="75">
        <f>IF(H30=0,"",'[3]2025-2026'!C29)</f>
        <v>18168.75</v>
      </c>
      <c r="D30" s="68">
        <f>'[3]2025'!C30</f>
        <v>14341.51</v>
      </c>
      <c r="E30" s="68">
        <f>'[3]2025'!D30</f>
        <v>14122.02</v>
      </c>
      <c r="F30" s="20">
        <f>'[3]2025'!E30</f>
        <v>778</v>
      </c>
      <c r="G30" s="73">
        <f>'[3]2025'!F30</f>
        <v>14400</v>
      </c>
      <c r="H30" s="42">
        <f>'[3]2025'!G30</f>
        <v>16123.28</v>
      </c>
      <c r="I30" s="13">
        <f>'[3]2025'!H30</f>
        <v>15818.4</v>
      </c>
      <c r="J30" s="14">
        <f>'[3]2025'!I30</f>
        <v>762</v>
      </c>
      <c r="K30" s="15">
        <f>'[3]2025'!J30</f>
        <v>128.05000000000001</v>
      </c>
      <c r="L30" s="15">
        <f>'[3]2025'!K30</f>
        <v>154.22</v>
      </c>
      <c r="M30" s="15">
        <f>'[3]2025'!L30</f>
        <v>94.21</v>
      </c>
      <c r="N30" s="16">
        <f t="shared" si="0"/>
        <v>5.9557224498052895E-3</v>
      </c>
      <c r="O30" s="17">
        <f t="shared" si="1"/>
        <v>0.1201230418877752</v>
      </c>
      <c r="P30" s="17">
        <f t="shared" si="1"/>
        <v>-2.056555269922879E-2</v>
      </c>
      <c r="Q30" s="18">
        <f t="shared" si="2"/>
        <v>123.53299492385786</v>
      </c>
      <c r="R30" s="18">
        <f t="shared" si="3"/>
        <v>102.57035403968356</v>
      </c>
      <c r="S30" s="37">
        <f>(S29-SUM(F24:F30))/SUM(F24:F30)</f>
        <v>-0.1065017949740726</v>
      </c>
      <c r="T30" s="47">
        <f>SUM(M24:M30)/SUM(I24:I30)</f>
        <v>5.4522639618074763E-3</v>
      </c>
      <c r="U30" s="1739"/>
    </row>
    <row r="31" spans="1:21" ht="17" customHeight="1" thickTop="1">
      <c r="A31" s="10" t="s">
        <v>9</v>
      </c>
      <c r="B31" s="200">
        <f>+CHAMNORD!B31</f>
        <v>46048</v>
      </c>
      <c r="C31" s="75">
        <f>IF(H31=0,"",'[3]2025-2026'!C30)</f>
        <v>14341.51</v>
      </c>
      <c r="D31" s="68">
        <f>'[3]2025'!C31</f>
        <v>8039.43</v>
      </c>
      <c r="E31" s="68">
        <f>'[3]2025'!D31</f>
        <v>7875.29</v>
      </c>
      <c r="F31" s="20">
        <f>'[3]2025'!E31</f>
        <v>505</v>
      </c>
      <c r="G31" s="73">
        <f>'[3]2025'!F31</f>
        <v>8000</v>
      </c>
      <c r="H31" s="42">
        <f>'[3]2025'!G31</f>
        <v>6481.02</v>
      </c>
      <c r="I31" s="13">
        <f>'[3]2025'!H31</f>
        <v>6378.2</v>
      </c>
      <c r="J31" s="14">
        <f>'[3]2025'!I31</f>
        <v>414</v>
      </c>
      <c r="K31" s="15">
        <f>'[3]2025'!J31</f>
        <v>81.099999999999994</v>
      </c>
      <c r="L31" s="15">
        <f>'[3]2025'!K31</f>
        <v>97.75</v>
      </c>
      <c r="M31" s="15">
        <f>'[3]2025'!L31</f>
        <v>37.28</v>
      </c>
      <c r="N31" s="16">
        <f t="shared" si="0"/>
        <v>5.844909222037566E-3</v>
      </c>
      <c r="O31" s="17">
        <f t="shared" si="1"/>
        <v>-0.19009966617102356</v>
      </c>
      <c r="P31" s="17">
        <f t="shared" si="1"/>
        <v>-0.18019801980198019</v>
      </c>
      <c r="Q31" s="18">
        <f t="shared" si="2"/>
        <v>78.646115906288543</v>
      </c>
      <c r="R31" s="18">
        <f t="shared" si="3"/>
        <v>65.250127877237844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200">
        <f>+CHAMNORD!B32</f>
        <v>46049</v>
      </c>
      <c r="C32" s="75">
        <f>IF(H32=0,"",'[3]2025-2026'!C31)</f>
        <v>8039.43</v>
      </c>
      <c r="D32" s="68">
        <f>'[3]2025'!C32</f>
        <v>9018.27</v>
      </c>
      <c r="E32" s="68">
        <f>'[3]2025'!D32</f>
        <v>8837.9599999999991</v>
      </c>
      <c r="F32" s="20">
        <f>'[3]2025'!E32</f>
        <v>527</v>
      </c>
      <c r="G32" s="73">
        <f>'[3]2025'!F32</f>
        <v>9000</v>
      </c>
      <c r="H32" s="42">
        <f>'[3]2025'!G32</f>
        <v>8104.25</v>
      </c>
      <c r="I32" s="13">
        <f>'[3]2025'!H32</f>
        <v>7975.86</v>
      </c>
      <c r="J32" s="14">
        <f>'[3]2025'!I32</f>
        <v>481</v>
      </c>
      <c r="K32" s="15">
        <f>'[3]2025'!J32</f>
        <v>91.48</v>
      </c>
      <c r="L32" s="15">
        <f>'[3]2025'!K32</f>
        <v>107.9</v>
      </c>
      <c r="M32" s="15">
        <f>'[3]2025'!L32</f>
        <v>30.65</v>
      </c>
      <c r="N32" s="16">
        <f t="shared" si="0"/>
        <v>3.8428457871627635E-3</v>
      </c>
      <c r="O32" s="17">
        <f t="shared" si="1"/>
        <v>-9.7545134850123727E-2</v>
      </c>
      <c r="P32" s="17">
        <f t="shared" si="1"/>
        <v>-8.7286527514231493E-2</v>
      </c>
      <c r="Q32" s="18">
        <f t="shared" si="2"/>
        <v>87.186926104066458</v>
      </c>
      <c r="R32" s="18">
        <f t="shared" si="3"/>
        <v>73.918999073215929</v>
      </c>
      <c r="S32" s="34">
        <f>SUM(I31:I37)</f>
        <v>79283.609999999986</v>
      </c>
      <c r="T32" s="45" t="s">
        <v>41</v>
      </c>
      <c r="U32" s="1738"/>
    </row>
    <row r="33" spans="1:21">
      <c r="A33" s="10" t="s">
        <v>12</v>
      </c>
      <c r="B33" s="200">
        <f>+CHAMNORD!B33</f>
        <v>46050</v>
      </c>
      <c r="C33" s="75">
        <f>IF(H33=0,"",'[3]2025-2026'!C32)</f>
        <v>9018.27</v>
      </c>
      <c r="D33" s="68">
        <f>'[3]2025'!C33</f>
        <v>10749.71</v>
      </c>
      <c r="E33" s="68">
        <f>'[3]2025'!D33</f>
        <v>10549.65</v>
      </c>
      <c r="F33" s="20">
        <f>'[3]2025'!E33</f>
        <v>671</v>
      </c>
      <c r="G33" s="73">
        <f>'[3]2025'!F33</f>
        <v>10700</v>
      </c>
      <c r="H33" s="42">
        <f>'[3]2025'!G33</f>
        <v>10667.79</v>
      </c>
      <c r="I33" s="13">
        <f>'[3]2025'!H33</f>
        <v>10387.549999999999</v>
      </c>
      <c r="J33" s="14">
        <f>'[3]2025'!I33</f>
        <v>589</v>
      </c>
      <c r="K33" s="15">
        <f>'[3]2025'!J33</f>
        <v>103.30000000000001</v>
      </c>
      <c r="L33" s="15">
        <f>'[3]2025'!K33</f>
        <v>120.9</v>
      </c>
      <c r="M33" s="15">
        <f>'[3]2025'!L33</f>
        <v>46.17</v>
      </c>
      <c r="N33" s="16">
        <f t="shared" si="0"/>
        <v>4.4447439482842447E-3</v>
      </c>
      <c r="O33" s="17">
        <f t="shared" si="1"/>
        <v>-1.5365438663841963E-2</v>
      </c>
      <c r="P33" s="17">
        <f t="shared" si="1"/>
        <v>-0.12220566318926974</v>
      </c>
      <c r="Q33" s="18">
        <f t="shared" si="2"/>
        <v>100.5571151984511</v>
      </c>
      <c r="R33" s="18">
        <f t="shared" si="3"/>
        <v>85.918527708850277</v>
      </c>
      <c r="S33" s="35">
        <f>(S32-SUM(E31:E37))/SUM(E31:E37)</f>
        <v>-2.5735844382396705E-2</v>
      </c>
      <c r="T33" s="48">
        <f>SUM(I31:I37)/SUM(K31:K37)</f>
        <v>105.89078840169351</v>
      </c>
      <c r="U33" s="1738"/>
    </row>
    <row r="34" spans="1:21">
      <c r="A34" s="10" t="s">
        <v>13</v>
      </c>
      <c r="B34" s="200">
        <f>+CHAMNORD!B34</f>
        <v>46051</v>
      </c>
      <c r="C34" s="75">
        <f>IF(H34=0,"",'[3]2025-2026'!C33)</f>
        <v>10749.71</v>
      </c>
      <c r="D34" s="68">
        <f>'[3]2025'!C34</f>
        <v>8662.32</v>
      </c>
      <c r="E34" s="68">
        <f>'[3]2025'!D34</f>
        <v>8521.42</v>
      </c>
      <c r="F34" s="20">
        <f>'[3]2025'!E34</f>
        <v>555</v>
      </c>
      <c r="G34" s="73">
        <f>'[3]2025'!F34</f>
        <v>8700</v>
      </c>
      <c r="H34" s="42">
        <f>'[3]2025'!G34</f>
        <v>9009.7000000000007</v>
      </c>
      <c r="I34" s="13">
        <f>'[3]2025'!H34</f>
        <v>8811.98</v>
      </c>
      <c r="J34" s="14">
        <f>'[3]2025'!I34</f>
        <v>522</v>
      </c>
      <c r="K34" s="15">
        <f>'[3]2025'!J34</f>
        <v>71.25</v>
      </c>
      <c r="L34" s="15">
        <f>'[3]2025'!K34</f>
        <v>116.28</v>
      </c>
      <c r="M34" s="15">
        <f>'[3]2025'!L34</f>
        <v>50.82</v>
      </c>
      <c r="N34" s="16">
        <f t="shared" si="0"/>
        <v>5.767148813320049E-3</v>
      </c>
      <c r="O34" s="17">
        <f t="shared" si="1"/>
        <v>3.4097603451067951E-2</v>
      </c>
      <c r="P34" s="17">
        <f t="shared" si="1"/>
        <v>-5.9459459459459463E-2</v>
      </c>
      <c r="Q34" s="18">
        <f t="shared" si="2"/>
        <v>123.67691228070174</v>
      </c>
      <c r="R34" s="18">
        <f t="shared" si="3"/>
        <v>75.782421740626077</v>
      </c>
      <c r="S34" s="34"/>
      <c r="T34" s="29" t="s">
        <v>8</v>
      </c>
      <c r="U34" s="1738"/>
    </row>
    <row r="35" spans="1:21">
      <c r="A35" s="10" t="s">
        <v>14</v>
      </c>
      <c r="B35" s="200">
        <f>+CHAMNORD!B35</f>
        <v>46052</v>
      </c>
      <c r="C35" s="75">
        <f>IF(H35=0,"",'[3]2025-2026'!C34)</f>
        <v>8662.32</v>
      </c>
      <c r="D35" s="68">
        <f>'[3]2025'!C35</f>
        <v>13806.57</v>
      </c>
      <c r="E35" s="68">
        <f>'[3]2025'!D35</f>
        <v>13608.09</v>
      </c>
      <c r="F35" s="20">
        <f>'[3]2025'!E35</f>
        <v>804</v>
      </c>
      <c r="G35" s="73">
        <f>'[3]2025'!F35</f>
        <v>13900</v>
      </c>
      <c r="H35" s="42">
        <f>'[3]2025'!G35</f>
        <v>14072.77</v>
      </c>
      <c r="I35" s="13">
        <f>'[3]2025'!H35</f>
        <v>13782.73</v>
      </c>
      <c r="J35" s="14">
        <f>'[3]2025'!I35</f>
        <v>762</v>
      </c>
      <c r="K35" s="15">
        <f>'[3]2025'!J35</f>
        <v>133.18</v>
      </c>
      <c r="L35" s="15">
        <f>'[3]2025'!K35</f>
        <v>151.53</v>
      </c>
      <c r="M35" s="15">
        <f>'[3]2025'!L35</f>
        <v>58.62</v>
      </c>
      <c r="N35" s="16">
        <f t="shared" si="0"/>
        <v>4.253148686798624E-3</v>
      </c>
      <c r="O35" s="17">
        <f t="shared" si="1"/>
        <v>1.2833542400145753E-2</v>
      </c>
      <c r="P35" s="17">
        <f t="shared" si="1"/>
        <v>-5.2238805970149252E-2</v>
      </c>
      <c r="Q35" s="18">
        <f t="shared" si="2"/>
        <v>103.48948791109775</v>
      </c>
      <c r="R35" s="18">
        <f t="shared" si="3"/>
        <v>90.95710420378802</v>
      </c>
      <c r="S35" s="36" t="s">
        <v>40</v>
      </c>
      <c r="T35" s="48">
        <f>SUM(I31:I37)/SUM(L31:L37)</f>
        <v>86.839516314526975</v>
      </c>
      <c r="U35" s="1738"/>
    </row>
    <row r="36" spans="1:21">
      <c r="A36" s="10" t="s">
        <v>15</v>
      </c>
      <c r="B36" s="200">
        <f>+CHAMNORD!B36</f>
        <v>46053</v>
      </c>
      <c r="C36" s="75">
        <f>IF(H36=0,"",'[3]2025-2026'!C35)</f>
        <v>13806.57</v>
      </c>
      <c r="D36" s="68">
        <f>'[3]2025'!C36</f>
        <v>16133.82</v>
      </c>
      <c r="E36" s="68">
        <f>'[3]2025'!D36</f>
        <v>15824.21</v>
      </c>
      <c r="F36" s="20">
        <f>'[3]2025'!E36</f>
        <v>891</v>
      </c>
      <c r="G36" s="73">
        <f>'[3]2025'!F36</f>
        <v>16100</v>
      </c>
      <c r="H36" s="42">
        <f>'[3]2025'!G36</f>
        <v>16653.52</v>
      </c>
      <c r="I36" s="13">
        <f>'[3]2025'!H36</f>
        <v>16343.04</v>
      </c>
      <c r="J36" s="14">
        <f>'[3]2025'!I36</f>
        <v>946</v>
      </c>
      <c r="K36" s="15">
        <f>'[3]2025'!J36</f>
        <v>139.38000000000002</v>
      </c>
      <c r="L36" s="15">
        <f>'[3]2025'!K36</f>
        <v>163.63</v>
      </c>
      <c r="M36" s="15">
        <f>'[3]2025'!L36</f>
        <v>65.39</v>
      </c>
      <c r="N36" s="16">
        <f t="shared" si="0"/>
        <v>4.0010915961779447E-3</v>
      </c>
      <c r="O36" s="17">
        <f t="shared" si="1"/>
        <v>3.2787102800076705E-2</v>
      </c>
      <c r="P36" s="17">
        <f t="shared" si="1"/>
        <v>6.1728395061728392E-2</v>
      </c>
      <c r="Q36" s="18">
        <f t="shared" si="2"/>
        <v>117.25527335342228</v>
      </c>
      <c r="R36" s="18">
        <f t="shared" si="3"/>
        <v>99.878017478457508</v>
      </c>
      <c r="S36" s="36">
        <f>SUM(J31:J37)</f>
        <v>4530</v>
      </c>
      <c r="T36" s="30" t="s">
        <v>3</v>
      </c>
      <c r="U36" s="1738"/>
    </row>
    <row r="37" spans="1:21" ht="18" thickBot="1">
      <c r="A37" s="10" t="s">
        <v>16</v>
      </c>
      <c r="B37" s="200">
        <f>+CHAMNORD!B37</f>
        <v>46054</v>
      </c>
      <c r="C37" s="75">
        <f>IF(H37=0,"",'[3]2025-2026'!C36)</f>
        <v>16133.82</v>
      </c>
      <c r="D37" s="68">
        <f>'[3]2025'!C37</f>
        <v>16417.830000000002</v>
      </c>
      <c r="E37" s="68">
        <f>'[3]2025'!D37</f>
        <v>16161.32</v>
      </c>
      <c r="F37" s="20">
        <f>'[3]2025'!E37</f>
        <v>834</v>
      </c>
      <c r="G37" s="73">
        <f>'[3]2025'!F37</f>
        <v>16500</v>
      </c>
      <c r="H37" s="42">
        <f>'[3]2025'!G37</f>
        <v>15997.43</v>
      </c>
      <c r="I37" s="13">
        <f>'[3]2025'!H37</f>
        <v>15604.25</v>
      </c>
      <c r="J37" s="14">
        <f>'[3]2025'!I37</f>
        <v>816</v>
      </c>
      <c r="K37" s="15">
        <f>'[3]2025'!J37</f>
        <v>129.03999999999996</v>
      </c>
      <c r="L37" s="15">
        <f>'[3]2025'!K37</f>
        <v>155</v>
      </c>
      <c r="M37" s="15">
        <f>'[3]2025'!L37</f>
        <v>68.14</v>
      </c>
      <c r="N37" s="16">
        <f t="shared" si="0"/>
        <v>4.3667590560264027E-3</v>
      </c>
      <c r="O37" s="17">
        <f t="shared" si="1"/>
        <v>-3.4469337900617014E-2</v>
      </c>
      <c r="P37" s="17">
        <f t="shared" si="1"/>
        <v>-2.1582733812949641E-2</v>
      </c>
      <c r="Q37" s="18">
        <f t="shared" si="2"/>
        <v>120.9256819590825</v>
      </c>
      <c r="R37" s="18">
        <f t="shared" si="3"/>
        <v>100.67258064516129</v>
      </c>
      <c r="S37" s="37">
        <f>(S36-SUM(F31:F37))/SUM(F31:F37)</f>
        <v>-5.3687069145602673E-2</v>
      </c>
      <c r="T37" s="47">
        <f>SUM(M31:M37)/SUM(I31:I37)</f>
        <v>4.5037051163538096E-3</v>
      </c>
      <c r="U37" s="1739"/>
    </row>
    <row r="38" spans="1:21" ht="17" customHeight="1" thickTop="1">
      <c r="A38" s="10" t="s">
        <v>9</v>
      </c>
      <c r="B38" s="200">
        <f>+CHAMNORD!B38</f>
        <v>46055</v>
      </c>
      <c r="C38" s="75">
        <f>IF(H38=0,"",'[3]2025-2026'!C37)</f>
        <v>16417.830000000002</v>
      </c>
      <c r="D38" s="68">
        <f>'[3]2025'!C38</f>
        <v>9243.6200000000008</v>
      </c>
      <c r="E38" s="68">
        <f>'[3]2025'!D38</f>
        <v>9079.15</v>
      </c>
      <c r="F38" s="20">
        <f>'[3]2025'!E38</f>
        <v>557</v>
      </c>
      <c r="G38" s="73">
        <f>'[3]2025'!F38</f>
        <v>9200</v>
      </c>
      <c r="H38" s="42">
        <f>'[3]2025'!G38</f>
        <v>8346.26</v>
      </c>
      <c r="I38" s="13">
        <f>'[3]2025'!H38</f>
        <v>8189.63</v>
      </c>
      <c r="J38" s="14">
        <f>'[3]2025'!I38</f>
        <v>473</v>
      </c>
      <c r="K38" s="15">
        <f>'[3]2025'!J38</f>
        <v>95.92</v>
      </c>
      <c r="L38" s="15">
        <f>'[3]2025'!K38</f>
        <v>113.28</v>
      </c>
      <c r="M38" s="15">
        <f>'[3]2025'!L38</f>
        <v>43.92</v>
      </c>
      <c r="N38" s="16">
        <f t="shared" si="0"/>
        <v>5.3628796416932143E-3</v>
      </c>
      <c r="O38" s="17">
        <f t="shared" si="1"/>
        <v>-9.7973929277520425E-2</v>
      </c>
      <c r="P38" s="17">
        <f t="shared" si="1"/>
        <v>-0.15080789946140036</v>
      </c>
      <c r="Q38" s="18">
        <f t="shared" si="2"/>
        <v>85.379795663052548</v>
      </c>
      <c r="R38" s="18">
        <f t="shared" si="3"/>
        <v>72.295462570621467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200">
        <f>+CHAMNORD!B39</f>
        <v>46056</v>
      </c>
      <c r="C39" s="75">
        <f>IF(H39=0,"",'[3]2025-2026'!C38)</f>
        <v>9243.6200000000008</v>
      </c>
      <c r="D39" s="68">
        <f>'[3]2025'!C39</f>
        <v>9941.6299999999992</v>
      </c>
      <c r="E39" s="68">
        <f>'[3]2025'!D39</f>
        <v>9803.98</v>
      </c>
      <c r="F39" s="20">
        <f>'[3]2025'!E39</f>
        <v>585</v>
      </c>
      <c r="G39" s="73">
        <f>'[3]2025'!F39</f>
        <v>10000</v>
      </c>
      <c r="H39" s="42">
        <f>'[3]2025'!G39</f>
        <v>9936.5400000000009</v>
      </c>
      <c r="I39" s="13">
        <f>'[3]2025'!H39</f>
        <v>9782.36</v>
      </c>
      <c r="J39" s="14">
        <f>'[3]2025'!I39</f>
        <v>543</v>
      </c>
      <c r="K39" s="15">
        <f>'[3]2025'!J39</f>
        <v>100.56</v>
      </c>
      <c r="L39" s="15">
        <f>'[3]2025'!K39</f>
        <v>126.15</v>
      </c>
      <c r="M39" s="15">
        <f>'[3]2025'!L39</f>
        <v>71.05</v>
      </c>
      <c r="N39" s="16">
        <f t="shared" si="0"/>
        <v>7.2630735323582444E-3</v>
      </c>
      <c r="O39" s="17">
        <f t="shared" si="1"/>
        <v>-2.2052268568478295E-3</v>
      </c>
      <c r="P39" s="17">
        <f t="shared" si="1"/>
        <v>-7.179487179487179E-2</v>
      </c>
      <c r="Q39" s="18">
        <f t="shared" si="2"/>
        <v>97.2788385043755</v>
      </c>
      <c r="R39" s="18">
        <f t="shared" si="3"/>
        <v>77.545461751882684</v>
      </c>
      <c r="S39" s="34">
        <f>SUM(I38:I44)</f>
        <v>89815.300000000017</v>
      </c>
      <c r="T39" s="45" t="s">
        <v>41</v>
      </c>
      <c r="U39" s="1738"/>
    </row>
    <row r="40" spans="1:21">
      <c r="A40" s="10" t="s">
        <v>12</v>
      </c>
      <c r="B40" s="200">
        <f>+CHAMNORD!B40</f>
        <v>46057</v>
      </c>
      <c r="C40" s="75">
        <f>IF(H40=0,"",'[3]2025-2026'!C39)</f>
        <v>9941.6299999999992</v>
      </c>
      <c r="D40" s="68">
        <f>'[3]2025'!C40</f>
        <v>11959.23</v>
      </c>
      <c r="E40" s="68">
        <f>'[3]2025'!D40</f>
        <v>11834.74</v>
      </c>
      <c r="F40" s="20">
        <f>'[3]2025'!E40</f>
        <v>718</v>
      </c>
      <c r="G40" s="73">
        <f>'[3]2025'!F40</f>
        <v>12000</v>
      </c>
      <c r="H40" s="42">
        <f>'[3]2025'!G40</f>
        <v>13105.45</v>
      </c>
      <c r="I40" s="13">
        <f>'[3]2025'!H40</f>
        <v>12804.03</v>
      </c>
      <c r="J40" s="14">
        <f>'[3]2025'!I40</f>
        <v>739</v>
      </c>
      <c r="K40" s="15">
        <f>'[3]2025'!J40</f>
        <v>111.57</v>
      </c>
      <c r="L40" s="15">
        <f>'[3]2025'!K40</f>
        <v>136.76</v>
      </c>
      <c r="M40" s="15">
        <f>'[3]2025'!L40</f>
        <v>51.58</v>
      </c>
      <c r="N40" s="16">
        <f t="shared" si="0"/>
        <v>4.0284191773996151E-3</v>
      </c>
      <c r="O40" s="17">
        <f t="shared" si="1"/>
        <v>8.1902095018564061E-2</v>
      </c>
      <c r="P40" s="17">
        <f t="shared" si="1"/>
        <v>2.9247910863509748E-2</v>
      </c>
      <c r="Q40" s="18">
        <f t="shared" si="2"/>
        <v>114.76230169400378</v>
      </c>
      <c r="R40" s="18">
        <f t="shared" si="3"/>
        <v>93.624085990055576</v>
      </c>
      <c r="S40" s="35">
        <f>(S39-SUM(E38:E44))/SUM(E38:E44)</f>
        <v>-3.7175008120441839E-2</v>
      </c>
      <c r="T40" s="48">
        <f>SUM(I38:I44)/SUM(K38:K44)</f>
        <v>106.21738924761704</v>
      </c>
      <c r="U40" s="1738"/>
    </row>
    <row r="41" spans="1:21">
      <c r="A41" s="10" t="s">
        <v>13</v>
      </c>
      <c r="B41" s="200">
        <f>+CHAMNORD!B41</f>
        <v>46058</v>
      </c>
      <c r="C41" s="75">
        <f>IF(H41=0,"",'[3]2025-2026'!C40)</f>
        <v>11959.23</v>
      </c>
      <c r="D41" s="68">
        <f>'[3]2025'!C41</f>
        <v>10481.69</v>
      </c>
      <c r="E41" s="68">
        <f>'[3]2025'!D41</f>
        <v>10312.44</v>
      </c>
      <c r="F41" s="20">
        <f>'[3]2025'!E41</f>
        <v>627</v>
      </c>
      <c r="G41" s="73">
        <f>'[3]2025'!F41</f>
        <v>10500</v>
      </c>
      <c r="H41" s="42">
        <f>'[3]2025'!G41</f>
        <v>9779.7000000000007</v>
      </c>
      <c r="I41" s="13">
        <f>'[3]2025'!H41</f>
        <v>9564.02</v>
      </c>
      <c r="J41" s="14">
        <f>'[3]2025'!I41</f>
        <v>564</v>
      </c>
      <c r="K41" s="15">
        <f>'[3]2025'!J41</f>
        <v>109.24000000000001</v>
      </c>
      <c r="L41" s="15">
        <f>'[3]2025'!K41</f>
        <v>125.93</v>
      </c>
      <c r="M41" s="15">
        <f>'[3]2025'!L41</f>
        <v>0</v>
      </c>
      <c r="N41" s="16" t="str">
        <f t="shared" si="0"/>
        <v/>
      </c>
      <c r="O41" s="17">
        <f t="shared" si="1"/>
        <v>-7.2574482857597239E-2</v>
      </c>
      <c r="P41" s="17">
        <f t="shared" si="1"/>
        <v>-0.10047846889952153</v>
      </c>
      <c r="Q41" s="18">
        <f t="shared" si="2"/>
        <v>87.550530941047228</v>
      </c>
      <c r="R41" s="18">
        <f t="shared" si="3"/>
        <v>75.947113475740494</v>
      </c>
      <c r="S41" s="34"/>
      <c r="T41" s="29" t="s">
        <v>8</v>
      </c>
      <c r="U41" s="1738"/>
    </row>
    <row r="42" spans="1:21">
      <c r="A42" s="10" t="s">
        <v>14</v>
      </c>
      <c r="B42" s="200">
        <f>+CHAMNORD!B42</f>
        <v>46059</v>
      </c>
      <c r="C42" s="75">
        <f>IF(H42=0,"",'[3]2025-2026'!C41)</f>
        <v>10481.69</v>
      </c>
      <c r="D42" s="68">
        <f>'[3]2025'!C42</f>
        <v>16195.72</v>
      </c>
      <c r="E42" s="68">
        <f>'[3]2025'!D42</f>
        <v>16005.41</v>
      </c>
      <c r="F42" s="20">
        <f>'[3]2025'!E42</f>
        <v>878</v>
      </c>
      <c r="G42" s="73">
        <f>'[3]2025'!F42</f>
        <v>16300</v>
      </c>
      <c r="H42" s="42">
        <f>'[3]2025'!G42</f>
        <v>16112.76</v>
      </c>
      <c r="I42" s="13">
        <f>'[3]2025'!H42</f>
        <v>15752.93</v>
      </c>
      <c r="J42" s="14">
        <f>'[3]2025'!I42</f>
        <v>864</v>
      </c>
      <c r="K42" s="15">
        <f>'[3]2025'!J42</f>
        <v>145.38</v>
      </c>
      <c r="L42" s="15">
        <f>'[3]2025'!K42</f>
        <v>171.1</v>
      </c>
      <c r="M42" s="15">
        <f>'[3]2025'!L42</f>
        <v>83.4</v>
      </c>
      <c r="N42" s="16">
        <f t="shared" si="0"/>
        <v>5.2942531960720957E-3</v>
      </c>
      <c r="O42" s="17">
        <f t="shared" si="1"/>
        <v>-1.5774666190994144E-2</v>
      </c>
      <c r="P42" s="17">
        <f t="shared" si="1"/>
        <v>-1.5945330296127564E-2</v>
      </c>
      <c r="Q42" s="18">
        <f t="shared" si="2"/>
        <v>108.3569266749209</v>
      </c>
      <c r="R42" s="18">
        <f t="shared" si="3"/>
        <v>92.068556399766223</v>
      </c>
      <c r="S42" s="36" t="s">
        <v>40</v>
      </c>
      <c r="T42" s="48">
        <f>SUM(I38:I44)/SUM(L38:L44)</f>
        <v>89.058304412493811</v>
      </c>
      <c r="U42" s="1738"/>
    </row>
    <row r="43" spans="1:21">
      <c r="A43" s="10" t="s">
        <v>15</v>
      </c>
      <c r="B43" s="200">
        <f>+CHAMNORD!B43</f>
        <v>46060</v>
      </c>
      <c r="C43" s="75">
        <f>IF(H43=0,"",'[3]2025-2026'!C42)</f>
        <v>16195.72</v>
      </c>
      <c r="D43" s="68">
        <f>'[3]2025'!C43</f>
        <v>18333.98</v>
      </c>
      <c r="E43" s="68">
        <f>'[3]2025'!D43</f>
        <v>18036.03</v>
      </c>
      <c r="F43" s="20">
        <f>'[3]2025'!E43</f>
        <v>1023</v>
      </c>
      <c r="G43" s="73">
        <f>'[3]2025'!F43</f>
        <v>18400</v>
      </c>
      <c r="H43" s="42">
        <f>'[3]2025'!G43</f>
        <v>16394.96</v>
      </c>
      <c r="I43" s="13">
        <f>'[3]2025'!H43</f>
        <v>16088.51</v>
      </c>
      <c r="J43" s="14">
        <f>'[3]2025'!I43</f>
        <v>863</v>
      </c>
      <c r="K43" s="15">
        <f>'[3]2025'!J43</f>
        <v>144.32999999999998</v>
      </c>
      <c r="L43" s="15">
        <f>'[3]2025'!K43</f>
        <v>170.2</v>
      </c>
      <c r="M43" s="15">
        <f>'[3]2025'!L43</f>
        <v>59.6</v>
      </c>
      <c r="N43" s="16">
        <f t="shared" si="0"/>
        <v>3.7045071296223204E-3</v>
      </c>
      <c r="O43" s="17">
        <f t="shared" si="1"/>
        <v>-0.1079794167563482</v>
      </c>
      <c r="P43" s="17">
        <f t="shared" si="1"/>
        <v>-0.15640273704789834</v>
      </c>
      <c r="Q43" s="18">
        <f t="shared" si="2"/>
        <v>111.47031109263494</v>
      </c>
      <c r="R43" s="18">
        <f t="shared" si="3"/>
        <v>94.527085781433613</v>
      </c>
      <c r="S43" s="36">
        <f>SUM(J38:J44)</f>
        <v>4996</v>
      </c>
      <c r="T43" s="30" t="s">
        <v>3</v>
      </c>
      <c r="U43" s="1738"/>
    </row>
    <row r="44" spans="1:21" ht="18" thickBot="1">
      <c r="A44" s="10" t="s">
        <v>16</v>
      </c>
      <c r="B44" s="200">
        <f>+CHAMNORD!B44</f>
        <v>46061</v>
      </c>
      <c r="C44" s="75">
        <f>IF(H44=0,"",'[3]2025-2026'!C43)</f>
        <v>18333.98</v>
      </c>
      <c r="D44" s="68">
        <f>'[3]2025'!C44</f>
        <v>18530.490000000002</v>
      </c>
      <c r="E44" s="68">
        <f>'[3]2025'!D44</f>
        <v>18211.349999999999</v>
      </c>
      <c r="F44" s="20">
        <f>'[3]2025'!E44</f>
        <v>1033</v>
      </c>
      <c r="G44" s="73">
        <f>'[3]2025'!F44</f>
        <v>18500</v>
      </c>
      <c r="H44" s="42">
        <f>'[3]2025'!G44</f>
        <v>18012.2</v>
      </c>
      <c r="I44" s="13">
        <f>'[3]2025'!H44</f>
        <v>17633.82</v>
      </c>
      <c r="J44" s="14">
        <f>'[3]2025'!I44</f>
        <v>950</v>
      </c>
      <c r="K44" s="15">
        <f>'[3]2025'!J44</f>
        <v>138.58000000000001</v>
      </c>
      <c r="L44" s="15">
        <f>'[3]2025'!K44</f>
        <v>165.08</v>
      </c>
      <c r="M44" s="15">
        <f>'[3]2025'!L44</f>
        <v>79.2</v>
      </c>
      <c r="N44" s="16">
        <f t="shared" si="0"/>
        <v>4.4913694253428922E-3</v>
      </c>
      <c r="O44" s="17">
        <f t="shared" si="1"/>
        <v>-3.171264074327268E-2</v>
      </c>
      <c r="P44" s="17">
        <f t="shared" si="1"/>
        <v>-8.0348499515972893E-2</v>
      </c>
      <c r="Q44" s="18">
        <f t="shared" si="2"/>
        <v>127.24650021648144</v>
      </c>
      <c r="R44" s="18">
        <f t="shared" si="3"/>
        <v>106.81984492367336</v>
      </c>
      <c r="S44" s="37">
        <f>(S43-SUM(F38:F44))/SUM(F38:F44)</f>
        <v>-7.8398819406013648E-2</v>
      </c>
      <c r="T44" s="47">
        <f>SUM(M38:M44)/SUM(I38:I44)</f>
        <v>4.3283271335730093E-3</v>
      </c>
      <c r="U44" s="1739"/>
    </row>
    <row r="45" spans="1:21" ht="17" customHeight="1" thickTop="1">
      <c r="A45" s="10" t="s">
        <v>9</v>
      </c>
      <c r="B45" s="200">
        <f>+CHAMNORD!B45</f>
        <v>46062</v>
      </c>
      <c r="C45" s="75">
        <f>IF(H45=0,"",'[3]2025-2026'!C44)</f>
        <v>18530.490000000002</v>
      </c>
      <c r="D45" s="68">
        <f>'[3]2025'!C45</f>
        <v>7787.28</v>
      </c>
      <c r="E45" s="68">
        <f>'[3]2025'!D45</f>
        <v>7680.56</v>
      </c>
      <c r="F45" s="20">
        <f>'[3]2025'!E45</f>
        <v>490</v>
      </c>
      <c r="G45" s="73">
        <f>'[3]2025'!F45</f>
        <v>7800</v>
      </c>
      <c r="H45" s="42">
        <f>'[3]2025'!G45</f>
        <v>10611.56</v>
      </c>
      <c r="I45" s="13">
        <f>'[3]2025'!H45</f>
        <v>10380.219999999999</v>
      </c>
      <c r="J45" s="14">
        <f>'[3]2025'!I45</f>
        <v>637</v>
      </c>
      <c r="K45" s="15">
        <f>'[3]2025'!J45</f>
        <v>119</v>
      </c>
      <c r="L45" s="15">
        <f>'[3]2025'!K45</f>
        <v>141.5</v>
      </c>
      <c r="M45" s="15">
        <f>'[3]2025'!L45</f>
        <v>66.66</v>
      </c>
      <c r="N45" s="16">
        <f t="shared" si="0"/>
        <v>6.4218292097855349E-3</v>
      </c>
      <c r="O45" s="17">
        <f t="shared" si="1"/>
        <v>0.35149259949795314</v>
      </c>
      <c r="P45" s="17">
        <f t="shared" si="1"/>
        <v>0.3</v>
      </c>
      <c r="Q45" s="18">
        <f t="shared" si="2"/>
        <v>87.228739495798308</v>
      </c>
      <c r="R45" s="18">
        <f t="shared" si="3"/>
        <v>73.358445229681976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200">
        <f>+CHAMNORD!B46</f>
        <v>46063</v>
      </c>
      <c r="C46" s="75">
        <f>IF(H46=0,"",'[3]2025-2026'!C45)</f>
        <v>7787.28</v>
      </c>
      <c r="D46" s="68">
        <f>'[3]2025'!C46</f>
        <v>9406.86</v>
      </c>
      <c r="E46" s="68">
        <f>'[3]2025'!D46</f>
        <v>9229.56</v>
      </c>
      <c r="F46" s="20">
        <f>'[3]2025'!E46</f>
        <v>549</v>
      </c>
      <c r="G46" s="73">
        <f>'[3]2025'!F46</f>
        <v>9400</v>
      </c>
      <c r="H46" s="42">
        <f>'[3]2025'!G46</f>
        <v>11555.47</v>
      </c>
      <c r="I46" s="13">
        <f>'[3]2025'!H46</f>
        <v>11214.05</v>
      </c>
      <c r="J46" s="14">
        <f>'[3]2025'!I46</f>
        <v>676</v>
      </c>
      <c r="K46" s="15">
        <f>'[3]2025'!J46</f>
        <v>134.30000000000001</v>
      </c>
      <c r="L46" s="15">
        <f>'[3]2025'!K46</f>
        <v>150.78</v>
      </c>
      <c r="M46" s="15">
        <f>'[3]2025'!L46</f>
        <v>47.46</v>
      </c>
      <c r="N46" s="16">
        <f t="shared" si="0"/>
        <v>4.2321908677061372E-3</v>
      </c>
      <c r="O46" s="17">
        <f t="shared" si="1"/>
        <v>0.21501458357711525</v>
      </c>
      <c r="P46" s="17">
        <f t="shared" si="1"/>
        <v>0.23132969034608378</v>
      </c>
      <c r="Q46" s="18">
        <f t="shared" si="2"/>
        <v>83.499999999999986</v>
      </c>
      <c r="R46" s="18">
        <f t="shared" si="3"/>
        <v>74.373590661891498</v>
      </c>
      <c r="S46" s="34">
        <f>SUM(I45:I51)</f>
        <v>99934.26999999999</v>
      </c>
      <c r="T46" s="45" t="s">
        <v>41</v>
      </c>
      <c r="U46" s="1738"/>
    </row>
    <row r="47" spans="1:21">
      <c r="A47" s="10" t="s">
        <v>12</v>
      </c>
      <c r="B47" s="200">
        <f>+CHAMNORD!B47</f>
        <v>46064</v>
      </c>
      <c r="C47" s="75">
        <f>IF(H47=0,"",'[3]2025-2026'!C46)</f>
        <v>9406.86</v>
      </c>
      <c r="D47" s="68">
        <f>'[3]2025'!C47</f>
        <v>11530.54</v>
      </c>
      <c r="E47" s="68">
        <f>'[3]2025'!D47</f>
        <v>11348.82</v>
      </c>
      <c r="F47" s="20">
        <f>'[3]2025'!E47</f>
        <v>686</v>
      </c>
      <c r="G47" s="73">
        <f>'[3]2025'!F47</f>
        <v>11600</v>
      </c>
      <c r="H47" s="42">
        <f>'[3]2025'!G47</f>
        <v>12312.46</v>
      </c>
      <c r="I47" s="13">
        <f>'[3]2025'!H47</f>
        <v>12086.31</v>
      </c>
      <c r="J47" s="14">
        <f>'[3]2025'!I47</f>
        <v>676</v>
      </c>
      <c r="K47" s="15">
        <f>'[3]2025'!J47</f>
        <v>120.15999999999998</v>
      </c>
      <c r="L47" s="15">
        <f>'[3]2025'!K47</f>
        <v>144.66999999999999</v>
      </c>
      <c r="M47" s="15">
        <f>'[3]2025'!L47</f>
        <v>56.08</v>
      </c>
      <c r="N47" s="16">
        <f t="shared" si="0"/>
        <v>4.6399604180266769E-3</v>
      </c>
      <c r="O47" s="17">
        <f t="shared" si="1"/>
        <v>6.4983848541081787E-2</v>
      </c>
      <c r="P47" s="17">
        <f t="shared" si="1"/>
        <v>-1.4577259475218658E-2</v>
      </c>
      <c r="Q47" s="18">
        <f t="shared" si="2"/>
        <v>100.5851364846871</v>
      </c>
      <c r="R47" s="18">
        <f t="shared" si="3"/>
        <v>83.543996682104108</v>
      </c>
      <c r="S47" s="35">
        <f>(S46-SUM(E45:E51))/SUM(E45:E51)</f>
        <v>6.104715453921998E-2</v>
      </c>
      <c r="T47" s="48">
        <f>SUM(I45:I51)/SUM(K45:K51)</f>
        <v>99.456876990445849</v>
      </c>
      <c r="U47" s="1738"/>
    </row>
    <row r="48" spans="1:21">
      <c r="A48" s="10" t="s">
        <v>13</v>
      </c>
      <c r="B48" s="200">
        <f>+CHAMNORD!B48</f>
        <v>46065</v>
      </c>
      <c r="C48" s="75">
        <f>IF(H48=0,"",'[3]2025-2026'!C47)</f>
        <v>11530.54</v>
      </c>
      <c r="D48" s="68">
        <f>'[3]2025'!C48</f>
        <v>9468.41</v>
      </c>
      <c r="E48" s="68">
        <f>'[3]2025'!D48</f>
        <v>9266.8799999999992</v>
      </c>
      <c r="F48" s="20">
        <f>'[3]2025'!E48</f>
        <v>611</v>
      </c>
      <c r="G48" s="73">
        <f>'[3]2025'!F48</f>
        <v>9400</v>
      </c>
      <c r="H48" s="42">
        <f>'[3]2025'!G48</f>
        <v>12965.91</v>
      </c>
      <c r="I48" s="13">
        <f>'[3]2025'!H48</f>
        <v>12660.55</v>
      </c>
      <c r="J48" s="14">
        <f>'[3]2025'!I48</f>
        <v>670</v>
      </c>
      <c r="K48" s="15">
        <f>'[3]2025'!J48</f>
        <v>137.47</v>
      </c>
      <c r="L48" s="15">
        <f>'[3]2025'!K48</f>
        <v>153.52000000000001</v>
      </c>
      <c r="M48" s="15">
        <f>'[3]2025'!L48</f>
        <v>56.85</v>
      </c>
      <c r="N48" s="16">
        <f t="shared" si="0"/>
        <v>4.4903262496495018E-3</v>
      </c>
      <c r="O48" s="17">
        <f t="shared" si="1"/>
        <v>0.366214950447184</v>
      </c>
      <c r="P48" s="17">
        <f t="shared" si="1"/>
        <v>9.6563011456628475E-2</v>
      </c>
      <c r="Q48" s="18">
        <f t="shared" si="2"/>
        <v>92.096821124609008</v>
      </c>
      <c r="R48" s="18">
        <f t="shared" si="3"/>
        <v>82.468408025013019</v>
      </c>
      <c r="S48" s="34"/>
      <c r="T48" s="29" t="s">
        <v>8</v>
      </c>
      <c r="U48" s="1738"/>
    </row>
    <row r="49" spans="1:21">
      <c r="A49" s="10" t="s">
        <v>14</v>
      </c>
      <c r="B49" s="200">
        <f>+CHAMNORD!B49</f>
        <v>46066</v>
      </c>
      <c r="C49" s="75">
        <f>IF(H49=0,"",'[3]2025-2026'!C48)</f>
        <v>9468.41</v>
      </c>
      <c r="D49" s="68">
        <f>'[3]2025'!C49</f>
        <v>16631.78</v>
      </c>
      <c r="E49" s="68">
        <f>'[3]2025'!D49</f>
        <v>16439.330000000002</v>
      </c>
      <c r="F49" s="20">
        <f>'[3]2025'!E49</f>
        <v>958</v>
      </c>
      <c r="G49" s="73">
        <f>'[3]2025'!F49</f>
        <v>16700</v>
      </c>
      <c r="H49" s="42">
        <f>'[3]2025'!G49</f>
        <v>17683.96</v>
      </c>
      <c r="I49" s="13">
        <f>'[3]2025'!H49</f>
        <v>17299.2</v>
      </c>
      <c r="J49" s="14">
        <f>'[3]2025'!I49</f>
        <v>990</v>
      </c>
      <c r="K49" s="15">
        <f>'[3]2025'!J49</f>
        <v>159.20000000000002</v>
      </c>
      <c r="L49" s="15">
        <f>'[3]2025'!K49</f>
        <v>184.3</v>
      </c>
      <c r="M49" s="15">
        <f>'[3]2025'!L49</f>
        <v>97.81</v>
      </c>
      <c r="N49" s="16">
        <f t="shared" si="0"/>
        <v>5.6540186829448762E-3</v>
      </c>
      <c r="O49" s="17">
        <f t="shared" si="1"/>
        <v>5.2305659658878977E-2</v>
      </c>
      <c r="P49" s="17">
        <f t="shared" si="1"/>
        <v>3.3402922755741124E-2</v>
      </c>
      <c r="Q49" s="18">
        <f t="shared" si="2"/>
        <v>108.66331658291456</v>
      </c>
      <c r="R49" s="18">
        <f t="shared" si="3"/>
        <v>93.864351600651105</v>
      </c>
      <c r="S49" s="36" t="s">
        <v>40</v>
      </c>
      <c r="T49" s="48">
        <f>SUM(I45:I51)/SUM(L45:L51)</f>
        <v>87.4323222425393</v>
      </c>
      <c r="U49" s="1738"/>
    </row>
    <row r="50" spans="1:21">
      <c r="A50" s="10" t="s">
        <v>15</v>
      </c>
      <c r="B50" s="200">
        <f>+CHAMNORD!B50</f>
        <v>46067</v>
      </c>
      <c r="C50" s="75">
        <f>IF(H50=0,"",'[3]2025-2026'!C49)</f>
        <v>16631.78</v>
      </c>
      <c r="D50" s="68">
        <f>'[3]2025'!C50</f>
        <v>21099.42</v>
      </c>
      <c r="E50" s="68">
        <f>'[3]2025'!D50</f>
        <v>20786.62</v>
      </c>
      <c r="F50" s="20">
        <f>'[3]2025'!E50</f>
        <v>1155</v>
      </c>
      <c r="G50" s="73">
        <f>'[3]2025'!F50</f>
        <v>21200</v>
      </c>
      <c r="H50" s="42">
        <f>'[3]2025'!G50</f>
        <v>18595.38</v>
      </c>
      <c r="I50" s="13">
        <f>'[3]2025'!H50</f>
        <v>18283.419999999998</v>
      </c>
      <c r="J50" s="14">
        <f>'[3]2025'!I50</f>
        <v>1021</v>
      </c>
      <c r="K50" s="15">
        <f>'[3]2025'!J50</f>
        <v>178.45000000000002</v>
      </c>
      <c r="L50" s="15">
        <f>'[3]2025'!K50</f>
        <v>195.4</v>
      </c>
      <c r="M50" s="15">
        <f>'[3]2025'!L50</f>
        <v>48.64</v>
      </c>
      <c r="N50" s="16">
        <f t="shared" si="0"/>
        <v>2.6603337887550582E-3</v>
      </c>
      <c r="O50" s="17">
        <f t="shared" si="1"/>
        <v>-0.12042361865469234</v>
      </c>
      <c r="P50" s="17">
        <f t="shared" si="1"/>
        <v>-0.11601731601731602</v>
      </c>
      <c r="Q50" s="18">
        <f t="shared" si="2"/>
        <v>102.45682263939477</v>
      </c>
      <c r="R50" s="18">
        <f t="shared" si="3"/>
        <v>93.569191402251775</v>
      </c>
      <c r="S50" s="36">
        <f>SUM(J45:J51)</f>
        <v>5575</v>
      </c>
      <c r="T50" s="30" t="s">
        <v>3</v>
      </c>
      <c r="U50" s="1738"/>
    </row>
    <row r="51" spans="1:21" ht="18" thickBot="1">
      <c r="A51" s="10" t="s">
        <v>16</v>
      </c>
      <c r="B51" s="200">
        <f>+CHAMNORD!B51</f>
        <v>46068</v>
      </c>
      <c r="C51" s="75">
        <f>IF(H51=0,"",'[3]2025-2026'!C50)</f>
        <v>21099.42</v>
      </c>
      <c r="D51" s="68">
        <f>'[3]2025'!C51</f>
        <v>19802.86</v>
      </c>
      <c r="E51" s="68">
        <f>'[3]2025'!D51</f>
        <v>19432.8</v>
      </c>
      <c r="F51" s="20">
        <f>'[3]2025'!E51</f>
        <v>1068</v>
      </c>
      <c r="G51" s="73">
        <f>'[3]2025'!F51</f>
        <v>19800</v>
      </c>
      <c r="H51" s="42">
        <f>'[3]2025'!G51</f>
        <v>18424.82</v>
      </c>
      <c r="I51" s="13">
        <f>'[3]2025'!H51</f>
        <v>18010.52</v>
      </c>
      <c r="J51" s="14">
        <f>'[3]2025'!I51</f>
        <v>905</v>
      </c>
      <c r="K51" s="15">
        <f>'[3]2025'!J51</f>
        <v>156.22</v>
      </c>
      <c r="L51" s="15">
        <f>'[3]2025'!K51</f>
        <v>172.82</v>
      </c>
      <c r="M51" s="15">
        <f>'[3]2025'!L51</f>
        <v>55.22</v>
      </c>
      <c r="N51" s="16">
        <f t="shared" si="0"/>
        <v>3.0659858793638385E-3</v>
      </c>
      <c r="O51" s="17">
        <f t="shared" si="1"/>
        <v>-7.3189658721337064E-2</v>
      </c>
      <c r="P51" s="17">
        <f t="shared" si="1"/>
        <v>-0.15262172284644196</v>
      </c>
      <c r="Q51" s="18">
        <f t="shared" si="2"/>
        <v>115.28946357700679</v>
      </c>
      <c r="R51" s="18">
        <f t="shared" si="3"/>
        <v>104.21548431894458</v>
      </c>
      <c r="S51" s="37">
        <f>(S50-SUM(F45:F51))/SUM(F45:F51)</f>
        <v>1.0512959941997463E-2</v>
      </c>
      <c r="T51" s="47">
        <f>SUM(M45:M51)/SUM(I45:I51)</f>
        <v>4.2900198300342826E-3</v>
      </c>
      <c r="U51" s="1739"/>
    </row>
    <row r="52" spans="1:21" ht="17" customHeight="1" thickTop="1">
      <c r="A52" s="10" t="s">
        <v>9</v>
      </c>
      <c r="B52" s="200">
        <f>+CHAMNORD!B52</f>
        <v>46069</v>
      </c>
      <c r="C52" s="75">
        <f>IF(H52=0,"",'[3]2025-2026'!C51)</f>
        <v>19802.86</v>
      </c>
      <c r="D52" s="68">
        <f>'[3]2025'!C52</f>
        <v>8822.64</v>
      </c>
      <c r="E52" s="68">
        <f>'[3]2025'!D52</f>
        <v>8746.59</v>
      </c>
      <c r="F52" s="20">
        <f>'[3]2025'!E52</f>
        <v>551</v>
      </c>
      <c r="G52" s="73">
        <f>'[3]2025'!F52</f>
        <v>8900</v>
      </c>
      <c r="H52" s="42">
        <f>'[3]2025'!G52</f>
        <v>11421.75</v>
      </c>
      <c r="I52" s="13">
        <f>'[3]2025'!H52</f>
        <v>11136.64</v>
      </c>
      <c r="J52" s="14">
        <f>'[3]2025'!I52</f>
        <v>663</v>
      </c>
      <c r="K52" s="15">
        <f>'[3]2025'!J52</f>
        <v>114.44</v>
      </c>
      <c r="L52" s="15">
        <f>'[3]2025'!K52</f>
        <v>132.47</v>
      </c>
      <c r="M52" s="15">
        <f>'[3]2025'!L52</f>
        <v>74.349999999999994</v>
      </c>
      <c r="N52" s="16">
        <f t="shared" si="0"/>
        <v>6.6761608528245501E-3</v>
      </c>
      <c r="O52" s="17">
        <f t="shared" si="1"/>
        <v>0.27325506283020001</v>
      </c>
      <c r="P52" s="17">
        <f t="shared" si="1"/>
        <v>0.20326678765880218</v>
      </c>
      <c r="Q52" s="18">
        <f t="shared" si="2"/>
        <v>97.314225795176512</v>
      </c>
      <c r="R52" s="18">
        <f t="shared" si="3"/>
        <v>84.069147731561856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200">
        <f>+CHAMNORD!B53</f>
        <v>46070</v>
      </c>
      <c r="C53" s="75">
        <f>IF(H53=0,"",'[3]2025-2026'!C52)</f>
        <v>8822.64</v>
      </c>
      <c r="D53" s="68">
        <f>'[3]2025'!C53</f>
        <v>9891.23</v>
      </c>
      <c r="E53" s="68">
        <f>'[3]2025'!D53</f>
        <v>9740.9599999999991</v>
      </c>
      <c r="F53" s="20">
        <f>'[3]2025'!E53</f>
        <v>609</v>
      </c>
      <c r="G53" s="73">
        <f>'[3]2025'!F53</f>
        <v>9900</v>
      </c>
      <c r="H53" s="42">
        <f>'[3]2025'!G53</f>
        <v>13152.68</v>
      </c>
      <c r="I53" s="13">
        <f>'[3]2025'!H53</f>
        <v>12857.95</v>
      </c>
      <c r="J53" s="14">
        <f>'[3]2025'!I53</f>
        <v>752</v>
      </c>
      <c r="K53" s="15">
        <f>'[3]2025'!J53</f>
        <v>128.05000000000001</v>
      </c>
      <c r="L53" s="15">
        <f>'[3]2025'!K53</f>
        <v>145.55000000000001</v>
      </c>
      <c r="M53" s="15">
        <f>'[3]2025'!L53</f>
        <v>62.94</v>
      </c>
      <c r="N53" s="16">
        <f t="shared" si="0"/>
        <v>4.8950260344767238E-3</v>
      </c>
      <c r="O53" s="17">
        <f t="shared" si="1"/>
        <v>0.3199879683316636</v>
      </c>
      <c r="P53" s="17">
        <f t="shared" si="1"/>
        <v>0.2348111658456486</v>
      </c>
      <c r="Q53" s="18">
        <f t="shared" si="2"/>
        <v>100.4135103475205</v>
      </c>
      <c r="R53" s="18">
        <f t="shared" si="3"/>
        <v>88.340432840948125</v>
      </c>
      <c r="S53" s="34">
        <f>SUM(I52:I58)</f>
        <v>98118.1</v>
      </c>
      <c r="T53" s="45" t="s">
        <v>41</v>
      </c>
      <c r="U53" s="1738"/>
    </row>
    <row r="54" spans="1:21">
      <c r="A54" s="10" t="s">
        <v>12</v>
      </c>
      <c r="B54" s="200">
        <f>+CHAMNORD!B54</f>
        <v>46071</v>
      </c>
      <c r="C54" s="75">
        <f>IF(H54=0,"",'[3]2025-2026'!C53)</f>
        <v>9891.23</v>
      </c>
      <c r="D54" s="68">
        <f>'[3]2025'!C54</f>
        <v>11298.84</v>
      </c>
      <c r="E54" s="68">
        <f>'[3]2025'!D54</f>
        <v>11142.39</v>
      </c>
      <c r="F54" s="20">
        <f>'[3]2025'!E54</f>
        <v>683</v>
      </c>
      <c r="G54" s="73">
        <f>'[3]2025'!F54</f>
        <v>11400</v>
      </c>
      <c r="H54" s="42">
        <f>'[3]2025'!G54</f>
        <v>13517.39</v>
      </c>
      <c r="I54" s="13">
        <f>'[3]2025'!H54</f>
        <v>13243.81</v>
      </c>
      <c r="J54" s="14">
        <f>'[3]2025'!I54</f>
        <v>752</v>
      </c>
      <c r="K54" s="15">
        <f>'[3]2025'!J54</f>
        <v>135.05000000000001</v>
      </c>
      <c r="L54" s="15">
        <f>'[3]2025'!K54</f>
        <v>152.80000000000001</v>
      </c>
      <c r="M54" s="15">
        <f>'[3]2025'!L54</f>
        <v>106.07</v>
      </c>
      <c r="N54" s="16">
        <f t="shared" si="0"/>
        <v>8.0090245933760757E-3</v>
      </c>
      <c r="O54" s="17">
        <f t="shared" si="1"/>
        <v>0.18859688092052065</v>
      </c>
      <c r="P54" s="17">
        <f t="shared" si="1"/>
        <v>0.10102489019033675</v>
      </c>
      <c r="Q54" s="18">
        <f t="shared" si="2"/>
        <v>98.065975564605694</v>
      </c>
      <c r="R54" s="18">
        <f t="shared" si="3"/>
        <v>86.674149214659678</v>
      </c>
      <c r="S54" s="35">
        <f>(S53-SUM(E52:E58))/SUM(E52:E58)</f>
        <v>0.10328285855194605</v>
      </c>
      <c r="T54" s="48">
        <f>SUM(I52:I58)/SUM(K52:K58)</f>
        <v>98.361051797940902</v>
      </c>
      <c r="U54" s="1738"/>
    </row>
    <row r="55" spans="1:21">
      <c r="A55" s="10" t="s">
        <v>13</v>
      </c>
      <c r="B55" s="200">
        <f>+CHAMNORD!B55</f>
        <v>46072</v>
      </c>
      <c r="C55" s="75">
        <f>IF(H55=0,"",'[3]2025-2026'!C54)</f>
        <v>11298.84</v>
      </c>
      <c r="D55" s="68">
        <f>'[3]2025'!C55</f>
        <v>11023.34</v>
      </c>
      <c r="E55" s="68">
        <f>'[3]2025'!D55</f>
        <v>10904.53</v>
      </c>
      <c r="F55" s="20">
        <f>'[3]2025'!E55</f>
        <v>657</v>
      </c>
      <c r="G55" s="73">
        <f>'[3]2025'!F55</f>
        <v>11100</v>
      </c>
      <c r="H55" s="42">
        <f>'[3]2025'!G55</f>
        <v>12470.87</v>
      </c>
      <c r="I55" s="13">
        <f>'[3]2025'!H55</f>
        <v>12145.38</v>
      </c>
      <c r="J55" s="14">
        <f>'[3]2025'!I55</f>
        <v>690</v>
      </c>
      <c r="K55" s="15">
        <f>'[3]2025'!J55</f>
        <v>128.26000000000002</v>
      </c>
      <c r="L55" s="15">
        <f>'[3]2025'!K55</f>
        <v>145.05000000000001</v>
      </c>
      <c r="M55" s="15">
        <f>'[3]2025'!L55</f>
        <v>70.53</v>
      </c>
      <c r="N55" s="16">
        <f t="shared" si="0"/>
        <v>5.8071464211082741E-3</v>
      </c>
      <c r="O55" s="17">
        <f t="shared" si="1"/>
        <v>0.11379215793803112</v>
      </c>
      <c r="P55" s="17">
        <f t="shared" si="1"/>
        <v>5.0228310502283102E-2</v>
      </c>
      <c r="Q55" s="18">
        <f t="shared" si="2"/>
        <v>94.693435209730211</v>
      </c>
      <c r="R55" s="18">
        <f t="shared" si="3"/>
        <v>83.732368148914162</v>
      </c>
      <c r="S55" s="34"/>
      <c r="T55" s="29" t="s">
        <v>8</v>
      </c>
      <c r="U55" s="1738"/>
    </row>
    <row r="56" spans="1:21">
      <c r="A56" s="10" t="s">
        <v>14</v>
      </c>
      <c r="B56" s="200">
        <f>+CHAMNORD!B56</f>
        <v>46073</v>
      </c>
      <c r="C56" s="75">
        <f>IF(H56=0,"",'[3]2025-2026'!C55)</f>
        <v>11023.34</v>
      </c>
      <c r="D56" s="68">
        <f>'[3]2025'!C56</f>
        <v>16000.58</v>
      </c>
      <c r="E56" s="68">
        <f>'[3]2025'!D56</f>
        <v>15758.98</v>
      </c>
      <c r="F56" s="20">
        <f>'[3]2025'!E56</f>
        <v>960</v>
      </c>
      <c r="G56" s="73">
        <f>'[3]2025'!F56</f>
        <v>16000</v>
      </c>
      <c r="H56" s="42">
        <f>'[3]2025'!G56</f>
        <v>15743.3</v>
      </c>
      <c r="I56" s="13">
        <f>'[3]2025'!H56</f>
        <v>15422.92</v>
      </c>
      <c r="J56" s="14">
        <f>'[3]2025'!I56</f>
        <v>844</v>
      </c>
      <c r="K56" s="15">
        <f>'[3]2025'!J56</f>
        <v>161.71</v>
      </c>
      <c r="L56" s="15">
        <f>'[3]2025'!K56</f>
        <v>178.03</v>
      </c>
      <c r="M56" s="15">
        <f>'[3]2025'!L56</f>
        <v>47.19</v>
      </c>
      <c r="N56" s="16">
        <f t="shared" si="0"/>
        <v>3.0597318795662558E-3</v>
      </c>
      <c r="O56" s="17">
        <f t="shared" si="1"/>
        <v>-2.1324984231212901E-2</v>
      </c>
      <c r="P56" s="17">
        <f t="shared" si="1"/>
        <v>-0.12083333333333333</v>
      </c>
      <c r="Q56" s="18">
        <f t="shared" si="2"/>
        <v>95.373941005503681</v>
      </c>
      <c r="R56" s="18">
        <f t="shared" si="3"/>
        <v>86.631017244284678</v>
      </c>
      <c r="S56" s="36" t="s">
        <v>40</v>
      </c>
      <c r="T56" s="48">
        <f>SUM(I52:I58)/SUM(L52:L58)</f>
        <v>87.825008950948799</v>
      </c>
      <c r="U56" s="1738"/>
    </row>
    <row r="57" spans="1:21">
      <c r="A57" s="10" t="s">
        <v>15</v>
      </c>
      <c r="B57" s="200">
        <f>+CHAMNORD!B57</f>
        <v>46074</v>
      </c>
      <c r="C57" s="75">
        <f>IF(H57=0,"",'[3]2025-2026'!C56)</f>
        <v>16000.58</v>
      </c>
      <c r="D57" s="68">
        <f>'[3]2025'!C57</f>
        <v>16065.94</v>
      </c>
      <c r="E57" s="68">
        <f>'[3]2025'!D57</f>
        <v>15791.79</v>
      </c>
      <c r="F57" s="20">
        <f>'[3]2025'!E57</f>
        <v>905</v>
      </c>
      <c r="G57" s="73">
        <f>'[3]2025'!F57</f>
        <v>16100</v>
      </c>
      <c r="H57" s="42">
        <f>'[3]2025'!G57</f>
        <v>17423.900000000001</v>
      </c>
      <c r="I57" s="13">
        <f>'[3]2025'!H57</f>
        <v>17123.490000000002</v>
      </c>
      <c r="J57" s="14">
        <f>'[3]2025'!I57</f>
        <v>927</v>
      </c>
      <c r="K57" s="15">
        <f>'[3]2025'!J57</f>
        <v>176.82</v>
      </c>
      <c r="L57" s="15">
        <f>'[3]2025'!K57</f>
        <v>192.62</v>
      </c>
      <c r="M57" s="15">
        <f>'[3]2025'!L57</f>
        <v>65.25</v>
      </c>
      <c r="N57" s="16">
        <f t="shared" si="0"/>
        <v>3.8105549744824213E-3</v>
      </c>
      <c r="O57" s="17">
        <f t="shared" si="1"/>
        <v>8.4328628990127191E-2</v>
      </c>
      <c r="P57" s="17">
        <f t="shared" si="1"/>
        <v>2.430939226519337E-2</v>
      </c>
      <c r="Q57" s="18">
        <f t="shared" si="2"/>
        <v>96.841364099083833</v>
      </c>
      <c r="R57" s="18">
        <f t="shared" si="3"/>
        <v>88.89777800851418</v>
      </c>
      <c r="S57" s="36">
        <f>SUM(J52:J58)</f>
        <v>5474</v>
      </c>
      <c r="T57" s="30" t="s">
        <v>3</v>
      </c>
      <c r="U57" s="1738"/>
    </row>
    <row r="58" spans="1:21" ht="18" thickBot="1">
      <c r="A58" s="10" t="s">
        <v>16</v>
      </c>
      <c r="B58" s="200">
        <f>+CHAMNORD!B58</f>
        <v>46075</v>
      </c>
      <c r="C58" s="75">
        <f>IF(H58=0,"",'[3]2025-2026'!C57)</f>
        <v>16065.94</v>
      </c>
      <c r="D58" s="68">
        <f>'[3]2025'!C58</f>
        <v>17129.79</v>
      </c>
      <c r="E58" s="68">
        <f>'[3]2025'!D58</f>
        <v>16847.62</v>
      </c>
      <c r="F58" s="20">
        <f>'[3]2025'!E58</f>
        <v>916</v>
      </c>
      <c r="G58" s="73">
        <f>'[3]2025'!F58</f>
        <v>17200</v>
      </c>
      <c r="H58" s="42">
        <f>'[3]2025'!G58</f>
        <v>16544.91</v>
      </c>
      <c r="I58" s="13">
        <f>'[3]2025'!H58</f>
        <v>16187.91</v>
      </c>
      <c r="J58" s="14">
        <f>'[3]2025'!I58</f>
        <v>846</v>
      </c>
      <c r="K58" s="15">
        <f>'[3]2025'!J58</f>
        <v>153.20000000000002</v>
      </c>
      <c r="L58" s="15">
        <f>'[3]2025'!K58</f>
        <v>170.68</v>
      </c>
      <c r="M58" s="15">
        <f>'[3]2025'!L58</f>
        <v>73.89</v>
      </c>
      <c r="N58" s="16">
        <f t="shared" si="0"/>
        <v>4.5645175936856585E-3</v>
      </c>
      <c r="O58" s="17">
        <f t="shared" si="1"/>
        <v>-3.915745962931258E-2</v>
      </c>
      <c r="P58" s="17">
        <f t="shared" si="1"/>
        <v>-7.6419213973799124E-2</v>
      </c>
      <c r="Q58" s="18">
        <f t="shared" si="2"/>
        <v>105.66520887728458</v>
      </c>
      <c r="R58" s="18">
        <f t="shared" si="3"/>
        <v>94.843625498007967</v>
      </c>
      <c r="S58" s="37">
        <f>(S57-SUM(F52:F58))/SUM(F52:F58)</f>
        <v>3.6546108691535691E-2</v>
      </c>
      <c r="T58" s="47">
        <f>SUM(M52:M58)/SUM(I52:I58)</f>
        <v>5.0981419330378384E-3</v>
      </c>
      <c r="U58" s="1739"/>
    </row>
    <row r="59" spans="1:21" ht="17" customHeight="1" thickTop="1">
      <c r="A59" s="10" t="s">
        <v>9</v>
      </c>
      <c r="B59" s="200">
        <f>+CHAMNORD!B59</f>
        <v>46076</v>
      </c>
      <c r="C59" s="75">
        <f>IF(H59=0,"",'[3]2025-2026'!C58)</f>
        <v>17129.79</v>
      </c>
      <c r="D59" s="68">
        <f>'[3]2025'!C59</f>
        <v>12414.56</v>
      </c>
      <c r="E59" s="68">
        <f>'[3]2025'!D59</f>
        <v>12186.77</v>
      </c>
      <c r="F59" s="20">
        <f>'[3]2025'!E59</f>
        <v>749</v>
      </c>
      <c r="G59" s="73">
        <f>'[3]2025'!F59</f>
        <v>12400</v>
      </c>
      <c r="H59" s="42">
        <f>'[3]2025'!G59</f>
        <v>8837.7999999999993</v>
      </c>
      <c r="I59" s="13">
        <f>'[3]2025'!H59</f>
        <v>8699.02</v>
      </c>
      <c r="J59" s="14">
        <f>'[3]2025'!I59</f>
        <v>523</v>
      </c>
      <c r="K59" s="15">
        <f>'[3]2025'!J59</f>
        <v>107.22</v>
      </c>
      <c r="L59" s="15">
        <f>'[3]2025'!K59</f>
        <v>125.97</v>
      </c>
      <c r="M59" s="15">
        <f>'[3]2025'!L59</f>
        <v>86.23</v>
      </c>
      <c r="N59" s="16">
        <f t="shared" si="0"/>
        <v>9.9126108458194133E-3</v>
      </c>
      <c r="O59" s="17">
        <f t="shared" si="1"/>
        <v>-0.2861915011114512</v>
      </c>
      <c r="P59" s="17">
        <f t="shared" si="1"/>
        <v>-0.30173564753004006</v>
      </c>
      <c r="Q59" s="18">
        <f t="shared" si="2"/>
        <v>81.132437977989184</v>
      </c>
      <c r="R59" s="18">
        <f t="shared" si="3"/>
        <v>69.056283242041758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200">
        <f>+CHAMNORD!B60</f>
        <v>46077</v>
      </c>
      <c r="C60" s="75">
        <f>IF(H60=0,"",'[3]2025-2026'!C59)</f>
        <v>12414.56</v>
      </c>
      <c r="D60" s="68">
        <f>'[3]2025'!C60</f>
        <v>11847.06</v>
      </c>
      <c r="E60" s="68">
        <f>'[3]2025'!D60</f>
        <v>11678.03</v>
      </c>
      <c r="F60" s="20">
        <f>'[3]2025'!E60</f>
        <v>730</v>
      </c>
      <c r="G60" s="73">
        <f>'[3]2025'!F60</f>
        <v>11900</v>
      </c>
      <c r="H60" s="42">
        <f>'[3]2025'!G60</f>
        <v>9936.2999999999993</v>
      </c>
      <c r="I60" s="13">
        <f>'[3]2025'!H60</f>
        <v>9752.85</v>
      </c>
      <c r="J60" s="14">
        <f>'[3]2025'!I60</f>
        <v>597</v>
      </c>
      <c r="K60" s="15">
        <f>'[3]2025'!J60</f>
        <v>110.45</v>
      </c>
      <c r="L60" s="15">
        <f>'[3]2025'!K60</f>
        <v>126.75</v>
      </c>
      <c r="M60" s="15">
        <f>'[3]2025'!L60</f>
        <v>59.87</v>
      </c>
      <c r="N60" s="16">
        <f t="shared" si="0"/>
        <v>6.1387184258960194E-3</v>
      </c>
      <c r="O60" s="17">
        <f t="shared" si="1"/>
        <v>-0.16485485993784912</v>
      </c>
      <c r="P60" s="17">
        <f t="shared" si="1"/>
        <v>-0.18219178082191781</v>
      </c>
      <c r="Q60" s="18">
        <f t="shared" si="2"/>
        <v>88.301041195110912</v>
      </c>
      <c r="R60" s="18">
        <f t="shared" si="3"/>
        <v>76.945562130177521</v>
      </c>
      <c r="S60" s="34">
        <f>SUM(I59:I65)</f>
        <v>92342.89</v>
      </c>
      <c r="T60" s="45" t="s">
        <v>41</v>
      </c>
      <c r="U60" s="1738"/>
    </row>
    <row r="61" spans="1:21">
      <c r="A61" s="10" t="s">
        <v>12</v>
      </c>
      <c r="B61" s="200">
        <f>+CHAMNORD!B61</f>
        <v>46078</v>
      </c>
      <c r="C61" s="75">
        <f>IF(H61=0,"",'[3]2025-2026'!C60)</f>
        <v>11847.06</v>
      </c>
      <c r="D61" s="68">
        <f>'[3]2025'!C61</f>
        <v>13080.33</v>
      </c>
      <c r="E61" s="68">
        <f>'[3]2025'!D61</f>
        <v>12819.67</v>
      </c>
      <c r="F61" s="20">
        <f>'[3]2025'!E61</f>
        <v>794</v>
      </c>
      <c r="G61" s="73">
        <f>'[3]2025'!F61</f>
        <v>13100</v>
      </c>
      <c r="H61" s="42">
        <f>'[3]2025'!G61</f>
        <v>11952.21</v>
      </c>
      <c r="I61" s="13">
        <f>'[3]2025'!H61</f>
        <v>11695.66</v>
      </c>
      <c r="J61" s="14">
        <f>'[3]2025'!I61</f>
        <v>714</v>
      </c>
      <c r="K61" s="15">
        <f>'[3]2025'!J61</f>
        <v>116.41</v>
      </c>
      <c r="L61" s="15">
        <f>'[3]2025'!K61</f>
        <v>141.18</v>
      </c>
      <c r="M61" s="15">
        <f>'[3]2025'!L61</f>
        <v>57.95</v>
      </c>
      <c r="N61" s="16">
        <f t="shared" si="0"/>
        <v>4.9548293982554217E-3</v>
      </c>
      <c r="O61" s="17">
        <f t="shared" si="1"/>
        <v>-8.7678543987481747E-2</v>
      </c>
      <c r="P61" s="17">
        <f t="shared" si="1"/>
        <v>-0.10075566750629723</v>
      </c>
      <c r="Q61" s="18">
        <f t="shared" si="2"/>
        <v>100.46954728975174</v>
      </c>
      <c r="R61" s="18">
        <f t="shared" si="3"/>
        <v>82.842187278651366</v>
      </c>
      <c r="S61" s="35">
        <f>(S60-SUM(E59:E65))/SUM(E59:E65)</f>
        <v>-9.6968681127558895E-2</v>
      </c>
      <c r="T61" s="48">
        <f>SUM(I59:I65)/SUM(K59:K65)</f>
        <v>100.88701095803606</v>
      </c>
      <c r="U61" s="1738"/>
    </row>
    <row r="62" spans="1:21">
      <c r="A62" s="10" t="s">
        <v>13</v>
      </c>
      <c r="B62" s="200">
        <f>+CHAMNORD!B62</f>
        <v>46079</v>
      </c>
      <c r="C62" s="75">
        <f>IF(H62=0,"",'[3]2025-2026'!C61)</f>
        <v>13080.33</v>
      </c>
      <c r="D62" s="68">
        <f>'[3]2025'!C62</f>
        <v>14075.69</v>
      </c>
      <c r="E62" s="68">
        <f>'[3]2025'!D62</f>
        <v>13790.14</v>
      </c>
      <c r="F62" s="20">
        <f>'[3]2025'!E62</f>
        <v>837</v>
      </c>
      <c r="G62" s="73">
        <f>'[3]2025'!F62</f>
        <v>14000</v>
      </c>
      <c r="H62" s="42">
        <f>'[3]2025'!G62</f>
        <v>9750.42</v>
      </c>
      <c r="I62" s="13">
        <f>'[3]2025'!H62</f>
        <v>9538.16</v>
      </c>
      <c r="J62" s="14">
        <f>'[3]2025'!I62</f>
        <v>566</v>
      </c>
      <c r="K62" s="15">
        <f>'[3]2025'!J62</f>
        <v>114.1</v>
      </c>
      <c r="L62" s="15">
        <f>'[3]2025'!K62</f>
        <v>131.32</v>
      </c>
      <c r="M62" s="15">
        <f>'[3]2025'!L62</f>
        <v>101.48</v>
      </c>
      <c r="N62" s="16">
        <f t="shared" si="0"/>
        <v>1.0639368599394433E-2</v>
      </c>
      <c r="O62" s="17">
        <f t="shared" si="1"/>
        <v>-0.30833479573086275</v>
      </c>
      <c r="P62" s="17">
        <f t="shared" si="1"/>
        <v>-0.32377538829151731</v>
      </c>
      <c r="Q62" s="18">
        <f t="shared" si="2"/>
        <v>83.594741454864163</v>
      </c>
      <c r="R62" s="18">
        <f t="shared" si="3"/>
        <v>72.632957660676212</v>
      </c>
      <c r="S62" s="34"/>
      <c r="T62" s="29" t="s">
        <v>8</v>
      </c>
      <c r="U62" s="1738"/>
    </row>
    <row r="63" spans="1:21">
      <c r="A63" s="10" t="s">
        <v>14</v>
      </c>
      <c r="B63" s="200">
        <f>+CHAMNORD!B63</f>
        <v>46080</v>
      </c>
      <c r="C63" s="75">
        <f>IF(H63=0,"",'[3]2025-2026'!C62)</f>
        <v>14075.69</v>
      </c>
      <c r="D63" s="68">
        <f>'[3]2025'!C63</f>
        <v>17439.650000000001</v>
      </c>
      <c r="E63" s="68">
        <f>'[3]2025'!D63</f>
        <v>17168.939999999999</v>
      </c>
      <c r="F63" s="20">
        <f>'[3]2025'!E63</f>
        <v>1049</v>
      </c>
      <c r="G63" s="73">
        <f>'[3]2025'!F63</f>
        <v>17500</v>
      </c>
      <c r="H63" s="42">
        <f>'[3]2025'!G63</f>
        <v>16942.3</v>
      </c>
      <c r="I63" s="13">
        <f>'[3]2025'!H63</f>
        <v>16692.64</v>
      </c>
      <c r="J63" s="14">
        <f>'[3]2025'!I63</f>
        <v>982</v>
      </c>
      <c r="K63" s="15">
        <f>'[3]2025'!J63</f>
        <v>166.92000000000002</v>
      </c>
      <c r="L63" s="15">
        <f>'[3]2025'!K63</f>
        <v>176.44</v>
      </c>
      <c r="M63" s="15">
        <f>'[3]2025'!L63</f>
        <v>53.67</v>
      </c>
      <c r="N63" s="16">
        <f t="shared" si="0"/>
        <v>3.2151894487630478E-3</v>
      </c>
      <c r="O63" s="17">
        <f t="shared" si="1"/>
        <v>-2.7741957278667136E-2</v>
      </c>
      <c r="P63" s="17">
        <f t="shared" si="1"/>
        <v>-6.3870352716873219E-2</v>
      </c>
      <c r="Q63" s="18">
        <f t="shared" si="2"/>
        <v>100.00383417205846</v>
      </c>
      <c r="R63" s="18">
        <f t="shared" si="3"/>
        <v>94.608025391067784</v>
      </c>
      <c r="S63" s="36" t="s">
        <v>40</v>
      </c>
      <c r="T63" s="48">
        <f>SUM(I59:I65)/SUM(L59:L65)</f>
        <v>87.745049410870379</v>
      </c>
      <c r="U63" s="1738"/>
    </row>
    <row r="64" spans="1:21">
      <c r="A64" s="10" t="s">
        <v>15</v>
      </c>
      <c r="B64" s="200">
        <f>+CHAMNORD!B64</f>
        <v>46081</v>
      </c>
      <c r="C64" s="75">
        <f>IF(H64=0,"",'[3]2025-2026'!C63)</f>
        <v>17439.650000000001</v>
      </c>
      <c r="D64" s="68">
        <f>'[3]2025'!C64</f>
        <v>16725.3</v>
      </c>
      <c r="E64" s="68">
        <f>'[3]2025'!D64</f>
        <v>16473.78</v>
      </c>
      <c r="F64" s="20">
        <f>'[3]2025'!E64</f>
        <v>929</v>
      </c>
      <c r="G64" s="73">
        <f>'[3]2025'!F64</f>
        <v>16800</v>
      </c>
      <c r="H64" s="42">
        <f>'[3]2025'!G64</f>
        <v>16095.82</v>
      </c>
      <c r="I64" s="13">
        <f>'[3]2025'!H64</f>
        <v>15867.14</v>
      </c>
      <c r="J64" s="14">
        <f>'[3]2025'!I64</f>
        <v>927</v>
      </c>
      <c r="K64" s="15">
        <f>'[3]2025'!J64</f>
        <v>157.35999999999999</v>
      </c>
      <c r="L64" s="15">
        <f>'[3]2025'!K64</f>
        <v>182.42</v>
      </c>
      <c r="M64" s="15">
        <f>'[3]2025'!L64</f>
        <v>70.67</v>
      </c>
      <c r="N64" s="16">
        <f t="shared" si="0"/>
        <v>4.453858729424459E-3</v>
      </c>
      <c r="O64" s="17">
        <f t="shared" si="1"/>
        <v>-3.6824578208522842E-2</v>
      </c>
      <c r="P64" s="17">
        <f t="shared" si="1"/>
        <v>-2.1528525296017221E-3</v>
      </c>
      <c r="Q64" s="18">
        <f t="shared" si="2"/>
        <v>100.83337569903406</v>
      </c>
      <c r="R64" s="18">
        <f t="shared" si="3"/>
        <v>86.981361692796838</v>
      </c>
      <c r="S64" s="36">
        <f>SUM(J59:J65)</f>
        <v>5341</v>
      </c>
      <c r="T64" s="30" t="s">
        <v>3</v>
      </c>
      <c r="U64" s="1738"/>
    </row>
    <row r="65" spans="1:21" ht="18" thickBot="1">
      <c r="A65" s="10" t="s">
        <v>16</v>
      </c>
      <c r="B65" s="200">
        <f>+CHAMNORD!B65</f>
        <v>46082</v>
      </c>
      <c r="C65" s="75">
        <f>IF(H65=0,"",'[3]2025-2026'!C64)</f>
        <v>16725.3</v>
      </c>
      <c r="D65" s="68">
        <f>'[3]2025'!C65</f>
        <v>18393.05</v>
      </c>
      <c r="E65" s="68">
        <f>'[3]2025'!D65</f>
        <v>18141.46</v>
      </c>
      <c r="F65" s="20">
        <f>'[3]2025'!E65</f>
        <v>978</v>
      </c>
      <c r="G65" s="73">
        <f>'[3]2025'!F65</f>
        <v>18300</v>
      </c>
      <c r="H65" s="42">
        <f>'[3]2025'!G65</f>
        <v>20445.13</v>
      </c>
      <c r="I65" s="13">
        <f>'[3]2025'!H65</f>
        <v>20097.419999999998</v>
      </c>
      <c r="J65" s="14">
        <f>'[3]2025'!I65</f>
        <v>1032</v>
      </c>
      <c r="K65" s="15">
        <f>'[3]2025'!J65</f>
        <v>142.85</v>
      </c>
      <c r="L65" s="15">
        <f>'[3]2025'!K65</f>
        <v>168.32</v>
      </c>
      <c r="M65" s="15">
        <f>'[3]2025'!L65</f>
        <v>82.13</v>
      </c>
      <c r="N65" s="16">
        <f t="shared" si="0"/>
        <v>4.086594199653488E-3</v>
      </c>
      <c r="O65" s="17">
        <f t="shared" si="1"/>
        <v>0.10781712166495967</v>
      </c>
      <c r="P65" s="17">
        <f t="shared" si="1"/>
        <v>5.5214723926380369E-2</v>
      </c>
      <c r="Q65" s="18">
        <f t="shared" si="2"/>
        <v>140.68897444872243</v>
      </c>
      <c r="R65" s="18">
        <f t="shared" si="3"/>
        <v>119.40007129277566</v>
      </c>
      <c r="S65" s="37">
        <f>(S64-SUM(F59:F65))/SUM(F59:F65)</f>
        <v>-0.11951862842070557</v>
      </c>
      <c r="T65" s="47">
        <f>SUM(M59:M65)/SUM(I59:I65)</f>
        <v>5.5445524826004469E-3</v>
      </c>
      <c r="U65" s="1739"/>
    </row>
    <row r="66" spans="1:21" ht="17" customHeight="1" thickTop="1">
      <c r="A66" s="10" t="s">
        <v>9</v>
      </c>
      <c r="B66" s="200">
        <f>+CHAMNORD!B66</f>
        <v>46083</v>
      </c>
      <c r="C66" s="75">
        <f>IF(H66=0,"",'[3]2025-2026'!C65)</f>
        <v>18393.05</v>
      </c>
      <c r="D66" s="68">
        <f>'[3]2025'!C66</f>
        <v>13688.45</v>
      </c>
      <c r="E66" s="68">
        <f>'[3]2025'!D66</f>
        <v>13475.26</v>
      </c>
      <c r="F66" s="20">
        <f>'[3]2025'!E66</f>
        <v>813</v>
      </c>
      <c r="G66" s="73">
        <f>'[3]2025'!F66</f>
        <v>13600</v>
      </c>
      <c r="H66" s="42">
        <f>'[3]2025'!G66</f>
        <v>9762.39</v>
      </c>
      <c r="I66" s="13">
        <f>'[3]2025'!H66</f>
        <v>9551.84</v>
      </c>
      <c r="J66" s="14">
        <f>'[3]2025'!I66</f>
        <v>548</v>
      </c>
      <c r="K66" s="15">
        <f>'[3]2025'!J66</f>
        <v>100.02</v>
      </c>
      <c r="L66" s="15">
        <f>'[3]2025'!K66</f>
        <v>118.17</v>
      </c>
      <c r="M66" s="15">
        <f>'[3]2025'!L66</f>
        <v>68.260000000000005</v>
      </c>
      <c r="N66" s="16">
        <f t="shared" si="0"/>
        <v>7.1462671066517035E-3</v>
      </c>
      <c r="O66" s="17">
        <f t="shared" si="1"/>
        <v>-0.29115727637166183</v>
      </c>
      <c r="P66" s="17">
        <f t="shared" si="1"/>
        <v>-0.32595325953259535</v>
      </c>
      <c r="Q66" s="18">
        <f t="shared" si="2"/>
        <v>95.499300139972007</v>
      </c>
      <c r="R66" s="18">
        <f t="shared" si="3"/>
        <v>80.831344672928836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200">
        <f>+CHAMNORD!B67</f>
        <v>46084</v>
      </c>
      <c r="C67" s="75">
        <f>IF(H67=0,"",'[3]2025-2026'!C66)</f>
        <v>13688.45</v>
      </c>
      <c r="D67" s="68">
        <f>'[3]2025'!C67</f>
        <v>13948.13</v>
      </c>
      <c r="E67" s="68">
        <f>'[3]2025'!D67</f>
        <v>13693.75</v>
      </c>
      <c r="F67" s="20">
        <f>'[3]2025'!E67</f>
        <v>810</v>
      </c>
      <c r="G67" s="73">
        <f>'[3]2025'!F67</f>
        <v>13800</v>
      </c>
      <c r="H67" s="42">
        <f>'[3]2025'!G67</f>
        <v>9260.08</v>
      </c>
      <c r="I67" s="13">
        <f>'[3]2025'!H67</f>
        <v>9082.82</v>
      </c>
      <c r="J67" s="14">
        <f>'[3]2025'!I67</f>
        <v>550</v>
      </c>
      <c r="K67" s="15">
        <f>'[3]2025'!J67</f>
        <v>104.60000000000001</v>
      </c>
      <c r="L67" s="15">
        <f>'[3]2025'!K67</f>
        <v>121.9</v>
      </c>
      <c r="M67" s="15">
        <f>'[3]2025'!L67</f>
        <v>81.83</v>
      </c>
      <c r="N67" s="16">
        <f t="shared" si="0"/>
        <v>9.0093164898126347E-3</v>
      </c>
      <c r="O67" s="17">
        <f t="shared" si="1"/>
        <v>-0.33671784573254226</v>
      </c>
      <c r="P67" s="17">
        <f t="shared" si="1"/>
        <v>-0.32098765432098764</v>
      </c>
      <c r="Q67" s="18">
        <f t="shared" si="2"/>
        <v>86.833843212237085</v>
      </c>
      <c r="R67" s="18">
        <f t="shared" si="3"/>
        <v>74.510418375717791</v>
      </c>
      <c r="S67" s="34">
        <f>SUM(I66:I72)</f>
        <v>90785.59</v>
      </c>
      <c r="T67" s="45" t="s">
        <v>41</v>
      </c>
      <c r="U67" s="1738"/>
    </row>
    <row r="68" spans="1:21">
      <c r="A68" s="10" t="s">
        <v>12</v>
      </c>
      <c r="B68" s="200">
        <f>+CHAMNORD!B68</f>
        <v>46085</v>
      </c>
      <c r="C68" s="75">
        <f>IF(H68=0,"",'[3]2025-2026'!C67)</f>
        <v>13948.13</v>
      </c>
      <c r="D68" s="68">
        <f>'[3]2025'!C68</f>
        <v>14142.55</v>
      </c>
      <c r="E68" s="68">
        <f>'[3]2025'!D68</f>
        <v>13884.02</v>
      </c>
      <c r="F68" s="20">
        <f>'[3]2025'!E68</f>
        <v>821</v>
      </c>
      <c r="G68" s="73">
        <f>'[3]2025'!F68</f>
        <v>14000</v>
      </c>
      <c r="H68" s="42">
        <f>'[3]2025'!G68</f>
        <v>12380.39</v>
      </c>
      <c r="I68" s="13">
        <f>'[3]2025'!H68</f>
        <v>12086.39</v>
      </c>
      <c r="J68" s="14">
        <f>'[3]2025'!I68</f>
        <v>705</v>
      </c>
      <c r="K68" s="15">
        <f>'[3]2025'!J68</f>
        <v>116.57000000000001</v>
      </c>
      <c r="L68" s="15">
        <f>'[3]2025'!K68</f>
        <v>134.30000000000001</v>
      </c>
      <c r="M68" s="15">
        <f>'[3]2025'!L68</f>
        <v>84.71</v>
      </c>
      <c r="N68" s="16">
        <f t="shared" ref="N68:N131" si="4">IF(M68=0,"",M68/I68)</f>
        <v>7.0087097967217668E-3</v>
      </c>
      <c r="O68" s="17">
        <f t="shared" ref="O68:P131" si="5">IF(I68=0,"",(I68-E68)/E68)</f>
        <v>-0.12947474866789307</v>
      </c>
      <c r="P68" s="17">
        <f t="shared" si="5"/>
        <v>-0.14129110840438489</v>
      </c>
      <c r="Q68" s="18">
        <f t="shared" ref="Q68:Q131" si="6">IF(I68=0,"",I68/K68)</f>
        <v>103.68353778845328</v>
      </c>
      <c r="R68" s="18">
        <f t="shared" ref="R68:R131" si="7">I68/L68</f>
        <v>89.995457930007433</v>
      </c>
      <c r="S68" s="35">
        <f>(S67-SUM(E66:E72))/SUM(E66:E72)</f>
        <v>-0.12890458772656277</v>
      </c>
      <c r="T68" s="48">
        <f>SUM(I66:I72)/SUM(K66:K72)</f>
        <v>103.48176813213118</v>
      </c>
      <c r="U68" s="1738"/>
    </row>
    <row r="69" spans="1:21">
      <c r="A69" s="10" t="s">
        <v>13</v>
      </c>
      <c r="B69" s="200">
        <f>+CHAMNORD!B69</f>
        <v>46086</v>
      </c>
      <c r="C69" s="75">
        <f>IF(H69=0,"",'[3]2025-2026'!C68)</f>
        <v>14142.55</v>
      </c>
      <c r="D69" s="68">
        <f>'[3]2025'!C69</f>
        <v>12878.85</v>
      </c>
      <c r="E69" s="68">
        <f>'[3]2025'!D69</f>
        <v>12715.12</v>
      </c>
      <c r="F69" s="20">
        <f>'[3]2025'!E69</f>
        <v>769</v>
      </c>
      <c r="G69" s="73">
        <f>'[3]2025'!F69</f>
        <v>12800</v>
      </c>
      <c r="H69" s="42">
        <f>'[3]2025'!G69</f>
        <v>9372.4</v>
      </c>
      <c r="I69" s="13">
        <f>'[3]2025'!H69</f>
        <v>9166.57</v>
      </c>
      <c r="J69" s="14">
        <f>'[3]2025'!I69</f>
        <v>560</v>
      </c>
      <c r="K69" s="15">
        <f>'[3]2025'!J69</f>
        <v>123.23999999999998</v>
      </c>
      <c r="L69" s="15">
        <f>'[3]2025'!K69</f>
        <v>139.82</v>
      </c>
      <c r="M69" s="15">
        <f>'[3]2025'!L69</f>
        <v>42.15</v>
      </c>
      <c r="N69" s="16">
        <f t="shared" si="4"/>
        <v>4.5982303086105269E-3</v>
      </c>
      <c r="O69" s="17">
        <f t="shared" si="5"/>
        <v>-0.27908112546322811</v>
      </c>
      <c r="P69" s="17">
        <f t="shared" si="5"/>
        <v>-0.27178153446033809</v>
      </c>
      <c r="Q69" s="18">
        <f t="shared" si="6"/>
        <v>74.379827977929253</v>
      </c>
      <c r="R69" s="18">
        <f t="shared" si="7"/>
        <v>65.559791160062943</v>
      </c>
      <c r="S69" s="34"/>
      <c r="T69" s="29" t="s">
        <v>8</v>
      </c>
      <c r="U69" s="1738"/>
    </row>
    <row r="70" spans="1:21">
      <c r="A70" s="10" t="s">
        <v>14</v>
      </c>
      <c r="B70" s="200">
        <f>+CHAMNORD!B70</f>
        <v>46087</v>
      </c>
      <c r="C70" s="75">
        <f>IF(H70=0,"",'[3]2025-2026'!C69)</f>
        <v>12878.85</v>
      </c>
      <c r="D70" s="68">
        <f>'[3]2025'!C70</f>
        <v>17568.759999999998</v>
      </c>
      <c r="E70" s="68">
        <f>'[3]2025'!D70</f>
        <v>17286.38</v>
      </c>
      <c r="F70" s="20">
        <f>'[3]2025'!E70</f>
        <v>1033</v>
      </c>
      <c r="G70" s="73">
        <f>'[3]2025'!F70</f>
        <v>17400</v>
      </c>
      <c r="H70" s="42">
        <f>'[3]2025'!G70</f>
        <v>13952.03</v>
      </c>
      <c r="I70" s="13">
        <f>'[3]2025'!H70</f>
        <v>13672.2</v>
      </c>
      <c r="J70" s="14">
        <f>'[3]2025'!I70</f>
        <v>796</v>
      </c>
      <c r="K70" s="15">
        <f>'[3]2025'!J70</f>
        <v>141.78</v>
      </c>
      <c r="L70" s="15">
        <f>'[3]2025'!K70</f>
        <v>168.08</v>
      </c>
      <c r="M70" s="15">
        <f>'[3]2025'!L70</f>
        <v>64.760000000000005</v>
      </c>
      <c r="N70" s="16">
        <f t="shared" si="4"/>
        <v>4.736618832375185E-3</v>
      </c>
      <c r="O70" s="17">
        <f t="shared" si="5"/>
        <v>-0.20907674134202767</v>
      </c>
      <c r="P70" s="17">
        <f t="shared" si="5"/>
        <v>-0.22942884801548888</v>
      </c>
      <c r="Q70" s="18">
        <f t="shared" si="6"/>
        <v>96.432501057977149</v>
      </c>
      <c r="R70" s="18">
        <f t="shared" si="7"/>
        <v>81.343407900999523</v>
      </c>
      <c r="S70" s="36" t="s">
        <v>40</v>
      </c>
      <c r="T70" s="48">
        <f>SUM(I66:I72)/SUM(L66:L72)</f>
        <v>89.148817706901283</v>
      </c>
      <c r="U70" s="1738"/>
    </row>
    <row r="71" spans="1:21">
      <c r="A71" s="10" t="s">
        <v>15</v>
      </c>
      <c r="B71" s="200">
        <f>+CHAMNORD!B71</f>
        <v>46088</v>
      </c>
      <c r="C71" s="75">
        <f>IF(H71=0,"",'[3]2025-2026'!C70)</f>
        <v>17568.759999999998</v>
      </c>
      <c r="D71" s="68">
        <f>'[3]2025'!C71</f>
        <v>17182.939999999999</v>
      </c>
      <c r="E71" s="68">
        <f>'[3]2025'!D71</f>
        <v>16920.509999999998</v>
      </c>
      <c r="F71" s="20">
        <f>'[3]2025'!E71</f>
        <v>995</v>
      </c>
      <c r="G71" s="73">
        <f>'[3]2025'!F71</f>
        <v>17100</v>
      </c>
      <c r="H71" s="42">
        <f>'[3]2025'!G71</f>
        <v>19290.419999999998</v>
      </c>
      <c r="I71" s="13">
        <f>'[3]2025'!H71</f>
        <v>18913.52</v>
      </c>
      <c r="J71" s="14">
        <f>'[3]2025'!I71</f>
        <v>1065</v>
      </c>
      <c r="K71" s="15">
        <f>'[3]2025'!J71</f>
        <v>153.04999999999998</v>
      </c>
      <c r="L71" s="15">
        <f>'[3]2025'!K71</f>
        <v>181.32</v>
      </c>
      <c r="M71" s="15">
        <f>'[3]2025'!L71</f>
        <v>79.97</v>
      </c>
      <c r="N71" s="16">
        <f t="shared" si="4"/>
        <v>4.2281923195682239E-3</v>
      </c>
      <c r="O71" s="17">
        <f t="shared" si="5"/>
        <v>0.11778663881880642</v>
      </c>
      <c r="P71" s="17">
        <f t="shared" si="5"/>
        <v>7.0351758793969849E-2</v>
      </c>
      <c r="Q71" s="18">
        <f t="shared" si="6"/>
        <v>123.57739300882066</v>
      </c>
      <c r="R71" s="18">
        <f t="shared" si="7"/>
        <v>104.31016986543129</v>
      </c>
      <c r="S71" s="36">
        <f>SUM(J66:J72)</f>
        <v>5235</v>
      </c>
      <c r="T71" s="30" t="s">
        <v>3</v>
      </c>
      <c r="U71" s="1738"/>
    </row>
    <row r="72" spans="1:21" ht="18" thickBot="1">
      <c r="A72" s="10" t="s">
        <v>16</v>
      </c>
      <c r="B72" s="200">
        <f>+CHAMNORD!B72</f>
        <v>46089</v>
      </c>
      <c r="C72" s="75">
        <f>IF(H72=0,"",'[3]2025-2026'!C71)</f>
        <v>17182.939999999999</v>
      </c>
      <c r="D72" s="68">
        <f>'[3]2025'!C72</f>
        <v>16521.240000000002</v>
      </c>
      <c r="E72" s="68">
        <f>'[3]2025'!D72</f>
        <v>16244.99</v>
      </c>
      <c r="F72" s="20">
        <f>'[3]2025'!E72</f>
        <v>874</v>
      </c>
      <c r="G72" s="73">
        <f>'[3]2025'!F72</f>
        <v>16400</v>
      </c>
      <c r="H72" s="42">
        <f>'[3]2025'!G72</f>
        <v>18626.28</v>
      </c>
      <c r="I72" s="13">
        <f>'[3]2025'!H72</f>
        <v>18312.25</v>
      </c>
      <c r="J72" s="14">
        <f>'[3]2025'!I72</f>
        <v>1011</v>
      </c>
      <c r="K72" s="15">
        <f>'[3]2025'!J72</f>
        <v>138.05000000000001</v>
      </c>
      <c r="L72" s="15">
        <f>'[3]2025'!K72</f>
        <v>154.77000000000001</v>
      </c>
      <c r="M72" s="15">
        <f>'[3]2025'!L72</f>
        <v>57.74</v>
      </c>
      <c r="N72" s="16">
        <f t="shared" si="4"/>
        <v>3.1530805881308959E-3</v>
      </c>
      <c r="O72" s="17">
        <f t="shared" si="5"/>
        <v>0.12725523376745693</v>
      </c>
      <c r="P72" s="17">
        <f t="shared" si="5"/>
        <v>0.15675057208237986</v>
      </c>
      <c r="Q72" s="18">
        <f t="shared" si="6"/>
        <v>132.64940239043824</v>
      </c>
      <c r="R72" s="18">
        <f t="shared" si="7"/>
        <v>118.31911869225301</v>
      </c>
      <c r="S72" s="37">
        <f>(S71-SUM(F66:F72))/SUM(F66:F72)</f>
        <v>-0.14390842191332789</v>
      </c>
      <c r="T72" s="47">
        <f>SUM(M66:M72)/SUM(I66:I72)</f>
        <v>5.2807940114725253E-3</v>
      </c>
      <c r="U72" s="1739"/>
    </row>
    <row r="73" spans="1:21" ht="17" customHeight="1" thickTop="1">
      <c r="A73" s="10" t="s">
        <v>9</v>
      </c>
      <c r="B73" s="200">
        <f>+CHAMNORD!B73</f>
        <v>46090</v>
      </c>
      <c r="C73" s="75">
        <f>IF(H73=0,"",'[3]2025-2026'!C72)</f>
        <v>16521.240000000002</v>
      </c>
      <c r="D73" s="68">
        <f>'[3]2025'!C73</f>
        <v>8426.42</v>
      </c>
      <c r="E73" s="68">
        <f>'[3]2025'!D73</f>
        <v>8304.68</v>
      </c>
      <c r="F73" s="20">
        <f>'[3]2025'!E73</f>
        <v>530</v>
      </c>
      <c r="G73" s="73">
        <f>'[3]2025'!F73</f>
        <v>8400</v>
      </c>
      <c r="H73" s="42">
        <f>'[3]2025'!G73</f>
        <v>7939.67</v>
      </c>
      <c r="I73" s="13">
        <f>'[3]2025'!H73</f>
        <v>7829.9</v>
      </c>
      <c r="J73" s="14">
        <f>'[3]2025'!I73</f>
        <v>472</v>
      </c>
      <c r="K73" s="15">
        <f>'[3]2025'!J73</f>
        <v>102.32</v>
      </c>
      <c r="L73" s="15">
        <f>'[3]2025'!K73</f>
        <v>119.75</v>
      </c>
      <c r="M73" s="15">
        <f>'[3]2025'!L73</f>
        <v>60.14</v>
      </c>
      <c r="N73" s="16">
        <f t="shared" si="4"/>
        <v>7.6808132926346447E-3</v>
      </c>
      <c r="O73" s="17">
        <f t="shared" si="5"/>
        <v>-5.7170173926027329E-2</v>
      </c>
      <c r="P73" s="17">
        <f t="shared" si="5"/>
        <v>-0.10943396226415095</v>
      </c>
      <c r="Q73" s="18">
        <f t="shared" si="6"/>
        <v>76.523651290070376</v>
      </c>
      <c r="R73" s="18">
        <f t="shared" si="7"/>
        <v>65.385386221294354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200">
        <f>+CHAMNORD!B74</f>
        <v>46091</v>
      </c>
      <c r="C74" s="75">
        <f>IF(H74=0,"",'[3]2025-2026'!C73)</f>
        <v>8426.42</v>
      </c>
      <c r="D74" s="68">
        <f>'[3]2025'!C74</f>
        <v>9205.2800000000007</v>
      </c>
      <c r="E74" s="68">
        <f>'[3]2025'!D74</f>
        <v>9124.74</v>
      </c>
      <c r="F74" s="20">
        <f>'[3]2025'!E74</f>
        <v>552</v>
      </c>
      <c r="G74" s="73">
        <f>'[3]2025'!F74</f>
        <v>9200</v>
      </c>
      <c r="H74" s="42">
        <f>'[3]2025'!G74</f>
        <v>8656.69</v>
      </c>
      <c r="I74" s="13">
        <f>'[3]2025'!H74</f>
        <v>8491.8799999999992</v>
      </c>
      <c r="J74" s="14">
        <f>'[3]2025'!I74</f>
        <v>494</v>
      </c>
      <c r="K74" s="15">
        <f>'[3]2025'!J74</f>
        <v>89.37</v>
      </c>
      <c r="L74" s="15">
        <f>'[3]2025'!K74</f>
        <v>108.13</v>
      </c>
      <c r="M74" s="15">
        <f>'[3]2025'!L74</f>
        <v>148.46</v>
      </c>
      <c r="N74" s="16">
        <f t="shared" si="4"/>
        <v>1.7482583361988161E-2</v>
      </c>
      <c r="O74" s="17">
        <f t="shared" si="5"/>
        <v>-6.935649673305766E-2</v>
      </c>
      <c r="P74" s="17">
        <f t="shared" si="5"/>
        <v>-0.10507246376811594</v>
      </c>
      <c r="Q74" s="18">
        <f t="shared" si="6"/>
        <v>95.019357726306353</v>
      </c>
      <c r="R74" s="18">
        <f t="shared" si="7"/>
        <v>78.533986867659294</v>
      </c>
      <c r="S74" s="34">
        <f>SUM(I73:I79)</f>
        <v>78448.56</v>
      </c>
      <c r="T74" s="45" t="s">
        <v>41</v>
      </c>
      <c r="U74" s="1738"/>
    </row>
    <row r="75" spans="1:21">
      <c r="A75" s="10" t="s">
        <v>12</v>
      </c>
      <c r="B75" s="200">
        <f>+CHAMNORD!B75</f>
        <v>46092</v>
      </c>
      <c r="C75" s="75">
        <f>IF(H75=0,"",'[3]2025-2026'!C74)</f>
        <v>9205.2800000000007</v>
      </c>
      <c r="D75" s="68">
        <f>'[3]2025'!C75</f>
        <v>10806.52</v>
      </c>
      <c r="E75" s="68">
        <f>'[3]2025'!D75</f>
        <v>10634.16</v>
      </c>
      <c r="F75" s="20">
        <f>'[3]2025'!E75</f>
        <v>659</v>
      </c>
      <c r="G75" s="73">
        <f>'[3]2025'!F75</f>
        <v>10700</v>
      </c>
      <c r="H75" s="42">
        <f>'[3]2025'!G75</f>
        <v>11708.15</v>
      </c>
      <c r="I75" s="13">
        <f>'[3]2025'!H75</f>
        <v>11459.45</v>
      </c>
      <c r="J75" s="14">
        <f>'[3]2025'!I75</f>
        <v>618</v>
      </c>
      <c r="K75" s="15">
        <f>'[3]2025'!J75</f>
        <v>137.13</v>
      </c>
      <c r="L75" s="15">
        <f>'[3]2025'!K75</f>
        <v>154.80000000000001</v>
      </c>
      <c r="M75" s="15">
        <f>'[3]2025'!L75</f>
        <v>66.010000000000005</v>
      </c>
      <c r="N75" s="16">
        <f t="shared" si="4"/>
        <v>5.7603113587475843E-3</v>
      </c>
      <c r="O75" s="17">
        <f t="shared" si="5"/>
        <v>7.7607446192271029E-2</v>
      </c>
      <c r="P75" s="17">
        <f t="shared" si="5"/>
        <v>-6.2215477996965099E-2</v>
      </c>
      <c r="Q75" s="18">
        <f t="shared" si="6"/>
        <v>83.56632392620142</v>
      </c>
      <c r="R75" s="18">
        <f t="shared" si="7"/>
        <v>74.027454780361751</v>
      </c>
      <c r="S75" s="35">
        <f>(S74-SUM(E73:E79))/SUM(E73:E79)</f>
        <v>-3.3619524250000556E-3</v>
      </c>
      <c r="T75" s="48">
        <f>SUM(I73:I79)/SUM(K73:K79)</f>
        <v>87.644188228985101</v>
      </c>
      <c r="U75" s="1738"/>
    </row>
    <row r="76" spans="1:21">
      <c r="A76" s="10" t="s">
        <v>13</v>
      </c>
      <c r="B76" s="200">
        <f>+CHAMNORD!B76</f>
        <v>46093</v>
      </c>
      <c r="C76" s="75">
        <f>IF(H76=0,"",'[3]2025-2026'!C75)</f>
        <v>10806.52</v>
      </c>
      <c r="D76" s="68">
        <f>'[3]2025'!C76</f>
        <v>9122.75</v>
      </c>
      <c r="E76" s="68">
        <f>'[3]2025'!D76</f>
        <v>8963.4</v>
      </c>
      <c r="F76" s="20">
        <f>'[3]2025'!E76</f>
        <v>562</v>
      </c>
      <c r="G76" s="73">
        <f>'[3]2025'!F76</f>
        <v>9000</v>
      </c>
      <c r="H76" s="42">
        <f>'[3]2025'!G76</f>
        <v>8821.4500000000007</v>
      </c>
      <c r="I76" s="13">
        <f>'[3]2025'!H76</f>
        <v>8673.24</v>
      </c>
      <c r="J76" s="14">
        <f>'[3]2025'!I76</f>
        <v>524</v>
      </c>
      <c r="K76" s="15">
        <f>'[3]2025'!J76</f>
        <v>92.78</v>
      </c>
      <c r="L76" s="15">
        <f>'[3]2025'!K76</f>
        <v>109.15</v>
      </c>
      <c r="M76" s="15">
        <f>'[3]2025'!L76</f>
        <v>49.42</v>
      </c>
      <c r="N76" s="16">
        <f t="shared" si="4"/>
        <v>5.6979859890882766E-3</v>
      </c>
      <c r="O76" s="17">
        <f t="shared" si="5"/>
        <v>-3.2371644688399474E-2</v>
      </c>
      <c r="P76" s="17">
        <f t="shared" si="5"/>
        <v>-6.7615658362989328E-2</v>
      </c>
      <c r="Q76" s="18">
        <f t="shared" si="6"/>
        <v>93.481784867428317</v>
      </c>
      <c r="R76" s="18">
        <f t="shared" si="7"/>
        <v>79.46165826843793</v>
      </c>
      <c r="S76" s="34"/>
      <c r="T76" s="29" t="s">
        <v>8</v>
      </c>
      <c r="U76" s="1738"/>
    </row>
    <row r="77" spans="1:21">
      <c r="A77" s="10" t="s">
        <v>14</v>
      </c>
      <c r="B77" s="200">
        <f>+CHAMNORD!B77</f>
        <v>46094</v>
      </c>
      <c r="C77" s="75">
        <f>IF(H77=0,"",'[3]2025-2026'!C76)</f>
        <v>9122.75</v>
      </c>
      <c r="D77" s="68">
        <f>'[3]2025'!C77</f>
        <v>12726.24</v>
      </c>
      <c r="E77" s="68">
        <f>'[3]2025'!D77</f>
        <v>12541.63</v>
      </c>
      <c r="F77" s="20">
        <f>'[3]2025'!E77</f>
        <v>752</v>
      </c>
      <c r="G77" s="73">
        <f>'[3]2025'!F77</f>
        <v>12600</v>
      </c>
      <c r="H77" s="42">
        <f>'[3]2025'!G77</f>
        <v>13370.08</v>
      </c>
      <c r="I77" s="13">
        <f>'[3]2025'!H77</f>
        <v>13125.36</v>
      </c>
      <c r="J77" s="14">
        <f>'[3]2025'!I77</f>
        <v>805</v>
      </c>
      <c r="K77" s="15">
        <f>'[3]2025'!J77</f>
        <v>144.82000000000002</v>
      </c>
      <c r="L77" s="15">
        <f>'[3]2025'!K77</f>
        <v>170.77</v>
      </c>
      <c r="M77" s="15">
        <f>'[3]2025'!L77</f>
        <v>107</v>
      </c>
      <c r="N77" s="16">
        <f t="shared" si="4"/>
        <v>8.1521573503507711E-3</v>
      </c>
      <c r="O77" s="17">
        <f t="shared" si="5"/>
        <v>4.6543391887657458E-2</v>
      </c>
      <c r="P77" s="17">
        <f t="shared" si="5"/>
        <v>7.0478723404255317E-2</v>
      </c>
      <c r="Q77" s="18">
        <f t="shared" si="6"/>
        <v>90.632233116972785</v>
      </c>
      <c r="R77" s="18">
        <f t="shared" si="7"/>
        <v>76.859870000585587</v>
      </c>
      <c r="S77" s="36" t="s">
        <v>40</v>
      </c>
      <c r="T77" s="48">
        <f>SUM(I73:I79)/SUM(L73:L79)</f>
        <v>75.383468183652667</v>
      </c>
      <c r="U77" s="1738"/>
    </row>
    <row r="78" spans="1:21">
      <c r="A78" s="10" t="s">
        <v>15</v>
      </c>
      <c r="B78" s="200">
        <f>+CHAMNORD!B78</f>
        <v>46095</v>
      </c>
      <c r="C78" s="75">
        <f>IF(H78=0,"",'[3]2025-2026'!C77)</f>
        <v>12726.24</v>
      </c>
      <c r="D78" s="68">
        <f>'[3]2025'!C78</f>
        <v>13536.7</v>
      </c>
      <c r="E78" s="68">
        <f>'[3]2025'!D78</f>
        <v>13390.16</v>
      </c>
      <c r="F78" s="20">
        <f>'[3]2025'!E78</f>
        <v>732</v>
      </c>
      <c r="G78" s="73">
        <f>'[3]2025'!F78</f>
        <v>13500</v>
      </c>
      <c r="H78" s="42">
        <f>'[3]2025'!G78</f>
        <v>14286.51</v>
      </c>
      <c r="I78" s="13">
        <f>'[3]2025'!H78</f>
        <v>13948.74</v>
      </c>
      <c r="J78" s="14">
        <f>'[3]2025'!I78</f>
        <v>789</v>
      </c>
      <c r="K78" s="15">
        <f>'[3]2025'!J78</f>
        <v>164.45000000000002</v>
      </c>
      <c r="L78" s="15">
        <f>'[3]2025'!K78</f>
        <v>189.53</v>
      </c>
      <c r="M78" s="15">
        <f>'[3]2025'!L78</f>
        <v>80.3</v>
      </c>
      <c r="N78" s="16">
        <f t="shared" si="4"/>
        <v>5.7567923697767684E-3</v>
      </c>
      <c r="O78" s="17">
        <f t="shared" si="5"/>
        <v>4.1715707653978737E-2</v>
      </c>
      <c r="P78" s="17">
        <f t="shared" si="5"/>
        <v>7.7868852459016397E-2</v>
      </c>
      <c r="Q78" s="18">
        <f t="shared" si="6"/>
        <v>84.820553359683785</v>
      </c>
      <c r="R78" s="18">
        <f t="shared" si="7"/>
        <v>73.596475492006547</v>
      </c>
      <c r="S78" s="36">
        <f>SUM(J73:J79)</f>
        <v>4484</v>
      </c>
      <c r="T78" s="30" t="s">
        <v>3</v>
      </c>
      <c r="U78" s="1738"/>
    </row>
    <row r="79" spans="1:21" ht="18" thickBot="1">
      <c r="A79" s="10" t="s">
        <v>16</v>
      </c>
      <c r="B79" s="200">
        <f>+CHAMNORD!B79</f>
        <v>46096</v>
      </c>
      <c r="C79" s="75">
        <f>IF(H79=0,"",'[3]2025-2026'!C78)</f>
        <v>13536.7</v>
      </c>
      <c r="D79" s="68">
        <f>'[3]2025'!C79</f>
        <v>15953.81</v>
      </c>
      <c r="E79" s="68">
        <f>'[3]2025'!D79</f>
        <v>15754.42</v>
      </c>
      <c r="F79" s="20">
        <f>'[3]2025'!E79</f>
        <v>846</v>
      </c>
      <c r="G79" s="73">
        <f>'[3]2025'!F79</f>
        <v>15900</v>
      </c>
      <c r="H79" s="42">
        <f>'[3]2025'!G79</f>
        <v>15224.84</v>
      </c>
      <c r="I79" s="13">
        <f>'[3]2025'!H79</f>
        <v>14919.99</v>
      </c>
      <c r="J79" s="14">
        <f>'[3]2025'!I79</f>
        <v>782</v>
      </c>
      <c r="K79" s="15">
        <f>'[3]2025'!J79</f>
        <v>164.20999999999998</v>
      </c>
      <c r="L79" s="15">
        <f>'[3]2025'!K79</f>
        <v>188.53</v>
      </c>
      <c r="M79" s="15">
        <f>'[3]2025'!L79</f>
        <v>66.16</v>
      </c>
      <c r="N79" s="16">
        <f t="shared" si="4"/>
        <v>4.4343193259512911E-3</v>
      </c>
      <c r="O79" s="17">
        <f t="shared" si="5"/>
        <v>-5.296481876197285E-2</v>
      </c>
      <c r="P79" s="17">
        <f t="shared" si="5"/>
        <v>-7.5650118203309691E-2</v>
      </c>
      <c r="Q79" s="18">
        <f t="shared" si="6"/>
        <v>90.859204676938077</v>
      </c>
      <c r="R79" s="18">
        <f t="shared" si="7"/>
        <v>79.138545589561346</v>
      </c>
      <c r="S79" s="37">
        <f>(S78-SUM(F73:F79))/SUM(F73:F79)</f>
        <v>-3.2160587092596588E-2</v>
      </c>
      <c r="T79" s="47">
        <f>SUM(M73:M79)/SUM(I73:I79)</f>
        <v>7.3613843262387482E-3</v>
      </c>
      <c r="U79" s="1739"/>
    </row>
    <row r="80" spans="1:21" ht="17" customHeight="1" thickTop="1">
      <c r="A80" s="10" t="s">
        <v>9</v>
      </c>
      <c r="B80" s="200">
        <f>+CHAMNORD!B80</f>
        <v>46097</v>
      </c>
      <c r="C80" s="75">
        <f>IF(H80=0,"",'[3]2025-2026'!C79)</f>
        <v>15953.81</v>
      </c>
      <c r="D80" s="68">
        <f>'[3]2025'!C80</f>
        <v>8034.95</v>
      </c>
      <c r="E80" s="68">
        <f>'[3]2025'!D80</f>
        <v>7900.86</v>
      </c>
      <c r="F80" s="20">
        <f>'[3]2025'!E80</f>
        <v>498</v>
      </c>
      <c r="G80" s="73">
        <f>'[3]2025'!F80</f>
        <v>8000</v>
      </c>
      <c r="H80" s="42">
        <f>'[3]2025'!G80</f>
        <v>8190.35</v>
      </c>
      <c r="I80" s="13">
        <f>'[3]2025'!H80</f>
        <v>8058.41</v>
      </c>
      <c r="J80" s="14">
        <f>'[3]2025'!I80</f>
        <v>495</v>
      </c>
      <c r="K80" s="15">
        <f>'[3]2025'!J80</f>
        <v>108.53</v>
      </c>
      <c r="L80" s="15">
        <f>'[3]2025'!K80</f>
        <v>126.33</v>
      </c>
      <c r="M80" s="15">
        <f>'[3]2025'!L80</f>
        <v>52.41</v>
      </c>
      <c r="N80" s="16">
        <f t="shared" si="4"/>
        <v>6.5037643902457181E-3</v>
      </c>
      <c r="O80" s="17">
        <f t="shared" si="5"/>
        <v>1.994086719673557E-2</v>
      </c>
      <c r="P80" s="17">
        <f t="shared" si="5"/>
        <v>-6.024096385542169E-3</v>
      </c>
      <c r="Q80" s="18">
        <f t="shared" si="6"/>
        <v>74.250529807426517</v>
      </c>
      <c r="R80" s="18">
        <f t="shared" si="7"/>
        <v>63.78856961925117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200">
        <f>+CHAMNORD!B81</f>
        <v>46098</v>
      </c>
      <c r="C81" s="75">
        <f>IF(H81=0,"",'[3]2025-2026'!C80)</f>
        <v>8034.95</v>
      </c>
      <c r="D81" s="68">
        <f>'[3]2025'!C81</f>
        <v>9934.65</v>
      </c>
      <c r="E81" s="68">
        <f>'[3]2025'!D81</f>
        <v>9830.75</v>
      </c>
      <c r="F81" s="20">
        <f>'[3]2025'!E81</f>
        <v>603</v>
      </c>
      <c r="G81" s="73">
        <f>'[3]2025'!F81</f>
        <v>9900</v>
      </c>
      <c r="H81" s="42">
        <f>'[3]2025'!G81</f>
        <v>9243.81</v>
      </c>
      <c r="I81" s="13">
        <f>'[3]2025'!H81</f>
        <v>9096.08</v>
      </c>
      <c r="J81" s="14">
        <f>'[3]2025'!I81</f>
        <v>531</v>
      </c>
      <c r="K81" s="15">
        <f>'[3]2025'!J81</f>
        <v>105.3</v>
      </c>
      <c r="L81" s="15">
        <f>'[3]2025'!K81</f>
        <v>122.83</v>
      </c>
      <c r="M81" s="15">
        <f>'[3]2025'!L81</f>
        <v>75.02</v>
      </c>
      <c r="N81" s="16">
        <f t="shared" si="4"/>
        <v>8.2475088169848988E-3</v>
      </c>
      <c r="O81" s="17">
        <f t="shared" si="5"/>
        <v>-7.4731836329883283E-2</v>
      </c>
      <c r="P81" s="17">
        <f t="shared" si="5"/>
        <v>-0.11940298507462686</v>
      </c>
      <c r="Q81" s="18">
        <f t="shared" si="6"/>
        <v>86.382526115859449</v>
      </c>
      <c r="R81" s="18">
        <f t="shared" si="7"/>
        <v>74.054221281445905</v>
      </c>
      <c r="S81" s="34">
        <f>SUM(I80:I86)</f>
        <v>85403.49</v>
      </c>
      <c r="T81" s="45" t="s">
        <v>41</v>
      </c>
      <c r="U81" s="1738"/>
    </row>
    <row r="82" spans="1:21">
      <c r="A82" s="10" t="s">
        <v>12</v>
      </c>
      <c r="B82" s="200">
        <f>+CHAMNORD!B82</f>
        <v>46099</v>
      </c>
      <c r="C82" s="75">
        <f>IF(H82=0,"",'[3]2025-2026'!C81)</f>
        <v>9934.65</v>
      </c>
      <c r="D82" s="68">
        <f>'[3]2025'!C82</f>
        <v>11412.99</v>
      </c>
      <c r="E82" s="68">
        <f>'[3]2025'!D82</f>
        <v>11262.05</v>
      </c>
      <c r="F82" s="20">
        <f>'[3]2025'!E82</f>
        <v>721</v>
      </c>
      <c r="G82" s="73">
        <f>'[3]2025'!F82</f>
        <v>11400</v>
      </c>
      <c r="H82" s="42">
        <f>'[3]2025'!G82</f>
        <v>10952.5</v>
      </c>
      <c r="I82" s="13">
        <f>'[3]2025'!H82</f>
        <v>10719.36</v>
      </c>
      <c r="J82" s="14">
        <f>'[3]2025'!I82</f>
        <v>641</v>
      </c>
      <c r="K82" s="15">
        <f>'[3]2025'!J82</f>
        <v>119.83</v>
      </c>
      <c r="L82" s="15">
        <f>'[3]2025'!K82</f>
        <v>135.18</v>
      </c>
      <c r="M82" s="15">
        <f>'[3]2025'!L82</f>
        <v>64.260000000000005</v>
      </c>
      <c r="N82" s="16">
        <f t="shared" si="4"/>
        <v>5.9947608812466417E-3</v>
      </c>
      <c r="O82" s="17">
        <f t="shared" si="5"/>
        <v>-4.8187496947713668E-2</v>
      </c>
      <c r="P82" s="17">
        <f t="shared" si="5"/>
        <v>-0.11095700416088766</v>
      </c>
      <c r="Q82" s="18">
        <f t="shared" si="6"/>
        <v>89.45472753066845</v>
      </c>
      <c r="R82" s="18">
        <f t="shared" si="7"/>
        <v>79.296937416777624</v>
      </c>
      <c r="S82" s="35">
        <f>(S81-SUM(E80:E86))/SUM(E80:E86)</f>
        <v>2.6169110377037052E-3</v>
      </c>
      <c r="T82" s="48">
        <f>SUM(I80:I86)/SUM(K80:K86)</f>
        <v>93.061522703250489</v>
      </c>
      <c r="U82" s="1738"/>
    </row>
    <row r="83" spans="1:21">
      <c r="A83" s="10" t="s">
        <v>13</v>
      </c>
      <c r="B83" s="200">
        <f>+CHAMNORD!B83</f>
        <v>46100</v>
      </c>
      <c r="C83" s="75">
        <f>IF(H83=0,"",'[3]2025-2026'!C82)</f>
        <v>11412.99</v>
      </c>
      <c r="D83" s="68">
        <f>'[3]2025'!C83</f>
        <v>10331.48</v>
      </c>
      <c r="E83" s="68">
        <f>'[3]2025'!D83</f>
        <v>10197.6</v>
      </c>
      <c r="F83" s="20">
        <f>'[3]2025'!E83</f>
        <v>647</v>
      </c>
      <c r="G83" s="73">
        <f>'[3]2025'!F83</f>
        <v>10300</v>
      </c>
      <c r="H83" s="42">
        <f>'[3]2025'!G83</f>
        <v>8769.68</v>
      </c>
      <c r="I83" s="13">
        <f>'[3]2025'!H83</f>
        <v>8602.2000000000007</v>
      </c>
      <c r="J83" s="14">
        <f>'[3]2025'!I83</f>
        <v>551</v>
      </c>
      <c r="K83" s="15">
        <f>'[3]2025'!J83</f>
        <v>115.64000000000001</v>
      </c>
      <c r="L83" s="15">
        <f>'[3]2025'!K83</f>
        <v>132.27000000000001</v>
      </c>
      <c r="M83" s="15">
        <f>'[3]2025'!L83</f>
        <v>63.95</v>
      </c>
      <c r="N83" s="16">
        <f t="shared" si="4"/>
        <v>7.4341447536676658E-3</v>
      </c>
      <c r="O83" s="17">
        <f t="shared" si="5"/>
        <v>-0.15644857613556126</v>
      </c>
      <c r="P83" s="17">
        <f t="shared" si="5"/>
        <v>-0.14837712519319937</v>
      </c>
      <c r="Q83" s="18">
        <f t="shared" si="6"/>
        <v>74.387755102040813</v>
      </c>
      <c r="R83" s="18">
        <f t="shared" si="7"/>
        <v>65.035155364028128</v>
      </c>
      <c r="S83" s="34"/>
      <c r="T83" s="29" t="s">
        <v>8</v>
      </c>
      <c r="U83" s="1738"/>
    </row>
    <row r="84" spans="1:21">
      <c r="A84" s="10" t="s">
        <v>14</v>
      </c>
      <c r="B84" s="200">
        <f>+CHAMNORD!B84</f>
        <v>46101</v>
      </c>
      <c r="C84" s="75">
        <f>IF(H84=0,"",'[3]2025-2026'!C83)</f>
        <v>10331.48</v>
      </c>
      <c r="D84" s="68">
        <f>'[3]2025'!C84</f>
        <v>12245.2</v>
      </c>
      <c r="E84" s="68">
        <f>'[3]2025'!D84</f>
        <v>12096.11</v>
      </c>
      <c r="F84" s="20">
        <f>'[3]2025'!E84</f>
        <v>813</v>
      </c>
      <c r="G84" s="73">
        <f>'[3]2025'!F84</f>
        <v>12200</v>
      </c>
      <c r="H84" s="42">
        <f>'[3]2025'!G84</f>
        <v>15639.58</v>
      </c>
      <c r="I84" s="13">
        <f>'[3]2025'!H84</f>
        <v>15348.66</v>
      </c>
      <c r="J84" s="14">
        <f>'[3]2025'!I84</f>
        <v>933</v>
      </c>
      <c r="K84" s="15">
        <f>'[3]2025'!J84</f>
        <v>157.04</v>
      </c>
      <c r="L84" s="15">
        <f>'[3]2025'!K84</f>
        <v>176.07</v>
      </c>
      <c r="M84" s="15">
        <f>'[3]2025'!L84</f>
        <v>69.25</v>
      </c>
      <c r="N84" s="16">
        <f t="shared" si="4"/>
        <v>4.5117945149609155E-3</v>
      </c>
      <c r="O84" s="17">
        <f t="shared" si="5"/>
        <v>0.26889223064274376</v>
      </c>
      <c r="P84" s="17">
        <f t="shared" si="5"/>
        <v>0.14760147601476015</v>
      </c>
      <c r="Q84" s="18">
        <f t="shared" si="6"/>
        <v>97.7372643912379</v>
      </c>
      <c r="R84" s="18">
        <f t="shared" si="7"/>
        <v>87.173624126767763</v>
      </c>
      <c r="S84" s="36" t="s">
        <v>40</v>
      </c>
      <c r="T84" s="48">
        <f>SUM(I80:I86)/SUM(L80:L86)</f>
        <v>81.145000380054725</v>
      </c>
      <c r="U84" s="1738"/>
    </row>
    <row r="85" spans="1:21">
      <c r="A85" s="10" t="s">
        <v>15</v>
      </c>
      <c r="B85" s="200">
        <f>+CHAMNORD!B85</f>
        <v>46102</v>
      </c>
      <c r="C85" s="75">
        <f>IF(H85=0,"",'[3]2025-2026'!C84)</f>
        <v>12245.2</v>
      </c>
      <c r="D85" s="68">
        <f>'[3]2025'!C85</f>
        <v>15180.45</v>
      </c>
      <c r="E85" s="68">
        <f>'[3]2025'!D85</f>
        <v>14969.51</v>
      </c>
      <c r="F85" s="20">
        <f>'[3]2025'!E85</f>
        <v>915</v>
      </c>
      <c r="G85" s="73">
        <f>'[3]2025'!F85</f>
        <v>15100</v>
      </c>
      <c r="H85" s="42">
        <f>'[3]2025'!G85</f>
        <v>17388.919999999998</v>
      </c>
      <c r="I85" s="13">
        <f>'[3]2025'!H85</f>
        <v>17111.919999999998</v>
      </c>
      <c r="J85" s="14">
        <f>'[3]2025'!I85</f>
        <v>1004</v>
      </c>
      <c r="K85" s="15">
        <f>'[3]2025'!J85</f>
        <v>160.46</v>
      </c>
      <c r="L85" s="15">
        <f>'[3]2025'!K85</f>
        <v>185.9</v>
      </c>
      <c r="M85" s="15">
        <f>'[3]2025'!L85</f>
        <v>52.77</v>
      </c>
      <c r="N85" s="16">
        <f t="shared" si="4"/>
        <v>3.0838152586033598E-3</v>
      </c>
      <c r="O85" s="17">
        <f t="shared" si="5"/>
        <v>0.14311824501937592</v>
      </c>
      <c r="P85" s="17">
        <f t="shared" si="5"/>
        <v>9.7267759562841533E-2</v>
      </c>
      <c r="Q85" s="18">
        <f t="shared" si="6"/>
        <v>106.642901657734</v>
      </c>
      <c r="R85" s="18">
        <f t="shared" si="7"/>
        <v>92.049058633674008</v>
      </c>
      <c r="S85" s="36">
        <f>SUM(J80:J86)</f>
        <v>4944</v>
      </c>
      <c r="T85" s="30" t="s">
        <v>3</v>
      </c>
      <c r="U85" s="1738"/>
    </row>
    <row r="86" spans="1:21" ht="18" thickBot="1">
      <c r="A86" s="10" t="s">
        <v>16</v>
      </c>
      <c r="B86" s="200">
        <f>+CHAMNORD!B86</f>
        <v>46103</v>
      </c>
      <c r="C86" s="75">
        <f>IF(H86=0,"",'[3]2025-2026'!C85)</f>
        <v>15180.45</v>
      </c>
      <c r="D86" s="68">
        <f>'[3]2025'!C86</f>
        <v>19211.23</v>
      </c>
      <c r="E86" s="68">
        <f>'[3]2025'!D86</f>
        <v>18923.7</v>
      </c>
      <c r="F86" s="20">
        <f>'[3]2025'!E86</f>
        <v>1021</v>
      </c>
      <c r="G86" s="73">
        <f>'[3]2025'!F86</f>
        <v>19100</v>
      </c>
      <c r="H86" s="42">
        <f>'[3]2025'!G86</f>
        <v>16797.509999999998</v>
      </c>
      <c r="I86" s="13">
        <f>'[3]2025'!H86</f>
        <v>16466.86</v>
      </c>
      <c r="J86" s="14">
        <f>'[3]2025'!I86</f>
        <v>789</v>
      </c>
      <c r="K86" s="15">
        <f>'[3]2025'!J86</f>
        <v>150.91000000000003</v>
      </c>
      <c r="L86" s="15">
        <f>'[3]2025'!K86</f>
        <v>173.9</v>
      </c>
      <c r="M86" s="15">
        <f>'[3]2025'!L86</f>
        <v>92.1</v>
      </c>
      <c r="N86" s="16">
        <f t="shared" si="4"/>
        <v>5.5930517414977711E-3</v>
      </c>
      <c r="O86" s="17">
        <f t="shared" si="5"/>
        <v>-0.12982873328154643</v>
      </c>
      <c r="P86" s="17">
        <f t="shared" si="5"/>
        <v>-0.22722820763956905</v>
      </c>
      <c r="Q86" s="18">
        <f t="shared" si="6"/>
        <v>109.11708965608639</v>
      </c>
      <c r="R86" s="18">
        <f t="shared" si="7"/>
        <v>94.691546866014946</v>
      </c>
      <c r="S86" s="37">
        <f>(S85-SUM(F80:F86))/SUM(F80:F86)</f>
        <v>-5.251054043694902E-2</v>
      </c>
      <c r="T86" s="47">
        <f>SUM(M80:M86)/SUM(I80:I86)</f>
        <v>5.5004777907788072E-3</v>
      </c>
      <c r="U86" s="1739"/>
    </row>
    <row r="87" spans="1:21" ht="17" customHeight="1" thickTop="1">
      <c r="A87" s="10" t="s">
        <v>9</v>
      </c>
      <c r="B87" s="200">
        <f>+CHAMNORD!B87</f>
        <v>46104</v>
      </c>
      <c r="C87" s="75">
        <f>IF(H87=0,"",'[3]2025-2026'!C86)</f>
        <v>19211.23</v>
      </c>
      <c r="D87" s="68">
        <f>'[3]2025'!C87</f>
        <v>8226.93</v>
      </c>
      <c r="E87" s="68">
        <f>'[3]2025'!D87</f>
        <v>8114.59</v>
      </c>
      <c r="F87" s="20">
        <f>'[3]2025'!E87</f>
        <v>503</v>
      </c>
      <c r="G87" s="73">
        <f>'[3]2025'!F87</f>
        <v>8200</v>
      </c>
      <c r="H87" s="42">
        <f>'[3]2025'!G87</f>
        <v>7827.75</v>
      </c>
      <c r="I87" s="13">
        <f>'[3]2025'!H87</f>
        <v>7672.94</v>
      </c>
      <c r="J87" s="14">
        <f>'[3]2025'!I87</f>
        <v>482</v>
      </c>
      <c r="K87" s="15">
        <f>'[3]2025'!J87</f>
        <v>102.07999999999998</v>
      </c>
      <c r="L87" s="15">
        <f>'[3]2025'!K87</f>
        <v>128.63</v>
      </c>
      <c r="M87" s="15">
        <f>'[3]2025'!L87</f>
        <v>41.32</v>
      </c>
      <c r="N87" s="16">
        <f t="shared" si="4"/>
        <v>5.3851587527075674E-3</v>
      </c>
      <c r="O87" s="17">
        <f t="shared" si="5"/>
        <v>-5.4426656183491774E-2</v>
      </c>
      <c r="P87" s="17">
        <f t="shared" si="5"/>
        <v>-4.1749502982107355E-2</v>
      </c>
      <c r="Q87" s="18">
        <f t="shared" si="6"/>
        <v>75.165948275862078</v>
      </c>
      <c r="R87" s="18">
        <f t="shared" si="7"/>
        <v>59.651247764907097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200">
        <f>+CHAMNORD!B88</f>
        <v>46105</v>
      </c>
      <c r="C88" s="75">
        <f>IF(H88=0,"",'[3]2025-2026'!C87)</f>
        <v>8226.93</v>
      </c>
      <c r="D88" s="68">
        <f>'[3]2025'!C88</f>
        <v>10502.44</v>
      </c>
      <c r="E88" s="68">
        <f>'[3]2025'!D88</f>
        <v>10318.200000000001</v>
      </c>
      <c r="F88" s="20">
        <f>'[3]2025'!E88</f>
        <v>652</v>
      </c>
      <c r="G88" s="73">
        <f>'[3]2025'!F88</f>
        <v>10400</v>
      </c>
      <c r="H88" s="42">
        <f>'[3]2025'!G88</f>
        <v>9647.68</v>
      </c>
      <c r="I88" s="13">
        <f>'[3]2025'!H88</f>
        <v>9458.1</v>
      </c>
      <c r="J88" s="14">
        <f>'[3]2025'!I88</f>
        <v>567</v>
      </c>
      <c r="K88" s="15">
        <f>'[3]2025'!J88</f>
        <v>103.21000000000001</v>
      </c>
      <c r="L88" s="15">
        <f>'[3]2025'!K88</f>
        <v>122.03</v>
      </c>
      <c r="M88" s="15">
        <f>'[3]2025'!L88</f>
        <v>70.25</v>
      </c>
      <c r="N88" s="16">
        <f t="shared" si="4"/>
        <v>7.4274960087121087E-3</v>
      </c>
      <c r="O88" s="17">
        <f t="shared" si="5"/>
        <v>-8.3357562365528895E-2</v>
      </c>
      <c r="P88" s="17">
        <f t="shared" si="5"/>
        <v>-0.1303680981595092</v>
      </c>
      <c r="Q88" s="18">
        <f t="shared" si="6"/>
        <v>91.63937602945451</v>
      </c>
      <c r="R88" s="18">
        <f t="shared" si="7"/>
        <v>77.506350897320331</v>
      </c>
      <c r="S88" s="34">
        <f>SUM(I87:I93)</f>
        <v>84554.68</v>
      </c>
      <c r="T88" s="45" t="s">
        <v>41</v>
      </c>
      <c r="U88" s="1738"/>
    </row>
    <row r="89" spans="1:21">
      <c r="A89" s="10" t="s">
        <v>12</v>
      </c>
      <c r="B89" s="200">
        <f>+CHAMNORD!B89</f>
        <v>46106</v>
      </c>
      <c r="C89" s="75">
        <f>IF(H89=0,"",'[3]2025-2026'!C88)</f>
        <v>10502.44</v>
      </c>
      <c r="D89" s="68">
        <f>'[3]2025'!C89</f>
        <v>10802.8</v>
      </c>
      <c r="E89" s="68">
        <f>'[3]2025'!D89</f>
        <v>10557.07</v>
      </c>
      <c r="F89" s="20">
        <f>'[3]2025'!E89</f>
        <v>678</v>
      </c>
      <c r="G89" s="73">
        <f>'[3]2025'!F89</f>
        <v>10700</v>
      </c>
      <c r="H89" s="42">
        <f>'[3]2025'!G89</f>
        <v>11111.74</v>
      </c>
      <c r="I89" s="13">
        <f>'[3]2025'!H89</f>
        <v>10752.24</v>
      </c>
      <c r="J89" s="14">
        <f>'[3]2025'!I89</f>
        <v>622</v>
      </c>
      <c r="K89" s="15">
        <f>'[3]2025'!J89</f>
        <v>118.67</v>
      </c>
      <c r="L89" s="15">
        <f>'[3]2025'!K89</f>
        <v>134.65</v>
      </c>
      <c r="M89" s="15">
        <f>'[3]2025'!L89</f>
        <v>49.77</v>
      </c>
      <c r="N89" s="16">
        <f t="shared" si="4"/>
        <v>4.6288029285060607E-3</v>
      </c>
      <c r="O89" s="17">
        <f t="shared" si="5"/>
        <v>1.8487137056020286E-2</v>
      </c>
      <c r="P89" s="17">
        <f t="shared" si="5"/>
        <v>-8.2595870206489674E-2</v>
      </c>
      <c r="Q89" s="18">
        <f t="shared" si="6"/>
        <v>90.60621892643465</v>
      </c>
      <c r="R89" s="18">
        <f t="shared" si="7"/>
        <v>79.853249164500554</v>
      </c>
      <c r="S89" s="35">
        <f>(S88-SUM(E87:E93))/SUM(E87:E93)</f>
        <v>-8.9780267571489575E-2</v>
      </c>
      <c r="T89" s="48">
        <f>SUM(I87:I93)/SUM(K87:K93)</f>
        <v>98.366290906129663</v>
      </c>
      <c r="U89" s="1738"/>
    </row>
    <row r="90" spans="1:21">
      <c r="A90" s="10" t="s">
        <v>13</v>
      </c>
      <c r="B90" s="200">
        <f>+CHAMNORD!B90</f>
        <v>46107</v>
      </c>
      <c r="C90" s="75">
        <f>IF(H90=0,"",'[3]2025-2026'!C89)</f>
        <v>10802.8</v>
      </c>
      <c r="D90" s="68">
        <f>'[3]2025'!C90</f>
        <v>11141.66</v>
      </c>
      <c r="E90" s="68">
        <f>'[3]2025'!D90</f>
        <v>10951.76</v>
      </c>
      <c r="F90" s="20">
        <f>'[3]2025'!E90</f>
        <v>643</v>
      </c>
      <c r="G90" s="73">
        <f>'[3]2025'!F90</f>
        <v>11100</v>
      </c>
      <c r="H90" s="42">
        <f>'[3]2025'!G90</f>
        <v>8719.91</v>
      </c>
      <c r="I90" s="13">
        <f>'[3]2025'!H90</f>
        <v>8559.0300000000007</v>
      </c>
      <c r="J90" s="14">
        <f>'[3]2025'!I90</f>
        <v>496</v>
      </c>
      <c r="K90" s="15">
        <f>'[3]2025'!J90</f>
        <v>113.62</v>
      </c>
      <c r="L90" s="15">
        <f>'[3]2025'!K90</f>
        <v>129.5</v>
      </c>
      <c r="M90" s="15">
        <f>'[3]2025'!L90</f>
        <v>62.21</v>
      </c>
      <c r="N90" s="16">
        <f t="shared" si="4"/>
        <v>7.2683469972648768E-3</v>
      </c>
      <c r="O90" s="17">
        <f t="shared" si="5"/>
        <v>-0.2184790389855146</v>
      </c>
      <c r="P90" s="17">
        <f t="shared" si="5"/>
        <v>-0.2286158631415241</v>
      </c>
      <c r="Q90" s="18">
        <f t="shared" si="6"/>
        <v>75.33031156486534</v>
      </c>
      <c r="R90" s="18">
        <f t="shared" si="7"/>
        <v>66.092895752895757</v>
      </c>
      <c r="S90" s="34"/>
      <c r="T90" s="29" t="s">
        <v>8</v>
      </c>
      <c r="U90" s="1738"/>
    </row>
    <row r="91" spans="1:21">
      <c r="A91" s="10" t="s">
        <v>14</v>
      </c>
      <c r="B91" s="200">
        <f>+CHAMNORD!B91</f>
        <v>46108</v>
      </c>
      <c r="C91" s="75">
        <f>IF(H91=0,"",'[3]2025-2026'!C90)</f>
        <v>11141.66</v>
      </c>
      <c r="D91" s="68">
        <f>'[3]2025'!C91</f>
        <v>14977.07</v>
      </c>
      <c r="E91" s="68">
        <f>'[3]2025'!D91</f>
        <v>14566.23</v>
      </c>
      <c r="F91" s="20">
        <f>'[3]2025'!E91</f>
        <v>884</v>
      </c>
      <c r="G91" s="73">
        <f>'[3]2025'!F91</f>
        <v>14700</v>
      </c>
      <c r="H91" s="42">
        <f>'[3]2025'!G91</f>
        <v>13732.83</v>
      </c>
      <c r="I91" s="13">
        <f>'[3]2025'!H91</f>
        <v>13442.51</v>
      </c>
      <c r="J91" s="14">
        <f>'[3]2025'!I91</f>
        <v>762</v>
      </c>
      <c r="K91" s="15">
        <f>'[3]2025'!J91</f>
        <v>129.61999999999998</v>
      </c>
      <c r="L91" s="15">
        <f>'[3]2025'!K91</f>
        <v>157.41999999999999</v>
      </c>
      <c r="M91" s="15">
        <f>'[3]2025'!L91</f>
        <v>89.75</v>
      </c>
      <c r="N91" s="16">
        <f t="shared" si="4"/>
        <v>6.6765804898043591E-3</v>
      </c>
      <c r="O91" s="17">
        <f t="shared" si="5"/>
        <v>-7.714556202943379E-2</v>
      </c>
      <c r="P91" s="17">
        <f t="shared" si="5"/>
        <v>-0.13800904977375567</v>
      </c>
      <c r="Q91" s="18">
        <f t="shared" si="6"/>
        <v>103.70706681067739</v>
      </c>
      <c r="R91" s="18">
        <f t="shared" si="7"/>
        <v>85.392643882607047</v>
      </c>
      <c r="S91" s="36" t="s">
        <v>40</v>
      </c>
      <c r="T91" s="48">
        <f>SUM(I87:I93)/SUM(L87:L93)</f>
        <v>83.323163641380404</v>
      </c>
      <c r="U91" s="1738"/>
    </row>
    <row r="92" spans="1:21">
      <c r="A92" s="10" t="s">
        <v>15</v>
      </c>
      <c r="B92" s="200">
        <f>+CHAMNORD!B92</f>
        <v>46109</v>
      </c>
      <c r="C92" s="75">
        <f>IF(H92=0,"",'[3]2025-2026'!C91)</f>
        <v>14977.07</v>
      </c>
      <c r="D92" s="68">
        <f>'[3]2025'!C92</f>
        <v>17162.259999999998</v>
      </c>
      <c r="E92" s="68">
        <f>'[3]2025'!D92</f>
        <v>16701.11</v>
      </c>
      <c r="F92" s="20">
        <f>'[3]2025'!E92</f>
        <v>997</v>
      </c>
      <c r="G92" s="73">
        <f>'[3]2025'!F92</f>
        <v>16800</v>
      </c>
      <c r="H92" s="42">
        <f>'[3]2025'!G92</f>
        <v>16149.54</v>
      </c>
      <c r="I92" s="13">
        <f>'[3]2025'!H92</f>
        <v>15795.13</v>
      </c>
      <c r="J92" s="14">
        <f>'[3]2025'!I92</f>
        <v>930</v>
      </c>
      <c r="K92" s="15">
        <f>'[3]2025'!J92</f>
        <v>144.30000000000001</v>
      </c>
      <c r="L92" s="15">
        <f>'[3]2025'!K92</f>
        <v>169.88</v>
      </c>
      <c r="M92" s="15">
        <f>'[3]2025'!L92</f>
        <v>52.02</v>
      </c>
      <c r="N92" s="16">
        <f t="shared" si="4"/>
        <v>3.2934201871083054E-3</v>
      </c>
      <c r="O92" s="17">
        <f t="shared" si="5"/>
        <v>-5.4246693782628898E-2</v>
      </c>
      <c r="P92" s="17">
        <f t="shared" si="5"/>
        <v>-6.720160481444333E-2</v>
      </c>
      <c r="Q92" s="18">
        <f t="shared" si="6"/>
        <v>109.46036036036034</v>
      </c>
      <c r="R92" s="18">
        <f t="shared" si="7"/>
        <v>92.978161054862255</v>
      </c>
      <c r="S92" s="36">
        <f>SUM(J87:J93)</f>
        <v>4766</v>
      </c>
      <c r="T92" s="30" t="s">
        <v>3</v>
      </c>
      <c r="U92" s="1738"/>
    </row>
    <row r="93" spans="1:21" ht="18" thickBot="1">
      <c r="A93" s="10" t="s">
        <v>16</v>
      </c>
      <c r="B93" s="200">
        <f>+CHAMNORD!B93</f>
        <v>46110</v>
      </c>
      <c r="C93" s="75">
        <f>IF(H93=0,"",'[3]2025-2026'!C92)</f>
        <v>17162.259999999998</v>
      </c>
      <c r="D93" s="68">
        <f>'[3]2025'!C93</f>
        <v>22204.09</v>
      </c>
      <c r="E93" s="68">
        <f>'[3]2025'!D93</f>
        <v>21685.84</v>
      </c>
      <c r="F93" s="20">
        <f>'[3]2025'!E93</f>
        <v>1248</v>
      </c>
      <c r="G93" s="73">
        <f>'[3]2025'!F93</f>
        <v>21900</v>
      </c>
      <c r="H93" s="42">
        <f>'[3]2025'!G93</f>
        <v>19387.150000000001</v>
      </c>
      <c r="I93" s="13">
        <f>'[3]2025'!H93</f>
        <v>18874.73</v>
      </c>
      <c r="J93" s="14">
        <f>'[3]2025'!I93</f>
        <v>907</v>
      </c>
      <c r="K93" s="15">
        <f>'[3]2025'!J93</f>
        <v>148.08999999999997</v>
      </c>
      <c r="L93" s="15">
        <f>'[3]2025'!K93</f>
        <v>172.67</v>
      </c>
      <c r="M93" s="15">
        <f>'[3]2025'!L93</f>
        <v>54.72</v>
      </c>
      <c r="N93" s="16">
        <f t="shared" si="4"/>
        <v>2.899114318456476E-3</v>
      </c>
      <c r="O93" s="17">
        <f t="shared" si="5"/>
        <v>-0.12962882692116148</v>
      </c>
      <c r="P93" s="17">
        <f t="shared" si="5"/>
        <v>-0.27323717948717946</v>
      </c>
      <c r="Q93" s="18">
        <f t="shared" si="6"/>
        <v>127.4544533729489</v>
      </c>
      <c r="R93" s="18">
        <f t="shared" si="7"/>
        <v>109.31099785718423</v>
      </c>
      <c r="S93" s="37">
        <f>(S92-SUM(F87:F93))/SUM(F87:F93)</f>
        <v>-0.14968777876895628</v>
      </c>
      <c r="T93" s="47">
        <f>SUM(M87:M93)/SUM(I87:I93)</f>
        <v>4.967672989833324E-3</v>
      </c>
      <c r="U93" s="1739"/>
    </row>
    <row r="94" spans="1:21" ht="17" customHeight="1" thickTop="1">
      <c r="A94" s="10" t="s">
        <v>9</v>
      </c>
      <c r="B94" s="200">
        <f>+CHAMNORD!B94</f>
        <v>46111</v>
      </c>
      <c r="C94" s="75">
        <f>IF(H94=0,"",'[3]2025-2026'!C93)</f>
        <v>22204.09</v>
      </c>
      <c r="D94" s="68">
        <f>'[3]2025'!C94</f>
        <v>9617.51</v>
      </c>
      <c r="E94" s="68">
        <f>'[3]2025'!D94</f>
        <v>9452.9599999999991</v>
      </c>
      <c r="F94" s="20">
        <f>'[3]2025'!E94</f>
        <v>617</v>
      </c>
      <c r="G94" s="73">
        <f>'[3]2025'!F94</f>
        <v>9500</v>
      </c>
      <c r="H94" s="42">
        <f>'[3]2025'!G94</f>
        <v>8898.9699999999993</v>
      </c>
      <c r="I94" s="13">
        <f>'[3]2025'!H94</f>
        <v>8727.69</v>
      </c>
      <c r="J94" s="60">
        <f>'[3]2025'!I94</f>
        <v>476</v>
      </c>
      <c r="K94" s="15">
        <f>'[3]2025'!J94</f>
        <v>99.28</v>
      </c>
      <c r="L94" s="15">
        <f>'[3]2025'!K94</f>
        <v>116.63</v>
      </c>
      <c r="M94" s="15">
        <f>'[3]2025'!L94</f>
        <v>60.25</v>
      </c>
      <c r="N94" s="16">
        <f t="shared" si="4"/>
        <v>6.9033157685481489E-3</v>
      </c>
      <c r="O94" s="17">
        <f t="shared" si="5"/>
        <v>-7.6724116044074947E-2</v>
      </c>
      <c r="P94" s="17">
        <f t="shared" si="5"/>
        <v>-0.22852512155591573</v>
      </c>
      <c r="Q94" s="18">
        <f t="shared" si="6"/>
        <v>87.90985092667205</v>
      </c>
      <c r="R94" s="18">
        <f t="shared" si="7"/>
        <v>74.832290148332334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200">
        <f>+CHAMNORD!B95</f>
        <v>46112</v>
      </c>
      <c r="C95" s="75">
        <f>IF(H95=0,"",'[3]2025-2026'!C94)</f>
        <v>9617.51</v>
      </c>
      <c r="D95" s="68">
        <f>'[3]2025'!C95</f>
        <v>11940.36</v>
      </c>
      <c r="E95" s="68">
        <f>'[3]2025'!D95</f>
        <v>11699.36</v>
      </c>
      <c r="F95" s="20">
        <f>'[3]2025'!E95</f>
        <v>718</v>
      </c>
      <c r="G95" s="73">
        <f>'[3]2025'!F95</f>
        <v>11800</v>
      </c>
      <c r="H95" s="42">
        <f>'[3]2025'!G95</f>
        <v>9741.7999999999993</v>
      </c>
      <c r="I95" s="13">
        <f>'[3]2025'!H95</f>
        <v>9503.9</v>
      </c>
      <c r="J95" s="14">
        <f>'[3]2025'!I95</f>
        <v>558</v>
      </c>
      <c r="K95" s="15">
        <f>'[3]2025'!J95</f>
        <v>90.5</v>
      </c>
      <c r="L95" s="15">
        <f>'[3]2025'!K95</f>
        <v>113.65</v>
      </c>
      <c r="M95" s="15">
        <f>'[3]2025'!L95</f>
        <v>134.96</v>
      </c>
      <c r="N95" s="16">
        <f t="shared" si="4"/>
        <v>1.4200486116225972E-2</v>
      </c>
      <c r="O95" s="17">
        <f t="shared" si="5"/>
        <v>-0.18765641881265308</v>
      </c>
      <c r="P95" s="17">
        <f t="shared" si="5"/>
        <v>-0.22284122562674094</v>
      </c>
      <c r="Q95" s="18">
        <f t="shared" si="6"/>
        <v>105.01546961325967</v>
      </c>
      <c r="R95" s="18">
        <f t="shared" si="7"/>
        <v>83.624285085789694</v>
      </c>
      <c r="S95" s="34">
        <f>SUM(I94:I100)</f>
        <v>98954.880000000005</v>
      </c>
      <c r="T95" s="45" t="s">
        <v>41</v>
      </c>
      <c r="U95" s="1738"/>
    </row>
    <row r="96" spans="1:21">
      <c r="A96" s="10" t="s">
        <v>12</v>
      </c>
      <c r="B96" s="200">
        <f>+CHAMNORD!B96</f>
        <v>46113</v>
      </c>
      <c r="C96" s="75">
        <f>IF(H96=0,"",'[3]2025-2026'!C95)</f>
        <v>11940.36</v>
      </c>
      <c r="D96" s="68">
        <f>'[3]2025'!C96</f>
        <v>14296.72</v>
      </c>
      <c r="E96" s="68">
        <f>'[3]2025'!D96</f>
        <v>13815.59</v>
      </c>
      <c r="F96" s="20">
        <f>'[3]2025'!E96</f>
        <v>861</v>
      </c>
      <c r="G96" s="73">
        <f>'[3]2025'!F96</f>
        <v>13900</v>
      </c>
      <c r="H96" s="42">
        <f>'[3]2025'!G96</f>
        <v>13770.15</v>
      </c>
      <c r="I96" s="13">
        <f>'[3]2025'!H96</f>
        <v>13367.06</v>
      </c>
      <c r="J96" s="14">
        <f>'[3]2025'!I96</f>
        <v>747</v>
      </c>
      <c r="K96" s="15">
        <f>'[3]2025'!J96</f>
        <v>138.41999999999999</v>
      </c>
      <c r="L96" s="15">
        <f>'[3]2025'!K96</f>
        <v>157.22</v>
      </c>
      <c r="M96" s="15">
        <f>'[3]2025'!L96</f>
        <v>66.48</v>
      </c>
      <c r="N96" s="16">
        <f t="shared" si="4"/>
        <v>4.9734197347808722E-3</v>
      </c>
      <c r="O96" s="17">
        <f t="shared" si="5"/>
        <v>-3.2465497311370752E-2</v>
      </c>
      <c r="P96" s="17">
        <f t="shared" si="5"/>
        <v>-0.13240418118466898</v>
      </c>
      <c r="Q96" s="18">
        <f t="shared" si="6"/>
        <v>96.568848432307476</v>
      </c>
      <c r="R96" s="18">
        <f t="shared" si="7"/>
        <v>85.021371326803205</v>
      </c>
      <c r="S96" s="35">
        <f>(S95-SUM(E94:E100))/SUM(E94:E100)</f>
        <v>-0.11700581667713959</v>
      </c>
      <c r="T96" s="48">
        <f>SUM(I94:I100)/SUM(K94:K100)</f>
        <v>104.95182741870481</v>
      </c>
      <c r="U96" s="1738"/>
    </row>
    <row r="97" spans="1:21">
      <c r="A97" s="10" t="s">
        <v>13</v>
      </c>
      <c r="B97" s="200">
        <f>+CHAMNORD!B97</f>
        <v>46114</v>
      </c>
      <c r="C97" s="75">
        <f>IF(H97=0,"",'[3]2025-2026'!C96)</f>
        <v>14296.72</v>
      </c>
      <c r="D97" s="68">
        <f>'[3]2025'!C97</f>
        <v>12027.94</v>
      </c>
      <c r="E97" s="68">
        <f>'[3]2025'!D97</f>
        <v>11804.2</v>
      </c>
      <c r="F97" s="20">
        <f>'[3]2025'!E97</f>
        <v>755</v>
      </c>
      <c r="G97" s="73">
        <f>'[3]2025'!F97</f>
        <v>11900</v>
      </c>
      <c r="H97" s="42">
        <f>'[3]2025'!G97</f>
        <v>10589.29</v>
      </c>
      <c r="I97" s="13">
        <f>'[3]2025'!H97</f>
        <v>10267.51</v>
      </c>
      <c r="J97" s="14">
        <f>'[3]2025'!I97</f>
        <v>613</v>
      </c>
      <c r="K97" s="15">
        <f>'[3]2025'!J97</f>
        <v>110.32</v>
      </c>
      <c r="L97" s="15">
        <f>'[3]2025'!K97</f>
        <v>126.57</v>
      </c>
      <c r="M97" s="15">
        <f>'[3]2025'!L97</f>
        <v>40.08</v>
      </c>
      <c r="N97" s="16">
        <f t="shared" si="4"/>
        <v>3.9035754530553171E-3</v>
      </c>
      <c r="O97" s="17">
        <f t="shared" si="5"/>
        <v>-0.13018163026719307</v>
      </c>
      <c r="P97" s="17">
        <f t="shared" si="5"/>
        <v>-0.18807947019867549</v>
      </c>
      <c r="Q97" s="18">
        <f t="shared" si="6"/>
        <v>93.070250181290803</v>
      </c>
      <c r="R97" s="18">
        <f t="shared" si="7"/>
        <v>81.121197756182355</v>
      </c>
      <c r="S97" s="34"/>
      <c r="T97" s="29" t="s">
        <v>8</v>
      </c>
      <c r="U97" s="1738"/>
    </row>
    <row r="98" spans="1:21">
      <c r="A98" s="10" t="s">
        <v>14</v>
      </c>
      <c r="B98" s="200">
        <f>+CHAMNORD!B98</f>
        <v>46115</v>
      </c>
      <c r="C98" s="75">
        <f>IF(H98=0,"",'[3]2025-2026'!C97)</f>
        <v>12027.94</v>
      </c>
      <c r="D98" s="68">
        <f>'[3]2025'!C98</f>
        <v>18350.939999999999</v>
      </c>
      <c r="E98" s="68">
        <f>'[3]2025'!D98</f>
        <v>17944.77</v>
      </c>
      <c r="F98" s="20">
        <f>'[3]2025'!E98</f>
        <v>1111</v>
      </c>
      <c r="G98" s="73">
        <f>'[3]2025'!F98</f>
        <v>18100</v>
      </c>
      <c r="H98" s="42">
        <f>'[3]2025'!G98</f>
        <v>16452.45</v>
      </c>
      <c r="I98" s="13">
        <f>'[3]2025'!H98</f>
        <v>15997.12</v>
      </c>
      <c r="J98" s="14">
        <f>'[3]2025'!I98</f>
        <v>912</v>
      </c>
      <c r="K98" s="15">
        <f>'[3]2025'!J98</f>
        <v>159.91</v>
      </c>
      <c r="L98" s="15">
        <f>'[3]2025'!K98</f>
        <v>183.17</v>
      </c>
      <c r="M98" s="15">
        <f>'[3]2025'!L98</f>
        <v>41.46</v>
      </c>
      <c r="N98" s="16">
        <f t="shared" si="4"/>
        <v>2.5917165089716148E-3</v>
      </c>
      <c r="O98" s="17">
        <f t="shared" si="5"/>
        <v>-0.10853580179628937</v>
      </c>
      <c r="P98" s="17">
        <f t="shared" si="5"/>
        <v>-0.17911791179117911</v>
      </c>
      <c r="Q98" s="18">
        <f t="shared" si="6"/>
        <v>100.03827152773435</v>
      </c>
      <c r="R98" s="18">
        <f t="shared" si="7"/>
        <v>87.334825571873139</v>
      </c>
      <c r="S98" s="36" t="s">
        <v>40</v>
      </c>
      <c r="T98" s="48">
        <f>SUM(I94:I100)/SUM(L94:L100)</f>
        <v>90.702744321619093</v>
      </c>
      <c r="U98" s="1738"/>
    </row>
    <row r="99" spans="1:21">
      <c r="A99" s="10" t="s">
        <v>15</v>
      </c>
      <c r="B99" s="200">
        <f>+CHAMNORD!B99</f>
        <v>46116</v>
      </c>
      <c r="C99" s="75">
        <f>IF(H99=0,"",'[3]2025-2026'!C98)</f>
        <v>18350.939999999999</v>
      </c>
      <c r="D99" s="68">
        <f>'[3]2025'!C99</f>
        <v>22260.04</v>
      </c>
      <c r="E99" s="68">
        <f>'[3]2025'!D99</f>
        <v>21704.91</v>
      </c>
      <c r="F99" s="20">
        <f>'[3]2025'!E99</f>
        <v>1268</v>
      </c>
      <c r="G99" s="73">
        <f>'[3]2025'!F99</f>
        <v>21900</v>
      </c>
      <c r="H99" s="42">
        <f>'[3]2025'!G99</f>
        <v>20147.91</v>
      </c>
      <c r="I99" s="13">
        <f>'[3]2025'!H99</f>
        <v>19698.21</v>
      </c>
      <c r="J99" s="14">
        <f>'[3]2025'!I99</f>
        <v>1158</v>
      </c>
      <c r="K99" s="15">
        <f>'[3]2025'!J99</f>
        <v>179.9</v>
      </c>
      <c r="L99" s="15">
        <f>'[3]2025'!K99</f>
        <v>205.57</v>
      </c>
      <c r="M99" s="15">
        <f>'[3]2025'!L99</f>
        <v>59.92</v>
      </c>
      <c r="N99" s="16">
        <f t="shared" si="4"/>
        <v>3.0419007615412772E-3</v>
      </c>
      <c r="O99" s="17">
        <f t="shared" si="5"/>
        <v>-9.2453735122605935E-2</v>
      </c>
      <c r="P99" s="17">
        <f t="shared" si="5"/>
        <v>-8.6750788643533125E-2</v>
      </c>
      <c r="Q99" s="18">
        <f t="shared" si="6"/>
        <v>109.4953307392996</v>
      </c>
      <c r="R99" s="18">
        <f t="shared" si="7"/>
        <v>95.822396264046304</v>
      </c>
      <c r="S99" s="36">
        <f>SUM(J94:J100)</f>
        <v>5695</v>
      </c>
      <c r="T99" s="30" t="s">
        <v>3</v>
      </c>
      <c r="U99" s="1738"/>
    </row>
    <row r="100" spans="1:21" ht="18" thickBot="1">
      <c r="A100" s="10" t="s">
        <v>16</v>
      </c>
      <c r="B100" s="200">
        <f>+CHAMNORD!B100</f>
        <v>46117</v>
      </c>
      <c r="C100" s="75">
        <f>IF(H100=0,"",'[3]2025-2026'!C99)</f>
        <v>22260.04</v>
      </c>
      <c r="D100" s="68">
        <f>'[3]2025'!C100</f>
        <v>26156.22</v>
      </c>
      <c r="E100" s="68">
        <f>'[3]2025'!D100</f>
        <v>25645.63</v>
      </c>
      <c r="F100" s="20">
        <f>'[3]2025'!E100</f>
        <v>1442</v>
      </c>
      <c r="G100" s="73">
        <f>'[3]2025'!F100</f>
        <v>25900</v>
      </c>
      <c r="H100" s="42">
        <f>'[3]2025'!G100</f>
        <v>21943.96</v>
      </c>
      <c r="I100" s="13">
        <f>'[3]2025'!H100</f>
        <v>21393.39</v>
      </c>
      <c r="J100" s="14">
        <f>'[3]2025'!I100</f>
        <v>1231</v>
      </c>
      <c r="K100" s="15">
        <f>'[3]2025'!J100</f>
        <v>164.53</v>
      </c>
      <c r="L100" s="15">
        <f>'[3]2025'!K100</f>
        <v>188.17</v>
      </c>
      <c r="M100" s="15">
        <f>'[3]2025'!L100</f>
        <v>56.22</v>
      </c>
      <c r="N100" s="16">
        <f t="shared" si="4"/>
        <v>2.6279145100425879E-3</v>
      </c>
      <c r="O100" s="17">
        <f t="shared" si="5"/>
        <v>-0.16580758593179429</v>
      </c>
      <c r="P100" s="17">
        <f t="shared" si="5"/>
        <v>-0.14632454923717059</v>
      </c>
      <c r="Q100" s="18">
        <f t="shared" si="6"/>
        <v>130.02728985595331</v>
      </c>
      <c r="R100" s="18">
        <f t="shared" si="7"/>
        <v>113.6918212254876</v>
      </c>
      <c r="S100" s="37">
        <f>(S99-SUM(F94:F100))/SUM(F94:F100)</f>
        <v>-0.15903721204961607</v>
      </c>
      <c r="T100" s="47">
        <f>SUM(M94:M100)/SUM(I94:I100)</f>
        <v>4.642216735546544E-3</v>
      </c>
      <c r="U100" s="1739"/>
    </row>
    <row r="101" spans="1:21" ht="17" customHeight="1" thickTop="1">
      <c r="A101" s="10" t="s">
        <v>9</v>
      </c>
      <c r="B101" s="200">
        <f>+CHAMNORD!B101</f>
        <v>46118</v>
      </c>
      <c r="C101" s="75">
        <f>IF(H101=0,"",'[3]2025-2026'!C100)</f>
        <v>26156.22</v>
      </c>
      <c r="D101" s="68">
        <f>'[3]2025'!C101</f>
        <v>11480.71</v>
      </c>
      <c r="E101" s="68">
        <f>'[3]2025'!D101</f>
        <v>11265.61</v>
      </c>
      <c r="F101" s="20">
        <f>'[3]2025'!E101</f>
        <v>714</v>
      </c>
      <c r="G101" s="73">
        <f>'[3]2025'!F101</f>
        <v>19300</v>
      </c>
      <c r="H101" s="42">
        <f>'[3]2025'!G101</f>
        <v>20913.09</v>
      </c>
      <c r="I101" s="13">
        <f>'[3]2025'!H101</f>
        <v>20387.05</v>
      </c>
      <c r="J101" s="14">
        <f>'[3]2025'!I101</f>
        <v>1139</v>
      </c>
      <c r="K101" s="15">
        <f>'[3]2025'!J101</f>
        <v>175.99</v>
      </c>
      <c r="L101" s="15">
        <f>'[3]2025'!K101</f>
        <v>195.27</v>
      </c>
      <c r="M101" s="15">
        <f>'[3]2025'!L101</f>
        <v>60.88</v>
      </c>
      <c r="N101" s="16">
        <f t="shared" si="4"/>
        <v>2.986209382917097E-3</v>
      </c>
      <c r="O101" s="17">
        <f t="shared" si="5"/>
        <v>0.80967120289092187</v>
      </c>
      <c r="P101" s="17">
        <f t="shared" si="5"/>
        <v>0.59523809523809523</v>
      </c>
      <c r="Q101" s="18">
        <f t="shared" si="6"/>
        <v>115.84209330075572</v>
      </c>
      <c r="R101" s="18">
        <f t="shared" si="7"/>
        <v>104.40441440057356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200">
        <f>+CHAMNORD!B102</f>
        <v>46119</v>
      </c>
      <c r="C102" s="75">
        <f>IF(H102=0,"",'[3]2025-2026'!C101)</f>
        <v>11480.71</v>
      </c>
      <c r="D102" s="68">
        <f>'[3]2025'!C102</f>
        <v>12844.4</v>
      </c>
      <c r="E102" s="68">
        <f>'[3]2025'!D102</f>
        <v>12624.4</v>
      </c>
      <c r="F102" s="20">
        <f>'[3]2025'!E102</f>
        <v>784</v>
      </c>
      <c r="G102" s="73">
        <f>'[3]2025'!F102</f>
        <v>12700</v>
      </c>
      <c r="H102" s="42">
        <f>'[3]2025'!G102</f>
        <v>15323.83</v>
      </c>
      <c r="I102" s="13">
        <f>'[3]2025'!H102</f>
        <v>14991.35</v>
      </c>
      <c r="J102" s="14">
        <f>'[3]2025'!I102</f>
        <v>955</v>
      </c>
      <c r="K102" s="15">
        <f>'[3]2025'!J102</f>
        <v>140.44999999999999</v>
      </c>
      <c r="L102" s="15">
        <f>'[3]2025'!K102</f>
        <v>158.94999999999999</v>
      </c>
      <c r="M102" s="15">
        <f>'[3]2025'!L102</f>
        <v>49.68</v>
      </c>
      <c r="N102" s="16">
        <f t="shared" si="4"/>
        <v>3.3139110220226997E-3</v>
      </c>
      <c r="O102" s="17">
        <f t="shared" si="5"/>
        <v>0.1874900985393366</v>
      </c>
      <c r="P102" s="17">
        <f t="shared" si="5"/>
        <v>0.21811224489795919</v>
      </c>
      <c r="Q102" s="18">
        <f t="shared" si="6"/>
        <v>106.73798504805981</v>
      </c>
      <c r="R102" s="18">
        <f t="shared" si="7"/>
        <v>94.314878892733574</v>
      </c>
      <c r="S102" s="34">
        <f>SUM(I101:I107)</f>
        <v>121048.08000000002</v>
      </c>
      <c r="T102" s="45" t="s">
        <v>41</v>
      </c>
      <c r="U102" s="1738"/>
    </row>
    <row r="103" spans="1:21">
      <c r="A103" s="10" t="s">
        <v>12</v>
      </c>
      <c r="B103" s="200">
        <f>+CHAMNORD!B103</f>
        <v>46120</v>
      </c>
      <c r="C103" s="75">
        <f>IF(H103=0,"",'[3]2025-2026'!C102)</f>
        <v>12844.4</v>
      </c>
      <c r="D103" s="68">
        <f>'[3]2025'!C103</f>
        <v>14695.2</v>
      </c>
      <c r="E103" s="68">
        <f>'[3]2025'!D103</f>
        <v>14430.43</v>
      </c>
      <c r="F103" s="20">
        <f>'[3]2025'!E103</f>
        <v>949</v>
      </c>
      <c r="G103" s="73">
        <f>'[3]2025'!F103</f>
        <v>14600</v>
      </c>
      <c r="H103" s="42">
        <f>'[3]2025'!G103</f>
        <v>16947.2</v>
      </c>
      <c r="I103" s="13">
        <f>'[3]2025'!H103</f>
        <v>16538.939999999999</v>
      </c>
      <c r="J103" s="14">
        <f>'[3]2025'!I103</f>
        <v>1087</v>
      </c>
      <c r="K103" s="15">
        <f>'[3]2025'!J103</f>
        <v>134.35</v>
      </c>
      <c r="L103" s="15">
        <f>'[3]2025'!K103</f>
        <v>151.87</v>
      </c>
      <c r="M103" s="15">
        <f>'[3]2025'!L103</f>
        <v>68.12</v>
      </c>
      <c r="N103" s="16">
        <f t="shared" si="4"/>
        <v>4.1187645641135411E-3</v>
      </c>
      <c r="O103" s="17">
        <f t="shared" si="5"/>
        <v>0.14611553501870689</v>
      </c>
      <c r="P103" s="17">
        <f t="shared" si="5"/>
        <v>0.14541622760800843</v>
      </c>
      <c r="Q103" s="18">
        <f t="shared" si="6"/>
        <v>123.10338667659099</v>
      </c>
      <c r="R103" s="18">
        <f t="shared" si="7"/>
        <v>108.90195561993809</v>
      </c>
      <c r="S103" s="35">
        <f>(S102-SUM(E101:E107))/SUM(E101:E107)</f>
        <v>9.8966174637346943E-2</v>
      </c>
      <c r="T103" s="48">
        <f>SUM(I101:I107)/SUM(K101:K107)</f>
        <v>111.71743945658596</v>
      </c>
      <c r="U103" s="1738"/>
    </row>
    <row r="104" spans="1:21">
      <c r="A104" s="10" t="s">
        <v>13</v>
      </c>
      <c r="B104" s="200">
        <f>+CHAMNORD!B104</f>
        <v>46121</v>
      </c>
      <c r="C104" s="75">
        <f>IF(H104=0,"",'[3]2025-2026'!C103)</f>
        <v>14695.2</v>
      </c>
      <c r="D104" s="68">
        <f>'[3]2025'!C104</f>
        <v>12628.31</v>
      </c>
      <c r="E104" s="68">
        <f>'[3]2025'!D104</f>
        <v>12439.44</v>
      </c>
      <c r="F104" s="20">
        <f>'[3]2025'!E104</f>
        <v>790</v>
      </c>
      <c r="G104" s="73">
        <f>'[3]2025'!F104</f>
        <v>12500</v>
      </c>
      <c r="H104" s="42">
        <f>'[3]2025'!G104</f>
        <v>17218.009999999998</v>
      </c>
      <c r="I104" s="13">
        <f>'[3]2025'!H104</f>
        <v>16791.54</v>
      </c>
      <c r="J104" s="14">
        <f>'[3]2025'!I104</f>
        <v>1070</v>
      </c>
      <c r="K104" s="15">
        <f>'[3]2025'!J104</f>
        <v>145.92999999999998</v>
      </c>
      <c r="L104" s="15">
        <f>'[3]2025'!K104</f>
        <v>163.19999999999999</v>
      </c>
      <c r="M104" s="15">
        <f>'[3]2025'!L104</f>
        <v>97.8</v>
      </c>
      <c r="N104" s="16">
        <f t="shared" si="4"/>
        <v>5.824361553496582E-3</v>
      </c>
      <c r="O104" s="17">
        <f t="shared" si="5"/>
        <v>0.34986301634157169</v>
      </c>
      <c r="P104" s="17">
        <f t="shared" si="5"/>
        <v>0.35443037974683544</v>
      </c>
      <c r="Q104" s="18">
        <f t="shared" si="6"/>
        <v>115.06571643938877</v>
      </c>
      <c r="R104" s="18">
        <f t="shared" si="7"/>
        <v>102.88933823529413</v>
      </c>
      <c r="S104" s="34"/>
      <c r="T104" s="29" t="s">
        <v>8</v>
      </c>
      <c r="U104" s="1738"/>
    </row>
    <row r="105" spans="1:21">
      <c r="A105" s="10" t="s">
        <v>14</v>
      </c>
      <c r="B105" s="200">
        <f>+CHAMNORD!B105</f>
        <v>46122</v>
      </c>
      <c r="C105" s="75">
        <f>IF(H105=0,"",'[3]2025-2026'!C104)</f>
        <v>12628.31</v>
      </c>
      <c r="D105" s="68">
        <f>'[3]2025'!C105</f>
        <v>19952.169999999998</v>
      </c>
      <c r="E105" s="68">
        <f>'[3]2025'!D105</f>
        <v>19698.259999999998</v>
      </c>
      <c r="F105" s="20">
        <f>'[3]2025'!E105</f>
        <v>1270</v>
      </c>
      <c r="G105" s="73">
        <f>'[3]2025'!F105</f>
        <v>19900</v>
      </c>
      <c r="H105" s="42">
        <f>'[3]2025'!G105</f>
        <v>18961.900000000001</v>
      </c>
      <c r="I105" s="13">
        <f>'[3]2025'!H105</f>
        <v>18510.849999999999</v>
      </c>
      <c r="J105" s="14">
        <f>'[3]2025'!I105</f>
        <v>1107</v>
      </c>
      <c r="K105" s="15">
        <f>'[3]2025'!J105</f>
        <v>173.6</v>
      </c>
      <c r="L105" s="15">
        <f>'[3]2025'!K105</f>
        <v>220.2</v>
      </c>
      <c r="M105" s="15">
        <f>'[3]2025'!L105</f>
        <v>90.29</v>
      </c>
      <c r="N105" s="16">
        <f t="shared" si="4"/>
        <v>4.8776798472247368E-3</v>
      </c>
      <c r="O105" s="17">
        <f t="shared" si="5"/>
        <v>-6.0279943507700676E-2</v>
      </c>
      <c r="P105" s="17">
        <f t="shared" si="5"/>
        <v>-0.12834645669291339</v>
      </c>
      <c r="Q105" s="18">
        <f t="shared" si="6"/>
        <v>106.62932027649769</v>
      </c>
      <c r="R105" s="18">
        <f t="shared" si="7"/>
        <v>84.063805631244321</v>
      </c>
      <c r="S105" s="36" t="s">
        <v>40</v>
      </c>
      <c r="T105" s="48">
        <f>SUM(I101:I107)/SUM(L101:L107)</f>
        <v>95.257944189999535</v>
      </c>
      <c r="U105" s="1738"/>
    </row>
    <row r="106" spans="1:21">
      <c r="A106" s="10" t="s">
        <v>15</v>
      </c>
      <c r="B106" s="200">
        <f>+CHAMNORD!B106</f>
        <v>46123</v>
      </c>
      <c r="C106" s="75">
        <f>IF(H106=0,"",'[3]2025-2026'!C105)</f>
        <v>19952.169999999998</v>
      </c>
      <c r="D106" s="68">
        <f>'[3]2025'!C106</f>
        <v>21338.05</v>
      </c>
      <c r="E106" s="68">
        <f>'[3]2025'!D106</f>
        <v>21024.42</v>
      </c>
      <c r="F106" s="20">
        <f>'[3]2025'!E106</f>
        <v>1238</v>
      </c>
      <c r="G106" s="73">
        <f>'[3]2025'!F106</f>
        <v>21200</v>
      </c>
      <c r="H106" s="42">
        <f>'[3]2025'!G106</f>
        <v>18755.939999999999</v>
      </c>
      <c r="I106" s="13">
        <f>'[3]2025'!H106</f>
        <v>18324.310000000001</v>
      </c>
      <c r="J106" s="14">
        <f>'[3]2025'!I106</f>
        <v>1046</v>
      </c>
      <c r="K106" s="15">
        <f>'[3]2025'!J106</f>
        <v>147.76</v>
      </c>
      <c r="L106" s="15">
        <f>'[3]2025'!K106</f>
        <v>192.67</v>
      </c>
      <c r="M106" s="15">
        <f>'[3]2025'!L106</f>
        <v>68.92</v>
      </c>
      <c r="N106" s="16">
        <f t="shared" si="4"/>
        <v>3.7611238840643928E-3</v>
      </c>
      <c r="O106" s="17">
        <f t="shared" si="5"/>
        <v>-0.12842732403557375</v>
      </c>
      <c r="P106" s="17">
        <f t="shared" si="5"/>
        <v>-0.15508885298869143</v>
      </c>
      <c r="Q106" s="18">
        <f t="shared" si="6"/>
        <v>124.0140092041148</v>
      </c>
      <c r="R106" s="18">
        <f t="shared" si="7"/>
        <v>95.107229978720099</v>
      </c>
      <c r="S106" s="36">
        <f>SUM(J101:J107)</f>
        <v>7147</v>
      </c>
      <c r="T106" s="30" t="s">
        <v>3</v>
      </c>
      <c r="U106" s="1738"/>
    </row>
    <row r="107" spans="1:21" ht="18" thickBot="1">
      <c r="A107" s="10" t="s">
        <v>16</v>
      </c>
      <c r="B107" s="200">
        <f>+CHAMNORD!B107</f>
        <v>46124</v>
      </c>
      <c r="C107" s="75">
        <f>IF(H107=0,"",'[3]2025-2026'!C106)</f>
        <v>21338.05</v>
      </c>
      <c r="D107" s="68">
        <f>'[3]2025'!C107</f>
        <v>19029.68</v>
      </c>
      <c r="E107" s="68">
        <f>'[3]2025'!D107</f>
        <v>18664.669999999998</v>
      </c>
      <c r="F107" s="20">
        <f>'[3]2025'!E107</f>
        <v>942</v>
      </c>
      <c r="G107" s="73">
        <f>'[3]2025'!F107</f>
        <v>18800</v>
      </c>
      <c r="H107" s="42">
        <f>'[3]2025'!G107</f>
        <v>16053.62</v>
      </c>
      <c r="I107" s="13">
        <f>'[3]2025'!H107</f>
        <v>15504.04</v>
      </c>
      <c r="J107" s="14">
        <f>'[3]2025'!I107</f>
        <v>743</v>
      </c>
      <c r="K107" s="15">
        <f>'[3]2025'!J107</f>
        <v>165.44</v>
      </c>
      <c r="L107" s="15">
        <f>'[3]2025'!K107</f>
        <v>188.58</v>
      </c>
      <c r="M107" s="15">
        <f>'[3]2025'!L107</f>
        <v>66.98</v>
      </c>
      <c r="N107" s="16">
        <f t="shared" si="4"/>
        <v>4.3201642926617833E-3</v>
      </c>
      <c r="O107" s="17">
        <f t="shared" si="5"/>
        <v>-0.16933757735872093</v>
      </c>
      <c r="P107" s="17">
        <f t="shared" si="5"/>
        <v>-0.21125265392781317</v>
      </c>
      <c r="Q107" s="18">
        <f t="shared" si="6"/>
        <v>93.713974854932303</v>
      </c>
      <c r="R107" s="18">
        <f t="shared" si="7"/>
        <v>82.214656909534412</v>
      </c>
      <c r="S107" s="37">
        <f>(S106-SUM(F101:F107))/SUM(F101:F107)</f>
        <v>6.8790189920741734E-2</v>
      </c>
      <c r="T107" s="47">
        <f>SUM(M101:M107)/SUM(I101:I107)</f>
        <v>4.1526474438917165E-3</v>
      </c>
      <c r="U107" s="1739"/>
    </row>
    <row r="108" spans="1:21" ht="17" customHeight="1" thickTop="1">
      <c r="A108" s="10" t="s">
        <v>9</v>
      </c>
      <c r="B108" s="200">
        <f>+CHAMNORD!B108</f>
        <v>46125</v>
      </c>
      <c r="C108" s="75">
        <f>IF(H108=0,"",'[3]2025-2026'!C107)</f>
        <v>19029.68</v>
      </c>
      <c r="D108" s="68">
        <f>'[3]2025'!C108</f>
        <v>9385.0400000000009</v>
      </c>
      <c r="E108" s="68">
        <f>'[3]2025'!D108</f>
        <v>9235.18</v>
      </c>
      <c r="F108" s="20">
        <f>'[3]2025'!E108</f>
        <v>574</v>
      </c>
      <c r="G108" s="73">
        <f>'[3]2025'!F108</f>
        <v>9300</v>
      </c>
      <c r="H108" s="42">
        <f>'[3]2025'!G108</f>
        <v>10967.43</v>
      </c>
      <c r="I108" s="13">
        <f>'[3]2025'!H108</f>
        <v>10648.08</v>
      </c>
      <c r="J108" s="14">
        <f>'[3]2025'!I108</f>
        <v>624</v>
      </c>
      <c r="K108" s="15">
        <f>'[3]2025'!J108</f>
        <v>119.7</v>
      </c>
      <c r="L108" s="15">
        <f>'[3]2025'!K108</f>
        <v>146.12</v>
      </c>
      <c r="M108" s="15">
        <f>'[3]2025'!L108</f>
        <v>76.55</v>
      </c>
      <c r="N108" s="16">
        <f t="shared" si="4"/>
        <v>7.1890894884335957E-3</v>
      </c>
      <c r="O108" s="17">
        <f t="shared" si="5"/>
        <v>0.15299106243733199</v>
      </c>
      <c r="P108" s="17">
        <f t="shared" si="5"/>
        <v>8.7108013937282236E-2</v>
      </c>
      <c r="Q108" s="18">
        <f t="shared" si="6"/>
        <v>88.956390977443604</v>
      </c>
      <c r="R108" s="18">
        <f t="shared" si="7"/>
        <v>72.872159868601145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200">
        <f>+CHAMNORD!B109</f>
        <v>46126</v>
      </c>
      <c r="C109" s="75">
        <f>IF(H109=0,"",'[3]2025-2026'!C108)</f>
        <v>9385.0400000000009</v>
      </c>
      <c r="D109" s="68">
        <f>'[3]2025'!C109</f>
        <v>10748.45</v>
      </c>
      <c r="E109" s="68">
        <f>'[3]2025'!D109</f>
        <v>10595.96</v>
      </c>
      <c r="F109" s="20">
        <f>'[3]2025'!E109</f>
        <v>639</v>
      </c>
      <c r="G109" s="73">
        <f>'[3]2025'!F109</f>
        <v>10700</v>
      </c>
      <c r="H109" s="42">
        <f>'[3]2025'!G109</f>
        <v>15038.03</v>
      </c>
      <c r="I109" s="13">
        <f>'[3]2025'!H109</f>
        <v>14624.29</v>
      </c>
      <c r="J109" s="14">
        <f>'[3]2025'!I109</f>
        <v>818</v>
      </c>
      <c r="K109" s="15">
        <f>'[3]2025'!J109</f>
        <v>134.13</v>
      </c>
      <c r="L109" s="15">
        <f>'[3]2025'!K109</f>
        <v>152.44999999999999</v>
      </c>
      <c r="M109" s="15">
        <f>'[3]2025'!L109</f>
        <v>48.44</v>
      </c>
      <c r="N109" s="16">
        <f t="shared" si="4"/>
        <v>3.3122975542744294E-3</v>
      </c>
      <c r="O109" s="17">
        <f t="shared" si="5"/>
        <v>0.38017602935458439</v>
      </c>
      <c r="P109" s="17">
        <f t="shared" si="5"/>
        <v>0.28012519561815336</v>
      </c>
      <c r="Q109" s="18">
        <f t="shared" si="6"/>
        <v>109.03071646909716</v>
      </c>
      <c r="R109" s="18">
        <f t="shared" si="7"/>
        <v>95.928435552640224</v>
      </c>
      <c r="S109" s="34">
        <f>SUM(I108:I114)</f>
        <v>111584.54000000001</v>
      </c>
      <c r="T109" s="45" t="s">
        <v>41</v>
      </c>
      <c r="U109" s="1738"/>
    </row>
    <row r="110" spans="1:21">
      <c r="A110" s="10" t="s">
        <v>12</v>
      </c>
      <c r="B110" s="200">
        <f>+CHAMNORD!B110</f>
        <v>46127</v>
      </c>
      <c r="C110" s="75">
        <f>IF(H110=0,"",'[3]2025-2026'!C109)</f>
        <v>10748.45</v>
      </c>
      <c r="D110" s="68">
        <f>'[3]2025'!C110</f>
        <v>10996.26</v>
      </c>
      <c r="E110" s="68">
        <f>'[3]2025'!D110</f>
        <v>10791.21</v>
      </c>
      <c r="F110" s="20">
        <f>'[3]2025'!E110</f>
        <v>665</v>
      </c>
      <c r="G110" s="73">
        <f>'[3]2025'!F110</f>
        <v>10900</v>
      </c>
      <c r="H110" s="42">
        <f>'[3]2025'!G110</f>
        <v>14914.76</v>
      </c>
      <c r="I110" s="13">
        <f>'[3]2025'!H110</f>
        <v>14514.7</v>
      </c>
      <c r="J110" s="14">
        <f>'[3]2025'!I110</f>
        <v>864</v>
      </c>
      <c r="K110" s="15">
        <f>'[3]2025'!J110</f>
        <v>134.82999999999998</v>
      </c>
      <c r="L110" s="15">
        <f>'[3]2025'!K110</f>
        <v>162.22999999999999</v>
      </c>
      <c r="M110" s="15">
        <f>'[3]2025'!L110</f>
        <v>60.25</v>
      </c>
      <c r="N110" s="16">
        <f t="shared" si="4"/>
        <v>4.1509641949196326E-3</v>
      </c>
      <c r="O110" s="17">
        <f t="shared" si="5"/>
        <v>0.34504842367074701</v>
      </c>
      <c r="P110" s="17">
        <f t="shared" si="5"/>
        <v>0.29924812030075187</v>
      </c>
      <c r="Q110" s="18">
        <f t="shared" si="6"/>
        <v>107.65185789512722</v>
      </c>
      <c r="R110" s="18">
        <f t="shared" si="7"/>
        <v>89.46988843000679</v>
      </c>
      <c r="S110" s="35">
        <f>(S109-SUM(E108:E114))/SUM(E108:E114)</f>
        <v>0.14724515573903063</v>
      </c>
      <c r="T110" s="48">
        <f>SUM(I108:I114)/SUM(K108:K114)</f>
        <v>109.42450036283761</v>
      </c>
      <c r="U110" s="1738"/>
    </row>
    <row r="111" spans="1:21">
      <c r="A111" s="10" t="s">
        <v>13</v>
      </c>
      <c r="B111" s="200">
        <f>+CHAMNORD!B111</f>
        <v>46128</v>
      </c>
      <c r="C111" s="75">
        <f>IF(H111=0,"",'[3]2025-2026'!C110)</f>
        <v>10996.26</v>
      </c>
      <c r="D111" s="68">
        <f>'[3]2025'!C111</f>
        <v>11084.17</v>
      </c>
      <c r="E111" s="68">
        <f>'[3]2025'!D111</f>
        <v>10926.31</v>
      </c>
      <c r="F111" s="20">
        <f>'[3]2025'!E111</f>
        <v>638</v>
      </c>
      <c r="G111" s="73">
        <f>'[3]2025'!F111</f>
        <v>11000</v>
      </c>
      <c r="H111" s="42">
        <f>'[3]2025'!G111</f>
        <v>15192.68</v>
      </c>
      <c r="I111" s="13">
        <f>'[3]2025'!H111</f>
        <v>14852.28</v>
      </c>
      <c r="J111" s="14">
        <f>'[3]2025'!I111</f>
        <v>970</v>
      </c>
      <c r="K111" s="15">
        <f>'[3]2025'!J111</f>
        <v>132.07999999999998</v>
      </c>
      <c r="L111" s="15">
        <f>'[3]2025'!K111</f>
        <v>155.75</v>
      </c>
      <c r="M111" s="15">
        <f>'[3]2025'!L111</f>
        <v>94.03</v>
      </c>
      <c r="N111" s="16">
        <f t="shared" si="4"/>
        <v>6.33101449743743E-3</v>
      </c>
      <c r="O111" s="17">
        <f t="shared" si="5"/>
        <v>0.35931343701579044</v>
      </c>
      <c r="P111" s="17">
        <f t="shared" si="5"/>
        <v>0.52037617554858939</v>
      </c>
      <c r="Q111" s="18">
        <f t="shared" si="6"/>
        <v>112.44912174439736</v>
      </c>
      <c r="R111" s="18">
        <f t="shared" si="7"/>
        <v>95.359743178170149</v>
      </c>
      <c r="S111" s="34"/>
      <c r="T111" s="29" t="s">
        <v>8</v>
      </c>
      <c r="U111" s="1738"/>
    </row>
    <row r="112" spans="1:21">
      <c r="A112" s="10" t="s">
        <v>14</v>
      </c>
      <c r="B112" s="200">
        <f>+CHAMNORD!B112</f>
        <v>46129</v>
      </c>
      <c r="C112" s="75">
        <f>IF(H112=0,"",'[3]2025-2026'!C111)</f>
        <v>11084.17</v>
      </c>
      <c r="D112" s="68">
        <f>'[3]2025'!C112</f>
        <v>17947.39</v>
      </c>
      <c r="E112" s="68">
        <f>'[3]2025'!D112</f>
        <v>17740.23</v>
      </c>
      <c r="F112" s="20">
        <f>'[3]2025'!E112</f>
        <v>1076</v>
      </c>
      <c r="G112" s="73">
        <f>'[3]2025'!F112</f>
        <v>17745</v>
      </c>
      <c r="H112" s="42">
        <f>'[3]2025'!G112</f>
        <v>20169.650000000001</v>
      </c>
      <c r="I112" s="13">
        <f>'[3]2025'!H112</f>
        <v>19705.240000000002</v>
      </c>
      <c r="J112" s="14">
        <f>'[3]2025'!I112</f>
        <v>1225</v>
      </c>
      <c r="K112" s="15">
        <f>'[3]2025'!J112</f>
        <v>174.55999999999997</v>
      </c>
      <c r="L112" s="15">
        <f>'[3]2025'!K112</f>
        <v>199.67</v>
      </c>
      <c r="M112" s="15">
        <f>'[3]2025'!L112</f>
        <v>112.23</v>
      </c>
      <c r="N112" s="16">
        <f t="shared" si="4"/>
        <v>5.6954393856659445E-3</v>
      </c>
      <c r="O112" s="17">
        <f t="shared" si="5"/>
        <v>0.11076575670101245</v>
      </c>
      <c r="P112" s="17">
        <f t="shared" si="5"/>
        <v>0.13847583643122677</v>
      </c>
      <c r="Q112" s="18">
        <f t="shared" si="6"/>
        <v>112.88519706691112</v>
      </c>
      <c r="R112" s="18">
        <f t="shared" si="7"/>
        <v>98.689036910902999</v>
      </c>
      <c r="S112" s="36" t="s">
        <v>40</v>
      </c>
      <c r="T112" s="48">
        <f>SUM(I108:I114)/SUM(L108:L114)</f>
        <v>93.356653419786667</v>
      </c>
      <c r="U112" s="1738"/>
    </row>
    <row r="113" spans="1:21">
      <c r="A113" s="10" t="s">
        <v>15</v>
      </c>
      <c r="B113" s="200">
        <f>+CHAMNORD!B113</f>
        <v>46130</v>
      </c>
      <c r="C113" s="75">
        <f>IF(H113=0,"",'[3]2025-2026'!C112)</f>
        <v>17947.39</v>
      </c>
      <c r="D113" s="68">
        <f>'[3]2025'!C113</f>
        <v>19036.939999999999</v>
      </c>
      <c r="E113" s="68">
        <f>'[3]2025'!D113</f>
        <v>18735.38</v>
      </c>
      <c r="F113" s="20">
        <f>'[3]2025'!E113</f>
        <v>1166</v>
      </c>
      <c r="G113" s="73">
        <f>'[3]2025'!F113</f>
        <v>18900</v>
      </c>
      <c r="H113" s="42">
        <f>'[3]2025'!G113</f>
        <v>19408.22</v>
      </c>
      <c r="I113" s="13">
        <f>'[3]2025'!H113</f>
        <v>18939.66</v>
      </c>
      <c r="J113" s="14">
        <f>'[3]2025'!I113</f>
        <v>1152</v>
      </c>
      <c r="K113" s="15">
        <f>'[3]2025'!J113</f>
        <v>170.57</v>
      </c>
      <c r="L113" s="15">
        <f>'[3]2025'!K113</f>
        <v>198.35</v>
      </c>
      <c r="M113" s="15">
        <f>'[3]2025'!L113</f>
        <v>59.98</v>
      </c>
      <c r="N113" s="16">
        <f t="shared" si="4"/>
        <v>3.1668995113956636E-3</v>
      </c>
      <c r="O113" s="17">
        <f t="shared" si="5"/>
        <v>1.0903435105132579E-2</v>
      </c>
      <c r="P113" s="17">
        <f t="shared" si="5"/>
        <v>-1.2006861063464836E-2</v>
      </c>
      <c r="Q113" s="18">
        <f t="shared" si="6"/>
        <v>111.03746262531513</v>
      </c>
      <c r="R113" s="18">
        <f t="shared" si="7"/>
        <v>95.48605999495841</v>
      </c>
      <c r="S113" s="36">
        <f>SUM(J108:J114)</f>
        <v>6641</v>
      </c>
      <c r="T113" s="30" t="s">
        <v>3</v>
      </c>
      <c r="U113" s="1738"/>
    </row>
    <row r="114" spans="1:21" ht="18" thickBot="1">
      <c r="A114" s="10" t="s">
        <v>16</v>
      </c>
      <c r="B114" s="200">
        <f>+CHAMNORD!B114</f>
        <v>46131</v>
      </c>
      <c r="C114" s="75">
        <f>IF(H114=0,"",'[3]2025-2026'!C113)</f>
        <v>19036.939999999999</v>
      </c>
      <c r="D114" s="68">
        <f>'[3]2025'!C114</f>
        <v>19463.18</v>
      </c>
      <c r="E114" s="68">
        <f>'[3]2025'!D114</f>
        <v>19238.759999999998</v>
      </c>
      <c r="F114" s="20">
        <f>'[3]2025'!E114</f>
        <v>1126</v>
      </c>
      <c r="G114" s="73">
        <f>'[3]2025'!F114</f>
        <v>19400</v>
      </c>
      <c r="H114" s="42">
        <f>'[3]2025'!G114</f>
        <v>18661.29</v>
      </c>
      <c r="I114" s="13">
        <f>'[3]2025'!H114</f>
        <v>18300.29</v>
      </c>
      <c r="J114" s="14">
        <f>'[3]2025'!I114</f>
        <v>988</v>
      </c>
      <c r="K114" s="15">
        <f>'[3]2025'!J114</f>
        <v>153.87</v>
      </c>
      <c r="L114" s="15">
        <f>'[3]2025'!K114</f>
        <v>180.68</v>
      </c>
      <c r="M114" s="15">
        <f>'[3]2025'!L114</f>
        <v>57.95</v>
      </c>
      <c r="N114" s="16">
        <f t="shared" si="4"/>
        <v>3.1666164853125277E-3</v>
      </c>
      <c r="O114" s="17">
        <f t="shared" si="5"/>
        <v>-4.8780170863402715E-2</v>
      </c>
      <c r="P114" s="17">
        <f t="shared" si="5"/>
        <v>-0.12255772646536411</v>
      </c>
      <c r="Q114" s="18">
        <f t="shared" si="6"/>
        <v>118.93345031520114</v>
      </c>
      <c r="R114" s="18">
        <f t="shared" si="7"/>
        <v>101.28564312596856</v>
      </c>
      <c r="S114" s="37">
        <f>(S113-SUM(F108:F114))/SUM(F108:F114)</f>
        <v>0.12865397688647179</v>
      </c>
      <c r="T114" s="47">
        <f>SUM(M108:M114)/SUM(I108:I114)</f>
        <v>4.5654173956356315E-3</v>
      </c>
      <c r="U114" s="1739"/>
    </row>
    <row r="115" spans="1:21" ht="17" customHeight="1" thickTop="1">
      <c r="A115" s="10" t="s">
        <v>9</v>
      </c>
      <c r="B115" s="200">
        <f>+CHAMNORD!B115</f>
        <v>46132</v>
      </c>
      <c r="C115" s="75">
        <f>IF(H115=0,"",'[3]2025-2026'!C114)</f>
        <v>19463.18</v>
      </c>
      <c r="D115" s="68">
        <f>'[3]2025'!C115</f>
        <v>18782.310000000001</v>
      </c>
      <c r="E115" s="68">
        <f>'[3]2025'!D115</f>
        <v>18483.55</v>
      </c>
      <c r="F115" s="20">
        <f>'[3]2025'!E115</f>
        <v>1067</v>
      </c>
      <c r="G115" s="73">
        <f>'[3]2025'!F115</f>
        <v>18600</v>
      </c>
      <c r="H115" s="42">
        <f>'[3]2025'!G115</f>
        <v>9748.68</v>
      </c>
      <c r="I115" s="13">
        <f>'[3]2025'!H115</f>
        <v>9548.67</v>
      </c>
      <c r="J115" s="14">
        <f>'[3]2025'!I115</f>
        <v>561</v>
      </c>
      <c r="K115" s="15">
        <f>'[3]2025'!J115</f>
        <v>92.300000000000011</v>
      </c>
      <c r="L115" s="15">
        <f>'[3]2025'!K115</f>
        <v>110.62</v>
      </c>
      <c r="M115" s="15">
        <f>'[3]2025'!L115</f>
        <v>96.39</v>
      </c>
      <c r="N115" s="16">
        <f t="shared" si="4"/>
        <v>1.0094599562033247E-2</v>
      </c>
      <c r="O115" s="17">
        <f t="shared" si="5"/>
        <v>-0.48339631726589316</v>
      </c>
      <c r="P115" s="17">
        <f t="shared" si="5"/>
        <v>-0.47422680412371132</v>
      </c>
      <c r="Q115" s="18">
        <f t="shared" si="6"/>
        <v>103.45254604550378</v>
      </c>
      <c r="R115" s="18">
        <f t="shared" si="7"/>
        <v>86.319562466100166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200">
        <f>+CHAMNORD!B116</f>
        <v>46133</v>
      </c>
      <c r="C116" s="75">
        <f>IF(H116=0,"",'[3]2025-2026'!C115)</f>
        <v>18782.310000000001</v>
      </c>
      <c r="D116" s="68">
        <f>'[3]2025'!C116</f>
        <v>15781.68</v>
      </c>
      <c r="E116" s="68">
        <f>'[3]2025'!D116</f>
        <v>15546.63</v>
      </c>
      <c r="F116" s="20">
        <f>'[3]2025'!E116</f>
        <v>974</v>
      </c>
      <c r="G116" s="73">
        <f>'[3]2025'!F116</f>
        <v>15700</v>
      </c>
      <c r="H116" s="42">
        <f>'[3]2025'!G116</f>
        <v>11147.55</v>
      </c>
      <c r="I116" s="13">
        <f>'[3]2025'!H116</f>
        <v>10858</v>
      </c>
      <c r="J116" s="14">
        <f>'[3]2025'!I116</f>
        <v>640</v>
      </c>
      <c r="K116" s="15">
        <f>'[3]2025'!J116</f>
        <v>98.289999999999992</v>
      </c>
      <c r="L116" s="15">
        <f>'[3]2025'!K116</f>
        <v>115.1</v>
      </c>
      <c r="M116" s="15">
        <f>'[3]2025'!L116</f>
        <v>43.12</v>
      </c>
      <c r="N116" s="16">
        <f t="shared" si="4"/>
        <v>3.9712654264137037E-3</v>
      </c>
      <c r="O116" s="17">
        <f t="shared" si="5"/>
        <v>-0.30158497372099285</v>
      </c>
      <c r="P116" s="17">
        <f t="shared" si="5"/>
        <v>-0.34291581108829566</v>
      </c>
      <c r="Q116" s="18">
        <f t="shared" si="6"/>
        <v>110.46902024621021</v>
      </c>
      <c r="R116" s="18">
        <f t="shared" si="7"/>
        <v>94.335360556038239</v>
      </c>
      <c r="S116" s="34">
        <f>SUM(I115:I121)</f>
        <v>97052.6</v>
      </c>
      <c r="T116" s="45" t="s">
        <v>41</v>
      </c>
      <c r="U116" s="1738"/>
    </row>
    <row r="117" spans="1:21">
      <c r="A117" s="10" t="s">
        <v>12</v>
      </c>
      <c r="B117" s="200">
        <f>+CHAMNORD!B117</f>
        <v>46134</v>
      </c>
      <c r="C117" s="75">
        <f>IF(H117=0,"",'[3]2025-2026'!C116)</f>
        <v>15781.68</v>
      </c>
      <c r="D117" s="68">
        <f>'[3]2025'!C117</f>
        <v>12775.99</v>
      </c>
      <c r="E117" s="68">
        <f>'[3]2025'!D117</f>
        <v>12577.46</v>
      </c>
      <c r="F117" s="20">
        <f>'[3]2025'!E117</f>
        <v>770</v>
      </c>
      <c r="G117" s="73">
        <f>'[3]2025'!F117</f>
        <v>12700</v>
      </c>
      <c r="H117" s="42">
        <f>'[3]2025'!G117</f>
        <v>12563.37</v>
      </c>
      <c r="I117" s="13">
        <f>'[3]2025'!H117</f>
        <v>12282.22</v>
      </c>
      <c r="J117" s="14">
        <f>'[3]2025'!I117</f>
        <v>701</v>
      </c>
      <c r="K117" s="15">
        <f>'[3]2025'!J117</f>
        <v>124.75</v>
      </c>
      <c r="L117" s="15">
        <f>'[3]2025'!K117</f>
        <v>141.87</v>
      </c>
      <c r="M117" s="15">
        <f>'[3]2025'!L117</f>
        <v>41.03</v>
      </c>
      <c r="N117" s="16">
        <f t="shared" si="4"/>
        <v>3.34060129194885E-3</v>
      </c>
      <c r="O117" s="17">
        <f t="shared" si="5"/>
        <v>-2.3473737940728875E-2</v>
      </c>
      <c r="P117" s="17">
        <f t="shared" si="5"/>
        <v>-8.9610389610389612E-2</v>
      </c>
      <c r="Q117" s="18">
        <f t="shared" si="6"/>
        <v>98.454669338677348</v>
      </c>
      <c r="R117" s="18">
        <f t="shared" si="7"/>
        <v>86.573764714174942</v>
      </c>
      <c r="S117" s="35">
        <f>(S116-SUM(E115:E121))/SUM(E115:E121)</f>
        <v>-0.12884656001449091</v>
      </c>
      <c r="T117" s="48">
        <f>SUM(I115:I121)/SUM(K115:K121)</f>
        <v>108.2886280460591</v>
      </c>
      <c r="U117" s="1738"/>
    </row>
    <row r="118" spans="1:21">
      <c r="A118" s="10" t="s">
        <v>13</v>
      </c>
      <c r="B118" s="200">
        <f>+CHAMNORD!B118</f>
        <v>46135</v>
      </c>
      <c r="C118" s="75">
        <f>IF(H118=0,"",'[3]2025-2026'!C117)</f>
        <v>12775.99</v>
      </c>
      <c r="D118" s="68">
        <f>'[3]2025'!C118</f>
        <v>13473.77</v>
      </c>
      <c r="E118" s="68">
        <f>'[3]2025'!D118</f>
        <v>13224.75</v>
      </c>
      <c r="F118" s="20">
        <f>'[3]2025'!E118</f>
        <v>857</v>
      </c>
      <c r="G118" s="73">
        <f>'[3]2025'!F118</f>
        <v>13300</v>
      </c>
      <c r="H118" s="42">
        <f>'[3]2025'!G118</f>
        <v>11488</v>
      </c>
      <c r="I118" s="13">
        <f>'[3]2025'!H118</f>
        <v>11299.75</v>
      </c>
      <c r="J118" s="14">
        <f>'[3]2025'!I118</f>
        <v>752</v>
      </c>
      <c r="K118" s="15">
        <f>'[3]2025'!J118</f>
        <v>126.08</v>
      </c>
      <c r="L118" s="15">
        <f>'[3]2025'!K118</f>
        <v>143.87</v>
      </c>
      <c r="M118" s="15">
        <f>'[3]2025'!L118</f>
        <v>47.99</v>
      </c>
      <c r="N118" s="16">
        <f t="shared" si="4"/>
        <v>4.2469966149693578E-3</v>
      </c>
      <c r="O118" s="17">
        <f t="shared" si="5"/>
        <v>-0.14556040756914118</v>
      </c>
      <c r="P118" s="17">
        <f t="shared" si="5"/>
        <v>-0.12252042007001167</v>
      </c>
      <c r="Q118" s="18">
        <f t="shared" si="6"/>
        <v>89.623651649746193</v>
      </c>
      <c r="R118" s="18">
        <f t="shared" si="7"/>
        <v>78.541391534023774</v>
      </c>
      <c r="S118" s="34"/>
      <c r="T118" s="29" t="s">
        <v>8</v>
      </c>
      <c r="U118" s="1738"/>
    </row>
    <row r="119" spans="1:21">
      <c r="A119" s="10" t="s">
        <v>14</v>
      </c>
      <c r="B119" s="200">
        <f>+CHAMNORD!B119</f>
        <v>46136</v>
      </c>
      <c r="C119" s="75">
        <f>IF(H119=0,"",'[3]2025-2026'!C118)</f>
        <v>13473.77</v>
      </c>
      <c r="D119" s="68">
        <f>'[3]2025'!C119</f>
        <v>18175.37</v>
      </c>
      <c r="E119" s="68">
        <f>'[3]2025'!D119</f>
        <v>17882.169999999998</v>
      </c>
      <c r="F119" s="20">
        <f>'[3]2025'!E119</f>
        <v>1153</v>
      </c>
      <c r="G119" s="73">
        <f>'[3]2025'!F119</f>
        <v>18000</v>
      </c>
      <c r="H119" s="42">
        <f>'[3]2025'!G119</f>
        <v>15854.07</v>
      </c>
      <c r="I119" s="13">
        <f>'[3]2025'!H119</f>
        <v>15491.18</v>
      </c>
      <c r="J119" s="14">
        <f>'[3]2025'!I119</f>
        <v>925</v>
      </c>
      <c r="K119" s="15">
        <f>'[3]2025'!J119</f>
        <v>134.25</v>
      </c>
      <c r="L119" s="15">
        <f>'[3]2025'!K119</f>
        <v>165.08</v>
      </c>
      <c r="M119" s="15">
        <f>'[3]2025'!L119</f>
        <v>69.88</v>
      </c>
      <c r="N119" s="16">
        <f t="shared" si="4"/>
        <v>4.5109539751006702E-3</v>
      </c>
      <c r="O119" s="17">
        <f t="shared" si="5"/>
        <v>-0.13370804550007065</v>
      </c>
      <c r="P119" s="17">
        <f t="shared" si="5"/>
        <v>-0.19774501300954034</v>
      </c>
      <c r="Q119" s="18">
        <f t="shared" si="6"/>
        <v>115.39054003724395</v>
      </c>
      <c r="R119" s="18">
        <f t="shared" si="7"/>
        <v>93.840440998303848</v>
      </c>
      <c r="S119" s="36" t="s">
        <v>40</v>
      </c>
      <c r="T119" s="48">
        <f>SUM(I115:I121)/SUM(L115:L121)</f>
        <v>92.48742090417015</v>
      </c>
      <c r="U119" s="1738"/>
    </row>
    <row r="120" spans="1:21">
      <c r="A120" s="10" t="s">
        <v>15</v>
      </c>
      <c r="B120" s="200">
        <f>+CHAMNORD!B120</f>
        <v>46137</v>
      </c>
      <c r="C120" s="75">
        <f>IF(H120=0,"",'[3]2025-2026'!C119)</f>
        <v>18175.37</v>
      </c>
      <c r="D120" s="68">
        <f>'[3]2025'!C120</f>
        <v>16753.740000000002</v>
      </c>
      <c r="E120" s="68">
        <f>'[3]2025'!D120</f>
        <v>16514.64</v>
      </c>
      <c r="F120" s="20">
        <f>'[3]2025'!E120</f>
        <v>1011</v>
      </c>
      <c r="G120" s="73">
        <f>'[3]2025'!F120</f>
        <v>16700</v>
      </c>
      <c r="H120" s="42">
        <f>'[3]2025'!G120</f>
        <v>18998.21</v>
      </c>
      <c r="I120" s="13">
        <f>'[3]2025'!H120</f>
        <v>18667.97</v>
      </c>
      <c r="J120" s="14">
        <f>'[3]2025'!I120</f>
        <v>1132</v>
      </c>
      <c r="K120" s="15">
        <f>'[3]2025'!J120</f>
        <v>170.29999999999998</v>
      </c>
      <c r="L120" s="15">
        <f>'[3]2025'!K120</f>
        <v>194.65</v>
      </c>
      <c r="M120" s="15">
        <f>'[3]2025'!L120</f>
        <v>67.959999999999994</v>
      </c>
      <c r="N120" s="16">
        <f t="shared" si="4"/>
        <v>3.6404601035891953E-3</v>
      </c>
      <c r="O120" s="17">
        <f t="shared" si="5"/>
        <v>0.13038915774125273</v>
      </c>
      <c r="P120" s="17">
        <f t="shared" si="5"/>
        <v>0.11968348170128586</v>
      </c>
      <c r="Q120" s="18">
        <f t="shared" si="6"/>
        <v>109.6181444509689</v>
      </c>
      <c r="R120" s="18">
        <f t="shared" si="7"/>
        <v>95.905317236064732</v>
      </c>
      <c r="S120" s="36">
        <f>SUM(J115:J121)</f>
        <v>5743</v>
      </c>
      <c r="T120" s="30" t="s">
        <v>3</v>
      </c>
      <c r="U120" s="1738"/>
    </row>
    <row r="121" spans="1:21" ht="18" thickBot="1">
      <c r="A121" s="10" t="s">
        <v>16</v>
      </c>
      <c r="B121" s="200">
        <f>+CHAMNORD!B121</f>
        <v>46138</v>
      </c>
      <c r="C121" s="75">
        <f>IF(H121=0,"",'[3]2025-2026'!C120)</f>
        <v>16753.740000000002</v>
      </c>
      <c r="D121" s="68">
        <f>'[3]2025'!C121</f>
        <v>17510.48</v>
      </c>
      <c r="E121" s="68">
        <f>'[3]2025'!D121</f>
        <v>17177.810000000001</v>
      </c>
      <c r="F121" s="20">
        <f>'[3]2025'!E121</f>
        <v>973</v>
      </c>
      <c r="G121" s="73">
        <f>'[3]2025'!F121</f>
        <v>17300</v>
      </c>
      <c r="H121" s="42">
        <f>'[3]2025'!G121</f>
        <v>19202.650000000001</v>
      </c>
      <c r="I121" s="13">
        <f>'[3]2025'!H121</f>
        <v>18904.810000000001</v>
      </c>
      <c r="J121" s="14">
        <f>'[3]2025'!I121</f>
        <v>1032</v>
      </c>
      <c r="K121" s="15">
        <f>'[3]2025'!J121</f>
        <v>150.26999999999998</v>
      </c>
      <c r="L121" s="15">
        <f>'[3]2025'!K121</f>
        <v>178.17</v>
      </c>
      <c r="M121" s="15">
        <f>'[3]2025'!L121</f>
        <v>61.42</v>
      </c>
      <c r="N121" s="16">
        <f t="shared" si="4"/>
        <v>3.2489086110889238E-3</v>
      </c>
      <c r="O121" s="17">
        <f t="shared" si="5"/>
        <v>0.10053668075266869</v>
      </c>
      <c r="P121" s="17">
        <f t="shared" si="5"/>
        <v>6.0637204522096609E-2</v>
      </c>
      <c r="Q121" s="18">
        <f t="shared" si="6"/>
        <v>125.80561655686434</v>
      </c>
      <c r="R121" s="18">
        <f t="shared" si="7"/>
        <v>106.10546107649999</v>
      </c>
      <c r="S121" s="37">
        <f>(S120-SUM(F115:F121))/SUM(F115:F121)</f>
        <v>-0.15606171932402646</v>
      </c>
      <c r="T121" s="47">
        <f>SUM(M115:M121)/SUM(I115:I121)</f>
        <v>4.4078159678359978E-3</v>
      </c>
      <c r="U121" s="1739"/>
    </row>
    <row r="122" spans="1:21" ht="17" customHeight="1" thickTop="1">
      <c r="A122" s="10" t="s">
        <v>9</v>
      </c>
      <c r="B122" s="200">
        <f>+CHAMNORD!B122</f>
        <v>46139</v>
      </c>
      <c r="C122" s="75">
        <f>IF(H122=0,"",'[3]2025-2026'!C121)</f>
        <v>17510.48</v>
      </c>
      <c r="D122" s="68">
        <f>'[3]2025'!C122</f>
        <v>13284.2</v>
      </c>
      <c r="E122" s="68">
        <f>'[3]2025'!D122</f>
        <v>13093.33</v>
      </c>
      <c r="F122" s="20">
        <f>'[3]2025'!E122</f>
        <v>831</v>
      </c>
      <c r="G122" s="73">
        <f>'[3]2025'!F122</f>
        <v>13200</v>
      </c>
      <c r="H122" s="42">
        <f>'[3]2025'!G122</f>
        <v>9606.15</v>
      </c>
      <c r="I122" s="13">
        <f>'[3]2025'!H122</f>
        <v>9423.06</v>
      </c>
      <c r="J122" s="14">
        <f>'[3]2025'!I122</f>
        <v>594</v>
      </c>
      <c r="K122" s="15">
        <f>'[3]2025'!J122</f>
        <v>98.22</v>
      </c>
      <c r="L122" s="15">
        <f>'[3]2025'!K122</f>
        <v>116.75</v>
      </c>
      <c r="M122" s="15">
        <f>'[3]2025'!L122</f>
        <v>61.7</v>
      </c>
      <c r="N122" s="16">
        <f t="shared" si="4"/>
        <v>6.5477668612955887E-3</v>
      </c>
      <c r="O122" s="17">
        <f t="shared" si="5"/>
        <v>-0.28031600822708969</v>
      </c>
      <c r="P122" s="17">
        <f t="shared" si="5"/>
        <v>-0.2851985559566787</v>
      </c>
      <c r="Q122" s="18">
        <f t="shared" si="6"/>
        <v>95.93830177153329</v>
      </c>
      <c r="R122" s="18">
        <f t="shared" si="7"/>
        <v>80.711434689507485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200">
        <f>+CHAMNORD!B123</f>
        <v>46140</v>
      </c>
      <c r="C123" s="75">
        <f>IF(H123=0,"",'[3]2025-2026'!C122)</f>
        <v>13284.2</v>
      </c>
      <c r="D123" s="68">
        <f>'[3]2025'!C123</f>
        <v>15479.39</v>
      </c>
      <c r="E123" s="68">
        <f>'[3]2025'!D123</f>
        <v>15245.02</v>
      </c>
      <c r="F123" s="20">
        <f>'[3]2025'!E123</f>
        <v>955</v>
      </c>
      <c r="G123" s="73">
        <f>'[3]2025'!F123</f>
        <v>15400</v>
      </c>
      <c r="H123" s="42">
        <f>'[3]2025'!G123</f>
        <v>10127.81</v>
      </c>
      <c r="I123" s="13">
        <f>'[3]2025'!H123</f>
        <v>9816.36</v>
      </c>
      <c r="J123" s="14">
        <f>'[3]2025'!I123</f>
        <v>552</v>
      </c>
      <c r="K123" s="15">
        <f>'[3]2025'!J123</f>
        <v>95.44</v>
      </c>
      <c r="L123" s="15">
        <f>'[3]2025'!K123</f>
        <v>112.35</v>
      </c>
      <c r="M123" s="15">
        <f>'[3]2025'!L123</f>
        <v>53.53</v>
      </c>
      <c r="N123" s="16">
        <f t="shared" si="4"/>
        <v>5.4531414903283906E-3</v>
      </c>
      <c r="O123" s="17">
        <f t="shared" si="5"/>
        <v>-0.35609399003740239</v>
      </c>
      <c r="P123" s="17">
        <f t="shared" si="5"/>
        <v>-0.42198952879581153</v>
      </c>
      <c r="Q123" s="18">
        <f t="shared" si="6"/>
        <v>102.85373009220453</v>
      </c>
      <c r="R123" s="18">
        <f t="shared" si="7"/>
        <v>87.373030707610155</v>
      </c>
      <c r="S123" s="34">
        <f>SUM(I122:I128)</f>
        <v>109299.06000000001</v>
      </c>
      <c r="T123" s="45" t="s">
        <v>41</v>
      </c>
      <c r="U123" s="1738"/>
    </row>
    <row r="124" spans="1:21">
      <c r="A124" s="10" t="s">
        <v>12</v>
      </c>
      <c r="B124" s="200">
        <f>+CHAMNORD!B124</f>
        <v>46141</v>
      </c>
      <c r="C124" s="75">
        <f>IF(H124=0,"",'[3]2025-2026'!C123)</f>
        <v>15479.39</v>
      </c>
      <c r="D124" s="68">
        <f>'[3]2025'!C124</f>
        <v>19838.03</v>
      </c>
      <c r="E124" s="68">
        <f>'[3]2025'!D124</f>
        <v>19532.02</v>
      </c>
      <c r="F124" s="20">
        <f>'[3]2025'!E124</f>
        <v>1201</v>
      </c>
      <c r="G124" s="73">
        <f>'[3]2025'!F124</f>
        <v>19700</v>
      </c>
      <c r="H124" s="42">
        <f>'[3]2025'!G124</f>
        <v>13902.72</v>
      </c>
      <c r="I124" s="13">
        <f>'[3]2025'!H124</f>
        <v>13584.96</v>
      </c>
      <c r="J124" s="14">
        <f>'[3]2025'!I124</f>
        <v>786</v>
      </c>
      <c r="K124" s="15">
        <f>'[3]2025'!J124</f>
        <v>142</v>
      </c>
      <c r="L124" s="15">
        <f>'[3]2025'!K124</f>
        <v>161</v>
      </c>
      <c r="M124" s="15">
        <f>'[3]2025'!L124</f>
        <v>91.99</v>
      </c>
      <c r="N124" s="16">
        <f t="shared" si="4"/>
        <v>6.77145902527501E-3</v>
      </c>
      <c r="O124" s="17">
        <f t="shared" si="5"/>
        <v>-0.3044774682802906</v>
      </c>
      <c r="P124" s="17">
        <f t="shared" si="5"/>
        <v>-0.34554537885095754</v>
      </c>
      <c r="Q124" s="18">
        <f t="shared" si="6"/>
        <v>95.668732394366188</v>
      </c>
      <c r="R124" s="18">
        <f t="shared" si="7"/>
        <v>84.378633540372661</v>
      </c>
      <c r="S124" s="35">
        <f>(S123-SUM(E122:E128))/SUM(E122:E128)</f>
        <v>-0.15168111007323301</v>
      </c>
      <c r="T124" s="48">
        <f>SUM(I122:I128)/SUM(K122:K128)</f>
        <v>109.76005221932117</v>
      </c>
      <c r="U124" s="1738"/>
    </row>
    <row r="125" spans="1:21">
      <c r="A125" s="10" t="s">
        <v>13</v>
      </c>
      <c r="B125" s="200">
        <f>+CHAMNORD!B125</f>
        <v>46142</v>
      </c>
      <c r="C125" s="75">
        <f>IF(H125=0,"",'[3]2025-2026'!C124)</f>
        <v>19838.03</v>
      </c>
      <c r="D125" s="68">
        <f>'[3]2025'!C125</f>
        <v>27956.720000000001</v>
      </c>
      <c r="E125" s="68">
        <f>'[3]2025'!D125</f>
        <v>27555.16</v>
      </c>
      <c r="F125" s="20">
        <f>'[3]2025'!E125</f>
        <v>1605</v>
      </c>
      <c r="G125" s="73">
        <f>'[3]2025'!F125</f>
        <v>13000</v>
      </c>
      <c r="H125" s="42">
        <f>'[3]2025'!G125</f>
        <v>15344.66</v>
      </c>
      <c r="I125" s="13">
        <f>'[3]2025'!H125</f>
        <v>15062.95</v>
      </c>
      <c r="J125" s="14">
        <f>'[3]2025'!I125</f>
        <v>927</v>
      </c>
      <c r="K125" s="15">
        <f>'[3]2025'!J125</f>
        <v>156.13000000000002</v>
      </c>
      <c r="L125" s="15">
        <f>'[3]2025'!K125</f>
        <v>180.08</v>
      </c>
      <c r="M125" s="15">
        <f>'[3]2025'!L125</f>
        <v>123.61</v>
      </c>
      <c r="N125" s="16">
        <f t="shared" si="4"/>
        <v>8.2062278637318707E-3</v>
      </c>
      <c r="O125" s="17">
        <f t="shared" si="5"/>
        <v>-0.45335283845203583</v>
      </c>
      <c r="P125" s="17">
        <f t="shared" si="5"/>
        <v>-0.42242990654205609</v>
      </c>
      <c r="Q125" s="18">
        <f t="shared" si="6"/>
        <v>96.476974316274891</v>
      </c>
      <c r="R125" s="18">
        <f t="shared" si="7"/>
        <v>83.645879609062632</v>
      </c>
      <c r="S125" s="34"/>
      <c r="T125" s="29" t="s">
        <v>8</v>
      </c>
      <c r="U125" s="1738"/>
    </row>
    <row r="126" spans="1:21">
      <c r="A126" s="10" t="s">
        <v>14</v>
      </c>
      <c r="B126" s="200">
        <f>+CHAMNORD!B126</f>
        <v>46143</v>
      </c>
      <c r="C126" s="75">
        <f>IF(H126=0,"",'[3]2025-2026'!C125)</f>
        <v>27956.720000000001</v>
      </c>
      <c r="D126" s="68">
        <f>'[3]2025'!C126</f>
        <v>19894.259999999998</v>
      </c>
      <c r="E126" s="68">
        <f>'[3]2025'!D126</f>
        <v>19552.169999999998</v>
      </c>
      <c r="F126" s="20">
        <f>'[3]2025'!E126</f>
        <v>1182</v>
      </c>
      <c r="G126" s="73">
        <f>'[3]2025'!F126</f>
        <v>21000</v>
      </c>
      <c r="H126" s="42">
        <f>'[3]2025'!G126</f>
        <v>27041.98</v>
      </c>
      <c r="I126" s="13">
        <f>'[3]2025'!H126</f>
        <v>26489.91</v>
      </c>
      <c r="J126" s="14">
        <f>'[3]2025'!I126</f>
        <v>1550</v>
      </c>
      <c r="K126" s="15">
        <f>'[3]2025'!J126</f>
        <v>201.06</v>
      </c>
      <c r="L126" s="15">
        <f>'[3]2025'!K126</f>
        <v>229.46</v>
      </c>
      <c r="M126" s="15">
        <f>'[3]2025'!L126</f>
        <v>86.25</v>
      </c>
      <c r="N126" s="16">
        <f t="shared" si="4"/>
        <v>3.2559567020046501E-3</v>
      </c>
      <c r="O126" s="17">
        <f t="shared" si="5"/>
        <v>0.35483222578363438</v>
      </c>
      <c r="P126" s="17">
        <f t="shared" si="5"/>
        <v>0.31133671742808799</v>
      </c>
      <c r="Q126" s="18">
        <f t="shared" si="6"/>
        <v>131.75126827812593</v>
      </c>
      <c r="R126" s="18">
        <f t="shared" si="7"/>
        <v>115.44456550161247</v>
      </c>
      <c r="S126" s="36" t="s">
        <v>40</v>
      </c>
      <c r="T126" s="48">
        <f>SUM(I122:I128)/SUM(L122:L128)</f>
        <v>94.709940729957367</v>
      </c>
      <c r="U126" s="1738"/>
    </row>
    <row r="127" spans="1:21">
      <c r="A127" s="10" t="s">
        <v>15</v>
      </c>
      <c r="B127" s="200">
        <f>+CHAMNORD!B127</f>
        <v>46144</v>
      </c>
      <c r="C127" s="75">
        <f>IF(H127=0,"",'[3]2025-2026'!C126)</f>
        <v>19894.259999999998</v>
      </c>
      <c r="D127" s="68">
        <f>'[3]2025'!C127</f>
        <v>17664.95</v>
      </c>
      <c r="E127" s="68">
        <f>'[3]2025'!D127</f>
        <v>17444.47</v>
      </c>
      <c r="F127" s="20">
        <f>'[3]2025'!E127</f>
        <v>1032</v>
      </c>
      <c r="G127" s="73">
        <f>'[3]2025'!F127</f>
        <v>17800</v>
      </c>
      <c r="H127" s="42">
        <f>'[3]2025'!G127</f>
        <v>17729.54</v>
      </c>
      <c r="I127" s="13">
        <f>'[3]2025'!H127</f>
        <v>17377.77</v>
      </c>
      <c r="J127" s="14">
        <f>'[3]2025'!I127</f>
        <v>1046</v>
      </c>
      <c r="K127" s="15">
        <f>'[3]2025'!J127</f>
        <v>154.87</v>
      </c>
      <c r="L127" s="15">
        <f>'[3]2025'!K127</f>
        <v>182.37</v>
      </c>
      <c r="M127" s="15">
        <f>'[3]2025'!L127</f>
        <v>73.53</v>
      </c>
      <c r="N127" s="16">
        <f t="shared" si="4"/>
        <v>4.2312678784447028E-3</v>
      </c>
      <c r="O127" s="17">
        <f t="shared" si="5"/>
        <v>-3.8235612775854308E-3</v>
      </c>
      <c r="P127" s="17">
        <f t="shared" si="5"/>
        <v>1.3565891472868217E-2</v>
      </c>
      <c r="Q127" s="18">
        <f t="shared" si="6"/>
        <v>112.20875573061276</v>
      </c>
      <c r="R127" s="18">
        <f t="shared" si="7"/>
        <v>95.288534298404343</v>
      </c>
      <c r="S127" s="36">
        <f>SUM(J122:J128)</f>
        <v>6356</v>
      </c>
      <c r="T127" s="30" t="s">
        <v>3</v>
      </c>
      <c r="U127" s="1738"/>
    </row>
    <row r="128" spans="1:21" ht="18" thickBot="1">
      <c r="A128" s="10" t="s">
        <v>16</v>
      </c>
      <c r="B128" s="200">
        <f>+CHAMNORD!B128</f>
        <v>46145</v>
      </c>
      <c r="C128" s="75">
        <f>IF(H128=0,"",'[3]2025-2026'!C127)</f>
        <v>17664.95</v>
      </c>
      <c r="D128" s="68">
        <f>'[3]2025'!C128</f>
        <v>16733.599999999999</v>
      </c>
      <c r="E128" s="68">
        <f>'[3]2025'!D128</f>
        <v>16419.78</v>
      </c>
      <c r="F128" s="20">
        <f>'[3]2025'!E128</f>
        <v>849</v>
      </c>
      <c r="G128" s="73">
        <f>'[3]2025'!F128</f>
        <v>16700</v>
      </c>
      <c r="H128" s="42">
        <f>'[3]2025'!G128</f>
        <v>17969.21</v>
      </c>
      <c r="I128" s="13">
        <f>'[3]2025'!H128</f>
        <v>17544.05</v>
      </c>
      <c r="J128" s="14">
        <f>'[3]2025'!I128</f>
        <v>901</v>
      </c>
      <c r="K128" s="15">
        <f>'[3]2025'!J128</f>
        <v>148.07999999999998</v>
      </c>
      <c r="L128" s="15">
        <f>'[3]2025'!K128</f>
        <v>172.03</v>
      </c>
      <c r="M128" s="15">
        <f>'[3]2025'!L128</f>
        <v>65.64</v>
      </c>
      <c r="N128" s="16">
        <f t="shared" si="4"/>
        <v>3.7414394053824516E-3</v>
      </c>
      <c r="O128" s="17">
        <f t="shared" si="5"/>
        <v>6.8470466717580905E-2</v>
      </c>
      <c r="P128" s="17">
        <f t="shared" si="5"/>
        <v>6.1248527679623084E-2</v>
      </c>
      <c r="Q128" s="18">
        <f t="shared" si="6"/>
        <v>118.47683684494868</v>
      </c>
      <c r="R128" s="18">
        <f t="shared" si="7"/>
        <v>101.98250305179329</v>
      </c>
      <c r="S128" s="37">
        <f>(S127-SUM(F122:F128))/SUM(F122:F128)</f>
        <v>-0.16969301110385368</v>
      </c>
      <c r="T128" s="47">
        <f>SUM(M122:M128)/SUM(I122:I128)</f>
        <v>5.0892477940798391E-3</v>
      </c>
      <c r="U128" s="1739"/>
    </row>
    <row r="129" spans="1:21" ht="17" customHeight="1" thickTop="1">
      <c r="A129" s="10" t="s">
        <v>9</v>
      </c>
      <c r="B129" s="200">
        <f>+CHAMNORD!B129</f>
        <v>46146</v>
      </c>
      <c r="C129" s="75">
        <f>IF(H129=0,"",'[3]2025-2026'!C128)</f>
        <v>16733.599999999999</v>
      </c>
      <c r="D129" s="68">
        <f>'[3]2025'!C129</f>
        <v>9703.3700000000008</v>
      </c>
      <c r="E129" s="68">
        <f>'[3]2025'!D129</f>
        <v>9563.7800000000007</v>
      </c>
      <c r="F129" s="20">
        <f>'[3]2025'!E129</f>
        <v>568</v>
      </c>
      <c r="G129" s="73">
        <f>'[3]2025'!F129</f>
        <v>9700</v>
      </c>
      <c r="H129" s="42">
        <f>'[3]2025'!G129</f>
        <v>8688.85</v>
      </c>
      <c r="I129" s="13">
        <f>'[3]2025'!H129</f>
        <v>8492.15</v>
      </c>
      <c r="J129" s="14">
        <f>'[3]2025'!I129</f>
        <v>456</v>
      </c>
      <c r="K129" s="15">
        <f>'[3]2025'!J129</f>
        <v>109.69</v>
      </c>
      <c r="L129" s="15">
        <f>'[3]2025'!K129</f>
        <v>127.7</v>
      </c>
      <c r="M129" s="15">
        <f>'[3]2025'!L129</f>
        <v>72.34</v>
      </c>
      <c r="N129" s="16">
        <f t="shared" si="4"/>
        <v>8.5184552792873427E-3</v>
      </c>
      <c r="O129" s="17">
        <f t="shared" si="5"/>
        <v>-0.11205088364642442</v>
      </c>
      <c r="P129" s="17">
        <f t="shared" si="5"/>
        <v>-0.19718309859154928</v>
      </c>
      <c r="Q129" s="18">
        <f t="shared" si="6"/>
        <v>77.419545993253706</v>
      </c>
      <c r="R129" s="18">
        <f t="shared" si="7"/>
        <v>66.500783085356304</v>
      </c>
      <c r="S129" s="33" t="s">
        <v>39</v>
      </c>
      <c r="T129" s="31" t="s">
        <v>42</v>
      </c>
      <c r="U129" s="1737" t="s">
        <v>101</v>
      </c>
    </row>
    <row r="130" spans="1:21">
      <c r="A130" s="10" t="s">
        <v>11</v>
      </c>
      <c r="B130" s="200">
        <f>+CHAMNORD!B130</f>
        <v>46147</v>
      </c>
      <c r="C130" s="75">
        <f>IF(H130=0,"",'[3]2025-2026'!C129)</f>
        <v>9703.3700000000008</v>
      </c>
      <c r="D130" s="68">
        <f>'[3]2025'!C130</f>
        <v>11340.16</v>
      </c>
      <c r="E130" s="68">
        <f>'[3]2025'!D130</f>
        <v>11166.33</v>
      </c>
      <c r="F130" s="20">
        <f>'[3]2025'!E130</f>
        <v>685</v>
      </c>
      <c r="G130" s="73">
        <f>'[3]2025'!F130</f>
        <v>11400</v>
      </c>
      <c r="H130" s="42">
        <f>'[3]2025'!G130</f>
        <v>11370.99</v>
      </c>
      <c r="I130" s="13">
        <f>'[3]2025'!H130</f>
        <v>10938.76</v>
      </c>
      <c r="J130" s="14">
        <f>'[3]2025'!I130</f>
        <v>616</v>
      </c>
      <c r="K130" s="15">
        <f>'[3]2025'!J130</f>
        <v>127.35</v>
      </c>
      <c r="L130" s="15">
        <f>'[3]2025'!K130</f>
        <v>144.97999999999999</v>
      </c>
      <c r="M130" s="15">
        <f>'[3]2025'!L130</f>
        <v>97.19</v>
      </c>
      <c r="N130" s="16">
        <f t="shared" si="4"/>
        <v>8.8849193144378332E-3</v>
      </c>
      <c r="O130" s="17">
        <f t="shared" si="5"/>
        <v>-2.0380017427391067E-2</v>
      </c>
      <c r="P130" s="17">
        <f t="shared" si="5"/>
        <v>-0.10072992700729927</v>
      </c>
      <c r="Q130" s="18">
        <f t="shared" si="6"/>
        <v>85.895249312917159</v>
      </c>
      <c r="R130" s="18">
        <f t="shared" si="7"/>
        <v>75.450131052558987</v>
      </c>
      <c r="S130" s="34">
        <f>SUM(I129:I135)</f>
        <v>98240.09</v>
      </c>
      <c r="T130" s="45" t="s">
        <v>41</v>
      </c>
      <c r="U130" s="1738"/>
    </row>
    <row r="131" spans="1:21">
      <c r="A131" s="10" t="s">
        <v>12</v>
      </c>
      <c r="B131" s="200">
        <f>+CHAMNORD!B131</f>
        <v>46148</v>
      </c>
      <c r="C131" s="75">
        <f>IF(H131=0,"",'[3]2025-2026'!C130)</f>
        <v>11340.16</v>
      </c>
      <c r="D131" s="68">
        <f>'[3]2025'!C131</f>
        <v>12967.68</v>
      </c>
      <c r="E131" s="68">
        <f>'[3]2025'!D131</f>
        <v>12746.24</v>
      </c>
      <c r="F131" s="20">
        <f>'[3]2025'!E131</f>
        <v>787</v>
      </c>
      <c r="G131" s="73">
        <f>'[3]2025'!F131</f>
        <v>13000</v>
      </c>
      <c r="H131" s="42">
        <f>'[3]2025'!G131</f>
        <v>12272.4</v>
      </c>
      <c r="I131" s="13">
        <f>'[3]2025'!H131</f>
        <v>11945.03</v>
      </c>
      <c r="J131" s="14">
        <f>'[3]2025'!I131</f>
        <v>737</v>
      </c>
      <c r="K131" s="15">
        <f>'[3]2025'!J131</f>
        <v>142.73000000000002</v>
      </c>
      <c r="L131" s="15">
        <f>'[3]2025'!K131</f>
        <v>168.13</v>
      </c>
      <c r="M131" s="15">
        <f>'[3]2025'!L131</f>
        <v>123.4</v>
      </c>
      <c r="N131" s="16">
        <f t="shared" si="4"/>
        <v>1.0330656348288786E-2</v>
      </c>
      <c r="O131" s="17">
        <f t="shared" si="5"/>
        <v>-6.2858537105844478E-2</v>
      </c>
      <c r="P131" s="17">
        <f t="shared" si="5"/>
        <v>-6.353240152477764E-2</v>
      </c>
      <c r="Q131" s="18">
        <f t="shared" si="6"/>
        <v>83.689693827506474</v>
      </c>
      <c r="R131" s="18">
        <f t="shared" si="7"/>
        <v>71.046392672336893</v>
      </c>
      <c r="S131" s="35">
        <f>(S130-SUM(E129:E135))/SUM(E129:E135)</f>
        <v>-4.1991248231405785E-2</v>
      </c>
      <c r="T131" s="48">
        <f>SUM(I129:I135)/SUM(K129:K135)</f>
        <v>93.739649430826034</v>
      </c>
      <c r="U131" s="1738"/>
    </row>
    <row r="132" spans="1:21">
      <c r="A132" s="10" t="s">
        <v>13</v>
      </c>
      <c r="B132" s="200">
        <f>+CHAMNORD!B132</f>
        <v>46149</v>
      </c>
      <c r="C132" s="75">
        <f>IF(H132=0,"",'[3]2025-2026'!C131)</f>
        <v>12967.68</v>
      </c>
      <c r="D132" s="68">
        <f>'[3]2025'!C132</f>
        <v>18130.82</v>
      </c>
      <c r="E132" s="68">
        <f>'[3]2025'!D132</f>
        <v>17807.400000000001</v>
      </c>
      <c r="F132" s="20">
        <f>'[3]2025'!E132</f>
        <v>1108</v>
      </c>
      <c r="G132" s="73">
        <f>'[3]2025'!F132</f>
        <v>18100</v>
      </c>
      <c r="H132" s="42">
        <f>'[3]2025'!G132</f>
        <v>15414.94</v>
      </c>
      <c r="I132" s="13">
        <f>'[3]2025'!H132</f>
        <v>15093.09</v>
      </c>
      <c r="J132" s="14">
        <f>'[3]2025'!I132</f>
        <v>984</v>
      </c>
      <c r="K132" s="15">
        <f>'[3]2025'!J132</f>
        <v>154.60999999999999</v>
      </c>
      <c r="L132" s="15">
        <f>'[3]2025'!K132</f>
        <v>184.13</v>
      </c>
      <c r="M132" s="15">
        <f>'[3]2025'!L132</f>
        <v>112.9</v>
      </c>
      <c r="N132" s="16">
        <f t="shared" ref="N132:N195" si="8">IF(M132=0,"",M132/I132)</f>
        <v>7.4802442707225629E-3</v>
      </c>
      <c r="O132" s="17">
        <f t="shared" ref="O132:P195" si="9">IF(I132=0,"",(I132-E132)/E132)</f>
        <v>-0.15242595774790263</v>
      </c>
      <c r="P132" s="17">
        <f t="shared" si="9"/>
        <v>-0.11191335740072202</v>
      </c>
      <c r="Q132" s="18">
        <f t="shared" ref="Q132:Q195" si="10">IF(I132=0,"",I132/K132)</f>
        <v>97.620399715412987</v>
      </c>
      <c r="R132" s="18">
        <f t="shared" ref="R132:R195" si="11">I132/L132</f>
        <v>81.969749633411183</v>
      </c>
      <c r="S132" s="34"/>
      <c r="T132" s="29" t="s">
        <v>8</v>
      </c>
      <c r="U132" s="1738"/>
    </row>
    <row r="133" spans="1:21">
      <c r="A133" s="10" t="s">
        <v>14</v>
      </c>
      <c r="B133" s="200">
        <f>+CHAMNORD!B133</f>
        <v>46150</v>
      </c>
      <c r="C133" s="75">
        <f>IF(H133=0,"",'[3]2025-2026'!C132)</f>
        <v>18130.82</v>
      </c>
      <c r="D133" s="68">
        <f>'[3]2025'!C133</f>
        <v>15573.37</v>
      </c>
      <c r="E133" s="68">
        <f>'[3]2025'!D133</f>
        <v>15353.75</v>
      </c>
      <c r="F133" s="20">
        <f>'[3]2025'!E133</f>
        <v>946</v>
      </c>
      <c r="G133" s="73">
        <f>'[3]2025'!F133</f>
        <v>21000</v>
      </c>
      <c r="H133" s="42">
        <f>'[3]2025'!G133</f>
        <v>18914.37</v>
      </c>
      <c r="I133" s="13">
        <f>'[3]2025'!H133</f>
        <v>18518.89</v>
      </c>
      <c r="J133" s="14">
        <f>'[3]2025'!I133</f>
        <v>1104</v>
      </c>
      <c r="K133" s="15">
        <f>'[3]2025'!J133</f>
        <v>182.42</v>
      </c>
      <c r="L133" s="15">
        <f>'[3]2025'!K133</f>
        <v>204.23</v>
      </c>
      <c r="M133" s="15">
        <f>'[3]2025'!L133</f>
        <v>54.7</v>
      </c>
      <c r="N133" s="16">
        <f t="shared" si="8"/>
        <v>2.9537407479605961E-3</v>
      </c>
      <c r="O133" s="17">
        <f t="shared" si="9"/>
        <v>0.20614768379060486</v>
      </c>
      <c r="P133" s="17">
        <f t="shared" si="9"/>
        <v>0.16701902748414377</v>
      </c>
      <c r="Q133" s="18">
        <f t="shared" si="10"/>
        <v>101.51787084749479</v>
      </c>
      <c r="R133" s="18">
        <f t="shared" si="11"/>
        <v>90.676639083386377</v>
      </c>
      <c r="S133" s="36" t="s">
        <v>40</v>
      </c>
      <c r="T133" s="48">
        <f>SUM(I129:I135)/SUM(L129:L135)</f>
        <v>81.151258074641888</v>
      </c>
      <c r="U133" s="1738"/>
    </row>
    <row r="134" spans="1:21">
      <c r="A134" s="10" t="s">
        <v>15</v>
      </c>
      <c r="B134" s="200">
        <f>+CHAMNORD!B134</f>
        <v>46151</v>
      </c>
      <c r="C134" s="75">
        <f>IF(H134=0,"",'[3]2025-2026'!C133)</f>
        <v>15573.37</v>
      </c>
      <c r="D134" s="68">
        <f>'[3]2025'!C134</f>
        <v>17502.84</v>
      </c>
      <c r="E134" s="68">
        <f>'[3]2025'!D134</f>
        <v>17252.84</v>
      </c>
      <c r="F134" s="20">
        <f>'[3]2025'!E134</f>
        <v>1165</v>
      </c>
      <c r="G134" s="73">
        <f>'[3]2025'!F134</f>
        <v>17600</v>
      </c>
      <c r="H134" s="42">
        <f>'[3]2025'!G134</f>
        <v>16521.22</v>
      </c>
      <c r="I134" s="13">
        <f>'[3]2025'!H134</f>
        <v>16225.97</v>
      </c>
      <c r="J134" s="14">
        <f>'[3]2025'!I134</f>
        <v>1021</v>
      </c>
      <c r="K134" s="15">
        <f>'[3]2025'!J134</f>
        <v>178.13</v>
      </c>
      <c r="L134" s="15">
        <f>'[3]2025'!K134</f>
        <v>201.38</v>
      </c>
      <c r="M134" s="15">
        <f>'[3]2025'!L134</f>
        <v>129.43</v>
      </c>
      <c r="N134" s="16">
        <f t="shared" si="8"/>
        <v>7.9767188032518251E-3</v>
      </c>
      <c r="O134" s="17">
        <f t="shared" si="9"/>
        <v>-5.9518896599052726E-2</v>
      </c>
      <c r="P134" s="17">
        <f t="shared" si="9"/>
        <v>-0.12360515021459227</v>
      </c>
      <c r="Q134" s="18">
        <f t="shared" si="10"/>
        <v>91.090607982933804</v>
      </c>
      <c r="R134" s="18">
        <f t="shared" si="11"/>
        <v>80.573890157910412</v>
      </c>
      <c r="S134" s="36">
        <f>SUM(J129:J135)</f>
        <v>5800</v>
      </c>
      <c r="T134" s="30" t="s">
        <v>3</v>
      </c>
      <c r="U134" s="1738"/>
    </row>
    <row r="135" spans="1:21" ht="18" thickBot="1">
      <c r="A135" s="10" t="s">
        <v>16</v>
      </c>
      <c r="B135" s="200">
        <f>+CHAMNORD!B135</f>
        <v>46152</v>
      </c>
      <c r="C135" s="75">
        <f>IF(H135=0,"",'[3]2025-2026'!C134)</f>
        <v>17502.84</v>
      </c>
      <c r="D135" s="68">
        <f>'[3]2025'!C135</f>
        <v>18905.87</v>
      </c>
      <c r="E135" s="68">
        <f>'[3]2025'!D135</f>
        <v>18655.79</v>
      </c>
      <c r="F135" s="20">
        <f>'[3]2025'!E135</f>
        <v>1030</v>
      </c>
      <c r="G135" s="73">
        <f>'[3]2025'!F135</f>
        <v>19000</v>
      </c>
      <c r="H135" s="42">
        <f>'[3]2025'!G135</f>
        <v>17461.54</v>
      </c>
      <c r="I135" s="13">
        <f>'[3]2025'!H135</f>
        <v>17026.2</v>
      </c>
      <c r="J135" s="14">
        <f>'[3]2025'!I135</f>
        <v>882</v>
      </c>
      <c r="K135" s="15">
        <f>'[3]2025'!J135</f>
        <v>153.08000000000001</v>
      </c>
      <c r="L135" s="15">
        <f>'[3]2025'!K135</f>
        <v>180.03</v>
      </c>
      <c r="M135" s="15">
        <f>'[3]2025'!L135</f>
        <v>60.55</v>
      </c>
      <c r="N135" s="16">
        <f t="shared" si="8"/>
        <v>3.556283844897863E-3</v>
      </c>
      <c r="O135" s="17">
        <f t="shared" si="9"/>
        <v>-8.7350361469549137E-2</v>
      </c>
      <c r="P135" s="17">
        <f t="shared" si="9"/>
        <v>-0.1436893203883495</v>
      </c>
      <c r="Q135" s="18">
        <f t="shared" si="10"/>
        <v>111.22419649856283</v>
      </c>
      <c r="R135" s="18">
        <f t="shared" si="11"/>
        <v>94.574237627062161</v>
      </c>
      <c r="S135" s="37">
        <f>(S134-SUM(F129:F135))/SUM(F129:F135)</f>
        <v>-7.7754809985689302E-2</v>
      </c>
      <c r="T135" s="47">
        <f>SUM(M129:M135)/SUM(I129:I135)</f>
        <v>6.6216348132417226E-3</v>
      </c>
      <c r="U135" s="1739"/>
    </row>
    <row r="136" spans="1:21" ht="17" customHeight="1" thickTop="1">
      <c r="A136" s="10" t="s">
        <v>9</v>
      </c>
      <c r="B136" s="200">
        <f>+CHAMNORD!B136</f>
        <v>46153</v>
      </c>
      <c r="C136" s="75">
        <f>IF(H136=0,"",'[3]2025-2026'!C135)</f>
        <v>18905.87</v>
      </c>
      <c r="D136" s="68">
        <f>'[3]2025'!C136</f>
        <v>8854.85</v>
      </c>
      <c r="E136" s="68">
        <f>'[3]2025'!D136</f>
        <v>8755.65</v>
      </c>
      <c r="F136" s="20">
        <f>'[3]2025'!E136</f>
        <v>569</v>
      </c>
      <c r="G136" s="73">
        <f>'[3]2025'!F136</f>
        <v>8900</v>
      </c>
      <c r="H136" s="42">
        <f>'[3]2025'!G136</f>
        <v>9063.11</v>
      </c>
      <c r="I136" s="13">
        <f>'[3]2025'!H136</f>
        <v>8883.98</v>
      </c>
      <c r="J136" s="14">
        <f>'[3]2025'!I136</f>
        <v>500</v>
      </c>
      <c r="K136" s="15">
        <f>'[3]2025'!J136</f>
        <v>108.05999999999999</v>
      </c>
      <c r="L136" s="15">
        <f>'[3]2025'!K136</f>
        <v>124.96</v>
      </c>
      <c r="M136" s="15">
        <f>'[3]2025'!L136</f>
        <v>72.56</v>
      </c>
      <c r="N136" s="16">
        <f t="shared" si="8"/>
        <v>8.1675105076778661E-3</v>
      </c>
      <c r="O136" s="17">
        <f t="shared" si="9"/>
        <v>1.4656821595198521E-2</v>
      </c>
      <c r="P136" s="17">
        <f t="shared" si="9"/>
        <v>-0.12126537785588752</v>
      </c>
      <c r="Q136" s="18">
        <f t="shared" si="10"/>
        <v>82.21339996298353</v>
      </c>
      <c r="R136" s="18">
        <f t="shared" si="11"/>
        <v>71.094590268886037</v>
      </c>
      <c r="S136" s="33" t="s">
        <v>39</v>
      </c>
      <c r="T136" s="31" t="s">
        <v>42</v>
      </c>
      <c r="U136" s="1737" t="s">
        <v>102</v>
      </c>
    </row>
    <row r="137" spans="1:21">
      <c r="A137" s="10" t="s">
        <v>11</v>
      </c>
      <c r="B137" s="200">
        <f>+CHAMNORD!B137</f>
        <v>46154</v>
      </c>
      <c r="C137" s="75">
        <f>IF(H137=0,"",'[3]2025-2026'!C136)</f>
        <v>8854.85</v>
      </c>
      <c r="D137" s="68">
        <f>'[3]2025'!C137</f>
        <v>10272.99</v>
      </c>
      <c r="E137" s="68">
        <f>'[3]2025'!D137</f>
        <v>10173.23</v>
      </c>
      <c r="F137" s="20">
        <f>'[3]2025'!E137</f>
        <v>673</v>
      </c>
      <c r="G137" s="73">
        <f>'[3]2025'!F137</f>
        <v>10400</v>
      </c>
      <c r="H137" s="42">
        <f>'[3]2025'!G137</f>
        <v>10799.43</v>
      </c>
      <c r="I137" s="13">
        <f>'[3]2025'!H137</f>
        <v>10598.8</v>
      </c>
      <c r="J137" s="14">
        <f>'[3]2025'!I137</f>
        <v>616</v>
      </c>
      <c r="K137" s="15">
        <f>'[3]2025'!J137</f>
        <v>111.89999999999999</v>
      </c>
      <c r="L137" s="15">
        <f>'[3]2025'!K137</f>
        <v>129.35</v>
      </c>
      <c r="M137" s="15">
        <f>'[3]2025'!L137</f>
        <v>48.7</v>
      </c>
      <c r="N137" s="16">
        <f t="shared" si="8"/>
        <v>4.5948597954485419E-3</v>
      </c>
      <c r="O137" s="17">
        <f t="shared" si="9"/>
        <v>4.1832338401864476E-2</v>
      </c>
      <c r="P137" s="17">
        <f t="shared" si="9"/>
        <v>-8.469539375928678E-2</v>
      </c>
      <c r="Q137" s="18">
        <f t="shared" si="10"/>
        <v>94.716711349419128</v>
      </c>
      <c r="R137" s="18">
        <f t="shared" si="11"/>
        <v>81.938925396211829</v>
      </c>
      <c r="S137" s="34">
        <f>SUM(I136:I142)</f>
        <v>92342.459999999992</v>
      </c>
      <c r="T137" s="45" t="s">
        <v>41</v>
      </c>
      <c r="U137" s="1738"/>
    </row>
    <row r="138" spans="1:21">
      <c r="A138" s="10" t="s">
        <v>12</v>
      </c>
      <c r="B138" s="200">
        <f>+CHAMNORD!B138</f>
        <v>46155</v>
      </c>
      <c r="C138" s="75">
        <f>IF(H138=0,"",'[3]2025-2026'!C137)</f>
        <v>10272.99</v>
      </c>
      <c r="D138" s="68">
        <f>'[3]2025'!C138</f>
        <v>13847.05</v>
      </c>
      <c r="E138" s="68">
        <f>'[3]2025'!D138</f>
        <v>13638.3</v>
      </c>
      <c r="F138" s="20">
        <f>'[3]2025'!E138</f>
        <v>927</v>
      </c>
      <c r="G138" s="73">
        <f>'[3]2025'!F138</f>
        <v>13900</v>
      </c>
      <c r="H138" s="42">
        <f>'[3]2025'!G138</f>
        <v>13251.09</v>
      </c>
      <c r="I138" s="13">
        <f>'[3]2025'!H138</f>
        <v>12987.13</v>
      </c>
      <c r="J138" s="14">
        <f>'[3]2025'!I138</f>
        <v>840</v>
      </c>
      <c r="K138" s="15">
        <f>'[3]2025'!J138</f>
        <v>147.07000000000002</v>
      </c>
      <c r="L138" s="15">
        <f>'[3]2025'!K138</f>
        <v>169.77</v>
      </c>
      <c r="M138" s="15">
        <f>'[3]2025'!L138</f>
        <v>66.650000000000006</v>
      </c>
      <c r="N138" s="16">
        <f t="shared" si="8"/>
        <v>5.1320037606461177E-3</v>
      </c>
      <c r="O138" s="17">
        <f t="shared" si="9"/>
        <v>-4.7745686779144036E-2</v>
      </c>
      <c r="P138" s="17">
        <f t="shared" si="9"/>
        <v>-9.3851132686084138E-2</v>
      </c>
      <c r="Q138" s="18">
        <f t="shared" si="10"/>
        <v>88.30577276127012</v>
      </c>
      <c r="R138" s="18">
        <f t="shared" si="11"/>
        <v>76.49838016139482</v>
      </c>
      <c r="S138" s="35">
        <f>(S137-SUM(E136:E142))/SUM(E136:E142)</f>
        <v>-9.4226480310250105E-2</v>
      </c>
      <c r="T138" s="48">
        <f>SUM(I136:I142)/SUM(K136:K142)</f>
        <v>90.741775087457242</v>
      </c>
      <c r="U138" s="1738"/>
    </row>
    <row r="139" spans="1:21">
      <c r="A139" s="10" t="s">
        <v>13</v>
      </c>
      <c r="B139" s="200">
        <f>+CHAMNORD!B139</f>
        <v>46156</v>
      </c>
      <c r="C139" s="75">
        <f>IF(H139=0,"",'[3]2025-2026'!C138)</f>
        <v>13847.05</v>
      </c>
      <c r="D139" s="68">
        <f>'[3]2025'!C139</f>
        <v>12761.93</v>
      </c>
      <c r="E139" s="68">
        <f>'[3]2025'!D139</f>
        <v>12608.22</v>
      </c>
      <c r="F139" s="20">
        <f>'[3]2025'!E139</f>
        <v>867</v>
      </c>
      <c r="G139" s="73">
        <f>'[3]2025'!F139</f>
        <v>18000</v>
      </c>
      <c r="H139" s="42">
        <f>'[3]2025'!G139</f>
        <v>15303.99</v>
      </c>
      <c r="I139" s="13">
        <f>'[3]2025'!H139</f>
        <v>14864.25</v>
      </c>
      <c r="J139" s="14">
        <f>'[3]2025'!I139</f>
        <v>861</v>
      </c>
      <c r="K139" s="15">
        <f>'[3]2025'!J139</f>
        <v>166.98999999999998</v>
      </c>
      <c r="L139" s="15">
        <f>'[3]2025'!K139</f>
        <v>189.92</v>
      </c>
      <c r="M139" s="15">
        <f>'[3]2025'!L139</f>
        <v>57.88</v>
      </c>
      <c r="N139" s="16">
        <f t="shared" si="8"/>
        <v>3.8939065206788099E-3</v>
      </c>
      <c r="O139" s="17">
        <f t="shared" si="9"/>
        <v>0.17893326734463713</v>
      </c>
      <c r="P139" s="17">
        <f t="shared" si="9"/>
        <v>-6.920415224913495E-3</v>
      </c>
      <c r="Q139" s="18">
        <f t="shared" si="10"/>
        <v>89.012815138631069</v>
      </c>
      <c r="R139" s="18">
        <f t="shared" si="11"/>
        <v>78.265848778433025</v>
      </c>
      <c r="S139" s="34"/>
      <c r="T139" s="29" t="s">
        <v>8</v>
      </c>
      <c r="U139" s="1738"/>
    </row>
    <row r="140" spans="1:21">
      <c r="A140" s="10" t="s">
        <v>14</v>
      </c>
      <c r="B140" s="200">
        <f>+CHAMNORD!B140</f>
        <v>46157</v>
      </c>
      <c r="C140" s="75">
        <f>IF(H140=0,"",'[3]2025-2026'!C139)</f>
        <v>12761.93</v>
      </c>
      <c r="D140" s="68">
        <f>'[3]2025'!C140</f>
        <v>16698.919999999998</v>
      </c>
      <c r="E140" s="68">
        <f>'[3]2025'!D140</f>
        <v>16446.669999999998</v>
      </c>
      <c r="F140" s="20">
        <f>'[3]2025'!E140</f>
        <v>1069</v>
      </c>
      <c r="G140" s="73">
        <f>'[3]2025'!F140</f>
        <v>16800</v>
      </c>
      <c r="H140" s="42">
        <f>'[3]2025'!G140</f>
        <v>15140.02</v>
      </c>
      <c r="I140" s="13">
        <f>'[3]2025'!H140</f>
        <v>14855.02</v>
      </c>
      <c r="J140" s="14">
        <f>'[3]2025'!I140</f>
        <v>849</v>
      </c>
      <c r="K140" s="15">
        <f>'[3]2025'!J140</f>
        <v>167.35</v>
      </c>
      <c r="L140" s="15">
        <f>'[3]2025'!K140</f>
        <v>191.7</v>
      </c>
      <c r="M140" s="15">
        <f>'[3]2025'!L140</f>
        <v>69.17</v>
      </c>
      <c r="N140" s="16">
        <f t="shared" si="8"/>
        <v>4.6563383960438959E-3</v>
      </c>
      <c r="O140" s="17">
        <f t="shared" si="9"/>
        <v>-9.6776429514302778E-2</v>
      </c>
      <c r="P140" s="17">
        <f t="shared" si="9"/>
        <v>-0.205799812909261</v>
      </c>
      <c r="Q140" s="18">
        <f t="shared" si="10"/>
        <v>88.766178667463407</v>
      </c>
      <c r="R140" s="18">
        <f t="shared" si="11"/>
        <v>77.490975482524789</v>
      </c>
      <c r="S140" s="36" t="s">
        <v>40</v>
      </c>
      <c r="T140" s="48">
        <f>SUM(I136:I142)/SUM(L136:L142)</f>
        <v>79.388619032471595</v>
      </c>
      <c r="U140" s="1738"/>
    </row>
    <row r="141" spans="1:21">
      <c r="A141" s="10" t="s">
        <v>15</v>
      </c>
      <c r="B141" s="200">
        <f>+CHAMNORD!B141</f>
        <v>46158</v>
      </c>
      <c r="C141" s="75">
        <f>IF(H141=0,"",'[3]2025-2026'!C140)</f>
        <v>16698.919999999998</v>
      </c>
      <c r="D141" s="68">
        <f>'[3]2025'!C141</f>
        <v>19551.21</v>
      </c>
      <c r="E141" s="68">
        <f>'[3]2025'!D141</f>
        <v>19298.169999999998</v>
      </c>
      <c r="F141" s="20">
        <f>'[3]2025'!E141</f>
        <v>1150</v>
      </c>
      <c r="G141" s="73">
        <f>'[3]2025'!F141</f>
        <v>19700</v>
      </c>
      <c r="H141" s="42">
        <f>'[3]2025'!G141</f>
        <v>14934.98</v>
      </c>
      <c r="I141" s="13">
        <f>'[3]2025'!H141</f>
        <v>14517.25</v>
      </c>
      <c r="J141" s="14">
        <f>'[3]2025'!I141</f>
        <v>876</v>
      </c>
      <c r="K141" s="15">
        <f>'[3]2025'!J141</f>
        <v>164.6</v>
      </c>
      <c r="L141" s="15">
        <f>'[3]2025'!K141</f>
        <v>188.8</v>
      </c>
      <c r="M141" s="15">
        <f>'[3]2025'!L141</f>
        <v>73.12</v>
      </c>
      <c r="N141" s="16">
        <f t="shared" si="8"/>
        <v>5.0367666052454838E-3</v>
      </c>
      <c r="O141" s="17">
        <f t="shared" si="9"/>
        <v>-0.24773955250679203</v>
      </c>
      <c r="P141" s="17">
        <f t="shared" si="9"/>
        <v>-0.23826086956521739</v>
      </c>
      <c r="Q141" s="18">
        <f t="shared" si="10"/>
        <v>88.197144592952611</v>
      </c>
      <c r="R141" s="18">
        <f t="shared" si="11"/>
        <v>76.892213983050837</v>
      </c>
      <c r="S141" s="36">
        <f>SUM(J136:J142)</f>
        <v>5400</v>
      </c>
      <c r="T141" s="30" t="s">
        <v>3</v>
      </c>
      <c r="U141" s="1738"/>
    </row>
    <row r="142" spans="1:21" ht="18" thickBot="1">
      <c r="A142" s="10" t="s">
        <v>16</v>
      </c>
      <c r="B142" s="200">
        <f>+CHAMNORD!B142</f>
        <v>46159</v>
      </c>
      <c r="C142" s="75">
        <f>IF(H142=0,"",'[3]2025-2026'!C141)</f>
        <v>19551.21</v>
      </c>
      <c r="D142" s="68">
        <f>'[3]2025'!C142</f>
        <v>21314.51</v>
      </c>
      <c r="E142" s="68">
        <f>'[3]2025'!D142</f>
        <v>21028.49</v>
      </c>
      <c r="F142" s="20">
        <f>'[3]2025'!E142</f>
        <v>1296</v>
      </c>
      <c r="G142" s="73">
        <f>'[3]2025'!F142</f>
        <v>21400</v>
      </c>
      <c r="H142" s="42">
        <f>'[3]2025'!G142</f>
        <v>15971.45</v>
      </c>
      <c r="I142" s="13">
        <f>'[3]2025'!H142</f>
        <v>15636.03</v>
      </c>
      <c r="J142" s="14">
        <f>'[3]2025'!I142</f>
        <v>858</v>
      </c>
      <c r="K142" s="15">
        <f>'[3]2025'!J142</f>
        <v>151.66999999999999</v>
      </c>
      <c r="L142" s="15">
        <f>'[3]2025'!K142</f>
        <v>168.67</v>
      </c>
      <c r="M142" s="15">
        <f>'[3]2025'!L142</f>
        <v>68.56</v>
      </c>
      <c r="N142" s="16">
        <f t="shared" si="8"/>
        <v>4.3847447210065473E-3</v>
      </c>
      <c r="O142" s="17">
        <f t="shared" si="9"/>
        <v>-0.25643591147058115</v>
      </c>
      <c r="P142" s="17">
        <f t="shared" si="9"/>
        <v>-0.33796296296296297</v>
      </c>
      <c r="Q142" s="18">
        <f t="shared" si="10"/>
        <v>103.09243752884554</v>
      </c>
      <c r="R142" s="18">
        <f t="shared" si="11"/>
        <v>92.701903124444186</v>
      </c>
      <c r="S142" s="37">
        <f>(S141-SUM(F136:F142))/SUM(F136:F142)</f>
        <v>-0.1756983666615784</v>
      </c>
      <c r="T142" s="47">
        <f>SUM(M136:M142)/SUM(I136:I142)</f>
        <v>4.9450707724268995E-3</v>
      </c>
      <c r="U142" s="1739"/>
    </row>
    <row r="143" spans="1:21" ht="17" customHeight="1" thickTop="1">
      <c r="A143" s="10" t="s">
        <v>9</v>
      </c>
      <c r="B143" s="200">
        <f>+CHAMNORD!B143</f>
        <v>46160</v>
      </c>
      <c r="C143" s="75">
        <f>IF(H143=0,"",'[3]2025-2026'!C142)</f>
        <v>21314.51</v>
      </c>
      <c r="D143" s="68">
        <f>'[3]2025'!C143</f>
        <v>8445.49</v>
      </c>
      <c r="E143" s="68">
        <f>'[3]2025'!D143</f>
        <v>8362.9699999999993</v>
      </c>
      <c r="F143" s="20">
        <f>'[3]2025'!E143</f>
        <v>553</v>
      </c>
      <c r="G143" s="73">
        <f>'[3]2025'!F143</f>
        <v>8500</v>
      </c>
      <c r="H143" s="42">
        <f>'[3]2025'!G143</f>
        <v>7823.24</v>
      </c>
      <c r="I143" s="13">
        <f>'[3]2025'!H143</f>
        <v>7696.42</v>
      </c>
      <c r="J143" s="14">
        <f>'[3]2025'!I143</f>
        <v>465</v>
      </c>
      <c r="K143" s="15">
        <f>'[3]2025'!J143</f>
        <v>103.05000000000001</v>
      </c>
      <c r="L143" s="15">
        <f>'[3]2025'!K143</f>
        <v>127.98</v>
      </c>
      <c r="M143" s="15">
        <f>'[3]2025'!L143</f>
        <v>117.32</v>
      </c>
      <c r="N143" s="16">
        <f t="shared" si="8"/>
        <v>1.5243450851174961E-2</v>
      </c>
      <c r="O143" s="17">
        <f t="shared" si="9"/>
        <v>-7.970254586588249E-2</v>
      </c>
      <c r="P143" s="17">
        <f t="shared" si="9"/>
        <v>-0.15913200723327306</v>
      </c>
      <c r="Q143" s="18">
        <f t="shared" si="10"/>
        <v>74.686268801552643</v>
      </c>
      <c r="R143" s="18">
        <f t="shared" si="11"/>
        <v>60.137677762150332</v>
      </c>
      <c r="S143" s="33" t="s">
        <v>39</v>
      </c>
      <c r="T143" s="31" t="s">
        <v>42</v>
      </c>
      <c r="U143" s="1737" t="s">
        <v>103</v>
      </c>
    </row>
    <row r="144" spans="1:21">
      <c r="A144" s="10" t="s">
        <v>11</v>
      </c>
      <c r="B144" s="200">
        <f>+CHAMNORD!B144</f>
        <v>46161</v>
      </c>
      <c r="C144" s="75">
        <f>IF(H144=0,"",'[3]2025-2026'!C143)</f>
        <v>8445.49</v>
      </c>
      <c r="D144" s="68">
        <f>'[3]2025'!C144</f>
        <v>10340.94</v>
      </c>
      <c r="E144" s="68">
        <f>'[3]2025'!D144</f>
        <v>10183.299999999999</v>
      </c>
      <c r="F144" s="20">
        <f>'[3]2025'!E144</f>
        <v>629</v>
      </c>
      <c r="G144" s="73">
        <f>'[3]2025'!F144</f>
        <v>10400</v>
      </c>
      <c r="H144" s="42">
        <f>'[3]2025'!G144</f>
        <v>8579.65</v>
      </c>
      <c r="I144" s="13">
        <f>'[3]2025'!H144</f>
        <v>8430.4599999999991</v>
      </c>
      <c r="J144" s="14">
        <f>'[3]2025'!I144</f>
        <v>533</v>
      </c>
      <c r="K144" s="15">
        <f>'[3]2025'!J144</f>
        <v>112.69999999999999</v>
      </c>
      <c r="L144" s="15">
        <f>'[3]2025'!K144</f>
        <v>128.19</v>
      </c>
      <c r="M144" s="15">
        <f>'[3]2025'!L144</f>
        <v>61.9</v>
      </c>
      <c r="N144" s="16">
        <f t="shared" si="8"/>
        <v>7.342422596157268E-3</v>
      </c>
      <c r="O144" s="17">
        <f t="shared" si="9"/>
        <v>-0.17212887767226737</v>
      </c>
      <c r="P144" s="17">
        <f t="shared" si="9"/>
        <v>-0.15262321144674085</v>
      </c>
      <c r="Q144" s="18">
        <f t="shared" si="10"/>
        <v>74.804436557231583</v>
      </c>
      <c r="R144" s="18">
        <f t="shared" si="11"/>
        <v>65.765348311100709</v>
      </c>
      <c r="S144" s="34">
        <f>SUM(I143:I149)</f>
        <v>98715.6</v>
      </c>
      <c r="T144" s="45" t="s">
        <v>41</v>
      </c>
      <c r="U144" s="1738"/>
    </row>
    <row r="145" spans="1:21">
      <c r="A145" s="10" t="s">
        <v>12</v>
      </c>
      <c r="B145" s="200">
        <f>+CHAMNORD!B145</f>
        <v>46162</v>
      </c>
      <c r="C145" s="75">
        <f>IF(H145=0,"",'[3]2025-2026'!C144)</f>
        <v>10340.94</v>
      </c>
      <c r="D145" s="68">
        <f>'[3]2025'!C145</f>
        <v>12196.15</v>
      </c>
      <c r="E145" s="68">
        <f>'[3]2025'!D145</f>
        <v>11985.79</v>
      </c>
      <c r="F145" s="20">
        <f>'[3]2025'!E145</f>
        <v>782</v>
      </c>
      <c r="G145" s="73">
        <f>'[3]2025'!F145</f>
        <v>12200</v>
      </c>
      <c r="H145" s="42">
        <f>'[3]2025'!G145</f>
        <v>12994.34</v>
      </c>
      <c r="I145" s="13">
        <f>'[3]2025'!H145</f>
        <v>12728.67</v>
      </c>
      <c r="J145" s="14">
        <f>'[3]2025'!I145</f>
        <v>783</v>
      </c>
      <c r="K145" s="15">
        <f>'[3]2025'!J145</f>
        <v>145.33000000000001</v>
      </c>
      <c r="L145" s="15">
        <f>'[3]2025'!K145</f>
        <v>171.15</v>
      </c>
      <c r="M145" s="15">
        <f>'[3]2025'!L145</f>
        <v>37.67</v>
      </c>
      <c r="N145" s="16">
        <f t="shared" si="8"/>
        <v>2.9594608077670331E-3</v>
      </c>
      <c r="O145" s="17">
        <f t="shared" si="9"/>
        <v>6.198006138936183E-2</v>
      </c>
      <c r="P145" s="17">
        <f t="shared" si="9"/>
        <v>1.2787723785166241E-3</v>
      </c>
      <c r="Q145" s="18">
        <f t="shared" si="10"/>
        <v>87.584600564233114</v>
      </c>
      <c r="R145" s="18">
        <f t="shared" si="11"/>
        <v>74.371428571428567</v>
      </c>
      <c r="S145" s="35">
        <f>(S144-SUM(E143:E149))/SUM(E143:E149)</f>
        <v>7.9364017197554426E-2</v>
      </c>
      <c r="T145" s="48">
        <f>SUM(I143:I149)/SUM(K143:K149)</f>
        <v>98.721523291397489</v>
      </c>
      <c r="U145" s="1738"/>
    </row>
    <row r="146" spans="1:21">
      <c r="A146" s="10" t="s">
        <v>13</v>
      </c>
      <c r="B146" s="200">
        <f>+CHAMNORD!B146</f>
        <v>46163</v>
      </c>
      <c r="C146" s="75">
        <f>IF(H146=0,"",'[3]2025-2026'!C145)</f>
        <v>12196.15</v>
      </c>
      <c r="D146" s="68">
        <f>'[3]2025'!C146</f>
        <v>10807.84</v>
      </c>
      <c r="E146" s="68">
        <f>'[3]2025'!D146</f>
        <v>10619.4</v>
      </c>
      <c r="F146" s="20">
        <f>'[3]2025'!E146</f>
        <v>692</v>
      </c>
      <c r="G146" s="73">
        <f>'[3]2025'!F146</f>
        <v>10800</v>
      </c>
      <c r="H146" s="42">
        <f>'[3]2025'!G146</f>
        <v>12275.31</v>
      </c>
      <c r="I146" s="13">
        <f>'[3]2025'!H146</f>
        <v>12091.71</v>
      </c>
      <c r="J146" s="14">
        <f>'[3]2025'!I146</f>
        <v>844</v>
      </c>
      <c r="K146" s="15">
        <f>'[3]2025'!J146</f>
        <v>139.38999999999999</v>
      </c>
      <c r="L146" s="15">
        <f>'[3]2025'!K146</f>
        <v>166.67</v>
      </c>
      <c r="M146" s="15">
        <f>'[3]2025'!L146</f>
        <v>68.37</v>
      </c>
      <c r="N146" s="16">
        <f t="shared" si="8"/>
        <v>5.6542871107560476E-3</v>
      </c>
      <c r="O146" s="17">
        <f t="shared" si="9"/>
        <v>0.13864342618227013</v>
      </c>
      <c r="P146" s="17">
        <f t="shared" si="9"/>
        <v>0.21965317919075145</v>
      </c>
      <c r="Q146" s="18">
        <f t="shared" si="10"/>
        <v>86.747327641868139</v>
      </c>
      <c r="R146" s="18">
        <f t="shared" si="11"/>
        <v>72.54880902381953</v>
      </c>
      <c r="S146" s="34"/>
      <c r="T146" s="29" t="s">
        <v>8</v>
      </c>
      <c r="U146" s="1738"/>
    </row>
    <row r="147" spans="1:21">
      <c r="A147" s="10" t="s">
        <v>14</v>
      </c>
      <c r="B147" s="200">
        <f>+CHAMNORD!B147</f>
        <v>46164</v>
      </c>
      <c r="C147" s="75">
        <f>IF(H147=0,"",'[3]2025-2026'!C146)</f>
        <v>10807.84</v>
      </c>
      <c r="D147" s="68">
        <f>'[3]2025'!C147</f>
        <v>15345.21</v>
      </c>
      <c r="E147" s="68">
        <f>'[3]2025'!D147</f>
        <v>15146.95</v>
      </c>
      <c r="F147" s="20">
        <f>'[3]2025'!E147</f>
        <v>961</v>
      </c>
      <c r="G147" s="73">
        <f>'[3]2025'!F147</f>
        <v>15400</v>
      </c>
      <c r="H147" s="42">
        <f>'[3]2025'!G147</f>
        <v>16842.71</v>
      </c>
      <c r="I147" s="13">
        <f>'[3]2025'!H147</f>
        <v>16568.25</v>
      </c>
      <c r="J147" s="14">
        <f>'[3]2025'!I147</f>
        <v>1014</v>
      </c>
      <c r="K147" s="15">
        <f>'[3]2025'!J147</f>
        <v>167.95</v>
      </c>
      <c r="L147" s="15">
        <f>'[3]2025'!K147</f>
        <v>195.48</v>
      </c>
      <c r="M147" s="15">
        <f>'[3]2025'!L147</f>
        <v>53.92</v>
      </c>
      <c r="N147" s="16">
        <f t="shared" si="8"/>
        <v>3.2544173343593925E-3</v>
      </c>
      <c r="O147" s="17">
        <f t="shared" si="9"/>
        <v>9.3834072205955604E-2</v>
      </c>
      <c r="P147" s="17">
        <f t="shared" si="9"/>
        <v>5.5150884495317375E-2</v>
      </c>
      <c r="Q147" s="18">
        <f t="shared" si="10"/>
        <v>98.649895802322121</v>
      </c>
      <c r="R147" s="18">
        <f t="shared" si="11"/>
        <v>84.756752608962557</v>
      </c>
      <c r="S147" s="36" t="s">
        <v>40</v>
      </c>
      <c r="T147" s="48">
        <f>SUM(I143:I149)/SUM(L143:L149)</f>
        <v>84.66029742199963</v>
      </c>
      <c r="U147" s="1738"/>
    </row>
    <row r="148" spans="1:21">
      <c r="A148" s="10" t="s">
        <v>15</v>
      </c>
      <c r="B148" s="200">
        <f>+CHAMNORD!B148</f>
        <v>46165</v>
      </c>
      <c r="C148" s="75">
        <f>IF(H148=0,"",'[3]2025-2026'!C147)</f>
        <v>15345.21</v>
      </c>
      <c r="D148" s="68">
        <f>'[3]2025'!C148</f>
        <v>18508.91</v>
      </c>
      <c r="E148" s="68">
        <f>'[3]2025'!D148</f>
        <v>18235.490000000002</v>
      </c>
      <c r="F148" s="20">
        <f>'[3]2025'!E148</f>
        <v>1123</v>
      </c>
      <c r="G148" s="73">
        <f>'[3]2025'!F148</f>
        <v>18600</v>
      </c>
      <c r="H148" s="42">
        <f>'[3]2025'!G148</f>
        <v>19248.150000000001</v>
      </c>
      <c r="I148" s="13">
        <f>'[3]2025'!H148</f>
        <v>18878.3</v>
      </c>
      <c r="J148" s="14">
        <f>'[3]2025'!I148</f>
        <v>1237</v>
      </c>
      <c r="K148" s="15">
        <f>'[3]2025'!J148</f>
        <v>160.22</v>
      </c>
      <c r="L148" s="15">
        <f>'[3]2025'!K148</f>
        <v>186.92</v>
      </c>
      <c r="M148" s="15">
        <f>'[3]2025'!L148</f>
        <v>85.23</v>
      </c>
      <c r="N148" s="16">
        <f t="shared" si="8"/>
        <v>4.5147073624214051E-3</v>
      </c>
      <c r="O148" s="17">
        <f t="shared" si="9"/>
        <v>3.5250492309227645E-2</v>
      </c>
      <c r="P148" s="17">
        <f t="shared" si="9"/>
        <v>0.10151380231522707</v>
      </c>
      <c r="Q148" s="18">
        <f t="shared" si="10"/>
        <v>117.82736237673198</v>
      </c>
      <c r="R148" s="18">
        <f t="shared" si="11"/>
        <v>100.9966830729724</v>
      </c>
      <c r="S148" s="36">
        <f>SUM(J143:J149)</f>
        <v>6237</v>
      </c>
      <c r="T148" s="30" t="s">
        <v>3</v>
      </c>
      <c r="U148" s="1738"/>
    </row>
    <row r="149" spans="1:21" ht="18" thickBot="1">
      <c r="A149" s="10" t="s">
        <v>16</v>
      </c>
      <c r="B149" s="200">
        <f>+CHAMNORD!B149</f>
        <v>46166</v>
      </c>
      <c r="C149" s="75">
        <f>IF(H149=0,"",'[3]2025-2026'!C148)</f>
        <v>18508.91</v>
      </c>
      <c r="D149" s="68">
        <f>'[3]2025'!C149</f>
        <v>17232.82</v>
      </c>
      <c r="E149" s="68">
        <f>'[3]2025'!D149</f>
        <v>16923.29</v>
      </c>
      <c r="F149" s="20">
        <f>'[3]2025'!E149</f>
        <v>927</v>
      </c>
      <c r="G149" s="73">
        <f>'[3]2025'!F149</f>
        <v>17200</v>
      </c>
      <c r="H149" s="42">
        <f>'[3]2025'!G149</f>
        <v>22670.080000000002</v>
      </c>
      <c r="I149" s="13">
        <f>'[3]2025'!H149</f>
        <v>22321.79</v>
      </c>
      <c r="J149" s="14">
        <f>'[3]2025'!I149</f>
        <v>1361</v>
      </c>
      <c r="K149" s="15">
        <f>'[3]2025'!J149</f>
        <v>171.29999999999998</v>
      </c>
      <c r="L149" s="15">
        <f>'[3]2025'!K149</f>
        <v>189.63</v>
      </c>
      <c r="M149" s="15">
        <f>'[3]2025'!L149</f>
        <v>70.17</v>
      </c>
      <c r="N149" s="16">
        <f t="shared" si="8"/>
        <v>3.1435650993939107E-3</v>
      </c>
      <c r="O149" s="17">
        <f t="shared" si="9"/>
        <v>0.31899825624922812</v>
      </c>
      <c r="P149" s="17">
        <f t="shared" si="9"/>
        <v>0.46817691477885653</v>
      </c>
      <c r="Q149" s="18">
        <f t="shared" si="10"/>
        <v>130.30817279626388</v>
      </c>
      <c r="R149" s="18">
        <f t="shared" si="11"/>
        <v>117.7123345462216</v>
      </c>
      <c r="S149" s="37">
        <f>(S148-SUM(F143:F149))/SUM(F143:F149)</f>
        <v>0.10058231868713605</v>
      </c>
      <c r="T149" s="47">
        <f>SUM(M143:M149)/SUM(I143:I149)</f>
        <v>5.0101503713698746E-3</v>
      </c>
      <c r="U149" s="1739"/>
    </row>
    <row r="150" spans="1:21" ht="17" customHeight="1" thickTop="1">
      <c r="A150" s="10" t="s">
        <v>9</v>
      </c>
      <c r="B150" s="200">
        <f>+CHAMNORD!B150</f>
        <v>46167</v>
      </c>
      <c r="C150" s="75">
        <f>IF(H150=0,"",'[3]2025-2026'!C149)</f>
        <v>17232.82</v>
      </c>
      <c r="D150" s="68">
        <f>'[3]2025'!C150</f>
        <v>10557.18</v>
      </c>
      <c r="E150" s="68">
        <f>'[3]2025'!D150</f>
        <v>10468.69</v>
      </c>
      <c r="F150" s="20">
        <f>'[3]2025'!E150</f>
        <v>643</v>
      </c>
      <c r="G150" s="73">
        <f>'[3]2025'!F150</f>
        <v>18100</v>
      </c>
      <c r="H150" s="42">
        <f>'[3]2025'!G150</f>
        <v>20729.349999999999</v>
      </c>
      <c r="I150" s="13">
        <f>'[3]2025'!H150</f>
        <v>20314.330000000002</v>
      </c>
      <c r="J150" s="14">
        <f>'[3]2025'!I150</f>
        <v>1314</v>
      </c>
      <c r="K150" s="15">
        <f>'[3]2025'!J150</f>
        <v>170.16</v>
      </c>
      <c r="L150" s="15">
        <f>'[3]2025'!K150</f>
        <v>200.53</v>
      </c>
      <c r="M150" s="15">
        <f>'[3]2025'!L150</f>
        <v>138.62</v>
      </c>
      <c r="N150" s="16">
        <f t="shared" si="8"/>
        <v>6.8237544629825347E-3</v>
      </c>
      <c r="O150" s="17">
        <f t="shared" si="9"/>
        <v>0.94048443501526946</v>
      </c>
      <c r="P150" s="17">
        <f t="shared" si="9"/>
        <v>1.0435458786936236</v>
      </c>
      <c r="Q150" s="18">
        <f t="shared" si="10"/>
        <v>119.38369769628586</v>
      </c>
      <c r="R150" s="18">
        <f t="shared" si="11"/>
        <v>101.30319652919763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200">
        <f>+CHAMNORD!B151</f>
        <v>46168</v>
      </c>
      <c r="C151" s="75">
        <f>IF(H151=0,"",'[3]2025-2026'!C150)</f>
        <v>10557.18</v>
      </c>
      <c r="D151" s="68">
        <f>'[3]2025'!C151</f>
        <v>12196.52</v>
      </c>
      <c r="E151" s="68">
        <f>'[3]2025'!D151</f>
        <v>12073.71</v>
      </c>
      <c r="F151" s="20">
        <f>'[3]2025'!E151</f>
        <v>742</v>
      </c>
      <c r="G151" s="73">
        <f>'[3]2025'!F151</f>
        <v>12300</v>
      </c>
      <c r="H151" s="42">
        <f>'[3]2025'!G151</f>
        <v>11935.64</v>
      </c>
      <c r="I151" s="13">
        <f>'[3]2025'!H151</f>
        <v>11753.4</v>
      </c>
      <c r="J151" s="14">
        <f>'[3]2025'!I151</f>
        <v>762</v>
      </c>
      <c r="K151" s="15">
        <f>'[3]2025'!J151</f>
        <v>121.12</v>
      </c>
      <c r="L151" s="15">
        <f>'[3]2025'!K151</f>
        <v>121.12</v>
      </c>
      <c r="M151" s="15">
        <f>'[3]2025'!L151</f>
        <v>44.12</v>
      </c>
      <c r="N151" s="16">
        <f t="shared" si="8"/>
        <v>3.7538074089199722E-3</v>
      </c>
      <c r="O151" s="17">
        <f t="shared" si="9"/>
        <v>-2.6529542286505101E-2</v>
      </c>
      <c r="P151" s="17">
        <f t="shared" si="9"/>
        <v>2.6954177897574125E-2</v>
      </c>
      <c r="Q151" s="18">
        <f t="shared" si="10"/>
        <v>97.039299867899601</v>
      </c>
      <c r="R151" s="18">
        <f t="shared" si="11"/>
        <v>97.039299867899601</v>
      </c>
      <c r="S151" s="34">
        <f>SUM(I150:I156)</f>
        <v>111437.05</v>
      </c>
      <c r="T151" s="45" t="s">
        <v>41</v>
      </c>
      <c r="U151" s="1738"/>
    </row>
    <row r="152" spans="1:21">
      <c r="A152" s="10" t="s">
        <v>12</v>
      </c>
      <c r="B152" s="200">
        <f>+CHAMNORD!B152</f>
        <v>46169</v>
      </c>
      <c r="C152" s="75">
        <f>IF(H152=0,"",'[3]2025-2026'!C151)</f>
        <v>12196.52</v>
      </c>
      <c r="D152" s="68">
        <f>'[3]2025'!C152</f>
        <v>17299.53</v>
      </c>
      <c r="E152" s="68">
        <f>'[3]2025'!D152</f>
        <v>17032.86</v>
      </c>
      <c r="F152" s="20">
        <f>'[3]2025'!E152</f>
        <v>981</v>
      </c>
      <c r="G152" s="73">
        <f>'[3]2025'!F152</f>
        <v>17400</v>
      </c>
      <c r="H152" s="42">
        <f>'[3]2025'!G152</f>
        <v>14744.1</v>
      </c>
      <c r="I152" s="13">
        <f>'[3]2025'!H152</f>
        <v>14462.82</v>
      </c>
      <c r="J152" s="14">
        <f>'[3]2025'!I152</f>
        <v>976</v>
      </c>
      <c r="K152" s="15">
        <f>'[3]2025'!J152</f>
        <v>113.12</v>
      </c>
      <c r="L152" s="15">
        <f>'[3]2025'!K152</f>
        <v>139.37</v>
      </c>
      <c r="M152" s="15">
        <f>'[3]2025'!L152</f>
        <v>101.1</v>
      </c>
      <c r="N152" s="16">
        <f t="shared" si="8"/>
        <v>6.9903379838786627E-3</v>
      </c>
      <c r="O152" s="17">
        <f t="shared" si="9"/>
        <v>-0.15088716751033007</v>
      </c>
      <c r="P152" s="17">
        <f t="shared" si="9"/>
        <v>-5.0968399592252805E-3</v>
      </c>
      <c r="Q152" s="18">
        <f t="shared" si="10"/>
        <v>127.85378359264497</v>
      </c>
      <c r="R152" s="18">
        <f t="shared" si="11"/>
        <v>103.77283489990671</v>
      </c>
      <c r="S152" s="35">
        <f>(S151-SUM(E150:E156))/SUM(E150:E156)</f>
        <v>-0.12115794134157559</v>
      </c>
      <c r="T152" s="48">
        <f>SUM(I150:I156)/SUM(K150:K156)</f>
        <v>115.47521838699315</v>
      </c>
      <c r="U152" s="1738"/>
    </row>
    <row r="153" spans="1:21">
      <c r="A153" s="10" t="s">
        <v>13</v>
      </c>
      <c r="B153" s="200">
        <f>+CHAMNORD!B153</f>
        <v>46170</v>
      </c>
      <c r="C153" s="75">
        <f>IF(H153=0,"",'[3]2025-2026'!C152)</f>
        <v>17299.53</v>
      </c>
      <c r="D153" s="68">
        <f>'[3]2025'!C153</f>
        <v>22591.75</v>
      </c>
      <c r="E153" s="68">
        <f>'[3]2025'!D153</f>
        <v>22241.21</v>
      </c>
      <c r="F153" s="20">
        <f>'[3]2025'!E153</f>
        <v>1370</v>
      </c>
      <c r="G153" s="73">
        <f>'[3]2025'!F153</f>
        <v>9300</v>
      </c>
      <c r="H153" s="42">
        <f>'[3]2025'!G153</f>
        <v>12957.11</v>
      </c>
      <c r="I153" s="13">
        <f>'[3]2025'!H153</f>
        <v>12684.9</v>
      </c>
      <c r="J153" s="14">
        <f>'[3]2025'!I153</f>
        <v>871</v>
      </c>
      <c r="K153" s="15">
        <f>'[3]2025'!J153</f>
        <v>118.71</v>
      </c>
      <c r="L153" s="15">
        <f>'[3]2025'!K153</f>
        <v>142.38</v>
      </c>
      <c r="M153" s="15">
        <f>'[3]2025'!L153</f>
        <v>126.76</v>
      </c>
      <c r="N153" s="16">
        <f t="shared" si="8"/>
        <v>9.9929837838690101E-3</v>
      </c>
      <c r="O153" s="17">
        <f t="shared" si="9"/>
        <v>-0.42966682118463878</v>
      </c>
      <c r="P153" s="17">
        <f t="shared" si="9"/>
        <v>-0.36423357664233574</v>
      </c>
      <c r="Q153" s="18">
        <f t="shared" si="10"/>
        <v>106.85620419509731</v>
      </c>
      <c r="R153" s="18">
        <f t="shared" si="11"/>
        <v>89.091866835229666</v>
      </c>
      <c r="S153" s="34"/>
      <c r="T153" s="29" t="s">
        <v>8</v>
      </c>
      <c r="U153" s="1738"/>
    </row>
    <row r="154" spans="1:21">
      <c r="A154" s="10" t="s">
        <v>14</v>
      </c>
      <c r="B154" s="200">
        <f>+CHAMNORD!B154</f>
        <v>46171</v>
      </c>
      <c r="C154" s="75">
        <f>IF(H154=0,"",'[3]2025-2026'!C153)</f>
        <v>22591.75</v>
      </c>
      <c r="D154" s="68">
        <f>'[3]2025'!C154</f>
        <v>23360.49</v>
      </c>
      <c r="E154" s="68">
        <f>'[3]2025'!D154</f>
        <v>23049.86</v>
      </c>
      <c r="F154" s="20">
        <f>'[3]2025'!E154</f>
        <v>1414</v>
      </c>
      <c r="G154" s="73">
        <f>'[3]2025'!F154</f>
        <v>23500</v>
      </c>
      <c r="H154" s="42">
        <f>'[3]2025'!G154</f>
        <v>18144.759999999998</v>
      </c>
      <c r="I154" s="13">
        <f>'[3]2025'!H154</f>
        <v>17821.3</v>
      </c>
      <c r="J154" s="14">
        <f>'[3]2025'!I154</f>
        <v>1140</v>
      </c>
      <c r="K154" s="15">
        <f>'[3]2025'!J154</f>
        <v>146.06</v>
      </c>
      <c r="L154" s="15">
        <f>'[3]2025'!K154</f>
        <v>165.23</v>
      </c>
      <c r="M154" s="15">
        <f>'[3]2025'!L154</f>
        <v>0</v>
      </c>
      <c r="N154" s="16" t="str">
        <f t="shared" si="8"/>
        <v/>
      </c>
      <c r="O154" s="17">
        <f t="shared" si="9"/>
        <v>-0.2268369525888661</v>
      </c>
      <c r="P154" s="17">
        <f t="shared" si="9"/>
        <v>-0.19377652050919378</v>
      </c>
      <c r="Q154" s="18">
        <f t="shared" si="10"/>
        <v>122.01355607284677</v>
      </c>
      <c r="R154" s="18">
        <f t="shared" si="11"/>
        <v>107.85753192519519</v>
      </c>
      <c r="S154" s="36" t="s">
        <v>40</v>
      </c>
      <c r="T154" s="48">
        <f>SUM(I150:I156)/SUM(L150:L156)</f>
        <v>99.930995211363609</v>
      </c>
      <c r="U154" s="1738"/>
    </row>
    <row r="155" spans="1:21">
      <c r="A155" s="10" t="s">
        <v>15</v>
      </c>
      <c r="B155" s="200">
        <f>+CHAMNORD!B155</f>
        <v>46172</v>
      </c>
      <c r="C155" s="75">
        <f>IF(H155=0,"",'[3]2025-2026'!C154)</f>
        <v>23360.49</v>
      </c>
      <c r="D155" s="68">
        <f>'[3]2025'!C155</f>
        <v>19086.82</v>
      </c>
      <c r="E155" s="68">
        <f>'[3]2025'!D155</f>
        <v>18876.259999999998</v>
      </c>
      <c r="F155" s="20">
        <f>'[3]2025'!E155</f>
        <v>1151</v>
      </c>
      <c r="G155" s="73">
        <f>'[3]2025'!F155</f>
        <v>19200</v>
      </c>
      <c r="H155" s="42">
        <f>'[3]2025'!G155</f>
        <v>17904.37</v>
      </c>
      <c r="I155" s="13">
        <f>'[3]2025'!H155</f>
        <v>17555.099999999999</v>
      </c>
      <c r="J155" s="14">
        <f>'[3]2025'!I155</f>
        <v>1103</v>
      </c>
      <c r="K155" s="15">
        <f>'[3]2025'!J155</f>
        <v>146.63</v>
      </c>
      <c r="L155" s="15">
        <f>'[3]2025'!K155</f>
        <v>171.53</v>
      </c>
      <c r="M155" s="15">
        <f>'[3]2025'!L155</f>
        <v>75.63</v>
      </c>
      <c r="N155" s="16">
        <f t="shared" si="8"/>
        <v>4.3081497684433583E-3</v>
      </c>
      <c r="O155" s="17">
        <f t="shared" si="9"/>
        <v>-6.99905595705929E-2</v>
      </c>
      <c r="P155" s="17">
        <f t="shared" si="9"/>
        <v>-4.170286707211121E-2</v>
      </c>
      <c r="Q155" s="18">
        <f t="shared" si="10"/>
        <v>119.72379458500988</v>
      </c>
      <c r="R155" s="18">
        <f t="shared" si="11"/>
        <v>102.34419635049261</v>
      </c>
      <c r="S155" s="36">
        <f>SUM(J150:J156)</f>
        <v>7075</v>
      </c>
      <c r="T155" s="30" t="s">
        <v>3</v>
      </c>
      <c r="U155" s="1738"/>
    </row>
    <row r="156" spans="1:21" ht="18" thickBot="1">
      <c r="A156" s="10" t="s">
        <v>16</v>
      </c>
      <c r="B156" s="200">
        <f>+CHAMNORD!B156</f>
        <v>46173</v>
      </c>
      <c r="C156" s="75">
        <f>IF(H156=0,"",'[3]2025-2026'!C155)</f>
        <v>19086.82</v>
      </c>
      <c r="D156" s="68">
        <f>'[3]2025'!C156</f>
        <v>23363.78</v>
      </c>
      <c r="E156" s="68">
        <f>'[3]2025'!D156</f>
        <v>23057.27</v>
      </c>
      <c r="F156" s="20">
        <f>'[3]2025'!E156</f>
        <v>1240</v>
      </c>
      <c r="G156" s="73">
        <f>'[3]2025'!F156</f>
        <v>23500</v>
      </c>
      <c r="H156" s="42">
        <f>'[3]2025'!G156</f>
        <v>17145.009999999998</v>
      </c>
      <c r="I156" s="13">
        <f>'[3]2025'!H156</f>
        <v>16845.2</v>
      </c>
      <c r="J156" s="14">
        <f>'[3]2025'!I156</f>
        <v>909</v>
      </c>
      <c r="K156" s="15">
        <f>'[3]2025'!J156</f>
        <v>149.22999999999999</v>
      </c>
      <c r="L156" s="15">
        <f>'[3]2025'!K156</f>
        <v>174.98</v>
      </c>
      <c r="M156" s="15">
        <f>'[3]2025'!L156</f>
        <v>64.41</v>
      </c>
      <c r="N156" s="16">
        <f t="shared" si="8"/>
        <v>3.8236411559375962E-3</v>
      </c>
      <c r="O156" s="17">
        <f t="shared" si="9"/>
        <v>-0.26941914632564912</v>
      </c>
      <c r="P156" s="17">
        <f t="shared" si="9"/>
        <v>-0.26693548387096772</v>
      </c>
      <c r="Q156" s="18">
        <f t="shared" si="10"/>
        <v>112.88078804529921</v>
      </c>
      <c r="R156" s="18">
        <f t="shared" si="11"/>
        <v>96.269287918619284</v>
      </c>
      <c r="S156" s="37">
        <f>(S155-SUM(F150:F156))/SUM(F150:F156)</f>
        <v>-6.1795517835830795E-2</v>
      </c>
      <c r="T156" s="47">
        <f>SUM(M150:M156)/SUM(I150:I156)</f>
        <v>4.9412650460506627E-3</v>
      </c>
      <c r="U156" s="1739"/>
    </row>
    <row r="157" spans="1:21" ht="17" customHeight="1" thickTop="1">
      <c r="A157" s="10" t="s">
        <v>9</v>
      </c>
      <c r="B157" s="200">
        <f>+CHAMNORD!B157</f>
        <v>46174</v>
      </c>
      <c r="C157" s="75">
        <f>IF(H157=0,"",'[3]2025-2026'!C156)</f>
        <v>23363.78</v>
      </c>
      <c r="D157" s="68">
        <f>'[3]2025'!C157</f>
        <v>9887.8700000000008</v>
      </c>
      <c r="E157" s="68">
        <f>'[3]2025'!D157</f>
        <v>9724.85</v>
      </c>
      <c r="F157" s="20">
        <f>'[3]2025'!E157</f>
        <v>565</v>
      </c>
      <c r="G157" s="73">
        <f>'[3]2025'!F157</f>
        <v>9800</v>
      </c>
      <c r="H157" s="42">
        <f>'[3]2025'!G157</f>
        <v>11402.66</v>
      </c>
      <c r="I157" s="13">
        <f>'[3]2025'!H157</f>
        <v>11206.21</v>
      </c>
      <c r="J157" s="14">
        <f>'[3]2025'!I157</f>
        <v>720</v>
      </c>
      <c r="K157" s="15">
        <f>'[3]2025'!J157</f>
        <v>117.67999999999999</v>
      </c>
      <c r="L157" s="15">
        <f>'[3]2025'!K157</f>
        <v>136.47999999999999</v>
      </c>
      <c r="M157" s="15">
        <f>'[3]2025'!L157</f>
        <v>107.34</v>
      </c>
      <c r="N157" s="16">
        <f t="shared" si="8"/>
        <v>9.5786175700794483E-3</v>
      </c>
      <c r="O157" s="17">
        <f t="shared" si="9"/>
        <v>0.15232728525375699</v>
      </c>
      <c r="P157" s="17">
        <f t="shared" si="9"/>
        <v>0.27433628318584069</v>
      </c>
      <c r="Q157" s="18">
        <f t="shared" si="10"/>
        <v>95.226121685927936</v>
      </c>
      <c r="R157" s="18">
        <f t="shared" si="11"/>
        <v>82.108807151230948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200">
        <f>+CHAMNORD!B158</f>
        <v>46175</v>
      </c>
      <c r="C158" s="75">
        <f>IF(H158=0,"",'[3]2025-2026'!C157)</f>
        <v>9887.8700000000008</v>
      </c>
      <c r="D158" s="68">
        <f>'[3]2025'!C158</f>
        <v>11945.84</v>
      </c>
      <c r="E158" s="68">
        <f>'[3]2025'!D158</f>
        <v>11794.26</v>
      </c>
      <c r="F158" s="20">
        <f>'[3]2025'!E158</f>
        <v>725</v>
      </c>
      <c r="G158" s="73">
        <f>'[3]2025'!F158</f>
        <v>11900</v>
      </c>
      <c r="H158" s="42">
        <f>'[3]2025'!G158</f>
        <v>10690.18</v>
      </c>
      <c r="I158" s="13">
        <f>'[3]2025'!H158</f>
        <v>10454.75</v>
      </c>
      <c r="J158" s="14">
        <f>'[3]2025'!I158</f>
        <v>593</v>
      </c>
      <c r="K158" s="15">
        <f>'[3]2025'!J158</f>
        <v>138.63</v>
      </c>
      <c r="L158" s="15">
        <f>'[3]2025'!K158</f>
        <v>153.9</v>
      </c>
      <c r="M158" s="15">
        <f>'[3]2025'!L158</f>
        <v>116.2</v>
      </c>
      <c r="N158" s="16">
        <f t="shared" si="8"/>
        <v>1.1114565149812286E-2</v>
      </c>
      <c r="O158" s="17">
        <f t="shared" si="9"/>
        <v>-0.11357304315828209</v>
      </c>
      <c r="P158" s="17">
        <f t="shared" si="9"/>
        <v>-0.18206896551724139</v>
      </c>
      <c r="Q158" s="18">
        <f t="shared" si="10"/>
        <v>75.414773137127611</v>
      </c>
      <c r="R158" s="18">
        <f t="shared" si="11"/>
        <v>67.932098765432102</v>
      </c>
      <c r="S158" s="34">
        <f>SUM(I157:I163)</f>
        <v>98677.01</v>
      </c>
      <c r="T158" s="45" t="s">
        <v>41</v>
      </c>
      <c r="U158" s="1738"/>
    </row>
    <row r="159" spans="1:21">
      <c r="A159" s="10" t="s">
        <v>12</v>
      </c>
      <c r="B159" s="200">
        <f>+CHAMNORD!B159</f>
        <v>46176</v>
      </c>
      <c r="C159" s="75">
        <f>IF(H159=0,"",'[3]2025-2026'!C158)</f>
        <v>11945.84</v>
      </c>
      <c r="D159" s="68">
        <f>'[3]2025'!C159</f>
        <v>11783.31</v>
      </c>
      <c r="E159" s="68">
        <f>'[3]2025'!D159</f>
        <v>11562.56</v>
      </c>
      <c r="F159" s="20">
        <f>'[3]2025'!E159</f>
        <v>693</v>
      </c>
      <c r="G159" s="73">
        <f>'[3]2025'!F159</f>
        <v>11700</v>
      </c>
      <c r="H159" s="42">
        <f>'[3]2025'!G159</f>
        <v>13243.09</v>
      </c>
      <c r="I159" s="13">
        <f>'[3]2025'!H159</f>
        <v>12967.28</v>
      </c>
      <c r="J159" s="14">
        <f>'[3]2025'!I159</f>
        <v>815</v>
      </c>
      <c r="K159" s="15">
        <f>'[3]2025'!J159</f>
        <v>173.99</v>
      </c>
      <c r="L159" s="15">
        <f>'[3]2025'!K159</f>
        <v>202.62</v>
      </c>
      <c r="M159" s="15">
        <f>'[3]2025'!L159</f>
        <v>114.76</v>
      </c>
      <c r="N159" s="16">
        <f t="shared" si="8"/>
        <v>8.849966993849134E-3</v>
      </c>
      <c r="O159" s="17">
        <f t="shared" si="9"/>
        <v>0.12148866686962068</v>
      </c>
      <c r="P159" s="17">
        <f t="shared" si="9"/>
        <v>0.17604617604617603</v>
      </c>
      <c r="Q159" s="18">
        <f t="shared" si="10"/>
        <v>74.528880970170704</v>
      </c>
      <c r="R159" s="18">
        <f t="shared" si="11"/>
        <v>63.998025861218046</v>
      </c>
      <c r="S159" s="35">
        <f>(S158-SUM(E157:E163))/SUM(E157:E163)</f>
        <v>-3.2503020333151451E-2</v>
      </c>
      <c r="T159" s="48">
        <f>SUM(I157:I163)/SUM(K157:K163)</f>
        <v>88.140673848187646</v>
      </c>
      <c r="U159" s="1738"/>
    </row>
    <row r="160" spans="1:21">
      <c r="A160" s="10" t="s">
        <v>13</v>
      </c>
      <c r="B160" s="200">
        <f>+CHAMNORD!B160</f>
        <v>46177</v>
      </c>
      <c r="C160" s="75">
        <f>IF(H160=0,"",'[3]2025-2026'!C159)</f>
        <v>11783.31</v>
      </c>
      <c r="D160" s="68">
        <f>'[3]2025'!C160</f>
        <v>12768.46</v>
      </c>
      <c r="E160" s="68">
        <f>'[3]2025'!D160</f>
        <v>12554.8</v>
      </c>
      <c r="F160" s="20">
        <f>'[3]2025'!E160</f>
        <v>778</v>
      </c>
      <c r="G160" s="73">
        <f>'[3]2025'!F160</f>
        <v>12700</v>
      </c>
      <c r="H160" s="42">
        <f>'[3]2025'!G160</f>
        <v>11100.26</v>
      </c>
      <c r="I160" s="13">
        <f>'[3]2025'!H160</f>
        <v>10861.64</v>
      </c>
      <c r="J160" s="14">
        <f>'[3]2025'!I160</f>
        <v>624</v>
      </c>
      <c r="K160" s="15">
        <f>'[3]2025'!J160</f>
        <v>148.28</v>
      </c>
      <c r="L160" s="15">
        <f>'[3]2025'!K160</f>
        <v>173.63</v>
      </c>
      <c r="M160" s="15">
        <f>'[3]2025'!L160</f>
        <v>70.41</v>
      </c>
      <c r="N160" s="16">
        <f t="shared" si="8"/>
        <v>6.4824464813785024E-3</v>
      </c>
      <c r="O160" s="17">
        <f t="shared" si="9"/>
        <v>-0.13486156689075093</v>
      </c>
      <c r="P160" s="17">
        <f t="shared" si="9"/>
        <v>-0.19794344473007713</v>
      </c>
      <c r="Q160" s="18">
        <f t="shared" si="10"/>
        <v>73.250876719719443</v>
      </c>
      <c r="R160" s="18">
        <f t="shared" si="11"/>
        <v>62.55624028105742</v>
      </c>
      <c r="S160" s="34"/>
      <c r="T160" s="29" t="s">
        <v>8</v>
      </c>
      <c r="U160" s="1738"/>
    </row>
    <row r="161" spans="1:21">
      <c r="A161" s="10" t="s">
        <v>14</v>
      </c>
      <c r="B161" s="200">
        <f>+CHAMNORD!B161</f>
        <v>46178</v>
      </c>
      <c r="C161" s="75">
        <f>IF(H161=0,"",'[3]2025-2026'!C160)</f>
        <v>12768.46</v>
      </c>
      <c r="D161" s="68">
        <f>'[3]2025'!C161</f>
        <v>16005.91</v>
      </c>
      <c r="E161" s="68">
        <f>'[3]2025'!D161</f>
        <v>15791</v>
      </c>
      <c r="F161" s="20">
        <f>'[3]2025'!E161</f>
        <v>950</v>
      </c>
      <c r="G161" s="73">
        <f>'[3]2025'!F161</f>
        <v>15900</v>
      </c>
      <c r="H161" s="42">
        <f>'[3]2025'!G161</f>
        <v>15853.09</v>
      </c>
      <c r="I161" s="13">
        <f>'[3]2025'!H161</f>
        <v>15516.61</v>
      </c>
      <c r="J161" s="14">
        <f>'[3]2025'!I161</f>
        <v>900</v>
      </c>
      <c r="K161" s="15">
        <f>'[3]2025'!J161</f>
        <v>181.49</v>
      </c>
      <c r="L161" s="15">
        <f>'[3]2025'!K161</f>
        <v>200.52</v>
      </c>
      <c r="M161" s="15">
        <f>'[3]2025'!L161</f>
        <v>67.14</v>
      </c>
      <c r="N161" s="16">
        <f t="shared" si="8"/>
        <v>4.3269760598481236E-3</v>
      </c>
      <c r="O161" s="17">
        <f t="shared" si="9"/>
        <v>-1.737635361915011E-2</v>
      </c>
      <c r="P161" s="17">
        <f t="shared" si="9"/>
        <v>-5.2631578947368418E-2</v>
      </c>
      <c r="Q161" s="18">
        <f t="shared" si="10"/>
        <v>85.495674692820543</v>
      </c>
      <c r="R161" s="18">
        <f t="shared" si="11"/>
        <v>77.381857171354483</v>
      </c>
      <c r="S161" s="36" t="s">
        <v>40</v>
      </c>
      <c r="T161" s="48">
        <f>SUM(I157:I163)/SUM(L157:L163)</f>
        <v>77.535425522719947</v>
      </c>
      <c r="U161" s="1738"/>
    </row>
    <row r="162" spans="1:21">
      <c r="A162" s="10" t="s">
        <v>15</v>
      </c>
      <c r="B162" s="200">
        <f>+CHAMNORD!B162</f>
        <v>46179</v>
      </c>
      <c r="C162" s="75">
        <f>IF(H162=0,"",'[3]2025-2026'!C161)</f>
        <v>16005.91</v>
      </c>
      <c r="D162" s="68">
        <f>'[3]2025'!C162</f>
        <v>17721.650000000001</v>
      </c>
      <c r="E162" s="68">
        <f>'[3]2025'!D162</f>
        <v>17451.060000000001</v>
      </c>
      <c r="F162" s="20">
        <f>'[3]2025'!E162</f>
        <v>1003</v>
      </c>
      <c r="G162" s="73">
        <f>'[3]2025'!F162</f>
        <v>17600</v>
      </c>
      <c r="H162" s="42">
        <f>'[3]2025'!G162</f>
        <v>18289.72</v>
      </c>
      <c r="I162" s="13">
        <f>'[3]2025'!H162</f>
        <v>18018.97</v>
      </c>
      <c r="J162" s="14">
        <f>'[3]2025'!I162</f>
        <v>1112</v>
      </c>
      <c r="K162" s="15">
        <f>'[3]2025'!J162</f>
        <v>186.64000000000001</v>
      </c>
      <c r="L162" s="15">
        <f>'[3]2025'!K162</f>
        <v>204.77</v>
      </c>
      <c r="M162" s="15">
        <f>'[3]2025'!L162</f>
        <v>48.48</v>
      </c>
      <c r="N162" s="16">
        <f t="shared" si="8"/>
        <v>2.6904978475462246E-3</v>
      </c>
      <c r="O162" s="17">
        <f t="shared" si="9"/>
        <v>3.2543008848746141E-2</v>
      </c>
      <c r="P162" s="17">
        <f t="shared" si="9"/>
        <v>0.10867397806580259</v>
      </c>
      <c r="Q162" s="18">
        <f t="shared" si="10"/>
        <v>96.543988426918133</v>
      </c>
      <c r="R162" s="18">
        <f t="shared" si="11"/>
        <v>87.996142012990191</v>
      </c>
      <c r="S162" s="36">
        <f>SUM(J157:J163)</f>
        <v>5866</v>
      </c>
      <c r="T162" s="30" t="s">
        <v>3</v>
      </c>
      <c r="U162" s="1738"/>
    </row>
    <row r="163" spans="1:21" ht="18" thickBot="1">
      <c r="A163" s="10" t="s">
        <v>16</v>
      </c>
      <c r="B163" s="200">
        <f>+CHAMNORD!B163</f>
        <v>46180</v>
      </c>
      <c r="C163" s="75">
        <f>IF(H163=0,"",'[3]2025-2026'!C162)</f>
        <v>17721.650000000001</v>
      </c>
      <c r="D163" s="68">
        <f>'[3]2025'!C163</f>
        <v>23460.38</v>
      </c>
      <c r="E163" s="68">
        <f>'[3]2025'!D163</f>
        <v>23113.53</v>
      </c>
      <c r="F163" s="20">
        <f>'[3]2025'!E163</f>
        <v>1260</v>
      </c>
      <c r="G163" s="73">
        <f>'[3]2025'!F163</f>
        <v>20000</v>
      </c>
      <c r="H163" s="42">
        <f>'[3]2025'!G163</f>
        <v>20040.3</v>
      </c>
      <c r="I163" s="13">
        <f>'[3]2025'!H163</f>
        <v>19651.55</v>
      </c>
      <c r="J163" s="14">
        <f>'[3]2025'!I163</f>
        <v>1102</v>
      </c>
      <c r="K163" s="15">
        <f>'[3]2025'!J163</f>
        <v>172.83</v>
      </c>
      <c r="L163" s="15">
        <f>'[3]2025'!K163</f>
        <v>200.75</v>
      </c>
      <c r="M163" s="15">
        <f>'[3]2025'!L163</f>
        <v>56.78</v>
      </c>
      <c r="N163" s="16">
        <f t="shared" si="8"/>
        <v>2.8893395177479642E-3</v>
      </c>
      <c r="O163" s="17">
        <f t="shared" si="9"/>
        <v>-0.14978153488454596</v>
      </c>
      <c r="P163" s="17">
        <f t="shared" si="9"/>
        <v>-0.1253968253968254</v>
      </c>
      <c r="Q163" s="18">
        <f t="shared" si="10"/>
        <v>113.70450731933113</v>
      </c>
      <c r="R163" s="18">
        <f t="shared" si="11"/>
        <v>97.890660024906595</v>
      </c>
      <c r="S163" s="37">
        <f>(S162-SUM(F157:F163))/SUM(F157:F163)</f>
        <v>-1.8078339471041177E-2</v>
      </c>
      <c r="T163" s="47">
        <f>SUM(M157:M163)/SUM(I157:I163)</f>
        <v>5.8890110269859217E-3</v>
      </c>
      <c r="U163" s="1739"/>
    </row>
    <row r="164" spans="1:21" ht="17" customHeight="1" thickTop="1">
      <c r="A164" s="10" t="s">
        <v>9</v>
      </c>
      <c r="B164" s="200">
        <f>+CHAMNORD!B164</f>
        <v>46181</v>
      </c>
      <c r="C164" s="75" t="str">
        <f>IF(H164=0,"",'[3]2025-2026'!C163)</f>
        <v/>
      </c>
      <c r="D164" s="68" t="str">
        <f>'[3]2025'!C164</f>
        <v/>
      </c>
      <c r="E164" s="68" t="str">
        <f>'[3]2025'!D164</f>
        <v/>
      </c>
      <c r="F164" s="20" t="str">
        <f>'[3]2025'!E164</f>
        <v/>
      </c>
      <c r="G164" s="73" t="str">
        <f>'[3]2025'!F164</f>
        <v/>
      </c>
      <c r="H164" s="42">
        <f>'[3]2025'!G164</f>
        <v>0</v>
      </c>
      <c r="I164" s="13">
        <f>'[3]2025'!H164</f>
        <v>0</v>
      </c>
      <c r="J164" s="14">
        <f>'[3]2025'!I164</f>
        <v>0</v>
      </c>
      <c r="K164" s="15">
        <f>'[3]2025'!J164</f>
        <v>0</v>
      </c>
      <c r="L164" s="15">
        <f>'[3]2025'!K164</f>
        <v>0</v>
      </c>
      <c r="M164" s="15">
        <f>'[3]2025'!L164</f>
        <v>0</v>
      </c>
      <c r="N164" s="16" t="str">
        <f t="shared" si="8"/>
        <v/>
      </c>
      <c r="O164" s="17" t="str">
        <f t="shared" si="9"/>
        <v/>
      </c>
      <c r="P164" s="17" t="str">
        <f t="shared" si="9"/>
        <v/>
      </c>
      <c r="Q164" s="18" t="str">
        <f t="shared" si="10"/>
        <v/>
      </c>
      <c r="R164" s="18" t="e">
        <f t="shared" si="11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200">
        <f>+CHAMNORD!B165</f>
        <v>46182</v>
      </c>
      <c r="C165" s="75" t="str">
        <f>IF(H165=0,"",'[3]2025-2026'!C164)</f>
        <v/>
      </c>
      <c r="D165" s="68" t="str">
        <f>'[3]2025'!C165</f>
        <v/>
      </c>
      <c r="E165" s="68" t="str">
        <f>'[3]2025'!D165</f>
        <v/>
      </c>
      <c r="F165" s="20" t="str">
        <f>'[3]2025'!E165</f>
        <v/>
      </c>
      <c r="G165" s="73" t="str">
        <f>'[3]2025'!F165</f>
        <v/>
      </c>
      <c r="H165" s="42">
        <f>'[3]2025'!G165</f>
        <v>0</v>
      </c>
      <c r="I165" s="13">
        <f>'[3]2025'!H165</f>
        <v>0</v>
      </c>
      <c r="J165" s="14">
        <f>'[3]2025'!I165</f>
        <v>0</v>
      </c>
      <c r="K165" s="15">
        <f>'[3]2025'!J165</f>
        <v>0</v>
      </c>
      <c r="L165" s="15">
        <f>'[3]2025'!K165</f>
        <v>0</v>
      </c>
      <c r="M165" s="15">
        <f>'[3]2025'!L165</f>
        <v>0</v>
      </c>
      <c r="N165" s="16" t="str">
        <f t="shared" si="8"/>
        <v/>
      </c>
      <c r="O165" s="17" t="str">
        <f t="shared" si="9"/>
        <v/>
      </c>
      <c r="P165" s="17" t="str">
        <f t="shared" si="9"/>
        <v/>
      </c>
      <c r="Q165" s="18" t="str">
        <f t="shared" si="10"/>
        <v/>
      </c>
      <c r="R165" s="18" t="e">
        <f t="shared" si="11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200">
        <f>+CHAMNORD!B166</f>
        <v>46183</v>
      </c>
      <c r="C166" s="75" t="str">
        <f>IF(H166=0,"",'[3]2025-2026'!C165)</f>
        <v/>
      </c>
      <c r="D166" s="68" t="str">
        <f>'[3]2025'!C166</f>
        <v/>
      </c>
      <c r="E166" s="68" t="str">
        <f>'[3]2025'!D166</f>
        <v/>
      </c>
      <c r="F166" s="20" t="str">
        <f>'[3]2025'!E166</f>
        <v/>
      </c>
      <c r="G166" s="73" t="str">
        <f>'[3]2025'!F166</f>
        <v/>
      </c>
      <c r="H166" s="42">
        <f>'[3]2025'!G166</f>
        <v>0</v>
      </c>
      <c r="I166" s="13">
        <f>'[3]2025'!H166</f>
        <v>0</v>
      </c>
      <c r="J166" s="14">
        <f>'[3]2025'!I166</f>
        <v>0</v>
      </c>
      <c r="K166" s="15">
        <f>'[3]2025'!J166</f>
        <v>0</v>
      </c>
      <c r="L166" s="15">
        <f>'[3]2025'!K166</f>
        <v>0</v>
      </c>
      <c r="M166" s="15">
        <f>'[3]2025'!L166</f>
        <v>0</v>
      </c>
      <c r="N166" s="16" t="str">
        <f t="shared" si="8"/>
        <v/>
      </c>
      <c r="O166" s="17" t="str">
        <f t="shared" si="9"/>
        <v/>
      </c>
      <c r="P166" s="17" t="str">
        <f t="shared" si="9"/>
        <v/>
      </c>
      <c r="Q166" s="18" t="str">
        <f t="shared" si="10"/>
        <v/>
      </c>
      <c r="R166" s="18" t="e">
        <f t="shared" si="11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200">
        <f>+CHAMNORD!B167</f>
        <v>46184</v>
      </c>
      <c r="C167" s="75" t="str">
        <f>IF(H167=0,"",'[3]2025-2026'!C166)</f>
        <v/>
      </c>
      <c r="D167" s="68" t="str">
        <f>'[3]2025'!C167</f>
        <v/>
      </c>
      <c r="E167" s="68" t="str">
        <f>'[3]2025'!D167</f>
        <v/>
      </c>
      <c r="F167" s="20" t="str">
        <f>'[3]2025'!E167</f>
        <v/>
      </c>
      <c r="G167" s="73" t="str">
        <f>'[3]2025'!F167</f>
        <v/>
      </c>
      <c r="H167" s="42">
        <f>'[3]2025'!G167</f>
        <v>0</v>
      </c>
      <c r="I167" s="13">
        <f>'[3]2025'!H167</f>
        <v>0</v>
      </c>
      <c r="J167" s="14">
        <f>'[3]2025'!I167</f>
        <v>0</v>
      </c>
      <c r="K167" s="15">
        <f>'[3]2025'!J167</f>
        <v>0</v>
      </c>
      <c r="L167" s="15">
        <f>'[3]2025'!K167</f>
        <v>0</v>
      </c>
      <c r="M167" s="15">
        <f>'[3]2025'!L167</f>
        <v>0</v>
      </c>
      <c r="N167" s="16" t="str">
        <f t="shared" si="8"/>
        <v/>
      </c>
      <c r="O167" s="17" t="str">
        <f t="shared" si="9"/>
        <v/>
      </c>
      <c r="P167" s="17" t="str">
        <f t="shared" si="9"/>
        <v/>
      </c>
      <c r="Q167" s="18" t="str">
        <f t="shared" si="10"/>
        <v/>
      </c>
      <c r="R167" s="18" t="e">
        <f t="shared" si="11"/>
        <v>#DIV/0!</v>
      </c>
      <c r="S167" s="34"/>
      <c r="T167" s="29" t="s">
        <v>8</v>
      </c>
      <c r="U167" s="1738"/>
    </row>
    <row r="168" spans="1:21">
      <c r="A168" s="10" t="s">
        <v>14</v>
      </c>
      <c r="B168" s="200">
        <f>+CHAMNORD!B168</f>
        <v>46185</v>
      </c>
      <c r="C168" s="75" t="str">
        <f>IF(H168=0,"",'[3]2025-2026'!C167)</f>
        <v/>
      </c>
      <c r="D168" s="68" t="str">
        <f>'[3]2025'!C168</f>
        <v/>
      </c>
      <c r="E168" s="68" t="str">
        <f>'[3]2025'!D168</f>
        <v/>
      </c>
      <c r="F168" s="20" t="str">
        <f>'[3]2025'!E168</f>
        <v/>
      </c>
      <c r="G168" s="73" t="str">
        <f>'[3]2025'!F168</f>
        <v/>
      </c>
      <c r="H168" s="42">
        <f>'[3]2025'!G168</f>
        <v>0</v>
      </c>
      <c r="I168" s="13">
        <f>'[3]2025'!H168</f>
        <v>0</v>
      </c>
      <c r="J168" s="14">
        <f>'[3]2025'!I168</f>
        <v>0</v>
      </c>
      <c r="K168" s="15">
        <f>'[3]2025'!J168</f>
        <v>0</v>
      </c>
      <c r="L168" s="15">
        <f>'[3]2025'!K168</f>
        <v>0</v>
      </c>
      <c r="M168" s="15">
        <f>'[3]2025'!L168</f>
        <v>0</v>
      </c>
      <c r="N168" s="16" t="str">
        <f t="shared" si="8"/>
        <v/>
      </c>
      <c r="O168" s="17" t="str">
        <f t="shared" si="9"/>
        <v/>
      </c>
      <c r="P168" s="17" t="str">
        <f t="shared" si="9"/>
        <v/>
      </c>
      <c r="Q168" s="18" t="str">
        <f t="shared" si="10"/>
        <v/>
      </c>
      <c r="R168" s="18" t="e">
        <f t="shared" si="11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200">
        <f>+CHAMNORD!B169</f>
        <v>46186</v>
      </c>
      <c r="C169" s="75" t="str">
        <f>IF(H169=0,"",'[3]2025-2026'!C168)</f>
        <v/>
      </c>
      <c r="D169" s="68" t="str">
        <f>'[3]2025'!C169</f>
        <v/>
      </c>
      <c r="E169" s="68" t="str">
        <f>'[3]2025'!D169</f>
        <v/>
      </c>
      <c r="F169" s="20" t="str">
        <f>'[3]2025'!E169</f>
        <v/>
      </c>
      <c r="G169" s="73" t="str">
        <f>'[3]2025'!F169</f>
        <v/>
      </c>
      <c r="H169" s="42">
        <f>'[3]2025'!G169</f>
        <v>0</v>
      </c>
      <c r="I169" s="13">
        <f>'[3]2025'!H169</f>
        <v>0</v>
      </c>
      <c r="J169" s="14">
        <f>'[3]2025'!I169</f>
        <v>0</v>
      </c>
      <c r="K169" s="15">
        <f>'[3]2025'!J169</f>
        <v>0</v>
      </c>
      <c r="L169" s="15">
        <f>'[3]2025'!K169</f>
        <v>0</v>
      </c>
      <c r="M169" s="15">
        <f>'[3]2025'!L169</f>
        <v>0</v>
      </c>
      <c r="N169" s="16" t="str">
        <f t="shared" si="8"/>
        <v/>
      </c>
      <c r="O169" s="17" t="str">
        <f t="shared" si="9"/>
        <v/>
      </c>
      <c r="P169" s="17" t="str">
        <f t="shared" si="9"/>
        <v/>
      </c>
      <c r="Q169" s="18" t="str">
        <f t="shared" si="10"/>
        <v/>
      </c>
      <c r="R169" s="18" t="e">
        <f t="shared" si="11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200">
        <f>+CHAMNORD!B170</f>
        <v>46187</v>
      </c>
      <c r="C170" s="75" t="str">
        <f>IF(H170=0,"",'[3]2025-2026'!C169)</f>
        <v/>
      </c>
      <c r="D170" s="68" t="str">
        <f>'[3]2025'!C170</f>
        <v/>
      </c>
      <c r="E170" s="68" t="str">
        <f>'[3]2025'!D170</f>
        <v/>
      </c>
      <c r="F170" s="20" t="str">
        <f>'[3]2025'!E170</f>
        <v/>
      </c>
      <c r="G170" s="73" t="str">
        <f>'[3]2025'!F170</f>
        <v/>
      </c>
      <c r="H170" s="42">
        <f>'[3]2025'!G170</f>
        <v>0</v>
      </c>
      <c r="I170" s="13">
        <f>'[3]2025'!H170</f>
        <v>0</v>
      </c>
      <c r="J170" s="14">
        <f>'[3]2025'!I170</f>
        <v>0</v>
      </c>
      <c r="K170" s="15">
        <f>'[3]2025'!J170</f>
        <v>0</v>
      </c>
      <c r="L170" s="15">
        <f>'[3]2025'!K170</f>
        <v>0</v>
      </c>
      <c r="M170" s="15">
        <f>'[3]2025'!L170</f>
        <v>0</v>
      </c>
      <c r="N170" s="16" t="str">
        <f t="shared" si="8"/>
        <v/>
      </c>
      <c r="O170" s="17" t="str">
        <f t="shared" si="9"/>
        <v/>
      </c>
      <c r="P170" s="17" t="str">
        <f t="shared" si="9"/>
        <v/>
      </c>
      <c r="Q170" s="18" t="str">
        <f t="shared" si="10"/>
        <v/>
      </c>
      <c r="R170" s="18" t="e">
        <f t="shared" si="11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200">
        <f>+CHAMNORD!B171</f>
        <v>46188</v>
      </c>
      <c r="C171" s="75" t="str">
        <f>IF(H171=0,"",'[3]2025-2026'!C170)</f>
        <v/>
      </c>
      <c r="D171" s="68" t="str">
        <f>'[3]2025'!C171</f>
        <v/>
      </c>
      <c r="E171" s="68" t="str">
        <f>'[3]2025'!D171</f>
        <v/>
      </c>
      <c r="F171" s="20" t="str">
        <f>'[3]2025'!E171</f>
        <v/>
      </c>
      <c r="G171" s="73" t="str">
        <f>'[3]2025'!F171</f>
        <v/>
      </c>
      <c r="H171" s="42">
        <f>'[3]2025'!G171</f>
        <v>0</v>
      </c>
      <c r="I171" s="13">
        <f>'[3]2025'!H171</f>
        <v>0</v>
      </c>
      <c r="J171" s="14">
        <f>'[3]2025'!I171</f>
        <v>0</v>
      </c>
      <c r="K171" s="15">
        <f>'[3]2025'!J171</f>
        <v>0</v>
      </c>
      <c r="L171" s="15">
        <f>'[3]2025'!K171</f>
        <v>0</v>
      </c>
      <c r="M171" s="15">
        <f>'[3]2025'!L171</f>
        <v>0</v>
      </c>
      <c r="N171" s="16" t="str">
        <f t="shared" si="8"/>
        <v/>
      </c>
      <c r="O171" s="17" t="str">
        <f t="shared" si="9"/>
        <v/>
      </c>
      <c r="P171" s="17" t="str">
        <f t="shared" si="9"/>
        <v/>
      </c>
      <c r="Q171" s="18" t="str">
        <f t="shared" si="10"/>
        <v/>
      </c>
      <c r="R171" s="18" t="e">
        <f t="shared" si="11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200">
        <f>+CHAMNORD!B172</f>
        <v>46189</v>
      </c>
      <c r="C172" s="75" t="str">
        <f>IF(H172=0,"",'[3]2025-2026'!C171)</f>
        <v/>
      </c>
      <c r="D172" s="68" t="str">
        <f>'[3]2025'!C172</f>
        <v/>
      </c>
      <c r="E172" s="68" t="str">
        <f>'[3]2025'!D172</f>
        <v/>
      </c>
      <c r="F172" s="20" t="str">
        <f>'[3]2025'!E172</f>
        <v/>
      </c>
      <c r="G172" s="73" t="str">
        <f>'[3]2025'!F172</f>
        <v/>
      </c>
      <c r="H172" s="42">
        <f>'[3]2025'!G172</f>
        <v>0</v>
      </c>
      <c r="I172" s="13">
        <f>'[3]2025'!H172</f>
        <v>0</v>
      </c>
      <c r="J172" s="14">
        <f>'[3]2025'!I172</f>
        <v>0</v>
      </c>
      <c r="K172" s="15">
        <f>'[3]2025'!J172</f>
        <v>0</v>
      </c>
      <c r="L172" s="15">
        <f>'[3]2025'!K172</f>
        <v>0</v>
      </c>
      <c r="M172" s="15">
        <f>'[3]2025'!L172</f>
        <v>0</v>
      </c>
      <c r="N172" s="16" t="str">
        <f t="shared" si="8"/>
        <v/>
      </c>
      <c r="O172" s="17" t="str">
        <f t="shared" si="9"/>
        <v/>
      </c>
      <c r="P172" s="17" t="str">
        <f t="shared" si="9"/>
        <v/>
      </c>
      <c r="Q172" s="18" t="str">
        <f t="shared" si="10"/>
        <v/>
      </c>
      <c r="R172" s="18" t="e">
        <f t="shared" si="11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200">
        <f>+CHAMNORD!B173</f>
        <v>46190</v>
      </c>
      <c r="C173" s="75" t="str">
        <f>IF(H173=0,"",'[3]2025-2026'!C172)</f>
        <v/>
      </c>
      <c r="D173" s="68" t="str">
        <f>'[3]2025'!C173</f>
        <v/>
      </c>
      <c r="E173" s="68" t="str">
        <f>'[3]2025'!D173</f>
        <v/>
      </c>
      <c r="F173" s="20" t="str">
        <f>'[3]2025'!E173</f>
        <v/>
      </c>
      <c r="G173" s="73" t="str">
        <f>'[3]2025'!F173</f>
        <v/>
      </c>
      <c r="H173" s="42">
        <f>'[3]2025'!G173</f>
        <v>0</v>
      </c>
      <c r="I173" s="13">
        <f>'[3]2025'!H173</f>
        <v>0</v>
      </c>
      <c r="J173" s="14">
        <f>'[3]2025'!I173</f>
        <v>0</v>
      </c>
      <c r="K173" s="15">
        <f>'[3]2025'!J173</f>
        <v>0</v>
      </c>
      <c r="L173" s="15">
        <f>'[3]2025'!K173</f>
        <v>0</v>
      </c>
      <c r="M173" s="15">
        <f>'[3]2025'!L173</f>
        <v>0</v>
      </c>
      <c r="N173" s="16" t="str">
        <f t="shared" si="8"/>
        <v/>
      </c>
      <c r="O173" s="17" t="str">
        <f t="shared" si="9"/>
        <v/>
      </c>
      <c r="P173" s="17" t="str">
        <f t="shared" si="9"/>
        <v/>
      </c>
      <c r="Q173" s="18" t="str">
        <f t="shared" si="10"/>
        <v/>
      </c>
      <c r="R173" s="18" t="e">
        <f t="shared" si="11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200">
        <f>+CHAMNORD!B174</f>
        <v>46191</v>
      </c>
      <c r="C174" s="75" t="str">
        <f>IF(H174=0,"",'[3]2025-2026'!C173)</f>
        <v/>
      </c>
      <c r="D174" s="68" t="str">
        <f>'[3]2025'!C174</f>
        <v/>
      </c>
      <c r="E174" s="68" t="str">
        <f>'[3]2025'!D174</f>
        <v/>
      </c>
      <c r="F174" s="20" t="str">
        <f>'[3]2025'!E174</f>
        <v/>
      </c>
      <c r="G174" s="73" t="str">
        <f>'[3]2025'!F174</f>
        <v/>
      </c>
      <c r="H174" s="42">
        <f>'[3]2025'!G174</f>
        <v>0</v>
      </c>
      <c r="I174" s="13">
        <f>'[3]2025'!H174</f>
        <v>0</v>
      </c>
      <c r="J174" s="14">
        <f>'[3]2025'!I174</f>
        <v>0</v>
      </c>
      <c r="K174" s="15">
        <f>'[3]2025'!J174</f>
        <v>0</v>
      </c>
      <c r="L174" s="15">
        <f>'[3]2025'!K174</f>
        <v>0</v>
      </c>
      <c r="M174" s="15">
        <f>'[3]2025'!L174</f>
        <v>0</v>
      </c>
      <c r="N174" s="16" t="str">
        <f t="shared" si="8"/>
        <v/>
      </c>
      <c r="O174" s="17" t="str">
        <f t="shared" si="9"/>
        <v/>
      </c>
      <c r="P174" s="17" t="str">
        <f t="shared" si="9"/>
        <v/>
      </c>
      <c r="Q174" s="18" t="str">
        <f t="shared" si="10"/>
        <v/>
      </c>
      <c r="R174" s="18" t="e">
        <f t="shared" si="11"/>
        <v>#DIV/0!</v>
      </c>
      <c r="S174" s="34"/>
      <c r="T174" s="29" t="s">
        <v>8</v>
      </c>
      <c r="U174" s="1738"/>
    </row>
    <row r="175" spans="1:21">
      <c r="A175" s="10" t="s">
        <v>14</v>
      </c>
      <c r="B175" s="200">
        <f>+CHAMNORD!B175</f>
        <v>46192</v>
      </c>
      <c r="C175" s="75" t="str">
        <f>IF(H175=0,"",'[3]2025-2026'!C174)</f>
        <v/>
      </c>
      <c r="D175" s="68" t="str">
        <f>'[3]2025'!C175</f>
        <v/>
      </c>
      <c r="E175" s="68" t="str">
        <f>'[3]2025'!D175</f>
        <v/>
      </c>
      <c r="F175" s="20" t="str">
        <f>'[3]2025'!E175</f>
        <v/>
      </c>
      <c r="G175" s="73" t="str">
        <f>'[3]2025'!F175</f>
        <v/>
      </c>
      <c r="H175" s="42">
        <f>'[3]2025'!G175</f>
        <v>0</v>
      </c>
      <c r="I175" s="13">
        <f>'[3]2025'!H175</f>
        <v>0</v>
      </c>
      <c r="J175" s="14">
        <f>'[3]2025'!I175</f>
        <v>0</v>
      </c>
      <c r="K175" s="15">
        <f>'[3]2025'!J175</f>
        <v>0</v>
      </c>
      <c r="L175" s="15">
        <f>'[3]2025'!K175</f>
        <v>0</v>
      </c>
      <c r="M175" s="15">
        <f>'[3]2025'!L175</f>
        <v>0</v>
      </c>
      <c r="N175" s="16" t="str">
        <f t="shared" si="8"/>
        <v/>
      </c>
      <c r="O175" s="17" t="str">
        <f t="shared" si="9"/>
        <v/>
      </c>
      <c r="P175" s="17" t="str">
        <f t="shared" si="9"/>
        <v/>
      </c>
      <c r="Q175" s="18" t="str">
        <f t="shared" si="10"/>
        <v/>
      </c>
      <c r="R175" s="18" t="e">
        <f t="shared" si="11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200">
        <f>+CHAMNORD!B176</f>
        <v>46193</v>
      </c>
      <c r="C176" s="75" t="str">
        <f>IF(H176=0,"",'[3]2025-2026'!C175)</f>
        <v/>
      </c>
      <c r="D176" s="68" t="str">
        <f>'[3]2025'!C176</f>
        <v/>
      </c>
      <c r="E176" s="68" t="str">
        <f>'[3]2025'!D176</f>
        <v/>
      </c>
      <c r="F176" s="20" t="str">
        <f>'[3]2025'!E176</f>
        <v/>
      </c>
      <c r="G176" s="73" t="str">
        <f>'[3]2025'!F176</f>
        <v/>
      </c>
      <c r="H176" s="42">
        <f>'[3]2025'!G176</f>
        <v>0</v>
      </c>
      <c r="I176" s="13">
        <f>'[3]2025'!H176</f>
        <v>0</v>
      </c>
      <c r="J176" s="14">
        <f>'[3]2025'!I176</f>
        <v>0</v>
      </c>
      <c r="K176" s="15">
        <f>'[3]2025'!J176</f>
        <v>0</v>
      </c>
      <c r="L176" s="15">
        <f>'[3]2025'!K176</f>
        <v>0</v>
      </c>
      <c r="M176" s="15">
        <f>'[3]2025'!L176</f>
        <v>0</v>
      </c>
      <c r="N176" s="16" t="str">
        <f t="shared" si="8"/>
        <v/>
      </c>
      <c r="O176" s="17" t="str">
        <f t="shared" si="9"/>
        <v/>
      </c>
      <c r="P176" s="17" t="str">
        <f t="shared" si="9"/>
        <v/>
      </c>
      <c r="Q176" s="18" t="str">
        <f t="shared" si="10"/>
        <v/>
      </c>
      <c r="R176" s="18" t="e">
        <f t="shared" si="11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200">
        <f>+CHAMNORD!B177</f>
        <v>46194</v>
      </c>
      <c r="C177" s="75" t="str">
        <f>IF(H177=0,"",'[3]2025-2026'!C176)</f>
        <v/>
      </c>
      <c r="D177" s="68" t="str">
        <f>'[3]2025'!C177</f>
        <v/>
      </c>
      <c r="E177" s="68" t="str">
        <f>'[3]2025'!D177</f>
        <v/>
      </c>
      <c r="F177" s="20" t="str">
        <f>'[3]2025'!E177</f>
        <v/>
      </c>
      <c r="G177" s="73" t="str">
        <f>'[3]2025'!F177</f>
        <v/>
      </c>
      <c r="H177" s="42">
        <f>'[3]2025'!G177</f>
        <v>0</v>
      </c>
      <c r="I177" s="13">
        <f>'[3]2025'!H177</f>
        <v>0</v>
      </c>
      <c r="J177" s="14">
        <f>'[3]2025'!I177</f>
        <v>0</v>
      </c>
      <c r="K177" s="15">
        <f>'[3]2025'!J177</f>
        <v>0</v>
      </c>
      <c r="L177" s="15">
        <f>'[3]2025'!K177</f>
        <v>0</v>
      </c>
      <c r="M177" s="15">
        <f>'[3]2025'!L177</f>
        <v>0</v>
      </c>
      <c r="N177" s="16" t="str">
        <f t="shared" si="8"/>
        <v/>
      </c>
      <c r="O177" s="17" t="str">
        <f t="shared" si="9"/>
        <v/>
      </c>
      <c r="P177" s="17" t="str">
        <f t="shared" si="9"/>
        <v/>
      </c>
      <c r="Q177" s="18" t="str">
        <f t="shared" si="10"/>
        <v/>
      </c>
      <c r="R177" s="18" t="e">
        <f t="shared" si="11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200">
        <f>+CHAMNORD!B178</f>
        <v>46195</v>
      </c>
      <c r="C178" s="75" t="str">
        <f>IF(H178=0,"",'[3]2025-2026'!C177)</f>
        <v/>
      </c>
      <c r="D178" s="68" t="str">
        <f>'[3]2025'!C178</f>
        <v/>
      </c>
      <c r="E178" s="68" t="str">
        <f>'[3]2025'!D178</f>
        <v/>
      </c>
      <c r="F178" s="20" t="str">
        <f>'[3]2025'!E178</f>
        <v/>
      </c>
      <c r="G178" s="73" t="str">
        <f>'[3]2025'!F178</f>
        <v/>
      </c>
      <c r="H178" s="42">
        <f>'[3]2025'!G178</f>
        <v>0</v>
      </c>
      <c r="I178" s="13">
        <f>'[3]2025'!H178</f>
        <v>0</v>
      </c>
      <c r="J178" s="14">
        <f>'[3]2025'!I178</f>
        <v>0</v>
      </c>
      <c r="K178" s="15">
        <f>'[3]2025'!J178</f>
        <v>0</v>
      </c>
      <c r="L178" s="15">
        <f>'[3]2025'!K178</f>
        <v>0</v>
      </c>
      <c r="M178" s="15">
        <f>'[3]2025'!L178</f>
        <v>0</v>
      </c>
      <c r="N178" s="16" t="str">
        <f t="shared" si="8"/>
        <v/>
      </c>
      <c r="O178" s="17" t="str">
        <f t="shared" si="9"/>
        <v/>
      </c>
      <c r="P178" s="17" t="str">
        <f t="shared" si="9"/>
        <v/>
      </c>
      <c r="Q178" s="18" t="str">
        <f t="shared" si="10"/>
        <v/>
      </c>
      <c r="R178" s="18" t="e">
        <f t="shared" si="11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200">
        <f>+CHAMNORD!B179</f>
        <v>46196</v>
      </c>
      <c r="C179" s="75" t="str">
        <f>IF(H179=0,"",'[3]2025-2026'!C178)</f>
        <v/>
      </c>
      <c r="D179" s="68" t="str">
        <f>'[3]2025'!C179</f>
        <v/>
      </c>
      <c r="E179" s="68" t="str">
        <f>'[3]2025'!D179</f>
        <v/>
      </c>
      <c r="F179" s="20" t="str">
        <f>'[3]2025'!E179</f>
        <v/>
      </c>
      <c r="G179" s="73" t="str">
        <f>'[3]2025'!F179</f>
        <v/>
      </c>
      <c r="H179" s="42">
        <f>'[3]2025'!G179</f>
        <v>0</v>
      </c>
      <c r="I179" s="13">
        <f>'[3]2025'!H179</f>
        <v>0</v>
      </c>
      <c r="J179" s="14">
        <f>'[3]2025'!I179</f>
        <v>0</v>
      </c>
      <c r="K179" s="15">
        <f>'[3]2025'!J179</f>
        <v>0</v>
      </c>
      <c r="L179" s="15">
        <f>'[3]2025'!K179</f>
        <v>0</v>
      </c>
      <c r="M179" s="15">
        <f>'[3]2025'!L179</f>
        <v>0</v>
      </c>
      <c r="N179" s="16" t="str">
        <f t="shared" si="8"/>
        <v/>
      </c>
      <c r="O179" s="17" t="str">
        <f t="shared" si="9"/>
        <v/>
      </c>
      <c r="P179" s="17" t="str">
        <f t="shared" si="9"/>
        <v/>
      </c>
      <c r="Q179" s="18" t="str">
        <f t="shared" si="10"/>
        <v/>
      </c>
      <c r="R179" s="18" t="e">
        <f t="shared" si="11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200">
        <f>+CHAMNORD!B180</f>
        <v>46197</v>
      </c>
      <c r="C180" s="75" t="str">
        <f>IF(H180=0,"",'[3]2025-2026'!C179)</f>
        <v/>
      </c>
      <c r="D180" s="68" t="str">
        <f>'[3]2025'!C180</f>
        <v/>
      </c>
      <c r="E180" s="68" t="str">
        <f>'[3]2025'!D180</f>
        <v/>
      </c>
      <c r="F180" s="20" t="str">
        <f>'[3]2025'!E180</f>
        <v/>
      </c>
      <c r="G180" s="73" t="str">
        <f>'[3]2025'!F180</f>
        <v/>
      </c>
      <c r="H180" s="42">
        <f>'[3]2025'!G180</f>
        <v>0</v>
      </c>
      <c r="I180" s="13">
        <f>'[3]2025'!H180</f>
        <v>0</v>
      </c>
      <c r="J180" s="14">
        <f>'[3]2025'!I180</f>
        <v>0</v>
      </c>
      <c r="K180" s="15">
        <f>'[3]2025'!J180</f>
        <v>0</v>
      </c>
      <c r="L180" s="15">
        <f>'[3]2025'!K180</f>
        <v>0</v>
      </c>
      <c r="M180" s="15">
        <f>'[3]2025'!L180</f>
        <v>0</v>
      </c>
      <c r="N180" s="16" t="str">
        <f t="shared" si="8"/>
        <v/>
      </c>
      <c r="O180" s="17" t="str">
        <f t="shared" si="9"/>
        <v/>
      </c>
      <c r="P180" s="17" t="str">
        <f t="shared" si="9"/>
        <v/>
      </c>
      <c r="Q180" s="18" t="str">
        <f t="shared" si="10"/>
        <v/>
      </c>
      <c r="R180" s="18" t="e">
        <f t="shared" si="11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200">
        <f>+CHAMNORD!B181</f>
        <v>46198</v>
      </c>
      <c r="C181" s="75" t="str">
        <f>IF(H181=0,"",'[3]2025-2026'!C180)</f>
        <v/>
      </c>
      <c r="D181" s="68" t="str">
        <f>'[3]2025'!C181</f>
        <v/>
      </c>
      <c r="E181" s="68" t="str">
        <f>'[3]2025'!D181</f>
        <v/>
      </c>
      <c r="F181" s="20" t="str">
        <f>'[3]2025'!E181</f>
        <v/>
      </c>
      <c r="G181" s="73" t="str">
        <f>'[3]2025'!F181</f>
        <v/>
      </c>
      <c r="H181" s="42">
        <f>'[3]2025'!G181</f>
        <v>0</v>
      </c>
      <c r="I181" s="13">
        <f>'[3]2025'!H181</f>
        <v>0</v>
      </c>
      <c r="J181" s="14">
        <f>'[3]2025'!I181</f>
        <v>0</v>
      </c>
      <c r="K181" s="15">
        <f>'[3]2025'!J181</f>
        <v>0</v>
      </c>
      <c r="L181" s="15">
        <f>'[3]2025'!K181</f>
        <v>0</v>
      </c>
      <c r="M181" s="15">
        <f>'[3]2025'!L181</f>
        <v>0</v>
      </c>
      <c r="N181" s="16" t="str">
        <f t="shared" si="8"/>
        <v/>
      </c>
      <c r="O181" s="17" t="str">
        <f t="shared" si="9"/>
        <v/>
      </c>
      <c r="P181" s="17" t="str">
        <f t="shared" si="9"/>
        <v/>
      </c>
      <c r="Q181" s="18" t="str">
        <f t="shared" si="10"/>
        <v/>
      </c>
      <c r="R181" s="18" t="e">
        <f t="shared" si="11"/>
        <v>#DIV/0!</v>
      </c>
      <c r="S181" s="34"/>
      <c r="T181" s="29" t="s">
        <v>8</v>
      </c>
      <c r="U181" s="1738"/>
    </row>
    <row r="182" spans="1:21">
      <c r="A182" s="10" t="s">
        <v>14</v>
      </c>
      <c r="B182" s="200">
        <f>+CHAMNORD!B182</f>
        <v>46199</v>
      </c>
      <c r="C182" s="75" t="str">
        <f>IF(H182=0,"",'[3]2025-2026'!C181)</f>
        <v/>
      </c>
      <c r="D182" s="68" t="str">
        <f>'[3]2025'!C182</f>
        <v/>
      </c>
      <c r="E182" s="68" t="str">
        <f>'[3]2025'!D182</f>
        <v/>
      </c>
      <c r="F182" s="20" t="str">
        <f>'[3]2025'!E182</f>
        <v/>
      </c>
      <c r="G182" s="73" t="str">
        <f>'[3]2025'!F182</f>
        <v/>
      </c>
      <c r="H182" s="42">
        <f>'[3]2025'!G182</f>
        <v>0</v>
      </c>
      <c r="I182" s="13">
        <f>'[3]2025'!H182</f>
        <v>0</v>
      </c>
      <c r="J182" s="14">
        <f>'[3]2025'!I182</f>
        <v>0</v>
      </c>
      <c r="K182" s="15">
        <f>'[3]2025'!J182</f>
        <v>0</v>
      </c>
      <c r="L182" s="15">
        <f>'[3]2025'!K182</f>
        <v>0</v>
      </c>
      <c r="M182" s="15">
        <f>'[3]2025'!L182</f>
        <v>0</v>
      </c>
      <c r="N182" s="16" t="str">
        <f t="shared" si="8"/>
        <v/>
      </c>
      <c r="O182" s="17" t="str">
        <f t="shared" si="9"/>
        <v/>
      </c>
      <c r="P182" s="17" t="str">
        <f t="shared" si="9"/>
        <v/>
      </c>
      <c r="Q182" s="18" t="str">
        <f t="shared" si="10"/>
        <v/>
      </c>
      <c r="R182" s="18" t="e">
        <f t="shared" si="11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200">
        <f>+CHAMNORD!B183</f>
        <v>46200</v>
      </c>
      <c r="C183" s="75" t="str">
        <f>IF(H183=0,"",'[3]2025-2026'!C182)</f>
        <v/>
      </c>
      <c r="D183" s="68" t="str">
        <f>'[3]2025'!C183</f>
        <v/>
      </c>
      <c r="E183" s="68" t="str">
        <f>'[3]2025'!D183</f>
        <v/>
      </c>
      <c r="F183" s="20" t="str">
        <f>'[3]2025'!E183</f>
        <v/>
      </c>
      <c r="G183" s="73" t="str">
        <f>'[3]2025'!F183</f>
        <v/>
      </c>
      <c r="H183" s="42">
        <f>'[3]2025'!G183</f>
        <v>0</v>
      </c>
      <c r="I183" s="13">
        <f>'[3]2025'!H183</f>
        <v>0</v>
      </c>
      <c r="J183" s="14">
        <f>'[3]2025'!I183</f>
        <v>0</v>
      </c>
      <c r="K183" s="15">
        <f>'[3]2025'!J183</f>
        <v>0</v>
      </c>
      <c r="L183" s="15">
        <f>'[3]2025'!K183</f>
        <v>0</v>
      </c>
      <c r="M183" s="15">
        <f>'[3]2025'!L183</f>
        <v>0</v>
      </c>
      <c r="N183" s="16" t="str">
        <f t="shared" si="8"/>
        <v/>
      </c>
      <c r="O183" s="17" t="str">
        <f t="shared" si="9"/>
        <v/>
      </c>
      <c r="P183" s="17" t="str">
        <f t="shared" si="9"/>
        <v/>
      </c>
      <c r="Q183" s="18" t="str">
        <f t="shared" si="10"/>
        <v/>
      </c>
      <c r="R183" s="18" t="e">
        <f t="shared" si="11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200">
        <f>+CHAMNORD!B184</f>
        <v>46201</v>
      </c>
      <c r="C184" s="75" t="str">
        <f>IF(H184=0,"",'[3]2025-2026'!C183)</f>
        <v/>
      </c>
      <c r="D184" s="68" t="str">
        <f>'[3]2025'!C184</f>
        <v/>
      </c>
      <c r="E184" s="68" t="str">
        <f>'[3]2025'!D184</f>
        <v/>
      </c>
      <c r="F184" s="20" t="str">
        <f>'[3]2025'!E184</f>
        <v/>
      </c>
      <c r="G184" s="73" t="str">
        <f>'[3]2025'!F184</f>
        <v/>
      </c>
      <c r="H184" s="42">
        <f>'[3]2025'!G184</f>
        <v>0</v>
      </c>
      <c r="I184" s="13">
        <f>'[3]2025'!H184</f>
        <v>0</v>
      </c>
      <c r="J184" s="14">
        <f>'[3]2025'!I184</f>
        <v>0</v>
      </c>
      <c r="K184" s="15">
        <f>'[3]2025'!J184</f>
        <v>0</v>
      </c>
      <c r="L184" s="15">
        <f>'[3]2025'!K184</f>
        <v>0</v>
      </c>
      <c r="M184" s="15">
        <f>'[3]2025'!L184</f>
        <v>0</v>
      </c>
      <c r="N184" s="16" t="str">
        <f t="shared" si="8"/>
        <v/>
      </c>
      <c r="O184" s="17" t="str">
        <f t="shared" si="9"/>
        <v/>
      </c>
      <c r="P184" s="17" t="str">
        <f t="shared" si="9"/>
        <v/>
      </c>
      <c r="Q184" s="18" t="str">
        <f t="shared" si="10"/>
        <v/>
      </c>
      <c r="R184" s="18" t="e">
        <f t="shared" si="11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200">
        <f>+CHAMNORD!B185</f>
        <v>46202</v>
      </c>
      <c r="C185" s="75" t="str">
        <f>IF(H185=0,"",'[3]2025-2026'!C184)</f>
        <v/>
      </c>
      <c r="D185" s="68" t="str">
        <f>'[3]2025'!C185</f>
        <v/>
      </c>
      <c r="E185" s="68" t="str">
        <f>'[3]2025'!D185</f>
        <v/>
      </c>
      <c r="F185" s="20" t="str">
        <f>'[3]2025'!E185</f>
        <v/>
      </c>
      <c r="G185" s="73" t="str">
        <f>'[3]2025'!F185</f>
        <v/>
      </c>
      <c r="H185" s="42">
        <f>'[3]2025'!G185</f>
        <v>0</v>
      </c>
      <c r="I185" s="13">
        <f>'[3]2025'!H185</f>
        <v>0</v>
      </c>
      <c r="J185" s="14">
        <f>'[3]2025'!I185</f>
        <v>0</v>
      </c>
      <c r="K185" s="15">
        <f>'[3]2025'!J185</f>
        <v>0</v>
      </c>
      <c r="L185" s="15">
        <f>'[3]2025'!K185</f>
        <v>0</v>
      </c>
      <c r="M185" s="15">
        <f>'[3]2025'!L185</f>
        <v>0</v>
      </c>
      <c r="N185" s="16" t="str">
        <f t="shared" si="8"/>
        <v/>
      </c>
      <c r="O185" s="17" t="str">
        <f t="shared" si="9"/>
        <v/>
      </c>
      <c r="P185" s="17" t="str">
        <f t="shared" si="9"/>
        <v/>
      </c>
      <c r="Q185" s="18" t="str">
        <f t="shared" si="10"/>
        <v/>
      </c>
      <c r="R185" s="18" t="e">
        <f t="shared" si="11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200">
        <f>+CHAMNORD!B186</f>
        <v>46203</v>
      </c>
      <c r="C186" s="75" t="str">
        <f>IF(H186=0,"",'[3]2025-2026'!C185)</f>
        <v/>
      </c>
      <c r="D186" s="68" t="str">
        <f>'[3]2025'!C186</f>
        <v/>
      </c>
      <c r="E186" s="68" t="str">
        <f>'[3]2025'!D186</f>
        <v/>
      </c>
      <c r="F186" s="20" t="str">
        <f>'[3]2025'!E186</f>
        <v/>
      </c>
      <c r="G186" s="73" t="str">
        <f>'[3]2025'!F186</f>
        <v/>
      </c>
      <c r="H186" s="42">
        <f>'[3]2025'!G186</f>
        <v>0</v>
      </c>
      <c r="I186" s="13">
        <f>'[3]2025'!H186</f>
        <v>0</v>
      </c>
      <c r="J186" s="14">
        <f>'[3]2025'!I186</f>
        <v>0</v>
      </c>
      <c r="K186" s="15">
        <f>'[3]2025'!J186</f>
        <v>0</v>
      </c>
      <c r="L186" s="15">
        <f>'[3]2025'!K186</f>
        <v>0</v>
      </c>
      <c r="M186" s="15">
        <f>'[3]2025'!L186</f>
        <v>0</v>
      </c>
      <c r="N186" s="16" t="str">
        <f t="shared" si="8"/>
        <v/>
      </c>
      <c r="O186" s="17" t="str">
        <f t="shared" si="9"/>
        <v/>
      </c>
      <c r="P186" s="17" t="str">
        <f t="shared" si="9"/>
        <v/>
      </c>
      <c r="Q186" s="18" t="str">
        <f t="shared" si="10"/>
        <v/>
      </c>
      <c r="R186" s="18" t="e">
        <f t="shared" si="11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200">
        <f>+CHAMNORD!B187</f>
        <v>46204</v>
      </c>
      <c r="C187" s="75" t="str">
        <f>IF(H187=0,"",'[3]2025-2026'!C186)</f>
        <v/>
      </c>
      <c r="D187" s="68" t="str">
        <f>'[3]2025'!C187</f>
        <v/>
      </c>
      <c r="E187" s="68" t="str">
        <f>'[3]2025'!D187</f>
        <v/>
      </c>
      <c r="F187" s="20" t="str">
        <f>'[3]2025'!E187</f>
        <v/>
      </c>
      <c r="G187" s="73" t="str">
        <f>'[3]2025'!F187</f>
        <v/>
      </c>
      <c r="H187" s="42">
        <f>'[3]2025'!G187</f>
        <v>0</v>
      </c>
      <c r="I187" s="13">
        <f>'[3]2025'!H187</f>
        <v>0</v>
      </c>
      <c r="J187" s="14">
        <f>'[3]2025'!I187</f>
        <v>0</v>
      </c>
      <c r="K187" s="15">
        <f>'[3]2025'!J187</f>
        <v>0</v>
      </c>
      <c r="L187" s="15">
        <f>'[3]2025'!K187</f>
        <v>0</v>
      </c>
      <c r="M187" s="15">
        <f>'[3]2025'!L187</f>
        <v>0</v>
      </c>
      <c r="N187" s="16" t="str">
        <f t="shared" si="8"/>
        <v/>
      </c>
      <c r="O187" s="17" t="str">
        <f t="shared" si="9"/>
        <v/>
      </c>
      <c r="P187" s="17" t="str">
        <f t="shared" si="9"/>
        <v/>
      </c>
      <c r="Q187" s="18" t="str">
        <f t="shared" si="10"/>
        <v/>
      </c>
      <c r="R187" s="18" t="e">
        <f t="shared" si="11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200">
        <f>+CHAMNORD!B188</f>
        <v>46205</v>
      </c>
      <c r="C188" s="75" t="str">
        <f>IF(H188=0,"",'[3]2025-2026'!C187)</f>
        <v/>
      </c>
      <c r="D188" s="68" t="str">
        <f>'[3]2025'!C188</f>
        <v/>
      </c>
      <c r="E188" s="68" t="str">
        <f>'[3]2025'!D188</f>
        <v/>
      </c>
      <c r="F188" s="20" t="str">
        <f>'[3]2025'!E188</f>
        <v/>
      </c>
      <c r="G188" s="73" t="str">
        <f>'[3]2025'!F188</f>
        <v/>
      </c>
      <c r="H188" s="42">
        <f>'[3]2025'!G188</f>
        <v>0</v>
      </c>
      <c r="I188" s="13">
        <f>'[3]2025'!H188</f>
        <v>0</v>
      </c>
      <c r="J188" s="14">
        <f>'[3]2025'!I188</f>
        <v>0</v>
      </c>
      <c r="K188" s="15">
        <f>'[3]2025'!J188</f>
        <v>0</v>
      </c>
      <c r="L188" s="15">
        <f>'[3]2025'!K188</f>
        <v>0</v>
      </c>
      <c r="M188" s="15">
        <f>'[3]2025'!L188</f>
        <v>0</v>
      </c>
      <c r="N188" s="16" t="str">
        <f t="shared" si="8"/>
        <v/>
      </c>
      <c r="O188" s="17" t="str">
        <f t="shared" si="9"/>
        <v/>
      </c>
      <c r="P188" s="17" t="str">
        <f t="shared" si="9"/>
        <v/>
      </c>
      <c r="Q188" s="18" t="str">
        <f t="shared" si="10"/>
        <v/>
      </c>
      <c r="R188" s="18" t="e">
        <f t="shared" si="11"/>
        <v>#DIV/0!</v>
      </c>
      <c r="S188" s="34"/>
      <c r="T188" s="29" t="s">
        <v>8</v>
      </c>
      <c r="U188" s="1738"/>
    </row>
    <row r="189" spans="1:21">
      <c r="A189" s="10" t="s">
        <v>14</v>
      </c>
      <c r="B189" s="200">
        <f>+CHAMNORD!B189</f>
        <v>46206</v>
      </c>
      <c r="C189" s="75" t="str">
        <f>IF(H189=0,"",'[3]2025-2026'!C188)</f>
        <v/>
      </c>
      <c r="D189" s="68" t="str">
        <f>'[3]2025'!C189</f>
        <v/>
      </c>
      <c r="E189" s="68" t="str">
        <f>'[3]2025'!D189</f>
        <v/>
      </c>
      <c r="F189" s="20" t="str">
        <f>'[3]2025'!E189</f>
        <v/>
      </c>
      <c r="G189" s="73" t="str">
        <f>'[3]2025'!F189</f>
        <v/>
      </c>
      <c r="H189" s="42">
        <f>'[3]2025'!G189</f>
        <v>0</v>
      </c>
      <c r="I189" s="13">
        <f>'[3]2025'!H189</f>
        <v>0</v>
      </c>
      <c r="J189" s="14">
        <f>'[3]2025'!I189</f>
        <v>0</v>
      </c>
      <c r="K189" s="15">
        <f>'[3]2025'!J189</f>
        <v>0</v>
      </c>
      <c r="L189" s="15">
        <f>'[3]2025'!K189</f>
        <v>0</v>
      </c>
      <c r="M189" s="15">
        <f>'[3]2025'!L189</f>
        <v>0</v>
      </c>
      <c r="N189" s="16" t="str">
        <f t="shared" si="8"/>
        <v/>
      </c>
      <c r="O189" s="17" t="str">
        <f t="shared" si="9"/>
        <v/>
      </c>
      <c r="P189" s="17" t="str">
        <f t="shared" si="9"/>
        <v/>
      </c>
      <c r="Q189" s="18" t="str">
        <f t="shared" si="10"/>
        <v/>
      </c>
      <c r="R189" s="18" t="e">
        <f t="shared" si="11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200">
        <f>+CHAMNORD!B190</f>
        <v>46207</v>
      </c>
      <c r="C190" s="75" t="str">
        <f>IF(H190=0,"",'[3]2025-2026'!C189)</f>
        <v/>
      </c>
      <c r="D190" s="68" t="str">
        <f>'[3]2025'!C190</f>
        <v/>
      </c>
      <c r="E190" s="68" t="str">
        <f>'[3]2025'!D190</f>
        <v/>
      </c>
      <c r="F190" s="20" t="str">
        <f>'[3]2025'!E190</f>
        <v/>
      </c>
      <c r="G190" s="73" t="str">
        <f>'[3]2025'!F190</f>
        <v/>
      </c>
      <c r="H190" s="42">
        <f>'[3]2025'!G190</f>
        <v>0</v>
      </c>
      <c r="I190" s="13">
        <f>'[3]2025'!H190</f>
        <v>0</v>
      </c>
      <c r="J190" s="14">
        <f>'[3]2025'!I190</f>
        <v>0</v>
      </c>
      <c r="K190" s="15">
        <f>'[3]2025'!J190</f>
        <v>0</v>
      </c>
      <c r="L190" s="15">
        <f>'[3]2025'!K190</f>
        <v>0</v>
      </c>
      <c r="M190" s="15">
        <f>'[3]2025'!L190</f>
        <v>0</v>
      </c>
      <c r="N190" s="16" t="str">
        <f t="shared" si="8"/>
        <v/>
      </c>
      <c r="O190" s="17" t="str">
        <f t="shared" si="9"/>
        <v/>
      </c>
      <c r="P190" s="17" t="str">
        <f t="shared" si="9"/>
        <v/>
      </c>
      <c r="Q190" s="18" t="str">
        <f t="shared" si="10"/>
        <v/>
      </c>
      <c r="R190" s="18" t="e">
        <f t="shared" si="11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200">
        <f>+CHAMNORD!B191</f>
        <v>46208</v>
      </c>
      <c r="C191" s="75" t="str">
        <f>IF(H191=0,"",'[3]2025-2026'!C190)</f>
        <v/>
      </c>
      <c r="D191" s="68" t="str">
        <f>'[3]2025'!C191</f>
        <v/>
      </c>
      <c r="E191" s="68" t="str">
        <f>'[3]2025'!D191</f>
        <v/>
      </c>
      <c r="F191" s="20" t="str">
        <f>'[3]2025'!E191</f>
        <v/>
      </c>
      <c r="G191" s="73" t="str">
        <f>'[3]2025'!F191</f>
        <v/>
      </c>
      <c r="H191" s="42">
        <f>'[3]2025'!G191</f>
        <v>0</v>
      </c>
      <c r="I191" s="13">
        <f>'[3]2025'!H191</f>
        <v>0</v>
      </c>
      <c r="J191" s="14">
        <f>'[3]2025'!I191</f>
        <v>0</v>
      </c>
      <c r="K191" s="15">
        <f>'[3]2025'!J191</f>
        <v>0</v>
      </c>
      <c r="L191" s="15">
        <f>'[3]2025'!K191</f>
        <v>0</v>
      </c>
      <c r="M191" s="15">
        <f>'[3]2025'!L191</f>
        <v>0</v>
      </c>
      <c r="N191" s="16" t="str">
        <f t="shared" si="8"/>
        <v/>
      </c>
      <c r="O191" s="17" t="str">
        <f t="shared" si="9"/>
        <v/>
      </c>
      <c r="P191" s="17" t="str">
        <f t="shared" si="9"/>
        <v/>
      </c>
      <c r="Q191" s="18" t="str">
        <f t="shared" si="10"/>
        <v/>
      </c>
      <c r="R191" s="18" t="e">
        <f t="shared" si="11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200">
        <f>+CHAMNORD!B192</f>
        <v>46209</v>
      </c>
      <c r="C192" s="75" t="str">
        <f>IF(H192=0,"",'[3]2025-2026'!C191)</f>
        <v/>
      </c>
      <c r="D192" s="68" t="str">
        <f>'[3]2025'!C192</f>
        <v/>
      </c>
      <c r="E192" s="68" t="str">
        <f>'[3]2025'!D192</f>
        <v/>
      </c>
      <c r="F192" s="20" t="str">
        <f>'[3]2025'!E192</f>
        <v/>
      </c>
      <c r="G192" s="73" t="str">
        <f>'[3]2025'!F192</f>
        <v/>
      </c>
      <c r="H192" s="42">
        <f>'[3]2025'!G192</f>
        <v>0</v>
      </c>
      <c r="I192" s="13">
        <f>'[3]2025'!H192</f>
        <v>0</v>
      </c>
      <c r="J192" s="14">
        <f>'[3]2025'!I192</f>
        <v>0</v>
      </c>
      <c r="K192" s="15">
        <f>'[3]2025'!J192</f>
        <v>0</v>
      </c>
      <c r="L192" s="15">
        <f>'[3]2025'!K192</f>
        <v>0</v>
      </c>
      <c r="M192" s="15">
        <f>'[3]2025'!L192</f>
        <v>0</v>
      </c>
      <c r="N192" s="16" t="str">
        <f t="shared" si="8"/>
        <v/>
      </c>
      <c r="O192" s="17" t="str">
        <f t="shared" si="9"/>
        <v/>
      </c>
      <c r="P192" s="17" t="str">
        <f t="shared" si="9"/>
        <v/>
      </c>
      <c r="Q192" s="18" t="str">
        <f t="shared" si="10"/>
        <v/>
      </c>
      <c r="R192" s="18" t="e">
        <f t="shared" si="11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200">
        <f>+CHAMNORD!B193</f>
        <v>46210</v>
      </c>
      <c r="C193" s="75" t="str">
        <f>IF(H193=0,"",'[3]2025-2026'!C192)</f>
        <v/>
      </c>
      <c r="D193" s="68" t="str">
        <f>'[3]2025'!C193</f>
        <v/>
      </c>
      <c r="E193" s="68" t="str">
        <f>'[3]2025'!D193</f>
        <v/>
      </c>
      <c r="F193" s="20" t="str">
        <f>'[3]2025'!E193</f>
        <v/>
      </c>
      <c r="G193" s="73" t="str">
        <f>'[3]2025'!F193</f>
        <v/>
      </c>
      <c r="H193" s="42">
        <f>'[3]2025'!G193</f>
        <v>0</v>
      </c>
      <c r="I193" s="13">
        <f>'[3]2025'!H193</f>
        <v>0</v>
      </c>
      <c r="J193" s="14">
        <f>'[3]2025'!I193</f>
        <v>0</v>
      </c>
      <c r="K193" s="15">
        <f>'[3]2025'!J193</f>
        <v>0</v>
      </c>
      <c r="L193" s="15">
        <f>'[3]2025'!K193</f>
        <v>0</v>
      </c>
      <c r="M193" s="15">
        <f>'[3]2025'!L193</f>
        <v>0</v>
      </c>
      <c r="N193" s="16" t="str">
        <f t="shared" si="8"/>
        <v/>
      </c>
      <c r="O193" s="17" t="str">
        <f t="shared" si="9"/>
        <v/>
      </c>
      <c r="P193" s="17" t="str">
        <f t="shared" si="9"/>
        <v/>
      </c>
      <c r="Q193" s="18" t="str">
        <f t="shared" si="10"/>
        <v/>
      </c>
      <c r="R193" s="18" t="e">
        <f t="shared" si="11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200">
        <f>+CHAMNORD!B194</f>
        <v>46211</v>
      </c>
      <c r="C194" s="75" t="str">
        <f>IF(H194=0,"",'[3]2025-2026'!C193)</f>
        <v/>
      </c>
      <c r="D194" s="68" t="str">
        <f>'[3]2025'!C194</f>
        <v/>
      </c>
      <c r="E194" s="68" t="str">
        <f>'[3]2025'!D194</f>
        <v/>
      </c>
      <c r="F194" s="20" t="str">
        <f>'[3]2025'!E194</f>
        <v/>
      </c>
      <c r="G194" s="73" t="str">
        <f>'[3]2025'!F194</f>
        <v/>
      </c>
      <c r="H194" s="42">
        <f>'[3]2025'!G194</f>
        <v>0</v>
      </c>
      <c r="I194" s="13">
        <f>'[3]2025'!H194</f>
        <v>0</v>
      </c>
      <c r="J194" s="14">
        <f>'[3]2025'!I194</f>
        <v>0</v>
      </c>
      <c r="K194" s="15">
        <f>'[3]2025'!J194</f>
        <v>0</v>
      </c>
      <c r="L194" s="15">
        <f>'[3]2025'!K194</f>
        <v>0</v>
      </c>
      <c r="M194" s="15">
        <f>'[3]2025'!L194</f>
        <v>0</v>
      </c>
      <c r="N194" s="16" t="str">
        <f t="shared" si="8"/>
        <v/>
      </c>
      <c r="O194" s="17" t="str">
        <f t="shared" si="9"/>
        <v/>
      </c>
      <c r="P194" s="17" t="str">
        <f t="shared" si="9"/>
        <v/>
      </c>
      <c r="Q194" s="18" t="str">
        <f t="shared" si="10"/>
        <v/>
      </c>
      <c r="R194" s="18" t="e">
        <f t="shared" si="11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200">
        <f>+CHAMNORD!B195</f>
        <v>46212</v>
      </c>
      <c r="C195" s="75" t="str">
        <f>IF(H195=0,"",'[3]2025-2026'!C194)</f>
        <v/>
      </c>
      <c r="D195" s="68" t="str">
        <f>'[3]2025'!C195</f>
        <v/>
      </c>
      <c r="E195" s="68" t="str">
        <f>'[3]2025'!D195</f>
        <v/>
      </c>
      <c r="F195" s="20" t="str">
        <f>'[3]2025'!E195</f>
        <v/>
      </c>
      <c r="G195" s="73" t="str">
        <f>'[3]2025'!F195</f>
        <v/>
      </c>
      <c r="H195" s="42">
        <f>'[3]2025'!G195</f>
        <v>0</v>
      </c>
      <c r="I195" s="13">
        <f>'[3]2025'!H195</f>
        <v>0</v>
      </c>
      <c r="J195" s="14">
        <f>'[3]2025'!I195</f>
        <v>0</v>
      </c>
      <c r="K195" s="15">
        <f>'[3]2025'!J195</f>
        <v>0</v>
      </c>
      <c r="L195" s="15">
        <f>'[3]2025'!K195</f>
        <v>0</v>
      </c>
      <c r="M195" s="15">
        <f>'[3]2025'!L195</f>
        <v>0</v>
      </c>
      <c r="N195" s="16" t="str">
        <f t="shared" si="8"/>
        <v/>
      </c>
      <c r="O195" s="17" t="str">
        <f t="shared" si="9"/>
        <v/>
      </c>
      <c r="P195" s="17" t="str">
        <f t="shared" si="9"/>
        <v/>
      </c>
      <c r="Q195" s="18" t="str">
        <f t="shared" si="10"/>
        <v/>
      </c>
      <c r="R195" s="18" t="e">
        <f t="shared" si="11"/>
        <v>#DIV/0!</v>
      </c>
      <c r="S195" s="34"/>
      <c r="T195" s="29" t="s">
        <v>8</v>
      </c>
      <c r="U195" s="1738"/>
    </row>
    <row r="196" spans="1:21">
      <c r="A196" s="10" t="s">
        <v>14</v>
      </c>
      <c r="B196" s="200">
        <f>+CHAMNORD!B196</f>
        <v>46213</v>
      </c>
      <c r="C196" s="75" t="str">
        <f>IF(H196=0,"",'[3]2025-2026'!C195)</f>
        <v/>
      </c>
      <c r="D196" s="68" t="str">
        <f>'[3]2025'!C196</f>
        <v/>
      </c>
      <c r="E196" s="68" t="str">
        <f>'[3]2025'!D196</f>
        <v/>
      </c>
      <c r="F196" s="20" t="str">
        <f>'[3]2025'!E196</f>
        <v/>
      </c>
      <c r="G196" s="73" t="str">
        <f>'[3]2025'!F196</f>
        <v/>
      </c>
      <c r="H196" s="42">
        <f>'[3]2025'!G196</f>
        <v>0</v>
      </c>
      <c r="I196" s="13">
        <f>'[3]2025'!H196</f>
        <v>0</v>
      </c>
      <c r="J196" s="14">
        <f>'[3]2025'!I196</f>
        <v>0</v>
      </c>
      <c r="K196" s="15">
        <f>'[3]2025'!J196</f>
        <v>0</v>
      </c>
      <c r="L196" s="15">
        <f>'[3]2025'!K196</f>
        <v>0</v>
      </c>
      <c r="M196" s="15">
        <f>'[3]2025'!L196</f>
        <v>0</v>
      </c>
      <c r="N196" s="16" t="str">
        <f t="shared" ref="N196:N259" si="12">IF(M196=0,"",M196/I196)</f>
        <v/>
      </c>
      <c r="O196" s="17" t="str">
        <f t="shared" ref="O196:P259" si="13">IF(I196=0,"",(I196-E196)/E196)</f>
        <v/>
      </c>
      <c r="P196" s="17" t="str">
        <f t="shared" si="13"/>
        <v/>
      </c>
      <c r="Q196" s="18" t="str">
        <f t="shared" ref="Q196:Q259" si="14">IF(I196=0,"",I196/K196)</f>
        <v/>
      </c>
      <c r="R196" s="18" t="e">
        <f t="shared" ref="R196:R259" si="15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200">
        <f>+CHAMNORD!B197</f>
        <v>46214</v>
      </c>
      <c r="C197" s="75" t="str">
        <f>IF(H197=0,"",'[3]2025-2026'!C196)</f>
        <v/>
      </c>
      <c r="D197" s="68" t="str">
        <f>'[3]2025'!C197</f>
        <v/>
      </c>
      <c r="E197" s="68" t="str">
        <f>'[3]2025'!D197</f>
        <v/>
      </c>
      <c r="F197" s="20" t="str">
        <f>'[3]2025'!E197</f>
        <v/>
      </c>
      <c r="G197" s="73" t="str">
        <f>'[3]2025'!F197</f>
        <v/>
      </c>
      <c r="H197" s="42">
        <f>'[3]2025'!G197</f>
        <v>0</v>
      </c>
      <c r="I197" s="13">
        <f>'[3]2025'!H197</f>
        <v>0</v>
      </c>
      <c r="J197" s="14">
        <f>'[3]2025'!I197</f>
        <v>0</v>
      </c>
      <c r="K197" s="15">
        <f>'[3]2025'!J197</f>
        <v>0</v>
      </c>
      <c r="L197" s="15">
        <f>'[3]2025'!K197</f>
        <v>0</v>
      </c>
      <c r="M197" s="15">
        <f>'[3]2025'!L197</f>
        <v>0</v>
      </c>
      <c r="N197" s="16" t="str">
        <f t="shared" si="12"/>
        <v/>
      </c>
      <c r="O197" s="17" t="str">
        <f t="shared" si="13"/>
        <v/>
      </c>
      <c r="P197" s="17" t="str">
        <f t="shared" si="13"/>
        <v/>
      </c>
      <c r="Q197" s="18" t="str">
        <f t="shared" si="14"/>
        <v/>
      </c>
      <c r="R197" s="18" t="e">
        <f t="shared" si="15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200">
        <f>+CHAMNORD!B198</f>
        <v>46215</v>
      </c>
      <c r="C198" s="75" t="str">
        <f>IF(H198=0,"",'[3]2025-2026'!C197)</f>
        <v/>
      </c>
      <c r="D198" s="68" t="str">
        <f>'[3]2025'!C198</f>
        <v/>
      </c>
      <c r="E198" s="68" t="str">
        <f>'[3]2025'!D198</f>
        <v/>
      </c>
      <c r="F198" s="20" t="str">
        <f>'[3]2025'!E198</f>
        <v/>
      </c>
      <c r="G198" s="73" t="str">
        <f>'[3]2025'!F198</f>
        <v/>
      </c>
      <c r="H198" s="42">
        <f>'[3]2025'!G198</f>
        <v>0</v>
      </c>
      <c r="I198" s="13">
        <f>'[3]2025'!H198</f>
        <v>0</v>
      </c>
      <c r="J198" s="14">
        <f>'[3]2025'!I198</f>
        <v>0</v>
      </c>
      <c r="K198" s="15">
        <f>'[3]2025'!J198</f>
        <v>0</v>
      </c>
      <c r="L198" s="15">
        <f>'[3]2025'!K198</f>
        <v>0</v>
      </c>
      <c r="M198" s="15">
        <f>'[3]2025'!L198</f>
        <v>0</v>
      </c>
      <c r="N198" s="16" t="str">
        <f t="shared" si="12"/>
        <v/>
      </c>
      <c r="O198" s="17" t="str">
        <f t="shared" si="13"/>
        <v/>
      </c>
      <c r="P198" s="17" t="str">
        <f t="shared" si="13"/>
        <v/>
      </c>
      <c r="Q198" s="18" t="str">
        <f t="shared" si="14"/>
        <v/>
      </c>
      <c r="R198" s="18" t="e">
        <f t="shared" si="15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200">
        <f>+CHAMNORD!B199</f>
        <v>46216</v>
      </c>
      <c r="C199" s="75" t="str">
        <f>IF(H199=0,"",'[3]2025-2026'!C198)</f>
        <v/>
      </c>
      <c r="D199" s="68" t="str">
        <f>'[3]2025'!C199</f>
        <v/>
      </c>
      <c r="E199" s="68" t="str">
        <f>'[3]2025'!D199</f>
        <v/>
      </c>
      <c r="F199" s="20" t="str">
        <f>'[3]2025'!E199</f>
        <v/>
      </c>
      <c r="G199" s="73" t="str">
        <f>'[3]2025'!F199</f>
        <v/>
      </c>
      <c r="H199" s="42">
        <f>'[3]2025'!G199</f>
        <v>0</v>
      </c>
      <c r="I199" s="13">
        <f>'[3]2025'!H199</f>
        <v>0</v>
      </c>
      <c r="J199" s="14">
        <f>'[3]2025'!I199</f>
        <v>0</v>
      </c>
      <c r="K199" s="15">
        <f>'[3]2025'!J199</f>
        <v>0</v>
      </c>
      <c r="L199" s="15">
        <f>'[3]2025'!K199</f>
        <v>0</v>
      </c>
      <c r="M199" s="15">
        <f>'[3]2025'!L199</f>
        <v>0</v>
      </c>
      <c r="N199" s="16" t="str">
        <f t="shared" si="12"/>
        <v/>
      </c>
      <c r="O199" s="17" t="str">
        <f t="shared" si="13"/>
        <v/>
      </c>
      <c r="P199" s="17" t="str">
        <f t="shared" si="13"/>
        <v/>
      </c>
      <c r="Q199" s="18" t="str">
        <f t="shared" si="14"/>
        <v/>
      </c>
      <c r="R199" s="18" t="e">
        <f t="shared" si="15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200">
        <f>+CHAMNORD!B200</f>
        <v>46217</v>
      </c>
      <c r="C200" s="75" t="str">
        <f>IF(H200=0,"",'[3]2025-2026'!C199)</f>
        <v/>
      </c>
      <c r="D200" s="68" t="str">
        <f>'[3]2025'!C200</f>
        <v/>
      </c>
      <c r="E200" s="68" t="str">
        <f>'[3]2025'!D200</f>
        <v/>
      </c>
      <c r="F200" s="20" t="str">
        <f>'[3]2025'!E200</f>
        <v/>
      </c>
      <c r="G200" s="73" t="str">
        <f>'[3]2025'!F200</f>
        <v/>
      </c>
      <c r="H200" s="42">
        <f>'[3]2025'!G200</f>
        <v>0</v>
      </c>
      <c r="I200" s="13">
        <f>'[3]2025'!H200</f>
        <v>0</v>
      </c>
      <c r="J200" s="14">
        <f>'[3]2025'!I200</f>
        <v>0</v>
      </c>
      <c r="K200" s="15">
        <f>'[3]2025'!J200</f>
        <v>0</v>
      </c>
      <c r="L200" s="15">
        <f>'[3]2025'!K200</f>
        <v>0</v>
      </c>
      <c r="M200" s="15">
        <f>'[3]2025'!L200</f>
        <v>0</v>
      </c>
      <c r="N200" s="16" t="str">
        <f t="shared" si="12"/>
        <v/>
      </c>
      <c r="O200" s="17" t="str">
        <f t="shared" si="13"/>
        <v/>
      </c>
      <c r="P200" s="17" t="str">
        <f t="shared" si="13"/>
        <v/>
      </c>
      <c r="Q200" s="18" t="str">
        <f t="shared" si="14"/>
        <v/>
      </c>
      <c r="R200" s="18" t="e">
        <f t="shared" si="15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200">
        <f>+CHAMNORD!B201</f>
        <v>46218</v>
      </c>
      <c r="C201" s="75" t="str">
        <f>IF(H201=0,"",'[3]2025-2026'!C200)</f>
        <v/>
      </c>
      <c r="D201" s="68" t="str">
        <f>'[3]2025'!C201</f>
        <v/>
      </c>
      <c r="E201" s="68" t="str">
        <f>'[3]2025'!D201</f>
        <v/>
      </c>
      <c r="F201" s="20" t="str">
        <f>'[3]2025'!E201</f>
        <v/>
      </c>
      <c r="G201" s="73" t="str">
        <f>'[3]2025'!F201</f>
        <v/>
      </c>
      <c r="H201" s="42">
        <f>'[3]2025'!G201</f>
        <v>0</v>
      </c>
      <c r="I201" s="13">
        <f>'[3]2025'!H201</f>
        <v>0</v>
      </c>
      <c r="J201" s="14">
        <f>'[3]2025'!I201</f>
        <v>0</v>
      </c>
      <c r="K201" s="15">
        <f>'[3]2025'!J201</f>
        <v>0</v>
      </c>
      <c r="L201" s="15">
        <f>'[3]2025'!K201</f>
        <v>0</v>
      </c>
      <c r="M201" s="15">
        <f>'[3]2025'!L201</f>
        <v>0</v>
      </c>
      <c r="N201" s="16" t="str">
        <f t="shared" si="12"/>
        <v/>
      </c>
      <c r="O201" s="17" t="str">
        <f t="shared" si="13"/>
        <v/>
      </c>
      <c r="P201" s="17" t="str">
        <f t="shared" si="13"/>
        <v/>
      </c>
      <c r="Q201" s="18" t="str">
        <f t="shared" si="14"/>
        <v/>
      </c>
      <c r="R201" s="18" t="e">
        <f t="shared" si="15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200">
        <f>+CHAMNORD!B202</f>
        <v>46219</v>
      </c>
      <c r="C202" s="75" t="str">
        <f>IF(H202=0,"",'[3]2025-2026'!C201)</f>
        <v/>
      </c>
      <c r="D202" s="68" t="str">
        <f>'[3]2025'!C202</f>
        <v/>
      </c>
      <c r="E202" s="68" t="str">
        <f>'[3]2025'!D202</f>
        <v/>
      </c>
      <c r="F202" s="20" t="str">
        <f>'[3]2025'!E202</f>
        <v/>
      </c>
      <c r="G202" s="73" t="str">
        <f>'[3]2025'!F202</f>
        <v/>
      </c>
      <c r="H202" s="42">
        <f>'[3]2025'!G202</f>
        <v>0</v>
      </c>
      <c r="I202" s="13">
        <f>'[3]2025'!H202</f>
        <v>0</v>
      </c>
      <c r="J202" s="14">
        <f>'[3]2025'!I202</f>
        <v>0</v>
      </c>
      <c r="K202" s="15">
        <f>'[3]2025'!J202</f>
        <v>0</v>
      </c>
      <c r="L202" s="15">
        <f>'[3]2025'!K202</f>
        <v>0</v>
      </c>
      <c r="M202" s="15">
        <f>'[3]2025'!L202</f>
        <v>0</v>
      </c>
      <c r="N202" s="16" t="str">
        <f t="shared" si="12"/>
        <v/>
      </c>
      <c r="O202" s="17" t="str">
        <f t="shared" si="13"/>
        <v/>
      </c>
      <c r="P202" s="17" t="str">
        <f t="shared" si="13"/>
        <v/>
      </c>
      <c r="Q202" s="18" t="str">
        <f t="shared" si="14"/>
        <v/>
      </c>
      <c r="R202" s="18" t="e">
        <f t="shared" si="15"/>
        <v>#DIV/0!</v>
      </c>
      <c r="S202" s="34"/>
      <c r="T202" s="29" t="s">
        <v>8</v>
      </c>
      <c r="U202" s="1738"/>
    </row>
    <row r="203" spans="1:21">
      <c r="A203" s="10" t="s">
        <v>14</v>
      </c>
      <c r="B203" s="200">
        <f>+CHAMNORD!B203</f>
        <v>46220</v>
      </c>
      <c r="C203" s="75" t="str">
        <f>IF(H203=0,"",'[3]2025-2026'!C202)</f>
        <v/>
      </c>
      <c r="D203" s="68" t="str">
        <f>'[3]2025'!C203</f>
        <v/>
      </c>
      <c r="E203" s="68" t="str">
        <f>'[3]2025'!D203</f>
        <v/>
      </c>
      <c r="F203" s="20" t="str">
        <f>'[3]2025'!E203</f>
        <v/>
      </c>
      <c r="G203" s="73" t="str">
        <f>'[3]2025'!F203</f>
        <v/>
      </c>
      <c r="H203" s="42">
        <f>'[3]2025'!G203</f>
        <v>0</v>
      </c>
      <c r="I203" s="13">
        <f>'[3]2025'!H203</f>
        <v>0</v>
      </c>
      <c r="J203" s="14">
        <f>'[3]2025'!I203</f>
        <v>0</v>
      </c>
      <c r="K203" s="15">
        <f>'[3]2025'!J203</f>
        <v>0</v>
      </c>
      <c r="L203" s="15">
        <f>'[3]2025'!K203</f>
        <v>0</v>
      </c>
      <c r="M203" s="15">
        <f>'[3]2025'!L203</f>
        <v>0</v>
      </c>
      <c r="N203" s="16" t="str">
        <f t="shared" si="12"/>
        <v/>
      </c>
      <c r="O203" s="17" t="str">
        <f t="shared" si="13"/>
        <v/>
      </c>
      <c r="P203" s="17" t="str">
        <f t="shared" si="13"/>
        <v/>
      </c>
      <c r="Q203" s="18" t="str">
        <f t="shared" si="14"/>
        <v/>
      </c>
      <c r="R203" s="18" t="e">
        <f t="shared" si="15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200">
        <f>+CHAMNORD!B204</f>
        <v>46221</v>
      </c>
      <c r="C204" s="75" t="str">
        <f>IF(H204=0,"",'[3]2025-2026'!C203)</f>
        <v/>
      </c>
      <c r="D204" s="68" t="str">
        <f>'[3]2025'!C204</f>
        <v/>
      </c>
      <c r="E204" s="68" t="str">
        <f>'[3]2025'!D204</f>
        <v/>
      </c>
      <c r="F204" s="20" t="str">
        <f>'[3]2025'!E204</f>
        <v/>
      </c>
      <c r="G204" s="73" t="str">
        <f>'[3]2025'!F204</f>
        <v/>
      </c>
      <c r="H204" s="42">
        <f>'[3]2025'!G204</f>
        <v>0</v>
      </c>
      <c r="I204" s="13">
        <f>'[3]2025'!H204</f>
        <v>0</v>
      </c>
      <c r="J204" s="14">
        <f>'[3]2025'!I204</f>
        <v>0</v>
      </c>
      <c r="K204" s="15">
        <f>'[3]2025'!J204</f>
        <v>0</v>
      </c>
      <c r="L204" s="15">
        <f>'[3]2025'!K204</f>
        <v>0</v>
      </c>
      <c r="M204" s="15">
        <f>'[3]2025'!L204</f>
        <v>0</v>
      </c>
      <c r="N204" s="16" t="str">
        <f t="shared" si="12"/>
        <v/>
      </c>
      <c r="O204" s="17" t="str">
        <f t="shared" si="13"/>
        <v/>
      </c>
      <c r="P204" s="17" t="str">
        <f t="shared" si="13"/>
        <v/>
      </c>
      <c r="Q204" s="18" t="str">
        <f t="shared" si="14"/>
        <v/>
      </c>
      <c r="R204" s="18" t="e">
        <f t="shared" si="15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200">
        <f>+CHAMNORD!B205</f>
        <v>46222</v>
      </c>
      <c r="C205" s="75" t="str">
        <f>IF(H205=0,"",'[3]2025-2026'!C204)</f>
        <v/>
      </c>
      <c r="D205" s="68" t="str">
        <f>'[3]2025'!C205</f>
        <v/>
      </c>
      <c r="E205" s="68" t="str">
        <f>'[3]2025'!D205</f>
        <v/>
      </c>
      <c r="F205" s="20" t="str">
        <f>'[3]2025'!E205</f>
        <v/>
      </c>
      <c r="G205" s="73" t="str">
        <f>'[3]2025'!F205</f>
        <v/>
      </c>
      <c r="H205" s="42">
        <f>'[3]2025'!G205</f>
        <v>0</v>
      </c>
      <c r="I205" s="13">
        <f>'[3]2025'!H205</f>
        <v>0</v>
      </c>
      <c r="J205" s="14">
        <f>'[3]2025'!I205</f>
        <v>0</v>
      </c>
      <c r="K205" s="15">
        <f>'[3]2025'!J205</f>
        <v>0</v>
      </c>
      <c r="L205" s="15">
        <f>'[3]2025'!K205</f>
        <v>0</v>
      </c>
      <c r="M205" s="15">
        <f>'[3]2025'!L205</f>
        <v>0</v>
      </c>
      <c r="N205" s="16" t="str">
        <f t="shared" si="12"/>
        <v/>
      </c>
      <c r="O205" s="17" t="str">
        <f t="shared" si="13"/>
        <v/>
      </c>
      <c r="P205" s="17" t="str">
        <f t="shared" si="13"/>
        <v/>
      </c>
      <c r="Q205" s="18" t="str">
        <f t="shared" si="14"/>
        <v/>
      </c>
      <c r="R205" s="18" t="e">
        <f t="shared" si="15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200">
        <f>+CHAMNORD!B206</f>
        <v>46223</v>
      </c>
      <c r="C206" s="75" t="str">
        <f>IF(H206=0,"",'[3]2025-2026'!C205)</f>
        <v/>
      </c>
      <c r="D206" s="68" t="str">
        <f>'[3]2025'!C206</f>
        <v/>
      </c>
      <c r="E206" s="68" t="str">
        <f>'[3]2025'!D206</f>
        <v/>
      </c>
      <c r="F206" s="20" t="str">
        <f>'[3]2025'!E206</f>
        <v/>
      </c>
      <c r="G206" s="73" t="str">
        <f>'[3]2025'!F206</f>
        <v/>
      </c>
      <c r="H206" s="42">
        <f>'[3]2025'!G206</f>
        <v>0</v>
      </c>
      <c r="I206" s="13">
        <f>'[3]2025'!H206</f>
        <v>0</v>
      </c>
      <c r="J206" s="14">
        <f>'[3]2025'!I206</f>
        <v>0</v>
      </c>
      <c r="K206" s="15">
        <f>'[3]2025'!J206</f>
        <v>0</v>
      </c>
      <c r="L206" s="15">
        <f>'[3]2025'!K206</f>
        <v>0</v>
      </c>
      <c r="M206" s="15">
        <f>'[3]2025'!L206</f>
        <v>0</v>
      </c>
      <c r="N206" s="16" t="str">
        <f t="shared" si="12"/>
        <v/>
      </c>
      <c r="O206" s="17" t="str">
        <f t="shared" si="13"/>
        <v/>
      </c>
      <c r="P206" s="17" t="str">
        <f t="shared" si="13"/>
        <v/>
      </c>
      <c r="Q206" s="18" t="str">
        <f t="shared" si="14"/>
        <v/>
      </c>
      <c r="R206" s="18" t="e">
        <f t="shared" si="15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200">
        <f>+CHAMNORD!B207</f>
        <v>46224</v>
      </c>
      <c r="C207" s="75" t="str">
        <f>IF(H207=0,"",'[3]2025-2026'!C206)</f>
        <v/>
      </c>
      <c r="D207" s="68" t="str">
        <f>'[3]2025'!C207</f>
        <v/>
      </c>
      <c r="E207" s="68" t="str">
        <f>'[3]2025'!D207</f>
        <v/>
      </c>
      <c r="F207" s="20" t="str">
        <f>'[3]2025'!E207</f>
        <v/>
      </c>
      <c r="G207" s="73" t="str">
        <f>'[3]2025'!F207</f>
        <v/>
      </c>
      <c r="H207" s="42">
        <f>'[3]2025'!G207</f>
        <v>0</v>
      </c>
      <c r="I207" s="13">
        <f>'[3]2025'!H207</f>
        <v>0</v>
      </c>
      <c r="J207" s="14">
        <f>'[3]2025'!I207</f>
        <v>0</v>
      </c>
      <c r="K207" s="15">
        <f>'[3]2025'!J207</f>
        <v>0</v>
      </c>
      <c r="L207" s="15">
        <f>'[3]2025'!K207</f>
        <v>0</v>
      </c>
      <c r="M207" s="15">
        <f>'[3]2025'!L207</f>
        <v>0</v>
      </c>
      <c r="N207" s="16" t="str">
        <f t="shared" si="12"/>
        <v/>
      </c>
      <c r="O207" s="17" t="str">
        <f t="shared" si="13"/>
        <v/>
      </c>
      <c r="P207" s="17" t="str">
        <f t="shared" si="13"/>
        <v/>
      </c>
      <c r="Q207" s="18" t="str">
        <f t="shared" si="14"/>
        <v/>
      </c>
      <c r="R207" s="18" t="e">
        <f t="shared" si="15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200">
        <f>+CHAMNORD!B208</f>
        <v>46225</v>
      </c>
      <c r="C208" s="75" t="str">
        <f>IF(H208=0,"",'[3]2025-2026'!C207)</f>
        <v/>
      </c>
      <c r="D208" s="68" t="str">
        <f>'[3]2025'!C208</f>
        <v/>
      </c>
      <c r="E208" s="68" t="str">
        <f>'[3]2025'!D208</f>
        <v/>
      </c>
      <c r="F208" s="20" t="str">
        <f>'[3]2025'!E208</f>
        <v/>
      </c>
      <c r="G208" s="73" t="str">
        <f>'[3]2025'!F208</f>
        <v/>
      </c>
      <c r="H208" s="42">
        <f>'[3]2025'!G208</f>
        <v>0</v>
      </c>
      <c r="I208" s="13">
        <f>'[3]2025'!H208</f>
        <v>0</v>
      </c>
      <c r="J208" s="14">
        <f>'[3]2025'!I208</f>
        <v>0</v>
      </c>
      <c r="K208" s="15">
        <f>'[3]2025'!J208</f>
        <v>0</v>
      </c>
      <c r="L208" s="15">
        <f>'[3]2025'!K208</f>
        <v>0</v>
      </c>
      <c r="M208" s="15">
        <f>'[3]2025'!L208</f>
        <v>0</v>
      </c>
      <c r="N208" s="16" t="str">
        <f t="shared" si="12"/>
        <v/>
      </c>
      <c r="O208" s="17" t="str">
        <f t="shared" si="13"/>
        <v/>
      </c>
      <c r="P208" s="17" t="str">
        <f t="shared" si="13"/>
        <v/>
      </c>
      <c r="Q208" s="18" t="str">
        <f t="shared" si="14"/>
        <v/>
      </c>
      <c r="R208" s="18" t="e">
        <f t="shared" si="15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200">
        <f>+CHAMNORD!B209</f>
        <v>46226</v>
      </c>
      <c r="C209" s="75" t="str">
        <f>IF(H209=0,"",'[3]2025-2026'!C208)</f>
        <v/>
      </c>
      <c r="D209" s="68" t="str">
        <f>'[3]2025'!C209</f>
        <v/>
      </c>
      <c r="E209" s="68" t="str">
        <f>'[3]2025'!D209</f>
        <v/>
      </c>
      <c r="F209" s="20" t="str">
        <f>'[3]2025'!E209</f>
        <v/>
      </c>
      <c r="G209" s="73" t="str">
        <f>'[3]2025'!F209</f>
        <v/>
      </c>
      <c r="H209" s="42">
        <f>'[3]2025'!G209</f>
        <v>0</v>
      </c>
      <c r="I209" s="13">
        <f>'[3]2025'!H209</f>
        <v>0</v>
      </c>
      <c r="J209" s="14">
        <f>'[3]2025'!I209</f>
        <v>0</v>
      </c>
      <c r="K209" s="15">
        <f>'[3]2025'!J209</f>
        <v>0</v>
      </c>
      <c r="L209" s="15">
        <f>'[3]2025'!K209</f>
        <v>0</v>
      </c>
      <c r="M209" s="15">
        <f>'[3]2025'!L209</f>
        <v>0</v>
      </c>
      <c r="N209" s="16" t="str">
        <f t="shared" si="12"/>
        <v/>
      </c>
      <c r="O209" s="17" t="str">
        <f t="shared" si="13"/>
        <v/>
      </c>
      <c r="P209" s="17" t="str">
        <f t="shared" si="13"/>
        <v/>
      </c>
      <c r="Q209" s="18" t="str">
        <f t="shared" si="14"/>
        <v/>
      </c>
      <c r="R209" s="18" t="e">
        <f t="shared" si="15"/>
        <v>#DIV/0!</v>
      </c>
      <c r="S209" s="34"/>
      <c r="T209" s="29" t="s">
        <v>8</v>
      </c>
      <c r="U209" s="1738"/>
    </row>
    <row r="210" spans="1:21">
      <c r="A210" s="10" t="s">
        <v>14</v>
      </c>
      <c r="B210" s="200">
        <f>+CHAMNORD!B210</f>
        <v>46227</v>
      </c>
      <c r="C210" s="75" t="str">
        <f>IF(H210=0,"",'[3]2025-2026'!C209)</f>
        <v/>
      </c>
      <c r="D210" s="68" t="str">
        <f>'[3]2025'!C210</f>
        <v/>
      </c>
      <c r="E210" s="68" t="str">
        <f>'[3]2025'!D210</f>
        <v/>
      </c>
      <c r="F210" s="20" t="str">
        <f>'[3]2025'!E210</f>
        <v/>
      </c>
      <c r="G210" s="73" t="str">
        <f>'[3]2025'!F210</f>
        <v/>
      </c>
      <c r="H210" s="42">
        <f>'[3]2025'!G210</f>
        <v>0</v>
      </c>
      <c r="I210" s="13">
        <f>'[3]2025'!H210</f>
        <v>0</v>
      </c>
      <c r="J210" s="14">
        <f>'[3]2025'!I210</f>
        <v>0</v>
      </c>
      <c r="K210" s="15">
        <f>'[3]2025'!J210</f>
        <v>0</v>
      </c>
      <c r="L210" s="15">
        <f>'[3]2025'!K210</f>
        <v>0</v>
      </c>
      <c r="M210" s="15">
        <f>'[3]2025'!L210</f>
        <v>0</v>
      </c>
      <c r="N210" s="16" t="str">
        <f t="shared" si="12"/>
        <v/>
      </c>
      <c r="O210" s="17" t="str">
        <f t="shared" si="13"/>
        <v/>
      </c>
      <c r="P210" s="17" t="str">
        <f t="shared" si="13"/>
        <v/>
      </c>
      <c r="Q210" s="18" t="str">
        <f t="shared" si="14"/>
        <v/>
      </c>
      <c r="R210" s="18" t="e">
        <f t="shared" si="15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200">
        <f>+CHAMNORD!B211</f>
        <v>46228</v>
      </c>
      <c r="C211" s="75" t="str">
        <f>IF(H211=0,"",'[3]2025-2026'!C210)</f>
        <v/>
      </c>
      <c r="D211" s="68" t="str">
        <f>'[3]2025'!C211</f>
        <v/>
      </c>
      <c r="E211" s="68" t="str">
        <f>'[3]2025'!D211</f>
        <v/>
      </c>
      <c r="F211" s="20" t="str">
        <f>'[3]2025'!E211</f>
        <v/>
      </c>
      <c r="G211" s="73" t="str">
        <f>'[3]2025'!F211</f>
        <v/>
      </c>
      <c r="H211" s="42">
        <f>'[3]2025'!G211</f>
        <v>0</v>
      </c>
      <c r="I211" s="13">
        <f>'[3]2025'!H211</f>
        <v>0</v>
      </c>
      <c r="J211" s="14">
        <f>'[3]2025'!I211</f>
        <v>0</v>
      </c>
      <c r="K211" s="15">
        <f>'[3]2025'!J211</f>
        <v>0</v>
      </c>
      <c r="L211" s="15">
        <f>'[3]2025'!K211</f>
        <v>0</v>
      </c>
      <c r="M211" s="15">
        <f>'[3]2025'!L211</f>
        <v>0</v>
      </c>
      <c r="N211" s="16" t="str">
        <f t="shared" si="12"/>
        <v/>
      </c>
      <c r="O211" s="17" t="str">
        <f t="shared" si="13"/>
        <v/>
      </c>
      <c r="P211" s="17" t="str">
        <f t="shared" si="13"/>
        <v/>
      </c>
      <c r="Q211" s="18" t="str">
        <f t="shared" si="14"/>
        <v/>
      </c>
      <c r="R211" s="18" t="e">
        <f t="shared" si="15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200">
        <f>+CHAMNORD!B212</f>
        <v>46229</v>
      </c>
      <c r="C212" s="75" t="str">
        <f>IF(H212=0,"",'[3]2025-2026'!C211)</f>
        <v/>
      </c>
      <c r="D212" s="68" t="str">
        <f>'[3]2025'!C212</f>
        <v/>
      </c>
      <c r="E212" s="68" t="str">
        <f>'[3]2025'!D212</f>
        <v/>
      </c>
      <c r="F212" s="20" t="str">
        <f>'[3]2025'!E212</f>
        <v/>
      </c>
      <c r="G212" s="73" t="str">
        <f>'[3]2025'!F212</f>
        <v/>
      </c>
      <c r="H212" s="42">
        <f>'[3]2025'!G212</f>
        <v>0</v>
      </c>
      <c r="I212" s="13">
        <f>'[3]2025'!H212</f>
        <v>0</v>
      </c>
      <c r="J212" s="14">
        <f>'[3]2025'!I212</f>
        <v>0</v>
      </c>
      <c r="K212" s="15">
        <f>'[3]2025'!J212</f>
        <v>0</v>
      </c>
      <c r="L212" s="15">
        <f>'[3]2025'!K212</f>
        <v>0</v>
      </c>
      <c r="M212" s="15">
        <f>'[3]2025'!L212</f>
        <v>0</v>
      </c>
      <c r="N212" s="16" t="str">
        <f t="shared" si="12"/>
        <v/>
      </c>
      <c r="O212" s="17" t="str">
        <f t="shared" si="13"/>
        <v/>
      </c>
      <c r="P212" s="17" t="str">
        <f t="shared" si="13"/>
        <v/>
      </c>
      <c r="Q212" s="18" t="str">
        <f t="shared" si="14"/>
        <v/>
      </c>
      <c r="R212" s="18" t="e">
        <f t="shared" si="15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200">
        <f>+CHAMNORD!B213</f>
        <v>46230</v>
      </c>
      <c r="C213" s="75" t="str">
        <f>IF(H213=0,"",'[3]2025-2026'!C212)</f>
        <v/>
      </c>
      <c r="D213" s="68" t="str">
        <f>'[3]2025'!C213</f>
        <v/>
      </c>
      <c r="E213" s="68" t="str">
        <f>'[3]2025'!D213</f>
        <v/>
      </c>
      <c r="F213" s="20" t="str">
        <f>'[3]2025'!E213</f>
        <v/>
      </c>
      <c r="G213" s="73" t="str">
        <f>'[3]2025'!F213</f>
        <v/>
      </c>
      <c r="H213" s="42">
        <f>'[3]2025'!G213</f>
        <v>0</v>
      </c>
      <c r="I213" s="13">
        <f>'[3]2025'!H213</f>
        <v>0</v>
      </c>
      <c r="J213" s="14">
        <f>'[3]2025'!I213</f>
        <v>0</v>
      </c>
      <c r="K213" s="15">
        <f>'[3]2025'!J213</f>
        <v>0</v>
      </c>
      <c r="L213" s="15">
        <f>'[3]2025'!K213</f>
        <v>0</v>
      </c>
      <c r="M213" s="15">
        <f>'[3]2025'!L213</f>
        <v>0</v>
      </c>
      <c r="N213" s="16" t="str">
        <f t="shared" si="12"/>
        <v/>
      </c>
      <c r="O213" s="17" t="str">
        <f t="shared" si="13"/>
        <v/>
      </c>
      <c r="P213" s="17" t="str">
        <f t="shared" si="13"/>
        <v/>
      </c>
      <c r="Q213" s="18" t="str">
        <f t="shared" si="14"/>
        <v/>
      </c>
      <c r="R213" s="18" t="e">
        <f t="shared" si="15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200">
        <f>+CHAMNORD!B214</f>
        <v>46231</v>
      </c>
      <c r="C214" s="75" t="str">
        <f>IF(H214=0,"",'[3]2025-2026'!C213)</f>
        <v/>
      </c>
      <c r="D214" s="68" t="str">
        <f>'[3]2025'!C214</f>
        <v/>
      </c>
      <c r="E214" s="68" t="str">
        <f>'[3]2025'!D214</f>
        <v/>
      </c>
      <c r="F214" s="20" t="str">
        <f>'[3]2025'!E214</f>
        <v/>
      </c>
      <c r="G214" s="73" t="str">
        <f>'[3]2025'!F214</f>
        <v/>
      </c>
      <c r="H214" s="42">
        <f>'[3]2025'!G214</f>
        <v>0</v>
      </c>
      <c r="I214" s="13">
        <f>'[3]2025'!H214</f>
        <v>0</v>
      </c>
      <c r="J214" s="14">
        <f>'[3]2025'!I214</f>
        <v>0</v>
      </c>
      <c r="K214" s="15">
        <f>'[3]2025'!J214</f>
        <v>0</v>
      </c>
      <c r="L214" s="15">
        <f>'[3]2025'!K214</f>
        <v>0</v>
      </c>
      <c r="M214" s="15">
        <f>'[3]2025'!L214</f>
        <v>0</v>
      </c>
      <c r="N214" s="16" t="str">
        <f t="shared" si="12"/>
        <v/>
      </c>
      <c r="O214" s="17" t="str">
        <f t="shared" si="13"/>
        <v/>
      </c>
      <c r="P214" s="17" t="str">
        <f t="shared" si="13"/>
        <v/>
      </c>
      <c r="Q214" s="18" t="str">
        <f t="shared" si="14"/>
        <v/>
      </c>
      <c r="R214" s="18" t="e">
        <f t="shared" si="15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200">
        <f>+CHAMNORD!B215</f>
        <v>46232</v>
      </c>
      <c r="C215" s="75" t="str">
        <f>IF(H215=0,"",'[3]2025-2026'!C214)</f>
        <v/>
      </c>
      <c r="D215" s="68" t="str">
        <f>'[3]2025'!C215</f>
        <v/>
      </c>
      <c r="E215" s="68" t="str">
        <f>'[3]2025'!D215</f>
        <v/>
      </c>
      <c r="F215" s="20" t="str">
        <f>'[3]2025'!E215</f>
        <v/>
      </c>
      <c r="G215" s="73" t="str">
        <f>'[3]2025'!F215</f>
        <v/>
      </c>
      <c r="H215" s="42">
        <f>'[3]2025'!G215</f>
        <v>0</v>
      </c>
      <c r="I215" s="13">
        <f>'[3]2025'!H215</f>
        <v>0</v>
      </c>
      <c r="J215" s="14">
        <f>'[3]2025'!I215</f>
        <v>0</v>
      </c>
      <c r="K215" s="15">
        <f>'[3]2025'!J215</f>
        <v>0</v>
      </c>
      <c r="L215" s="15">
        <f>'[3]2025'!K215</f>
        <v>0</v>
      </c>
      <c r="M215" s="15">
        <f>'[3]2025'!L215</f>
        <v>0</v>
      </c>
      <c r="N215" s="16" t="str">
        <f t="shared" si="12"/>
        <v/>
      </c>
      <c r="O215" s="17" t="str">
        <f t="shared" si="13"/>
        <v/>
      </c>
      <c r="P215" s="17" t="str">
        <f t="shared" si="13"/>
        <v/>
      </c>
      <c r="Q215" s="18" t="str">
        <f t="shared" si="14"/>
        <v/>
      </c>
      <c r="R215" s="18" t="e">
        <f t="shared" si="15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200">
        <f>+CHAMNORD!B216</f>
        <v>46233</v>
      </c>
      <c r="C216" s="75" t="str">
        <f>IF(H216=0,"",'[3]2025-2026'!C215)</f>
        <v/>
      </c>
      <c r="D216" s="68" t="str">
        <f>'[3]2025'!C216</f>
        <v/>
      </c>
      <c r="E216" s="68" t="str">
        <f>'[3]2025'!D216</f>
        <v/>
      </c>
      <c r="F216" s="20" t="str">
        <f>'[3]2025'!E216</f>
        <v/>
      </c>
      <c r="G216" s="73" t="str">
        <f>'[3]2025'!F216</f>
        <v/>
      </c>
      <c r="H216" s="42">
        <f>'[3]2025'!G216</f>
        <v>0</v>
      </c>
      <c r="I216" s="13">
        <f>'[3]2025'!H216</f>
        <v>0</v>
      </c>
      <c r="J216" s="14">
        <f>'[3]2025'!I216</f>
        <v>0</v>
      </c>
      <c r="K216" s="15">
        <f>'[3]2025'!J216</f>
        <v>0</v>
      </c>
      <c r="L216" s="15">
        <f>'[3]2025'!K216</f>
        <v>0</v>
      </c>
      <c r="M216" s="15">
        <f>'[3]2025'!L216</f>
        <v>0</v>
      </c>
      <c r="N216" s="16" t="str">
        <f t="shared" si="12"/>
        <v/>
      </c>
      <c r="O216" s="17" t="str">
        <f t="shared" si="13"/>
        <v/>
      </c>
      <c r="P216" s="17" t="str">
        <f t="shared" si="13"/>
        <v/>
      </c>
      <c r="Q216" s="18" t="str">
        <f t="shared" si="14"/>
        <v/>
      </c>
      <c r="R216" s="18" t="e">
        <f t="shared" si="15"/>
        <v>#DIV/0!</v>
      </c>
      <c r="S216" s="34"/>
      <c r="T216" s="29" t="s">
        <v>8</v>
      </c>
      <c r="U216" s="1738"/>
    </row>
    <row r="217" spans="1:21">
      <c r="A217" s="10" t="s">
        <v>14</v>
      </c>
      <c r="B217" s="200">
        <f>+CHAMNORD!B217</f>
        <v>46234</v>
      </c>
      <c r="C217" s="75" t="str">
        <f>IF(H217=0,"",'[3]2025-2026'!C216)</f>
        <v/>
      </c>
      <c r="D217" s="68" t="str">
        <f>'[3]2025'!C217</f>
        <v/>
      </c>
      <c r="E217" s="68" t="str">
        <f>'[3]2025'!D217</f>
        <v/>
      </c>
      <c r="F217" s="20" t="str">
        <f>'[3]2025'!E217</f>
        <v/>
      </c>
      <c r="G217" s="73" t="str">
        <f>'[3]2025'!F217</f>
        <v/>
      </c>
      <c r="H217" s="42">
        <f>'[3]2025'!G217</f>
        <v>0</v>
      </c>
      <c r="I217" s="13">
        <f>'[3]2025'!H217</f>
        <v>0</v>
      </c>
      <c r="J217" s="14">
        <f>'[3]2025'!I217</f>
        <v>0</v>
      </c>
      <c r="K217" s="15">
        <f>'[3]2025'!J217</f>
        <v>0</v>
      </c>
      <c r="L217" s="15">
        <f>'[3]2025'!K217</f>
        <v>0</v>
      </c>
      <c r="M217" s="15">
        <f>'[3]2025'!L217</f>
        <v>0</v>
      </c>
      <c r="N217" s="16" t="str">
        <f t="shared" si="12"/>
        <v/>
      </c>
      <c r="O217" s="17" t="str">
        <f t="shared" si="13"/>
        <v/>
      </c>
      <c r="P217" s="17" t="str">
        <f t="shared" si="13"/>
        <v/>
      </c>
      <c r="Q217" s="18" t="str">
        <f t="shared" si="14"/>
        <v/>
      </c>
      <c r="R217" s="18" t="e">
        <f t="shared" si="15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200">
        <f>+CHAMNORD!B218</f>
        <v>46235</v>
      </c>
      <c r="C218" s="75" t="str">
        <f>IF(H218=0,"",'[3]2025-2026'!C217)</f>
        <v/>
      </c>
      <c r="D218" s="68" t="str">
        <f>'[3]2025'!C218</f>
        <v/>
      </c>
      <c r="E218" s="68" t="str">
        <f>'[3]2025'!D218</f>
        <v/>
      </c>
      <c r="F218" s="20" t="str">
        <f>'[3]2025'!E218</f>
        <v/>
      </c>
      <c r="G218" s="73" t="str">
        <f>'[3]2025'!F218</f>
        <v/>
      </c>
      <c r="H218" s="42">
        <f>'[3]2025'!G218</f>
        <v>0</v>
      </c>
      <c r="I218" s="13">
        <f>'[3]2025'!H218</f>
        <v>0</v>
      </c>
      <c r="J218" s="14">
        <f>'[3]2025'!I218</f>
        <v>0</v>
      </c>
      <c r="K218" s="15">
        <f>'[3]2025'!J218</f>
        <v>0</v>
      </c>
      <c r="L218" s="15">
        <f>'[3]2025'!K218</f>
        <v>0</v>
      </c>
      <c r="M218" s="15">
        <f>'[3]2025'!L218</f>
        <v>0</v>
      </c>
      <c r="N218" s="16" t="str">
        <f t="shared" si="12"/>
        <v/>
      </c>
      <c r="O218" s="17" t="str">
        <f t="shared" si="13"/>
        <v/>
      </c>
      <c r="P218" s="17" t="str">
        <f t="shared" si="13"/>
        <v/>
      </c>
      <c r="Q218" s="18" t="str">
        <f t="shared" si="14"/>
        <v/>
      </c>
      <c r="R218" s="18" t="e">
        <f t="shared" si="15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200">
        <f>+CHAMNORD!B219</f>
        <v>46236</v>
      </c>
      <c r="C219" s="75" t="str">
        <f>IF(H219=0,"",'[3]2025-2026'!C218)</f>
        <v/>
      </c>
      <c r="D219" s="68" t="str">
        <f>'[3]2025'!C219</f>
        <v/>
      </c>
      <c r="E219" s="68" t="str">
        <f>'[3]2025'!D219</f>
        <v/>
      </c>
      <c r="F219" s="20" t="str">
        <f>'[3]2025'!E219</f>
        <v/>
      </c>
      <c r="G219" s="73" t="str">
        <f>'[3]2025'!F219</f>
        <v/>
      </c>
      <c r="H219" s="42">
        <f>'[3]2025'!G219</f>
        <v>0</v>
      </c>
      <c r="I219" s="13">
        <f>'[3]2025'!H219</f>
        <v>0</v>
      </c>
      <c r="J219" s="14">
        <f>'[3]2025'!I219</f>
        <v>0</v>
      </c>
      <c r="K219" s="15">
        <f>'[3]2025'!J219</f>
        <v>0</v>
      </c>
      <c r="L219" s="15">
        <f>'[3]2025'!K219</f>
        <v>0</v>
      </c>
      <c r="M219" s="15">
        <f>'[3]2025'!L219</f>
        <v>0</v>
      </c>
      <c r="N219" s="16" t="str">
        <f t="shared" si="12"/>
        <v/>
      </c>
      <c r="O219" s="17" t="str">
        <f t="shared" si="13"/>
        <v/>
      </c>
      <c r="P219" s="17" t="str">
        <f t="shared" si="13"/>
        <v/>
      </c>
      <c r="Q219" s="18" t="str">
        <f t="shared" si="14"/>
        <v/>
      </c>
      <c r="R219" s="18" t="e">
        <f t="shared" si="15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200">
        <f>+CHAMNORD!B220</f>
        <v>46237</v>
      </c>
      <c r="C220" s="75" t="str">
        <f>IF(H220=0,"",'[3]2025-2026'!C219)</f>
        <v/>
      </c>
      <c r="D220" s="68" t="str">
        <f>'[3]2025'!C220</f>
        <v/>
      </c>
      <c r="E220" s="68" t="str">
        <f>'[3]2025'!D220</f>
        <v/>
      </c>
      <c r="F220" s="20" t="str">
        <f>'[3]2025'!E220</f>
        <v/>
      </c>
      <c r="G220" s="73" t="str">
        <f>'[3]2025'!F220</f>
        <v/>
      </c>
      <c r="H220" s="42">
        <f>'[3]2025'!G220</f>
        <v>0</v>
      </c>
      <c r="I220" s="13">
        <f>'[3]2025'!H220</f>
        <v>0</v>
      </c>
      <c r="J220" s="14">
        <f>'[3]2025'!I220</f>
        <v>0</v>
      </c>
      <c r="K220" s="15">
        <f>'[3]2025'!J220</f>
        <v>0</v>
      </c>
      <c r="L220" s="15">
        <f>'[3]2025'!K220</f>
        <v>0</v>
      </c>
      <c r="M220" s="15">
        <f>'[3]2025'!L220</f>
        <v>0</v>
      </c>
      <c r="N220" s="16" t="str">
        <f t="shared" si="12"/>
        <v/>
      </c>
      <c r="O220" s="17" t="str">
        <f t="shared" si="13"/>
        <v/>
      </c>
      <c r="P220" s="17" t="str">
        <f t="shared" si="13"/>
        <v/>
      </c>
      <c r="Q220" s="18" t="str">
        <f t="shared" si="14"/>
        <v/>
      </c>
      <c r="R220" s="18" t="e">
        <f t="shared" si="15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200">
        <f>+CHAMNORD!B221</f>
        <v>46238</v>
      </c>
      <c r="C221" s="75" t="str">
        <f>IF(H221=0,"",'[3]2025-2026'!C220)</f>
        <v/>
      </c>
      <c r="D221" s="68" t="str">
        <f>'[3]2025'!C221</f>
        <v/>
      </c>
      <c r="E221" s="68" t="str">
        <f>'[3]2025'!D221</f>
        <v/>
      </c>
      <c r="F221" s="20" t="str">
        <f>'[3]2025'!E221</f>
        <v/>
      </c>
      <c r="G221" s="73" t="str">
        <f>'[3]2025'!F221</f>
        <v/>
      </c>
      <c r="H221" s="42">
        <f>'[3]2025'!G221</f>
        <v>0</v>
      </c>
      <c r="I221" s="13">
        <f>'[3]2025'!H221</f>
        <v>0</v>
      </c>
      <c r="J221" s="14">
        <f>'[3]2025'!I221</f>
        <v>0</v>
      </c>
      <c r="K221" s="15">
        <f>'[3]2025'!J221</f>
        <v>0</v>
      </c>
      <c r="L221" s="15">
        <f>'[3]2025'!K221</f>
        <v>0</v>
      </c>
      <c r="M221" s="15">
        <f>'[3]2025'!L221</f>
        <v>0</v>
      </c>
      <c r="N221" s="16" t="str">
        <f t="shared" si="12"/>
        <v/>
      </c>
      <c r="O221" s="17" t="str">
        <f t="shared" si="13"/>
        <v/>
      </c>
      <c r="P221" s="17" t="str">
        <f t="shared" si="13"/>
        <v/>
      </c>
      <c r="Q221" s="18" t="str">
        <f t="shared" si="14"/>
        <v/>
      </c>
      <c r="R221" s="18" t="e">
        <f t="shared" si="15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200">
        <f>+CHAMNORD!B222</f>
        <v>46239</v>
      </c>
      <c r="C222" s="75" t="str">
        <f>IF(H222=0,"",'[3]2025-2026'!C221)</f>
        <v/>
      </c>
      <c r="D222" s="68" t="str">
        <f>'[3]2025'!C222</f>
        <v/>
      </c>
      <c r="E222" s="68" t="str">
        <f>'[3]2025'!D222</f>
        <v/>
      </c>
      <c r="F222" s="20" t="str">
        <f>'[3]2025'!E222</f>
        <v/>
      </c>
      <c r="G222" s="73" t="str">
        <f>'[3]2025'!F222</f>
        <v/>
      </c>
      <c r="H222" s="42">
        <f>'[3]2025'!G222</f>
        <v>0</v>
      </c>
      <c r="I222" s="13">
        <f>'[3]2025'!H222</f>
        <v>0</v>
      </c>
      <c r="J222" s="14">
        <f>'[3]2025'!I222</f>
        <v>0</v>
      </c>
      <c r="K222" s="15">
        <f>'[3]2025'!J222</f>
        <v>0</v>
      </c>
      <c r="L222" s="15">
        <f>'[3]2025'!K222</f>
        <v>0</v>
      </c>
      <c r="M222" s="15">
        <f>'[3]2025'!L222</f>
        <v>0</v>
      </c>
      <c r="N222" s="16" t="str">
        <f t="shared" si="12"/>
        <v/>
      </c>
      <c r="O222" s="17" t="str">
        <f t="shared" si="13"/>
        <v/>
      </c>
      <c r="P222" s="17" t="str">
        <f t="shared" si="13"/>
        <v/>
      </c>
      <c r="Q222" s="18" t="str">
        <f t="shared" si="14"/>
        <v/>
      </c>
      <c r="R222" s="18" t="e">
        <f t="shared" si="15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200">
        <f>+CHAMNORD!B223</f>
        <v>46240</v>
      </c>
      <c r="C223" s="75" t="str">
        <f>IF(H223=0,"",'[3]2025-2026'!C222)</f>
        <v/>
      </c>
      <c r="D223" s="68" t="str">
        <f>'[3]2025'!C223</f>
        <v/>
      </c>
      <c r="E223" s="68" t="str">
        <f>'[3]2025'!D223</f>
        <v/>
      </c>
      <c r="F223" s="20" t="str">
        <f>'[3]2025'!E223</f>
        <v/>
      </c>
      <c r="G223" s="73" t="str">
        <f>'[3]2025'!F223</f>
        <v/>
      </c>
      <c r="H223" s="42">
        <f>'[3]2025'!G223</f>
        <v>0</v>
      </c>
      <c r="I223" s="13">
        <f>'[3]2025'!H223</f>
        <v>0</v>
      </c>
      <c r="J223" s="14">
        <f>'[3]2025'!I223</f>
        <v>0</v>
      </c>
      <c r="K223" s="15">
        <f>'[3]2025'!J223</f>
        <v>0</v>
      </c>
      <c r="L223" s="15">
        <f>'[3]2025'!K223</f>
        <v>0</v>
      </c>
      <c r="M223" s="15">
        <f>'[3]2025'!L223</f>
        <v>0</v>
      </c>
      <c r="N223" s="16" t="str">
        <f t="shared" si="12"/>
        <v/>
      </c>
      <c r="O223" s="17" t="str">
        <f t="shared" si="13"/>
        <v/>
      </c>
      <c r="P223" s="17" t="str">
        <f t="shared" si="13"/>
        <v/>
      </c>
      <c r="Q223" s="18" t="str">
        <f t="shared" si="14"/>
        <v/>
      </c>
      <c r="R223" s="18" t="e">
        <f t="shared" si="15"/>
        <v>#DIV/0!</v>
      </c>
      <c r="S223" s="34"/>
      <c r="T223" s="29" t="s">
        <v>8</v>
      </c>
      <c r="U223" s="1738"/>
    </row>
    <row r="224" spans="1:21">
      <c r="A224" s="10" t="s">
        <v>14</v>
      </c>
      <c r="B224" s="200">
        <f>+CHAMNORD!B224</f>
        <v>46241</v>
      </c>
      <c r="C224" s="75" t="str">
        <f>IF(H224=0,"",'[3]2025-2026'!C223)</f>
        <v/>
      </c>
      <c r="D224" s="68" t="str">
        <f>'[3]2025'!C224</f>
        <v/>
      </c>
      <c r="E224" s="68" t="str">
        <f>'[3]2025'!D224</f>
        <v/>
      </c>
      <c r="F224" s="20" t="str">
        <f>'[3]2025'!E224</f>
        <v/>
      </c>
      <c r="G224" s="73" t="str">
        <f>'[3]2025'!F224</f>
        <v/>
      </c>
      <c r="H224" s="42">
        <f>'[3]2025'!G224</f>
        <v>0</v>
      </c>
      <c r="I224" s="13">
        <f>'[3]2025'!H224</f>
        <v>0</v>
      </c>
      <c r="J224" s="14">
        <f>'[3]2025'!I224</f>
        <v>0</v>
      </c>
      <c r="K224" s="15">
        <f>'[3]2025'!J224</f>
        <v>0</v>
      </c>
      <c r="L224" s="15">
        <f>'[3]2025'!K224</f>
        <v>0</v>
      </c>
      <c r="M224" s="15">
        <f>'[3]2025'!L224</f>
        <v>0</v>
      </c>
      <c r="N224" s="16" t="str">
        <f t="shared" si="12"/>
        <v/>
      </c>
      <c r="O224" s="17" t="str">
        <f t="shared" si="13"/>
        <v/>
      </c>
      <c r="P224" s="17" t="str">
        <f t="shared" si="13"/>
        <v/>
      </c>
      <c r="Q224" s="18" t="str">
        <f t="shared" si="14"/>
        <v/>
      </c>
      <c r="R224" s="18" t="e">
        <f t="shared" si="15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200">
        <f>+CHAMNORD!B225</f>
        <v>46242</v>
      </c>
      <c r="C225" s="75" t="str">
        <f>IF(H225=0,"",'[3]2025-2026'!C224)</f>
        <v/>
      </c>
      <c r="D225" s="68" t="str">
        <f>'[3]2025'!C225</f>
        <v/>
      </c>
      <c r="E225" s="68" t="str">
        <f>'[3]2025'!D225</f>
        <v/>
      </c>
      <c r="F225" s="20" t="str">
        <f>'[3]2025'!E225</f>
        <v/>
      </c>
      <c r="G225" s="73" t="str">
        <f>'[3]2025'!F225</f>
        <v/>
      </c>
      <c r="H225" s="42">
        <f>'[3]2025'!G225</f>
        <v>0</v>
      </c>
      <c r="I225" s="13">
        <f>'[3]2025'!H225</f>
        <v>0</v>
      </c>
      <c r="J225" s="14">
        <f>'[3]2025'!I225</f>
        <v>0</v>
      </c>
      <c r="K225" s="15">
        <f>'[3]2025'!J225</f>
        <v>0</v>
      </c>
      <c r="L225" s="15">
        <f>'[3]2025'!K225</f>
        <v>0</v>
      </c>
      <c r="M225" s="15">
        <f>'[3]2025'!L225</f>
        <v>0</v>
      </c>
      <c r="N225" s="16" t="str">
        <f t="shared" si="12"/>
        <v/>
      </c>
      <c r="O225" s="17" t="str">
        <f t="shared" si="13"/>
        <v/>
      </c>
      <c r="P225" s="17" t="str">
        <f t="shared" si="13"/>
        <v/>
      </c>
      <c r="Q225" s="18" t="str">
        <f t="shared" si="14"/>
        <v/>
      </c>
      <c r="R225" s="18" t="e">
        <f t="shared" si="15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200">
        <f>+CHAMNORD!B226</f>
        <v>46243</v>
      </c>
      <c r="C226" s="75" t="str">
        <f>IF(H226=0,"",'[3]2025-2026'!C225)</f>
        <v/>
      </c>
      <c r="D226" s="68" t="str">
        <f>'[3]2025'!C226</f>
        <v/>
      </c>
      <c r="E226" s="68" t="str">
        <f>'[3]2025'!D226</f>
        <v/>
      </c>
      <c r="F226" s="20" t="str">
        <f>'[3]2025'!E226</f>
        <v/>
      </c>
      <c r="G226" s="73" t="str">
        <f>'[3]2025'!F226</f>
        <v/>
      </c>
      <c r="H226" s="42">
        <f>'[3]2025'!G226</f>
        <v>0</v>
      </c>
      <c r="I226" s="13">
        <f>'[3]2025'!H226</f>
        <v>0</v>
      </c>
      <c r="J226" s="14">
        <f>'[3]2025'!I226</f>
        <v>0</v>
      </c>
      <c r="K226" s="15">
        <f>'[3]2025'!J226</f>
        <v>0</v>
      </c>
      <c r="L226" s="15">
        <f>'[3]2025'!K226</f>
        <v>0</v>
      </c>
      <c r="M226" s="15">
        <f>'[3]2025'!L226</f>
        <v>0</v>
      </c>
      <c r="N226" s="16" t="str">
        <f t="shared" si="12"/>
        <v/>
      </c>
      <c r="O226" s="17" t="str">
        <f t="shared" si="13"/>
        <v/>
      </c>
      <c r="P226" s="17" t="str">
        <f t="shared" si="13"/>
        <v/>
      </c>
      <c r="Q226" s="18" t="str">
        <f t="shared" si="14"/>
        <v/>
      </c>
      <c r="R226" s="18" t="e">
        <f t="shared" si="15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200">
        <f>+CHAMNORD!B227</f>
        <v>46244</v>
      </c>
      <c r="C227" s="75" t="str">
        <f>IF(H227=0,"",'[3]2025-2026'!C226)</f>
        <v/>
      </c>
      <c r="D227" s="68" t="str">
        <f>'[3]2025'!C227</f>
        <v/>
      </c>
      <c r="E227" s="68" t="str">
        <f>'[3]2025'!D227</f>
        <v/>
      </c>
      <c r="F227" s="20" t="str">
        <f>'[3]2025'!E227</f>
        <v/>
      </c>
      <c r="G227" s="73" t="str">
        <f>'[3]2025'!F227</f>
        <v/>
      </c>
      <c r="H227" s="42">
        <f>'[3]2025'!G227</f>
        <v>0</v>
      </c>
      <c r="I227" s="13">
        <f>'[3]2025'!H227</f>
        <v>0</v>
      </c>
      <c r="J227" s="14">
        <f>'[3]2025'!I227</f>
        <v>0</v>
      </c>
      <c r="K227" s="15">
        <f>'[3]2025'!J227</f>
        <v>0</v>
      </c>
      <c r="L227" s="15">
        <f>'[3]2025'!K227</f>
        <v>0</v>
      </c>
      <c r="M227" s="15">
        <f>'[3]2025'!L227</f>
        <v>0</v>
      </c>
      <c r="N227" s="16" t="str">
        <f t="shared" si="12"/>
        <v/>
      </c>
      <c r="O227" s="17" t="str">
        <f t="shared" si="13"/>
        <v/>
      </c>
      <c r="P227" s="17" t="str">
        <f t="shared" si="13"/>
        <v/>
      </c>
      <c r="Q227" s="18" t="str">
        <f t="shared" si="14"/>
        <v/>
      </c>
      <c r="R227" s="18" t="e">
        <f t="shared" si="15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200">
        <f>+CHAMNORD!B228</f>
        <v>46245</v>
      </c>
      <c r="C228" s="75" t="str">
        <f>IF(H228=0,"",'[3]2025-2026'!C227)</f>
        <v/>
      </c>
      <c r="D228" s="68" t="str">
        <f>'[3]2025'!C228</f>
        <v/>
      </c>
      <c r="E228" s="68" t="str">
        <f>'[3]2025'!D228</f>
        <v/>
      </c>
      <c r="F228" s="20" t="str">
        <f>'[3]2025'!E228</f>
        <v/>
      </c>
      <c r="G228" s="73" t="str">
        <f>'[3]2025'!F228</f>
        <v/>
      </c>
      <c r="H228" s="42">
        <f>'[3]2025'!G228</f>
        <v>0</v>
      </c>
      <c r="I228" s="13">
        <f>'[3]2025'!H228</f>
        <v>0</v>
      </c>
      <c r="J228" s="14">
        <f>'[3]2025'!I228</f>
        <v>0</v>
      </c>
      <c r="K228" s="15">
        <f>'[3]2025'!J228</f>
        <v>0</v>
      </c>
      <c r="L228" s="15">
        <f>'[3]2025'!K228</f>
        <v>0</v>
      </c>
      <c r="M228" s="15">
        <f>'[3]2025'!L228</f>
        <v>0</v>
      </c>
      <c r="N228" s="16" t="str">
        <f t="shared" si="12"/>
        <v/>
      </c>
      <c r="O228" s="17" t="str">
        <f t="shared" si="13"/>
        <v/>
      </c>
      <c r="P228" s="17" t="str">
        <f t="shared" si="13"/>
        <v/>
      </c>
      <c r="Q228" s="18" t="str">
        <f t="shared" si="14"/>
        <v/>
      </c>
      <c r="R228" s="18" t="e">
        <f t="shared" si="15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200">
        <f>+CHAMNORD!B229</f>
        <v>46246</v>
      </c>
      <c r="C229" s="75" t="str">
        <f>IF(H229=0,"",'[3]2025-2026'!C228)</f>
        <v/>
      </c>
      <c r="D229" s="68" t="str">
        <f>'[3]2025'!C229</f>
        <v/>
      </c>
      <c r="E229" s="68" t="str">
        <f>'[3]2025'!D229</f>
        <v/>
      </c>
      <c r="F229" s="20" t="str">
        <f>'[3]2025'!E229</f>
        <v/>
      </c>
      <c r="G229" s="73" t="str">
        <f>'[3]2025'!F229</f>
        <v/>
      </c>
      <c r="H229" s="42">
        <f>'[3]2025'!G229</f>
        <v>0</v>
      </c>
      <c r="I229" s="13">
        <f>'[3]2025'!H229</f>
        <v>0</v>
      </c>
      <c r="J229" s="14">
        <f>'[3]2025'!I229</f>
        <v>0</v>
      </c>
      <c r="K229" s="15">
        <f>'[3]2025'!J229</f>
        <v>0</v>
      </c>
      <c r="L229" s="15">
        <f>'[3]2025'!K229</f>
        <v>0</v>
      </c>
      <c r="M229" s="15">
        <f>'[3]2025'!L229</f>
        <v>0</v>
      </c>
      <c r="N229" s="16" t="str">
        <f t="shared" si="12"/>
        <v/>
      </c>
      <c r="O229" s="17" t="str">
        <f t="shared" si="13"/>
        <v/>
      </c>
      <c r="P229" s="17" t="str">
        <f t="shared" si="13"/>
        <v/>
      </c>
      <c r="Q229" s="18" t="str">
        <f t="shared" si="14"/>
        <v/>
      </c>
      <c r="R229" s="18" t="e">
        <f t="shared" si="15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200">
        <f>+CHAMNORD!B230</f>
        <v>46247</v>
      </c>
      <c r="C230" s="75" t="str">
        <f>IF(H230=0,"",'[3]2025-2026'!C229)</f>
        <v/>
      </c>
      <c r="D230" s="68" t="str">
        <f>'[3]2025'!C230</f>
        <v/>
      </c>
      <c r="E230" s="68" t="str">
        <f>'[3]2025'!D230</f>
        <v/>
      </c>
      <c r="F230" s="20" t="str">
        <f>'[3]2025'!E230</f>
        <v/>
      </c>
      <c r="G230" s="73" t="str">
        <f>'[3]2025'!F230</f>
        <v/>
      </c>
      <c r="H230" s="42">
        <f>'[3]2025'!G230</f>
        <v>0</v>
      </c>
      <c r="I230" s="13">
        <f>'[3]2025'!H230</f>
        <v>0</v>
      </c>
      <c r="J230" s="14">
        <f>'[3]2025'!I230</f>
        <v>0</v>
      </c>
      <c r="K230" s="15">
        <f>'[3]2025'!J230</f>
        <v>0</v>
      </c>
      <c r="L230" s="15">
        <f>'[3]2025'!K230</f>
        <v>0</v>
      </c>
      <c r="M230" s="15">
        <f>'[3]2025'!L230</f>
        <v>0</v>
      </c>
      <c r="N230" s="16" t="str">
        <f t="shared" si="12"/>
        <v/>
      </c>
      <c r="O230" s="17" t="str">
        <f t="shared" si="13"/>
        <v/>
      </c>
      <c r="P230" s="17" t="str">
        <f t="shared" si="13"/>
        <v/>
      </c>
      <c r="Q230" s="18" t="str">
        <f t="shared" si="14"/>
        <v/>
      </c>
      <c r="R230" s="18" t="e">
        <f t="shared" si="15"/>
        <v>#DIV/0!</v>
      </c>
      <c r="S230" s="34"/>
      <c r="T230" s="29" t="s">
        <v>8</v>
      </c>
      <c r="U230" s="1738"/>
    </row>
    <row r="231" spans="1:21">
      <c r="A231" s="10" t="s">
        <v>14</v>
      </c>
      <c r="B231" s="200">
        <f>+CHAMNORD!B231</f>
        <v>46248</v>
      </c>
      <c r="C231" s="75" t="str">
        <f>IF(H231=0,"",'[3]2025-2026'!C230)</f>
        <v/>
      </c>
      <c r="D231" s="68" t="str">
        <f>'[3]2025'!C231</f>
        <v/>
      </c>
      <c r="E231" s="68" t="str">
        <f>'[3]2025'!D231</f>
        <v/>
      </c>
      <c r="F231" s="20" t="str">
        <f>'[3]2025'!E231</f>
        <v/>
      </c>
      <c r="G231" s="73" t="str">
        <f>'[3]2025'!F231</f>
        <v/>
      </c>
      <c r="H231" s="42">
        <f>'[3]2025'!G231</f>
        <v>0</v>
      </c>
      <c r="I231" s="13">
        <f>'[3]2025'!H231</f>
        <v>0</v>
      </c>
      <c r="J231" s="14">
        <f>'[3]2025'!I231</f>
        <v>0</v>
      </c>
      <c r="K231" s="15">
        <f>'[3]2025'!J231</f>
        <v>0</v>
      </c>
      <c r="L231" s="15">
        <f>'[3]2025'!K231</f>
        <v>0</v>
      </c>
      <c r="M231" s="15">
        <f>'[3]2025'!L231</f>
        <v>0</v>
      </c>
      <c r="N231" s="16" t="str">
        <f t="shared" si="12"/>
        <v/>
      </c>
      <c r="O231" s="17" t="str">
        <f t="shared" si="13"/>
        <v/>
      </c>
      <c r="P231" s="17" t="str">
        <f t="shared" si="13"/>
        <v/>
      </c>
      <c r="Q231" s="18" t="str">
        <f t="shared" si="14"/>
        <v/>
      </c>
      <c r="R231" s="18" t="e">
        <f t="shared" si="15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200">
        <f>+CHAMNORD!B232</f>
        <v>46249</v>
      </c>
      <c r="C232" s="75" t="str">
        <f>IF(H232=0,"",'[3]2025-2026'!C231)</f>
        <v/>
      </c>
      <c r="D232" s="68" t="str">
        <f>'[3]2025'!C232</f>
        <v/>
      </c>
      <c r="E232" s="68" t="str">
        <f>'[3]2025'!D232</f>
        <v/>
      </c>
      <c r="F232" s="20" t="str">
        <f>'[3]2025'!E232</f>
        <v/>
      </c>
      <c r="G232" s="73" t="str">
        <f>'[3]2025'!F232</f>
        <v/>
      </c>
      <c r="H232" s="42">
        <f>'[3]2025'!G232</f>
        <v>0</v>
      </c>
      <c r="I232" s="13">
        <f>'[3]2025'!H232</f>
        <v>0</v>
      </c>
      <c r="J232" s="14">
        <f>'[3]2025'!I232</f>
        <v>0</v>
      </c>
      <c r="K232" s="15">
        <f>'[3]2025'!J232</f>
        <v>0</v>
      </c>
      <c r="L232" s="15">
        <f>'[3]2025'!K232</f>
        <v>0</v>
      </c>
      <c r="M232" s="15">
        <f>'[3]2025'!L232</f>
        <v>0</v>
      </c>
      <c r="N232" s="16" t="str">
        <f t="shared" si="12"/>
        <v/>
      </c>
      <c r="O232" s="17" t="str">
        <f t="shared" si="13"/>
        <v/>
      </c>
      <c r="P232" s="17" t="str">
        <f t="shared" si="13"/>
        <v/>
      </c>
      <c r="Q232" s="18" t="str">
        <f t="shared" si="14"/>
        <v/>
      </c>
      <c r="R232" s="18" t="e">
        <f t="shared" si="15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200">
        <f>+CHAMNORD!B233</f>
        <v>46250</v>
      </c>
      <c r="C233" s="75" t="str">
        <f>IF(H233=0,"",'[3]2025-2026'!C232)</f>
        <v/>
      </c>
      <c r="D233" s="68" t="str">
        <f>'[3]2025'!C233</f>
        <v/>
      </c>
      <c r="E233" s="68" t="str">
        <f>'[3]2025'!D233</f>
        <v/>
      </c>
      <c r="F233" s="20" t="str">
        <f>'[3]2025'!E233</f>
        <v/>
      </c>
      <c r="G233" s="73" t="str">
        <f>'[3]2025'!F233</f>
        <v/>
      </c>
      <c r="H233" s="42">
        <f>'[3]2025'!G233</f>
        <v>0</v>
      </c>
      <c r="I233" s="13">
        <f>'[3]2025'!H233</f>
        <v>0</v>
      </c>
      <c r="J233" s="14">
        <f>'[3]2025'!I233</f>
        <v>0</v>
      </c>
      <c r="K233" s="15">
        <f>'[3]2025'!J233</f>
        <v>0</v>
      </c>
      <c r="L233" s="15">
        <f>'[3]2025'!K233</f>
        <v>0</v>
      </c>
      <c r="M233" s="15">
        <f>'[3]2025'!L233</f>
        <v>0</v>
      </c>
      <c r="N233" s="16" t="str">
        <f t="shared" si="12"/>
        <v/>
      </c>
      <c r="O233" s="17" t="str">
        <f t="shared" si="13"/>
        <v/>
      </c>
      <c r="P233" s="17" t="str">
        <f t="shared" si="13"/>
        <v/>
      </c>
      <c r="Q233" s="18" t="str">
        <f t="shared" si="14"/>
        <v/>
      </c>
      <c r="R233" s="18" t="e">
        <f t="shared" si="15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200">
        <f>+CHAMNORD!B234</f>
        <v>46251</v>
      </c>
      <c r="C234" s="75" t="str">
        <f>IF(H234=0,"",'[3]2025-2026'!C233)</f>
        <v/>
      </c>
      <c r="D234" s="68" t="str">
        <f>'[3]2025'!C234</f>
        <v/>
      </c>
      <c r="E234" s="68" t="str">
        <f>'[3]2025'!D234</f>
        <v/>
      </c>
      <c r="F234" s="20" t="str">
        <f>'[3]2025'!E234</f>
        <v/>
      </c>
      <c r="G234" s="73" t="str">
        <f>'[3]2025'!F234</f>
        <v/>
      </c>
      <c r="H234" s="42">
        <f>'[3]2025'!G234</f>
        <v>0</v>
      </c>
      <c r="I234" s="13">
        <f>'[3]2025'!H234</f>
        <v>0</v>
      </c>
      <c r="J234" s="14">
        <f>'[3]2025'!I234</f>
        <v>0</v>
      </c>
      <c r="K234" s="15">
        <f>'[3]2025'!J234</f>
        <v>0</v>
      </c>
      <c r="L234" s="15">
        <f>'[3]2025'!K234</f>
        <v>0</v>
      </c>
      <c r="M234" s="15">
        <f>'[3]2025'!L234</f>
        <v>0</v>
      </c>
      <c r="N234" s="16" t="str">
        <f t="shared" si="12"/>
        <v/>
      </c>
      <c r="O234" s="17" t="str">
        <f t="shared" si="13"/>
        <v/>
      </c>
      <c r="P234" s="17" t="str">
        <f t="shared" si="13"/>
        <v/>
      </c>
      <c r="Q234" s="18" t="str">
        <f t="shared" si="14"/>
        <v/>
      </c>
      <c r="R234" s="18" t="e">
        <f t="shared" si="15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200">
        <f>+CHAMNORD!B235</f>
        <v>46252</v>
      </c>
      <c r="C235" s="75" t="str">
        <f>IF(H235=0,"",'[3]2025-2026'!C234)</f>
        <v/>
      </c>
      <c r="D235" s="68" t="str">
        <f>'[3]2025'!C235</f>
        <v/>
      </c>
      <c r="E235" s="68" t="str">
        <f>'[3]2025'!D235</f>
        <v/>
      </c>
      <c r="F235" s="20" t="str">
        <f>'[3]2025'!E235</f>
        <v/>
      </c>
      <c r="G235" s="73" t="str">
        <f>'[3]2025'!F235</f>
        <v/>
      </c>
      <c r="H235" s="42">
        <f>'[3]2025'!G235</f>
        <v>0</v>
      </c>
      <c r="I235" s="13">
        <f>'[3]2025'!H235</f>
        <v>0</v>
      </c>
      <c r="J235" s="14">
        <f>'[3]2025'!I235</f>
        <v>0</v>
      </c>
      <c r="K235" s="15">
        <f>'[3]2025'!J235</f>
        <v>0</v>
      </c>
      <c r="L235" s="15">
        <f>'[3]2025'!K235</f>
        <v>0</v>
      </c>
      <c r="M235" s="15">
        <f>'[3]2025'!L235</f>
        <v>0</v>
      </c>
      <c r="N235" s="16" t="str">
        <f t="shared" si="12"/>
        <v/>
      </c>
      <c r="O235" s="17" t="str">
        <f t="shared" si="13"/>
        <v/>
      </c>
      <c r="P235" s="17" t="str">
        <f t="shared" si="13"/>
        <v/>
      </c>
      <c r="Q235" s="18" t="str">
        <f t="shared" si="14"/>
        <v/>
      </c>
      <c r="R235" s="18" t="e">
        <f t="shared" si="15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200">
        <f>+CHAMNORD!B236</f>
        <v>46253</v>
      </c>
      <c r="C236" s="75" t="str">
        <f>IF(H236=0,"",'[3]2025-2026'!C235)</f>
        <v/>
      </c>
      <c r="D236" s="68" t="str">
        <f>'[3]2025'!C236</f>
        <v/>
      </c>
      <c r="E236" s="68" t="str">
        <f>'[3]2025'!D236</f>
        <v/>
      </c>
      <c r="F236" s="20" t="str">
        <f>'[3]2025'!E236</f>
        <v/>
      </c>
      <c r="G236" s="73" t="str">
        <f>'[3]2025'!F236</f>
        <v/>
      </c>
      <c r="H236" s="42">
        <f>'[3]2025'!G236</f>
        <v>0</v>
      </c>
      <c r="I236" s="13">
        <f>'[3]2025'!H236</f>
        <v>0</v>
      </c>
      <c r="J236" s="14">
        <f>'[3]2025'!I236</f>
        <v>0</v>
      </c>
      <c r="K236" s="15">
        <f>'[3]2025'!J236</f>
        <v>0</v>
      </c>
      <c r="L236" s="15">
        <f>'[3]2025'!K236</f>
        <v>0</v>
      </c>
      <c r="M236" s="15">
        <f>'[3]2025'!L236</f>
        <v>0</v>
      </c>
      <c r="N236" s="16" t="str">
        <f t="shared" si="12"/>
        <v/>
      </c>
      <c r="O236" s="17" t="str">
        <f t="shared" si="13"/>
        <v/>
      </c>
      <c r="P236" s="17" t="str">
        <f t="shared" si="13"/>
        <v/>
      </c>
      <c r="Q236" s="18" t="str">
        <f t="shared" si="14"/>
        <v/>
      </c>
      <c r="R236" s="18" t="e">
        <f t="shared" si="15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200">
        <f>+CHAMNORD!B237</f>
        <v>46254</v>
      </c>
      <c r="C237" s="75" t="str">
        <f>IF(H237=0,"",'[3]2025-2026'!C236)</f>
        <v/>
      </c>
      <c r="D237" s="68" t="str">
        <f>'[3]2025'!C237</f>
        <v/>
      </c>
      <c r="E237" s="68" t="str">
        <f>'[3]2025'!D237</f>
        <v/>
      </c>
      <c r="F237" s="20" t="str">
        <f>'[3]2025'!E237</f>
        <v/>
      </c>
      <c r="G237" s="73" t="str">
        <f>'[3]2025'!F237</f>
        <v/>
      </c>
      <c r="H237" s="42">
        <f>'[3]2025'!G237</f>
        <v>0</v>
      </c>
      <c r="I237" s="13">
        <f>'[3]2025'!H237</f>
        <v>0</v>
      </c>
      <c r="J237" s="14">
        <f>'[3]2025'!I237</f>
        <v>0</v>
      </c>
      <c r="K237" s="15">
        <f>'[3]2025'!J237</f>
        <v>0</v>
      </c>
      <c r="L237" s="15">
        <f>'[3]2025'!K237</f>
        <v>0</v>
      </c>
      <c r="M237" s="15">
        <f>'[3]2025'!L237</f>
        <v>0</v>
      </c>
      <c r="N237" s="16" t="str">
        <f t="shared" si="12"/>
        <v/>
      </c>
      <c r="O237" s="17" t="str">
        <f t="shared" si="13"/>
        <v/>
      </c>
      <c r="P237" s="17" t="str">
        <f t="shared" si="13"/>
        <v/>
      </c>
      <c r="Q237" s="18" t="str">
        <f t="shared" si="14"/>
        <v/>
      </c>
      <c r="R237" s="18" t="e">
        <f t="shared" si="15"/>
        <v>#DIV/0!</v>
      </c>
      <c r="S237" s="34"/>
      <c r="T237" s="29" t="s">
        <v>8</v>
      </c>
      <c r="U237" s="1738"/>
    </row>
    <row r="238" spans="1:21">
      <c r="A238" s="10" t="s">
        <v>14</v>
      </c>
      <c r="B238" s="200">
        <f>+CHAMNORD!B238</f>
        <v>46255</v>
      </c>
      <c r="C238" s="75" t="str">
        <f>IF(H238=0,"",'[3]2025-2026'!C237)</f>
        <v/>
      </c>
      <c r="D238" s="68" t="str">
        <f>'[3]2025'!C238</f>
        <v/>
      </c>
      <c r="E238" s="68" t="str">
        <f>'[3]2025'!D238</f>
        <v/>
      </c>
      <c r="F238" s="20" t="str">
        <f>'[3]2025'!E238</f>
        <v/>
      </c>
      <c r="G238" s="73" t="str">
        <f>'[3]2025'!F238</f>
        <v/>
      </c>
      <c r="H238" s="42">
        <f>'[3]2025'!G238</f>
        <v>0</v>
      </c>
      <c r="I238" s="13">
        <f>'[3]2025'!H238</f>
        <v>0</v>
      </c>
      <c r="J238" s="14">
        <f>'[3]2025'!I238</f>
        <v>0</v>
      </c>
      <c r="K238" s="15">
        <f>'[3]2025'!J238</f>
        <v>0</v>
      </c>
      <c r="L238" s="15">
        <f>'[3]2025'!K238</f>
        <v>0</v>
      </c>
      <c r="M238" s="15">
        <f>'[3]2025'!L238</f>
        <v>0</v>
      </c>
      <c r="N238" s="16" t="str">
        <f t="shared" si="12"/>
        <v/>
      </c>
      <c r="O238" s="17" t="str">
        <f t="shared" si="13"/>
        <v/>
      </c>
      <c r="P238" s="17" t="str">
        <f t="shared" si="13"/>
        <v/>
      </c>
      <c r="Q238" s="18" t="str">
        <f t="shared" si="14"/>
        <v/>
      </c>
      <c r="R238" s="18" t="e">
        <f t="shared" si="15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200">
        <f>+CHAMNORD!B239</f>
        <v>46256</v>
      </c>
      <c r="C239" s="75" t="str">
        <f>IF(H239=0,"",'[3]2025-2026'!C238)</f>
        <v/>
      </c>
      <c r="D239" s="68" t="str">
        <f>'[3]2025'!C239</f>
        <v/>
      </c>
      <c r="E239" s="68" t="str">
        <f>'[3]2025'!D239</f>
        <v/>
      </c>
      <c r="F239" s="20" t="str">
        <f>'[3]2025'!E239</f>
        <v/>
      </c>
      <c r="G239" s="73" t="str">
        <f>'[3]2025'!F239</f>
        <v/>
      </c>
      <c r="H239" s="42">
        <f>'[3]2025'!G239</f>
        <v>0</v>
      </c>
      <c r="I239" s="13">
        <f>'[3]2025'!H239</f>
        <v>0</v>
      </c>
      <c r="J239" s="14">
        <f>'[3]2025'!I239</f>
        <v>0</v>
      </c>
      <c r="K239" s="15">
        <f>'[3]2025'!J239</f>
        <v>0</v>
      </c>
      <c r="L239" s="15">
        <f>'[3]2025'!K239</f>
        <v>0</v>
      </c>
      <c r="M239" s="15">
        <f>'[3]2025'!L239</f>
        <v>0</v>
      </c>
      <c r="N239" s="16" t="str">
        <f t="shared" si="12"/>
        <v/>
      </c>
      <c r="O239" s="17" t="str">
        <f t="shared" si="13"/>
        <v/>
      </c>
      <c r="P239" s="17" t="str">
        <f t="shared" si="13"/>
        <v/>
      </c>
      <c r="Q239" s="18" t="str">
        <f t="shared" si="14"/>
        <v/>
      </c>
      <c r="R239" s="18" t="e">
        <f t="shared" si="15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200">
        <f>+CHAMNORD!B240</f>
        <v>46257</v>
      </c>
      <c r="C240" s="75" t="str">
        <f>IF(H240=0,"",'[3]2025-2026'!C239)</f>
        <v/>
      </c>
      <c r="D240" s="68" t="str">
        <f>'[3]2025'!C240</f>
        <v/>
      </c>
      <c r="E240" s="68" t="str">
        <f>'[3]2025'!D240</f>
        <v/>
      </c>
      <c r="F240" s="20" t="str">
        <f>'[3]2025'!E240</f>
        <v/>
      </c>
      <c r="G240" s="73" t="str">
        <f>'[3]2025'!F240</f>
        <v/>
      </c>
      <c r="H240" s="42">
        <f>'[3]2025'!G240</f>
        <v>0</v>
      </c>
      <c r="I240" s="13">
        <f>'[3]2025'!H240</f>
        <v>0</v>
      </c>
      <c r="J240" s="14">
        <f>'[3]2025'!I240</f>
        <v>0</v>
      </c>
      <c r="K240" s="15">
        <f>'[3]2025'!J240</f>
        <v>0</v>
      </c>
      <c r="L240" s="15">
        <f>'[3]2025'!K240</f>
        <v>0</v>
      </c>
      <c r="M240" s="15">
        <f>'[3]2025'!L240</f>
        <v>0</v>
      </c>
      <c r="N240" s="16" t="str">
        <f t="shared" si="12"/>
        <v/>
      </c>
      <c r="O240" s="17" t="str">
        <f t="shared" si="13"/>
        <v/>
      </c>
      <c r="P240" s="17" t="str">
        <f t="shared" si="13"/>
        <v/>
      </c>
      <c r="Q240" s="18" t="str">
        <f t="shared" si="14"/>
        <v/>
      </c>
      <c r="R240" s="18" t="e">
        <f t="shared" si="15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200">
        <f>+CHAMNORD!B241</f>
        <v>46258</v>
      </c>
      <c r="C241" s="75" t="str">
        <f>IF(H241=0,"",'[3]2025-2026'!C240)</f>
        <v/>
      </c>
      <c r="D241" s="68" t="str">
        <f>'[3]2025'!C241</f>
        <v/>
      </c>
      <c r="E241" s="68" t="str">
        <f>'[3]2025'!D241</f>
        <v/>
      </c>
      <c r="F241" s="20" t="str">
        <f>'[3]2025'!E241</f>
        <v/>
      </c>
      <c r="G241" s="73" t="str">
        <f>'[3]2025'!F241</f>
        <v/>
      </c>
      <c r="H241" s="42">
        <f>'[3]2025'!G241</f>
        <v>0</v>
      </c>
      <c r="I241" s="13">
        <f>'[3]2025'!H241</f>
        <v>0</v>
      </c>
      <c r="J241" s="14">
        <f>'[3]2025'!I241</f>
        <v>0</v>
      </c>
      <c r="K241" s="15">
        <f>'[3]2025'!J241</f>
        <v>0</v>
      </c>
      <c r="L241" s="15">
        <f>'[3]2025'!K241</f>
        <v>0</v>
      </c>
      <c r="M241" s="15">
        <f>'[3]2025'!L241</f>
        <v>0</v>
      </c>
      <c r="N241" s="16" t="str">
        <f t="shared" si="12"/>
        <v/>
      </c>
      <c r="O241" s="17" t="str">
        <f t="shared" si="13"/>
        <v/>
      </c>
      <c r="P241" s="17" t="str">
        <f t="shared" si="13"/>
        <v/>
      </c>
      <c r="Q241" s="18" t="str">
        <f t="shared" si="14"/>
        <v/>
      </c>
      <c r="R241" s="18" t="e">
        <f t="shared" si="15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200">
        <f>+CHAMNORD!B242</f>
        <v>46259</v>
      </c>
      <c r="C242" s="75" t="str">
        <f>IF(H242=0,"",'[3]2025-2026'!C241)</f>
        <v/>
      </c>
      <c r="D242" s="68" t="str">
        <f>'[3]2025'!C242</f>
        <v/>
      </c>
      <c r="E242" s="68" t="str">
        <f>'[3]2025'!D242</f>
        <v/>
      </c>
      <c r="F242" s="20" t="str">
        <f>'[3]2025'!E242</f>
        <v/>
      </c>
      <c r="G242" s="73" t="str">
        <f>'[3]2025'!F242</f>
        <v/>
      </c>
      <c r="H242" s="42">
        <f>'[3]2025'!G242</f>
        <v>0</v>
      </c>
      <c r="I242" s="13">
        <f>'[3]2025'!H242</f>
        <v>0</v>
      </c>
      <c r="J242" s="14">
        <f>'[3]2025'!I242</f>
        <v>0</v>
      </c>
      <c r="K242" s="15">
        <f>'[3]2025'!J242</f>
        <v>0</v>
      </c>
      <c r="L242" s="15">
        <f>'[3]2025'!K242</f>
        <v>0</v>
      </c>
      <c r="M242" s="15">
        <f>'[3]2025'!L242</f>
        <v>0</v>
      </c>
      <c r="N242" s="16" t="str">
        <f t="shared" si="12"/>
        <v/>
      </c>
      <c r="O242" s="17" t="str">
        <f t="shared" si="13"/>
        <v/>
      </c>
      <c r="P242" s="17" t="str">
        <f t="shared" si="13"/>
        <v/>
      </c>
      <c r="Q242" s="18" t="str">
        <f t="shared" si="14"/>
        <v/>
      </c>
      <c r="R242" s="18" t="e">
        <f t="shared" si="15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200">
        <f>+CHAMNORD!B243</f>
        <v>46260</v>
      </c>
      <c r="C243" s="75" t="str">
        <f>IF(H243=0,"",'[3]2025-2026'!C242)</f>
        <v/>
      </c>
      <c r="D243" s="68" t="str">
        <f>'[3]2025'!C243</f>
        <v/>
      </c>
      <c r="E243" s="68" t="str">
        <f>'[3]2025'!D243</f>
        <v/>
      </c>
      <c r="F243" s="20" t="str">
        <f>'[3]2025'!E243</f>
        <v/>
      </c>
      <c r="G243" s="73" t="str">
        <f>'[3]2025'!F243</f>
        <v/>
      </c>
      <c r="H243" s="42">
        <f>'[3]2025'!G243</f>
        <v>0</v>
      </c>
      <c r="I243" s="13">
        <f>'[3]2025'!H243</f>
        <v>0</v>
      </c>
      <c r="J243" s="14">
        <f>'[3]2025'!I243</f>
        <v>0</v>
      </c>
      <c r="K243" s="15">
        <f>'[3]2025'!J243</f>
        <v>0</v>
      </c>
      <c r="L243" s="15">
        <f>'[3]2025'!K243</f>
        <v>0</v>
      </c>
      <c r="M243" s="15">
        <f>'[3]2025'!L243</f>
        <v>0</v>
      </c>
      <c r="N243" s="16" t="str">
        <f t="shared" si="12"/>
        <v/>
      </c>
      <c r="O243" s="17" t="str">
        <f t="shared" si="13"/>
        <v/>
      </c>
      <c r="P243" s="17" t="str">
        <f t="shared" si="13"/>
        <v/>
      </c>
      <c r="Q243" s="18" t="str">
        <f t="shared" si="14"/>
        <v/>
      </c>
      <c r="R243" s="18" t="e">
        <f t="shared" si="15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200">
        <f>+CHAMNORD!B244</f>
        <v>46261</v>
      </c>
      <c r="C244" s="75" t="str">
        <f>IF(H244=0,"",'[3]2025-2026'!C243)</f>
        <v/>
      </c>
      <c r="D244" s="68" t="str">
        <f>'[3]2025'!C244</f>
        <v/>
      </c>
      <c r="E244" s="68" t="str">
        <f>'[3]2025'!D244</f>
        <v/>
      </c>
      <c r="F244" s="20" t="str">
        <f>'[3]2025'!E244</f>
        <v/>
      </c>
      <c r="G244" s="73" t="str">
        <f>'[3]2025'!F244</f>
        <v/>
      </c>
      <c r="H244" s="42">
        <f>'[3]2025'!G244</f>
        <v>0</v>
      </c>
      <c r="I244" s="13">
        <f>'[3]2025'!H244</f>
        <v>0</v>
      </c>
      <c r="J244" s="14">
        <f>'[3]2025'!I244</f>
        <v>0</v>
      </c>
      <c r="K244" s="15">
        <f>'[3]2025'!J244</f>
        <v>0</v>
      </c>
      <c r="L244" s="15">
        <f>'[3]2025'!K244</f>
        <v>0</v>
      </c>
      <c r="M244" s="15">
        <f>'[3]2025'!L244</f>
        <v>0</v>
      </c>
      <c r="N244" s="16" t="str">
        <f t="shared" si="12"/>
        <v/>
      </c>
      <c r="O244" s="17" t="str">
        <f t="shared" si="13"/>
        <v/>
      </c>
      <c r="P244" s="17" t="str">
        <f t="shared" si="13"/>
        <v/>
      </c>
      <c r="Q244" s="18" t="str">
        <f t="shared" si="14"/>
        <v/>
      </c>
      <c r="R244" s="18" t="e">
        <f t="shared" si="15"/>
        <v>#DIV/0!</v>
      </c>
      <c r="S244" s="34"/>
      <c r="T244" s="29" t="s">
        <v>8</v>
      </c>
      <c r="U244" s="1738"/>
    </row>
    <row r="245" spans="1:21">
      <c r="A245" s="10" t="s">
        <v>14</v>
      </c>
      <c r="B245" s="200">
        <f>+CHAMNORD!B245</f>
        <v>46262</v>
      </c>
      <c r="C245" s="75" t="str">
        <f>IF(H245=0,"",'[3]2025-2026'!C244)</f>
        <v/>
      </c>
      <c r="D245" s="68" t="str">
        <f>'[3]2025'!C245</f>
        <v/>
      </c>
      <c r="E245" s="68" t="str">
        <f>'[3]2025'!D245</f>
        <v/>
      </c>
      <c r="F245" s="20" t="str">
        <f>'[3]2025'!E245</f>
        <v/>
      </c>
      <c r="G245" s="73" t="str">
        <f>'[3]2025'!F245</f>
        <v/>
      </c>
      <c r="H245" s="42">
        <f>'[3]2025'!G245</f>
        <v>0</v>
      </c>
      <c r="I245" s="13">
        <f>'[3]2025'!H245</f>
        <v>0</v>
      </c>
      <c r="J245" s="14">
        <f>'[3]2025'!I245</f>
        <v>0</v>
      </c>
      <c r="K245" s="15">
        <f>'[3]2025'!J245</f>
        <v>0</v>
      </c>
      <c r="L245" s="15">
        <f>'[3]2025'!K245</f>
        <v>0</v>
      </c>
      <c r="M245" s="15">
        <f>'[3]2025'!L245</f>
        <v>0</v>
      </c>
      <c r="N245" s="16" t="str">
        <f t="shared" si="12"/>
        <v/>
      </c>
      <c r="O245" s="17" t="str">
        <f t="shared" si="13"/>
        <v/>
      </c>
      <c r="P245" s="17" t="str">
        <f t="shared" si="13"/>
        <v/>
      </c>
      <c r="Q245" s="18" t="str">
        <f t="shared" si="14"/>
        <v/>
      </c>
      <c r="R245" s="18" t="e">
        <f t="shared" si="15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200">
        <f>+CHAMNORD!B246</f>
        <v>46263</v>
      </c>
      <c r="C246" s="75" t="str">
        <f>IF(H246=0,"",'[3]2025-2026'!C245)</f>
        <v/>
      </c>
      <c r="D246" s="68" t="str">
        <f>'[3]2025'!C246</f>
        <v/>
      </c>
      <c r="E246" s="68" t="str">
        <f>'[3]2025'!D246</f>
        <v/>
      </c>
      <c r="F246" s="20" t="str">
        <f>'[3]2025'!E246</f>
        <v/>
      </c>
      <c r="G246" s="73" t="str">
        <f>'[3]2025'!F246</f>
        <v/>
      </c>
      <c r="H246" s="42">
        <f>'[3]2025'!G246</f>
        <v>0</v>
      </c>
      <c r="I246" s="13">
        <f>'[3]2025'!H246</f>
        <v>0</v>
      </c>
      <c r="J246" s="14">
        <f>'[3]2025'!I246</f>
        <v>0</v>
      </c>
      <c r="K246" s="15">
        <f>'[3]2025'!J246</f>
        <v>0</v>
      </c>
      <c r="L246" s="15">
        <f>'[3]2025'!K246</f>
        <v>0</v>
      </c>
      <c r="M246" s="15">
        <f>'[3]2025'!L246</f>
        <v>0</v>
      </c>
      <c r="N246" s="16" t="str">
        <f t="shared" si="12"/>
        <v/>
      </c>
      <c r="O246" s="17" t="str">
        <f t="shared" si="13"/>
        <v/>
      </c>
      <c r="P246" s="17" t="str">
        <f t="shared" si="13"/>
        <v/>
      </c>
      <c r="Q246" s="18" t="str">
        <f t="shared" si="14"/>
        <v/>
      </c>
      <c r="R246" s="18" t="e">
        <f t="shared" si="15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200">
        <f>+CHAMNORD!B247</f>
        <v>46264</v>
      </c>
      <c r="C247" s="75" t="str">
        <f>IF(H247=0,"",'[3]2025-2026'!C246)</f>
        <v/>
      </c>
      <c r="D247" s="68" t="str">
        <f>'[3]2025'!C247</f>
        <v/>
      </c>
      <c r="E247" s="68" t="str">
        <f>'[3]2025'!D247</f>
        <v/>
      </c>
      <c r="F247" s="20" t="str">
        <f>'[3]2025'!E247</f>
        <v/>
      </c>
      <c r="G247" s="73" t="str">
        <f>'[3]2025'!F247</f>
        <v/>
      </c>
      <c r="H247" s="42">
        <f>'[3]2025'!G247</f>
        <v>0</v>
      </c>
      <c r="I247" s="13">
        <f>'[3]2025'!H247</f>
        <v>0</v>
      </c>
      <c r="J247" s="14">
        <f>'[3]2025'!I247</f>
        <v>0</v>
      </c>
      <c r="K247" s="15">
        <f>'[3]2025'!J247</f>
        <v>0</v>
      </c>
      <c r="L247" s="15">
        <f>'[3]2025'!K247</f>
        <v>0</v>
      </c>
      <c r="M247" s="15">
        <f>'[3]2025'!L247</f>
        <v>0</v>
      </c>
      <c r="N247" s="16" t="str">
        <f t="shared" si="12"/>
        <v/>
      </c>
      <c r="O247" s="17" t="str">
        <f t="shared" si="13"/>
        <v/>
      </c>
      <c r="P247" s="17" t="str">
        <f t="shared" si="13"/>
        <v/>
      </c>
      <c r="Q247" s="18" t="str">
        <f t="shared" si="14"/>
        <v/>
      </c>
      <c r="R247" s="18" t="e">
        <f t="shared" si="15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200">
        <f>+CHAMNORD!B248</f>
        <v>46265</v>
      </c>
      <c r="C248" s="75" t="str">
        <f>IF(H248=0,"",'[3]2025-2026'!C247)</f>
        <v/>
      </c>
      <c r="D248" s="68" t="str">
        <f>'[3]2025'!C248</f>
        <v/>
      </c>
      <c r="E248" s="68" t="str">
        <f>'[3]2025'!D248</f>
        <v/>
      </c>
      <c r="F248" s="20" t="str">
        <f>'[3]2025'!E248</f>
        <v/>
      </c>
      <c r="G248" s="73" t="str">
        <f>'[3]2025'!F248</f>
        <v/>
      </c>
      <c r="H248" s="42">
        <f>'[3]2025'!G248</f>
        <v>0</v>
      </c>
      <c r="I248" s="13">
        <f>'[3]2025'!H248</f>
        <v>0</v>
      </c>
      <c r="J248" s="14">
        <f>'[3]2025'!I248</f>
        <v>0</v>
      </c>
      <c r="K248" s="15">
        <f>'[3]2025'!J248</f>
        <v>0</v>
      </c>
      <c r="L248" s="15">
        <f>'[3]2025'!K248</f>
        <v>0</v>
      </c>
      <c r="M248" s="15">
        <f>'[3]2025'!L248</f>
        <v>0</v>
      </c>
      <c r="N248" s="16" t="str">
        <f t="shared" si="12"/>
        <v/>
      </c>
      <c r="O248" s="17" t="str">
        <f t="shared" si="13"/>
        <v/>
      </c>
      <c r="P248" s="17" t="str">
        <f t="shared" si="13"/>
        <v/>
      </c>
      <c r="Q248" s="18" t="str">
        <f t="shared" si="14"/>
        <v/>
      </c>
      <c r="R248" s="18" t="e">
        <f t="shared" si="15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200">
        <f>+CHAMNORD!B249</f>
        <v>46266</v>
      </c>
      <c r="C249" s="75" t="str">
        <f>IF(H249=0,"",'[3]2025-2026'!C248)</f>
        <v/>
      </c>
      <c r="D249" s="68" t="str">
        <f>'[3]2025'!C249</f>
        <v/>
      </c>
      <c r="E249" s="68" t="str">
        <f>'[3]2025'!D249</f>
        <v/>
      </c>
      <c r="F249" s="20" t="str">
        <f>'[3]2025'!E249</f>
        <v/>
      </c>
      <c r="G249" s="73" t="str">
        <f>'[3]2025'!F249</f>
        <v/>
      </c>
      <c r="H249" s="42">
        <f>'[3]2025'!G249</f>
        <v>0</v>
      </c>
      <c r="I249" s="13">
        <f>'[3]2025'!H249</f>
        <v>0</v>
      </c>
      <c r="J249" s="14">
        <f>'[3]2025'!I249</f>
        <v>0</v>
      </c>
      <c r="K249" s="15">
        <f>'[3]2025'!J249</f>
        <v>0</v>
      </c>
      <c r="L249" s="15">
        <f>'[3]2025'!K249</f>
        <v>0</v>
      </c>
      <c r="M249" s="15">
        <f>'[3]2025'!L249</f>
        <v>0</v>
      </c>
      <c r="N249" s="16" t="str">
        <f t="shared" si="12"/>
        <v/>
      </c>
      <c r="O249" s="17" t="str">
        <f t="shared" si="13"/>
        <v/>
      </c>
      <c r="P249" s="17" t="str">
        <f t="shared" si="13"/>
        <v/>
      </c>
      <c r="Q249" s="18" t="str">
        <f t="shared" si="14"/>
        <v/>
      </c>
      <c r="R249" s="18" t="e">
        <f t="shared" si="15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200">
        <f>+CHAMNORD!B250</f>
        <v>46267</v>
      </c>
      <c r="C250" s="75" t="str">
        <f>IF(H250=0,"",'[3]2025-2026'!C249)</f>
        <v/>
      </c>
      <c r="D250" s="68" t="str">
        <f>'[3]2025'!C250</f>
        <v/>
      </c>
      <c r="E250" s="68" t="str">
        <f>'[3]2025'!D250</f>
        <v/>
      </c>
      <c r="F250" s="20" t="str">
        <f>'[3]2025'!E250</f>
        <v/>
      </c>
      <c r="G250" s="73" t="str">
        <f>'[3]2025'!F250</f>
        <v/>
      </c>
      <c r="H250" s="42">
        <f>'[3]2025'!G250</f>
        <v>0</v>
      </c>
      <c r="I250" s="13">
        <f>'[3]2025'!H250</f>
        <v>0</v>
      </c>
      <c r="J250" s="14">
        <f>'[3]2025'!I250</f>
        <v>0</v>
      </c>
      <c r="K250" s="15">
        <f>'[3]2025'!J250</f>
        <v>0</v>
      </c>
      <c r="L250" s="15">
        <f>'[3]2025'!K250</f>
        <v>0</v>
      </c>
      <c r="M250" s="15">
        <f>'[3]2025'!L250</f>
        <v>0</v>
      </c>
      <c r="N250" s="16" t="str">
        <f t="shared" si="12"/>
        <v/>
      </c>
      <c r="O250" s="17" t="str">
        <f t="shared" si="13"/>
        <v/>
      </c>
      <c r="P250" s="17" t="str">
        <f t="shared" si="13"/>
        <v/>
      </c>
      <c r="Q250" s="18" t="str">
        <f t="shared" si="14"/>
        <v/>
      </c>
      <c r="R250" s="18" t="e">
        <f t="shared" si="15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200">
        <f>+CHAMNORD!B251</f>
        <v>46268</v>
      </c>
      <c r="C251" s="75" t="str">
        <f>IF(H251=0,"",'[3]2025-2026'!C250)</f>
        <v/>
      </c>
      <c r="D251" s="68" t="str">
        <f>'[3]2025'!C251</f>
        <v/>
      </c>
      <c r="E251" s="68" t="str">
        <f>'[3]2025'!D251</f>
        <v/>
      </c>
      <c r="F251" s="20" t="str">
        <f>'[3]2025'!E251</f>
        <v/>
      </c>
      <c r="G251" s="73" t="str">
        <f>'[3]2025'!F251</f>
        <v/>
      </c>
      <c r="H251" s="42">
        <f>'[3]2025'!G251</f>
        <v>0</v>
      </c>
      <c r="I251" s="13">
        <f>'[3]2025'!H251</f>
        <v>0</v>
      </c>
      <c r="J251" s="14">
        <f>'[3]2025'!I251</f>
        <v>0</v>
      </c>
      <c r="K251" s="15">
        <f>'[3]2025'!J251</f>
        <v>0</v>
      </c>
      <c r="L251" s="15">
        <f>'[3]2025'!K251</f>
        <v>0</v>
      </c>
      <c r="M251" s="15">
        <f>'[3]2025'!L251</f>
        <v>0</v>
      </c>
      <c r="N251" s="16" t="str">
        <f t="shared" si="12"/>
        <v/>
      </c>
      <c r="O251" s="17" t="str">
        <f t="shared" si="13"/>
        <v/>
      </c>
      <c r="P251" s="17" t="str">
        <f t="shared" si="13"/>
        <v/>
      </c>
      <c r="Q251" s="18" t="str">
        <f t="shared" si="14"/>
        <v/>
      </c>
      <c r="R251" s="18" t="e">
        <f t="shared" si="15"/>
        <v>#DIV/0!</v>
      </c>
      <c r="S251" s="34"/>
      <c r="T251" s="29" t="s">
        <v>8</v>
      </c>
      <c r="U251" s="1738"/>
    </row>
    <row r="252" spans="1:21">
      <c r="A252" s="10" t="s">
        <v>14</v>
      </c>
      <c r="B252" s="200">
        <f>+CHAMNORD!B252</f>
        <v>46269</v>
      </c>
      <c r="C252" s="75" t="str">
        <f>IF(H252=0,"",'[3]2025-2026'!C251)</f>
        <v/>
      </c>
      <c r="D252" s="68" t="str">
        <f>'[3]2025'!C252</f>
        <v/>
      </c>
      <c r="E252" s="68" t="str">
        <f>'[3]2025'!D252</f>
        <v/>
      </c>
      <c r="F252" s="20" t="str">
        <f>'[3]2025'!E252</f>
        <v/>
      </c>
      <c r="G252" s="73" t="str">
        <f>'[3]2025'!F252</f>
        <v/>
      </c>
      <c r="H252" s="42">
        <f>'[3]2025'!G252</f>
        <v>0</v>
      </c>
      <c r="I252" s="13">
        <f>'[3]2025'!H252</f>
        <v>0</v>
      </c>
      <c r="J252" s="14">
        <f>'[3]2025'!I252</f>
        <v>0</v>
      </c>
      <c r="K252" s="15">
        <f>'[3]2025'!J252</f>
        <v>0</v>
      </c>
      <c r="L252" s="15">
        <f>'[3]2025'!K252</f>
        <v>0</v>
      </c>
      <c r="M252" s="15">
        <f>'[3]2025'!L252</f>
        <v>0</v>
      </c>
      <c r="N252" s="16" t="str">
        <f t="shared" si="12"/>
        <v/>
      </c>
      <c r="O252" s="17" t="str">
        <f t="shared" si="13"/>
        <v/>
      </c>
      <c r="P252" s="17" t="str">
        <f t="shared" si="13"/>
        <v/>
      </c>
      <c r="Q252" s="18" t="str">
        <f t="shared" si="14"/>
        <v/>
      </c>
      <c r="R252" s="18" t="e">
        <f t="shared" si="15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200">
        <f>+CHAMNORD!B253</f>
        <v>46270</v>
      </c>
      <c r="C253" s="75" t="str">
        <f>IF(H253=0,"",'[3]2025-2026'!C252)</f>
        <v/>
      </c>
      <c r="D253" s="68" t="str">
        <f>'[3]2025'!C253</f>
        <v/>
      </c>
      <c r="E253" s="68" t="str">
        <f>'[3]2025'!D253</f>
        <v/>
      </c>
      <c r="F253" s="20" t="str">
        <f>'[3]2025'!E253</f>
        <v/>
      </c>
      <c r="G253" s="73" t="str">
        <f>'[3]2025'!F253</f>
        <v/>
      </c>
      <c r="H253" s="42">
        <f>'[3]2025'!G253</f>
        <v>0</v>
      </c>
      <c r="I253" s="13">
        <f>'[3]2025'!H253</f>
        <v>0</v>
      </c>
      <c r="J253" s="14">
        <f>'[3]2025'!I253</f>
        <v>0</v>
      </c>
      <c r="K253" s="15">
        <f>'[3]2025'!J253</f>
        <v>0</v>
      </c>
      <c r="L253" s="15">
        <f>'[3]2025'!K253</f>
        <v>0</v>
      </c>
      <c r="M253" s="15">
        <f>'[3]2025'!L253</f>
        <v>0</v>
      </c>
      <c r="N253" s="16" t="str">
        <f t="shared" si="12"/>
        <v/>
      </c>
      <c r="O253" s="17" t="str">
        <f t="shared" si="13"/>
        <v/>
      </c>
      <c r="P253" s="17" t="str">
        <f t="shared" si="13"/>
        <v/>
      </c>
      <c r="Q253" s="18" t="str">
        <f t="shared" si="14"/>
        <v/>
      </c>
      <c r="R253" s="18" t="e">
        <f t="shared" si="15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200">
        <f>+CHAMNORD!B254</f>
        <v>46271</v>
      </c>
      <c r="C254" s="75" t="str">
        <f>IF(H254=0,"",'[3]2025-2026'!C253)</f>
        <v/>
      </c>
      <c r="D254" s="68" t="str">
        <f>'[3]2025'!C254</f>
        <v/>
      </c>
      <c r="E254" s="68" t="str">
        <f>'[3]2025'!D254</f>
        <v/>
      </c>
      <c r="F254" s="20" t="str">
        <f>'[3]2025'!E254</f>
        <v/>
      </c>
      <c r="G254" s="73" t="str">
        <f>'[3]2025'!F254</f>
        <v/>
      </c>
      <c r="H254" s="42">
        <f>'[3]2025'!G254</f>
        <v>0</v>
      </c>
      <c r="I254" s="13">
        <f>'[3]2025'!H254</f>
        <v>0</v>
      </c>
      <c r="J254" s="14">
        <f>'[3]2025'!I254</f>
        <v>0</v>
      </c>
      <c r="K254" s="15">
        <f>'[3]2025'!J254</f>
        <v>0</v>
      </c>
      <c r="L254" s="15">
        <f>'[3]2025'!K254</f>
        <v>0</v>
      </c>
      <c r="M254" s="15">
        <f>'[3]2025'!L254</f>
        <v>0</v>
      </c>
      <c r="N254" s="16" t="str">
        <f t="shared" si="12"/>
        <v/>
      </c>
      <c r="O254" s="17" t="str">
        <f t="shared" si="13"/>
        <v/>
      </c>
      <c r="P254" s="17" t="str">
        <f t="shared" si="13"/>
        <v/>
      </c>
      <c r="Q254" s="18" t="str">
        <f t="shared" si="14"/>
        <v/>
      </c>
      <c r="R254" s="18" t="e">
        <f t="shared" si="15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200">
        <f>+CHAMNORD!B255</f>
        <v>46272</v>
      </c>
      <c r="C255" s="75" t="str">
        <f>IF(H255=0,"",'[3]2025-2026'!C254)</f>
        <v/>
      </c>
      <c r="D255" s="68" t="str">
        <f>'[3]2025'!C255</f>
        <v/>
      </c>
      <c r="E255" s="68" t="str">
        <f>'[3]2025'!D255</f>
        <v/>
      </c>
      <c r="F255" s="20" t="str">
        <f>'[3]2025'!E255</f>
        <v/>
      </c>
      <c r="G255" s="73" t="str">
        <f>'[3]2025'!F255</f>
        <v/>
      </c>
      <c r="H255" s="42">
        <f>'[3]2025'!G255</f>
        <v>0</v>
      </c>
      <c r="I255" s="13">
        <f>'[3]2025'!H255</f>
        <v>0</v>
      </c>
      <c r="J255" s="14">
        <f>'[3]2025'!I255</f>
        <v>0</v>
      </c>
      <c r="K255" s="15">
        <f>'[3]2025'!J255</f>
        <v>0</v>
      </c>
      <c r="L255" s="15">
        <f>'[3]2025'!K255</f>
        <v>0</v>
      </c>
      <c r="M255" s="15">
        <f>'[3]2025'!L255</f>
        <v>0</v>
      </c>
      <c r="N255" s="16" t="str">
        <f t="shared" si="12"/>
        <v/>
      </c>
      <c r="O255" s="17" t="str">
        <f t="shared" si="13"/>
        <v/>
      </c>
      <c r="P255" s="17" t="str">
        <f t="shared" si="13"/>
        <v/>
      </c>
      <c r="Q255" s="18" t="str">
        <f t="shared" si="14"/>
        <v/>
      </c>
      <c r="R255" s="18" t="e">
        <f t="shared" si="15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200">
        <f>+CHAMNORD!B256</f>
        <v>46273</v>
      </c>
      <c r="C256" s="75" t="str">
        <f>IF(H256=0,"",'[3]2025-2026'!C255)</f>
        <v/>
      </c>
      <c r="D256" s="68" t="str">
        <f>'[3]2025'!C256</f>
        <v/>
      </c>
      <c r="E256" s="68" t="str">
        <f>'[3]2025'!D256</f>
        <v/>
      </c>
      <c r="F256" s="20" t="str">
        <f>'[3]2025'!E256</f>
        <v/>
      </c>
      <c r="G256" s="73" t="str">
        <f>'[3]2025'!F256</f>
        <v/>
      </c>
      <c r="H256" s="42">
        <f>'[3]2025'!G256</f>
        <v>0</v>
      </c>
      <c r="I256" s="13">
        <f>'[3]2025'!H256</f>
        <v>0</v>
      </c>
      <c r="J256" s="14">
        <f>'[3]2025'!I256</f>
        <v>0</v>
      </c>
      <c r="K256" s="15">
        <f>'[3]2025'!J256</f>
        <v>0</v>
      </c>
      <c r="L256" s="15">
        <f>'[3]2025'!K256</f>
        <v>0</v>
      </c>
      <c r="M256" s="15">
        <f>'[3]2025'!L256</f>
        <v>0</v>
      </c>
      <c r="N256" s="16" t="str">
        <f t="shared" si="12"/>
        <v/>
      </c>
      <c r="O256" s="17" t="str">
        <f t="shared" si="13"/>
        <v/>
      </c>
      <c r="P256" s="17" t="str">
        <f t="shared" si="13"/>
        <v/>
      </c>
      <c r="Q256" s="18" t="str">
        <f t="shared" si="14"/>
        <v/>
      </c>
      <c r="R256" s="18" t="e">
        <f t="shared" si="15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200">
        <f>+CHAMNORD!B257</f>
        <v>46274</v>
      </c>
      <c r="C257" s="75" t="str">
        <f>IF(H257=0,"",'[3]2025-2026'!C256)</f>
        <v/>
      </c>
      <c r="D257" s="68" t="str">
        <f>'[3]2025'!C257</f>
        <v/>
      </c>
      <c r="E257" s="68" t="str">
        <f>'[3]2025'!D257</f>
        <v/>
      </c>
      <c r="F257" s="20" t="str">
        <f>'[3]2025'!E257</f>
        <v/>
      </c>
      <c r="G257" s="73" t="str">
        <f>'[3]2025'!F257</f>
        <v/>
      </c>
      <c r="H257" s="42">
        <f>'[3]2025'!G257</f>
        <v>0</v>
      </c>
      <c r="I257" s="13">
        <f>'[3]2025'!H257</f>
        <v>0</v>
      </c>
      <c r="J257" s="14">
        <f>'[3]2025'!I257</f>
        <v>0</v>
      </c>
      <c r="K257" s="15">
        <f>'[3]2025'!J257</f>
        <v>0</v>
      </c>
      <c r="L257" s="15">
        <f>'[3]2025'!K257</f>
        <v>0</v>
      </c>
      <c r="M257" s="15">
        <f>'[3]2025'!L257</f>
        <v>0</v>
      </c>
      <c r="N257" s="16" t="str">
        <f t="shared" si="12"/>
        <v/>
      </c>
      <c r="O257" s="17" t="str">
        <f t="shared" si="13"/>
        <v/>
      </c>
      <c r="P257" s="17" t="str">
        <f t="shared" si="13"/>
        <v/>
      </c>
      <c r="Q257" s="18" t="str">
        <f t="shared" si="14"/>
        <v/>
      </c>
      <c r="R257" s="18" t="e">
        <f t="shared" si="15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200">
        <f>+CHAMNORD!B258</f>
        <v>46275</v>
      </c>
      <c r="C258" s="75" t="str">
        <f>IF(H258=0,"",'[3]2025-2026'!C257)</f>
        <v/>
      </c>
      <c r="D258" s="68" t="str">
        <f>'[3]2025'!C258</f>
        <v/>
      </c>
      <c r="E258" s="68" t="str">
        <f>'[3]2025'!D258</f>
        <v/>
      </c>
      <c r="F258" s="20" t="str">
        <f>'[3]2025'!E258</f>
        <v/>
      </c>
      <c r="G258" s="73" t="str">
        <f>'[3]2025'!F258</f>
        <v/>
      </c>
      <c r="H258" s="42">
        <f>'[3]2025'!G258</f>
        <v>0</v>
      </c>
      <c r="I258" s="13">
        <f>'[3]2025'!H258</f>
        <v>0</v>
      </c>
      <c r="J258" s="14">
        <f>'[3]2025'!I258</f>
        <v>0</v>
      </c>
      <c r="K258" s="15">
        <f>'[3]2025'!J258</f>
        <v>0</v>
      </c>
      <c r="L258" s="15">
        <f>'[3]2025'!K258</f>
        <v>0</v>
      </c>
      <c r="M258" s="15">
        <f>'[3]2025'!L258</f>
        <v>0</v>
      </c>
      <c r="N258" s="16" t="str">
        <f t="shared" si="12"/>
        <v/>
      </c>
      <c r="O258" s="17" t="str">
        <f t="shared" si="13"/>
        <v/>
      </c>
      <c r="P258" s="17" t="str">
        <f t="shared" si="13"/>
        <v/>
      </c>
      <c r="Q258" s="18" t="str">
        <f t="shared" si="14"/>
        <v/>
      </c>
      <c r="R258" s="18" t="e">
        <f t="shared" si="15"/>
        <v>#DIV/0!</v>
      </c>
      <c r="S258" s="34"/>
      <c r="T258" s="29" t="s">
        <v>8</v>
      </c>
      <c r="U258" s="1738"/>
    </row>
    <row r="259" spans="1:21">
      <c r="A259" s="10" t="s">
        <v>14</v>
      </c>
      <c r="B259" s="200">
        <f>+CHAMNORD!B259</f>
        <v>46276</v>
      </c>
      <c r="C259" s="75" t="str">
        <f>IF(H259=0,"",'[3]2025-2026'!C258)</f>
        <v/>
      </c>
      <c r="D259" s="68" t="str">
        <f>'[3]2025'!C259</f>
        <v/>
      </c>
      <c r="E259" s="68" t="str">
        <f>'[3]2025'!D259</f>
        <v/>
      </c>
      <c r="F259" s="20" t="str">
        <f>'[3]2025'!E259</f>
        <v/>
      </c>
      <c r="G259" s="73" t="str">
        <f>'[3]2025'!F259</f>
        <v/>
      </c>
      <c r="H259" s="42">
        <f>'[3]2025'!G259</f>
        <v>0</v>
      </c>
      <c r="I259" s="13">
        <f>'[3]2025'!H259</f>
        <v>0</v>
      </c>
      <c r="J259" s="14">
        <f>'[3]2025'!I259</f>
        <v>0</v>
      </c>
      <c r="K259" s="15">
        <f>'[3]2025'!J259</f>
        <v>0</v>
      </c>
      <c r="L259" s="15">
        <f>'[3]2025'!K259</f>
        <v>0</v>
      </c>
      <c r="M259" s="15">
        <f>'[3]2025'!L259</f>
        <v>0</v>
      </c>
      <c r="N259" s="16" t="str">
        <f t="shared" si="12"/>
        <v/>
      </c>
      <c r="O259" s="17" t="str">
        <f t="shared" si="13"/>
        <v/>
      </c>
      <c r="P259" s="17" t="str">
        <f t="shared" si="13"/>
        <v/>
      </c>
      <c r="Q259" s="18" t="str">
        <f t="shared" si="14"/>
        <v/>
      </c>
      <c r="R259" s="18" t="e">
        <f t="shared" si="15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200">
        <f>+CHAMNORD!B260</f>
        <v>46277</v>
      </c>
      <c r="C260" s="75" t="str">
        <f>IF(H260=0,"",'[3]2025-2026'!C259)</f>
        <v/>
      </c>
      <c r="D260" s="68" t="str">
        <f>'[3]2025'!C260</f>
        <v/>
      </c>
      <c r="E260" s="68" t="str">
        <f>'[3]2025'!D260</f>
        <v/>
      </c>
      <c r="F260" s="20" t="str">
        <f>'[3]2025'!E260</f>
        <v/>
      </c>
      <c r="G260" s="73" t="str">
        <f>'[3]2025'!F260</f>
        <v/>
      </c>
      <c r="H260" s="42">
        <f>'[3]2025'!G260</f>
        <v>0</v>
      </c>
      <c r="I260" s="13">
        <f>'[3]2025'!H260</f>
        <v>0</v>
      </c>
      <c r="J260" s="14">
        <f>'[3]2025'!I260</f>
        <v>0</v>
      </c>
      <c r="K260" s="15">
        <f>'[3]2025'!J260</f>
        <v>0</v>
      </c>
      <c r="L260" s="15">
        <f>'[3]2025'!K260</f>
        <v>0</v>
      </c>
      <c r="M260" s="15">
        <f>'[3]2025'!L260</f>
        <v>0</v>
      </c>
      <c r="N260" s="16" t="str">
        <f t="shared" ref="N260:N323" si="16">IF(M260=0,"",M260/I260)</f>
        <v/>
      </c>
      <c r="O260" s="17" t="str">
        <f t="shared" ref="O260:P323" si="17">IF(I260=0,"",(I260-E260)/E260)</f>
        <v/>
      </c>
      <c r="P260" s="17" t="str">
        <f t="shared" si="17"/>
        <v/>
      </c>
      <c r="Q260" s="18" t="str">
        <f t="shared" ref="Q260:Q323" si="18">IF(I260=0,"",I260/K260)</f>
        <v/>
      </c>
      <c r="R260" s="18" t="e">
        <f t="shared" ref="R260:R323" si="19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200">
        <f>+CHAMNORD!B261</f>
        <v>46278</v>
      </c>
      <c r="C261" s="75" t="str">
        <f>IF(H261=0,"",'[3]2025-2026'!C260)</f>
        <v/>
      </c>
      <c r="D261" s="68" t="str">
        <f>'[3]2025'!C261</f>
        <v/>
      </c>
      <c r="E261" s="68" t="str">
        <f>'[3]2025'!D261</f>
        <v/>
      </c>
      <c r="F261" s="20" t="str">
        <f>'[3]2025'!E261</f>
        <v/>
      </c>
      <c r="G261" s="73" t="str">
        <f>'[3]2025'!F261</f>
        <v/>
      </c>
      <c r="H261" s="42">
        <f>'[3]2025'!G261</f>
        <v>0</v>
      </c>
      <c r="I261" s="13">
        <f>'[3]2025'!H261</f>
        <v>0</v>
      </c>
      <c r="J261" s="14">
        <f>'[3]2025'!I261</f>
        <v>0</v>
      </c>
      <c r="K261" s="15">
        <f>'[3]2025'!J261</f>
        <v>0</v>
      </c>
      <c r="L261" s="15">
        <f>'[3]2025'!K261</f>
        <v>0</v>
      </c>
      <c r="M261" s="15">
        <f>'[3]2025'!L261</f>
        <v>0</v>
      </c>
      <c r="N261" s="16" t="str">
        <f t="shared" si="16"/>
        <v/>
      </c>
      <c r="O261" s="17" t="str">
        <f t="shared" si="17"/>
        <v/>
      </c>
      <c r="P261" s="17" t="str">
        <f t="shared" si="17"/>
        <v/>
      </c>
      <c r="Q261" s="18" t="str">
        <f t="shared" si="18"/>
        <v/>
      </c>
      <c r="R261" s="18" t="e">
        <f t="shared" si="19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200">
        <f>+CHAMNORD!B262</f>
        <v>46279</v>
      </c>
      <c r="C262" s="75" t="str">
        <f>IF(H262=0,"",'[3]2025-2026'!C261)</f>
        <v/>
      </c>
      <c r="D262" s="68" t="str">
        <f>'[3]2025'!C262</f>
        <v/>
      </c>
      <c r="E262" s="68" t="str">
        <f>'[3]2025'!D262</f>
        <v/>
      </c>
      <c r="F262" s="20" t="str">
        <f>'[3]2025'!E262</f>
        <v/>
      </c>
      <c r="G262" s="73" t="str">
        <f>'[3]2025'!F262</f>
        <v/>
      </c>
      <c r="H262" s="42">
        <f>'[3]2025'!G262</f>
        <v>0</v>
      </c>
      <c r="I262" s="13">
        <f>'[3]2025'!H262</f>
        <v>0</v>
      </c>
      <c r="J262" s="14">
        <f>'[3]2025'!I262</f>
        <v>0</v>
      </c>
      <c r="K262" s="15">
        <f>'[3]2025'!J262</f>
        <v>0</v>
      </c>
      <c r="L262" s="15">
        <f>'[3]2025'!K262</f>
        <v>0</v>
      </c>
      <c r="M262" s="15">
        <f>'[3]2025'!L262</f>
        <v>0</v>
      </c>
      <c r="N262" s="16" t="str">
        <f t="shared" si="16"/>
        <v/>
      </c>
      <c r="O262" s="17" t="str">
        <f t="shared" si="17"/>
        <v/>
      </c>
      <c r="P262" s="17" t="str">
        <f t="shared" si="17"/>
        <v/>
      </c>
      <c r="Q262" s="18" t="str">
        <f t="shared" si="18"/>
        <v/>
      </c>
      <c r="R262" s="18" t="e">
        <f t="shared" si="19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200">
        <f>+CHAMNORD!B263</f>
        <v>46280</v>
      </c>
      <c r="C263" s="75" t="str">
        <f>IF(H263=0,"",'[3]2025-2026'!C262)</f>
        <v/>
      </c>
      <c r="D263" s="68" t="str">
        <f>'[3]2025'!C263</f>
        <v/>
      </c>
      <c r="E263" s="68" t="str">
        <f>'[3]2025'!D263</f>
        <v/>
      </c>
      <c r="F263" s="20" t="str">
        <f>'[3]2025'!E263</f>
        <v/>
      </c>
      <c r="G263" s="73" t="str">
        <f>'[3]2025'!F263</f>
        <v/>
      </c>
      <c r="H263" s="42">
        <f>'[3]2025'!G263</f>
        <v>0</v>
      </c>
      <c r="I263" s="13">
        <f>'[3]2025'!H263</f>
        <v>0</v>
      </c>
      <c r="J263" s="14">
        <f>'[3]2025'!I263</f>
        <v>0</v>
      </c>
      <c r="K263" s="15">
        <f>'[3]2025'!J263</f>
        <v>0</v>
      </c>
      <c r="L263" s="15">
        <f>'[3]2025'!K263</f>
        <v>0</v>
      </c>
      <c r="M263" s="15">
        <f>'[3]2025'!L263</f>
        <v>0</v>
      </c>
      <c r="N263" s="16" t="str">
        <f t="shared" si="16"/>
        <v/>
      </c>
      <c r="O263" s="17" t="str">
        <f t="shared" si="17"/>
        <v/>
      </c>
      <c r="P263" s="17" t="str">
        <f t="shared" si="17"/>
        <v/>
      </c>
      <c r="Q263" s="18" t="str">
        <f t="shared" si="18"/>
        <v/>
      </c>
      <c r="R263" s="18" t="e">
        <f t="shared" si="19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200">
        <f>+CHAMNORD!B264</f>
        <v>46281</v>
      </c>
      <c r="C264" s="75" t="str">
        <f>IF(H264=0,"",'[3]2025-2026'!C263)</f>
        <v/>
      </c>
      <c r="D264" s="68" t="str">
        <f>'[3]2025'!C264</f>
        <v/>
      </c>
      <c r="E264" s="68" t="str">
        <f>'[3]2025'!D264</f>
        <v/>
      </c>
      <c r="F264" s="20" t="str">
        <f>'[3]2025'!E264</f>
        <v/>
      </c>
      <c r="G264" s="73" t="str">
        <f>'[3]2025'!F264</f>
        <v/>
      </c>
      <c r="H264" s="42">
        <f>'[3]2025'!G264</f>
        <v>0</v>
      </c>
      <c r="I264" s="13">
        <f>'[3]2025'!H264</f>
        <v>0</v>
      </c>
      <c r="J264" s="14">
        <f>'[3]2025'!I264</f>
        <v>0</v>
      </c>
      <c r="K264" s="15">
        <f>'[3]2025'!J264</f>
        <v>0</v>
      </c>
      <c r="L264" s="15">
        <f>'[3]2025'!K264</f>
        <v>0</v>
      </c>
      <c r="M264" s="15">
        <f>'[3]2025'!L264</f>
        <v>0</v>
      </c>
      <c r="N264" s="16" t="str">
        <f t="shared" si="16"/>
        <v/>
      </c>
      <c r="O264" s="17" t="str">
        <f t="shared" si="17"/>
        <v/>
      </c>
      <c r="P264" s="17" t="str">
        <f t="shared" si="17"/>
        <v/>
      </c>
      <c r="Q264" s="18" t="str">
        <f t="shared" si="18"/>
        <v/>
      </c>
      <c r="R264" s="18" t="e">
        <f t="shared" si="19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200">
        <f>+CHAMNORD!B265</f>
        <v>46282</v>
      </c>
      <c r="C265" s="75" t="str">
        <f>IF(H265=0,"",'[3]2025-2026'!C264)</f>
        <v/>
      </c>
      <c r="D265" s="68" t="str">
        <f>'[3]2025'!C265</f>
        <v/>
      </c>
      <c r="E265" s="68" t="str">
        <f>'[3]2025'!D265</f>
        <v/>
      </c>
      <c r="F265" s="20" t="str">
        <f>'[3]2025'!E265</f>
        <v/>
      </c>
      <c r="G265" s="73" t="str">
        <f>'[3]2025'!F265</f>
        <v/>
      </c>
      <c r="H265" s="42">
        <f>'[3]2025'!G265</f>
        <v>0</v>
      </c>
      <c r="I265" s="13">
        <f>'[3]2025'!H265</f>
        <v>0</v>
      </c>
      <c r="J265" s="14">
        <f>'[3]2025'!I265</f>
        <v>0</v>
      </c>
      <c r="K265" s="15">
        <f>'[3]2025'!J265</f>
        <v>0</v>
      </c>
      <c r="L265" s="15">
        <f>'[3]2025'!K265</f>
        <v>0</v>
      </c>
      <c r="M265" s="15">
        <f>'[3]2025'!L265</f>
        <v>0</v>
      </c>
      <c r="N265" s="16" t="str">
        <f t="shared" si="16"/>
        <v/>
      </c>
      <c r="O265" s="17" t="str">
        <f t="shared" si="17"/>
        <v/>
      </c>
      <c r="P265" s="17" t="str">
        <f t="shared" si="17"/>
        <v/>
      </c>
      <c r="Q265" s="18" t="str">
        <f t="shared" si="18"/>
        <v/>
      </c>
      <c r="R265" s="18" t="e">
        <f t="shared" si="19"/>
        <v>#DIV/0!</v>
      </c>
      <c r="S265" s="34"/>
      <c r="T265" s="29" t="s">
        <v>8</v>
      </c>
      <c r="U265" s="1738"/>
    </row>
    <row r="266" spans="1:21">
      <c r="A266" s="10" t="s">
        <v>14</v>
      </c>
      <c r="B266" s="200">
        <f>+CHAMNORD!B266</f>
        <v>46283</v>
      </c>
      <c r="C266" s="75" t="str">
        <f>IF(H266=0,"",'[3]2025-2026'!C265)</f>
        <v/>
      </c>
      <c r="D266" s="68" t="str">
        <f>'[3]2025'!C266</f>
        <v/>
      </c>
      <c r="E266" s="68" t="str">
        <f>'[3]2025'!D266</f>
        <v/>
      </c>
      <c r="F266" s="20" t="str">
        <f>'[3]2025'!E266</f>
        <v/>
      </c>
      <c r="G266" s="73" t="str">
        <f>'[3]2025'!F266</f>
        <v/>
      </c>
      <c r="H266" s="42">
        <f>'[3]2025'!G266</f>
        <v>0</v>
      </c>
      <c r="I266" s="13">
        <f>'[3]2025'!H266</f>
        <v>0</v>
      </c>
      <c r="J266" s="14">
        <f>'[3]2025'!I266</f>
        <v>0</v>
      </c>
      <c r="K266" s="15">
        <f>'[3]2025'!J266</f>
        <v>0</v>
      </c>
      <c r="L266" s="15">
        <f>'[3]2025'!K266</f>
        <v>0</v>
      </c>
      <c r="M266" s="15">
        <f>'[3]2025'!L266</f>
        <v>0</v>
      </c>
      <c r="N266" s="16" t="str">
        <f t="shared" si="16"/>
        <v/>
      </c>
      <c r="O266" s="17" t="str">
        <f t="shared" si="17"/>
        <v/>
      </c>
      <c r="P266" s="17" t="str">
        <f t="shared" si="17"/>
        <v/>
      </c>
      <c r="Q266" s="18" t="str">
        <f t="shared" si="18"/>
        <v/>
      </c>
      <c r="R266" s="18" t="e">
        <f t="shared" si="19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200">
        <f>+CHAMNORD!B267</f>
        <v>46284</v>
      </c>
      <c r="C267" s="75" t="str">
        <f>IF(H267=0,"",'[3]2025-2026'!C266)</f>
        <v/>
      </c>
      <c r="D267" s="68" t="str">
        <f>'[3]2025'!C267</f>
        <v/>
      </c>
      <c r="E267" s="68" t="str">
        <f>'[3]2025'!D267</f>
        <v/>
      </c>
      <c r="F267" s="20" t="str">
        <f>'[3]2025'!E267</f>
        <v/>
      </c>
      <c r="G267" s="73" t="str">
        <f>'[3]2025'!F267</f>
        <v/>
      </c>
      <c r="H267" s="42">
        <f>'[3]2025'!G267</f>
        <v>0</v>
      </c>
      <c r="I267" s="13">
        <f>'[3]2025'!H267</f>
        <v>0</v>
      </c>
      <c r="J267" s="14">
        <f>'[3]2025'!I267</f>
        <v>0</v>
      </c>
      <c r="K267" s="15">
        <f>'[3]2025'!J267</f>
        <v>0</v>
      </c>
      <c r="L267" s="15">
        <f>'[3]2025'!K267</f>
        <v>0</v>
      </c>
      <c r="M267" s="15">
        <f>'[3]2025'!L267</f>
        <v>0</v>
      </c>
      <c r="N267" s="16" t="str">
        <f t="shared" si="16"/>
        <v/>
      </c>
      <c r="O267" s="17" t="str">
        <f t="shared" si="17"/>
        <v/>
      </c>
      <c r="P267" s="17" t="str">
        <f t="shared" si="17"/>
        <v/>
      </c>
      <c r="Q267" s="18" t="str">
        <f t="shared" si="18"/>
        <v/>
      </c>
      <c r="R267" s="18" t="e">
        <f t="shared" si="19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200">
        <f>+CHAMNORD!B268</f>
        <v>46285</v>
      </c>
      <c r="C268" s="75" t="str">
        <f>IF(H268=0,"",'[3]2025-2026'!C267)</f>
        <v/>
      </c>
      <c r="D268" s="68" t="str">
        <f>'[3]2025'!C268</f>
        <v/>
      </c>
      <c r="E268" s="68" t="str">
        <f>'[3]2025'!D268</f>
        <v/>
      </c>
      <c r="F268" s="20" t="str">
        <f>'[3]2025'!E268</f>
        <v/>
      </c>
      <c r="G268" s="73" t="str">
        <f>'[3]2025'!F268</f>
        <v/>
      </c>
      <c r="H268" s="42">
        <f>'[3]2025'!G268</f>
        <v>0</v>
      </c>
      <c r="I268" s="13">
        <f>'[3]2025'!H268</f>
        <v>0</v>
      </c>
      <c r="J268" s="14">
        <f>'[3]2025'!I268</f>
        <v>0</v>
      </c>
      <c r="K268" s="15">
        <f>'[3]2025'!J268</f>
        <v>0</v>
      </c>
      <c r="L268" s="15">
        <f>'[3]2025'!K268</f>
        <v>0</v>
      </c>
      <c r="M268" s="15">
        <f>'[3]2025'!L268</f>
        <v>0</v>
      </c>
      <c r="N268" s="16" t="str">
        <f t="shared" si="16"/>
        <v/>
      </c>
      <c r="O268" s="17" t="str">
        <f t="shared" si="17"/>
        <v/>
      </c>
      <c r="P268" s="17" t="str">
        <f t="shared" si="17"/>
        <v/>
      </c>
      <c r="Q268" s="18" t="str">
        <f t="shared" si="18"/>
        <v/>
      </c>
      <c r="R268" s="18" t="e">
        <f t="shared" si="19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200">
        <f>+CHAMNORD!B269</f>
        <v>46286</v>
      </c>
      <c r="C269" s="75" t="str">
        <f>IF(H269=0,"",'[3]2025-2026'!C268)</f>
        <v/>
      </c>
      <c r="D269" s="68" t="str">
        <f>'[3]2025'!C269</f>
        <v/>
      </c>
      <c r="E269" s="68" t="str">
        <f>'[3]2025'!D269</f>
        <v/>
      </c>
      <c r="F269" s="20" t="str">
        <f>'[3]2025'!E269</f>
        <v/>
      </c>
      <c r="G269" s="73" t="str">
        <f>'[3]2025'!F269</f>
        <v/>
      </c>
      <c r="H269" s="42">
        <f>'[3]2025'!G269</f>
        <v>0</v>
      </c>
      <c r="I269" s="13">
        <f>'[3]2025'!H269</f>
        <v>0</v>
      </c>
      <c r="J269" s="14">
        <f>'[3]2025'!I269</f>
        <v>0</v>
      </c>
      <c r="K269" s="15">
        <f>'[3]2025'!J269</f>
        <v>0</v>
      </c>
      <c r="L269" s="15">
        <f>'[3]2025'!K269</f>
        <v>0</v>
      </c>
      <c r="M269" s="15">
        <f>'[3]2025'!L269</f>
        <v>0</v>
      </c>
      <c r="N269" s="16" t="str">
        <f t="shared" si="16"/>
        <v/>
      </c>
      <c r="O269" s="17" t="str">
        <f t="shared" si="17"/>
        <v/>
      </c>
      <c r="P269" s="17" t="str">
        <f t="shared" si="17"/>
        <v/>
      </c>
      <c r="Q269" s="18" t="str">
        <f t="shared" si="18"/>
        <v/>
      </c>
      <c r="R269" s="18" t="e">
        <f t="shared" si="19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200">
        <f>+CHAMNORD!B270</f>
        <v>46287</v>
      </c>
      <c r="C270" s="75" t="str">
        <f>IF(H270=0,"",'[3]2025-2026'!C269)</f>
        <v/>
      </c>
      <c r="D270" s="68" t="str">
        <f>'[3]2025'!C270</f>
        <v/>
      </c>
      <c r="E270" s="68" t="str">
        <f>'[3]2025'!D270</f>
        <v/>
      </c>
      <c r="F270" s="20" t="str">
        <f>'[3]2025'!E270</f>
        <v/>
      </c>
      <c r="G270" s="73" t="str">
        <f>'[3]2025'!F270</f>
        <v/>
      </c>
      <c r="H270" s="42">
        <f>'[3]2025'!G270</f>
        <v>0</v>
      </c>
      <c r="I270" s="13">
        <f>'[3]2025'!H270</f>
        <v>0</v>
      </c>
      <c r="J270" s="14">
        <f>'[3]2025'!I270</f>
        <v>0</v>
      </c>
      <c r="K270" s="15">
        <f>'[3]2025'!J270</f>
        <v>0</v>
      </c>
      <c r="L270" s="15">
        <f>'[3]2025'!K270</f>
        <v>0</v>
      </c>
      <c r="M270" s="15">
        <f>'[3]2025'!L270</f>
        <v>0</v>
      </c>
      <c r="N270" s="16" t="str">
        <f t="shared" si="16"/>
        <v/>
      </c>
      <c r="O270" s="17" t="str">
        <f t="shared" si="17"/>
        <v/>
      </c>
      <c r="P270" s="17" t="str">
        <f t="shared" si="17"/>
        <v/>
      </c>
      <c r="Q270" s="18" t="str">
        <f t="shared" si="18"/>
        <v/>
      </c>
      <c r="R270" s="18" t="e">
        <f t="shared" si="19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200">
        <f>+CHAMNORD!B271</f>
        <v>46288</v>
      </c>
      <c r="C271" s="75" t="str">
        <f>IF(H271=0,"",'[3]2025-2026'!C270)</f>
        <v/>
      </c>
      <c r="D271" s="68" t="str">
        <f>'[3]2025'!C271</f>
        <v/>
      </c>
      <c r="E271" s="68" t="str">
        <f>'[3]2025'!D271</f>
        <v/>
      </c>
      <c r="F271" s="20" t="str">
        <f>'[3]2025'!E271</f>
        <v/>
      </c>
      <c r="G271" s="73" t="str">
        <f>'[3]2025'!F271</f>
        <v/>
      </c>
      <c r="H271" s="42">
        <f>'[3]2025'!G271</f>
        <v>0</v>
      </c>
      <c r="I271" s="13">
        <f>'[3]2025'!H271</f>
        <v>0</v>
      </c>
      <c r="J271" s="14">
        <f>'[3]2025'!I271</f>
        <v>0</v>
      </c>
      <c r="K271" s="15">
        <f>'[3]2025'!J271</f>
        <v>0</v>
      </c>
      <c r="L271" s="15">
        <f>'[3]2025'!K271</f>
        <v>0</v>
      </c>
      <c r="M271" s="15">
        <f>'[3]2025'!L271</f>
        <v>0</v>
      </c>
      <c r="N271" s="16" t="str">
        <f t="shared" si="16"/>
        <v/>
      </c>
      <c r="O271" s="17" t="str">
        <f t="shared" si="17"/>
        <v/>
      </c>
      <c r="P271" s="17" t="str">
        <f t="shared" si="17"/>
        <v/>
      </c>
      <c r="Q271" s="18" t="str">
        <f t="shared" si="18"/>
        <v/>
      </c>
      <c r="R271" s="18" t="e">
        <f t="shared" si="19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200">
        <f>+CHAMNORD!B272</f>
        <v>46289</v>
      </c>
      <c r="C272" s="75" t="str">
        <f>IF(H272=0,"",'[3]2025-2026'!C271)</f>
        <v/>
      </c>
      <c r="D272" s="68" t="str">
        <f>'[3]2025'!C272</f>
        <v/>
      </c>
      <c r="E272" s="68" t="str">
        <f>'[3]2025'!D272</f>
        <v/>
      </c>
      <c r="F272" s="20" t="str">
        <f>'[3]2025'!E272</f>
        <v/>
      </c>
      <c r="G272" s="73" t="str">
        <f>'[3]2025'!F272</f>
        <v/>
      </c>
      <c r="H272" s="42">
        <f>'[3]2025'!G272</f>
        <v>0</v>
      </c>
      <c r="I272" s="13">
        <f>'[3]2025'!H272</f>
        <v>0</v>
      </c>
      <c r="J272" s="14">
        <f>'[3]2025'!I272</f>
        <v>0</v>
      </c>
      <c r="K272" s="15">
        <f>'[3]2025'!J272</f>
        <v>0</v>
      </c>
      <c r="L272" s="15">
        <f>'[3]2025'!K272</f>
        <v>0</v>
      </c>
      <c r="M272" s="15">
        <f>'[3]2025'!L272</f>
        <v>0</v>
      </c>
      <c r="N272" s="16" t="str">
        <f t="shared" si="16"/>
        <v/>
      </c>
      <c r="O272" s="17" t="str">
        <f t="shared" si="17"/>
        <v/>
      </c>
      <c r="P272" s="17" t="str">
        <f t="shared" si="17"/>
        <v/>
      </c>
      <c r="Q272" s="18" t="str">
        <f t="shared" si="18"/>
        <v/>
      </c>
      <c r="R272" s="18" t="e">
        <f t="shared" si="19"/>
        <v>#DIV/0!</v>
      </c>
      <c r="S272" s="34"/>
      <c r="T272" s="29" t="s">
        <v>8</v>
      </c>
      <c r="U272" s="1738"/>
    </row>
    <row r="273" spans="1:21">
      <c r="A273" s="10" t="s">
        <v>14</v>
      </c>
      <c r="B273" s="200">
        <f>+CHAMNORD!B273</f>
        <v>46290</v>
      </c>
      <c r="C273" s="75" t="str">
        <f>IF(H273=0,"",'[3]2025-2026'!C272)</f>
        <v/>
      </c>
      <c r="D273" s="68" t="str">
        <f>'[3]2025'!C273</f>
        <v/>
      </c>
      <c r="E273" s="68" t="str">
        <f>'[3]2025'!D273</f>
        <v/>
      </c>
      <c r="F273" s="20" t="str">
        <f>'[3]2025'!E273</f>
        <v/>
      </c>
      <c r="G273" s="73" t="str">
        <f>'[3]2025'!F273</f>
        <v/>
      </c>
      <c r="H273" s="42">
        <f>'[3]2025'!G273</f>
        <v>0</v>
      </c>
      <c r="I273" s="13">
        <f>'[3]2025'!H273</f>
        <v>0</v>
      </c>
      <c r="J273" s="14">
        <f>'[3]2025'!I273</f>
        <v>0</v>
      </c>
      <c r="K273" s="15">
        <f>'[3]2025'!J273</f>
        <v>0</v>
      </c>
      <c r="L273" s="15">
        <f>'[3]2025'!K273</f>
        <v>0</v>
      </c>
      <c r="M273" s="15">
        <f>'[3]2025'!L273</f>
        <v>0</v>
      </c>
      <c r="N273" s="16" t="str">
        <f t="shared" si="16"/>
        <v/>
      </c>
      <c r="O273" s="17" t="str">
        <f t="shared" si="17"/>
        <v/>
      </c>
      <c r="P273" s="17" t="str">
        <f t="shared" si="17"/>
        <v/>
      </c>
      <c r="Q273" s="18" t="str">
        <f t="shared" si="18"/>
        <v/>
      </c>
      <c r="R273" s="18" t="e">
        <f t="shared" si="19"/>
        <v>#DIV/0!</v>
      </c>
      <c r="S273" s="36" t="s">
        <v>40</v>
      </c>
      <c r="T273" s="48" t="e">
        <f>SUM(I269:I275)/SUM(L269:L275)</f>
        <v>#DIV/0!</v>
      </c>
      <c r="U273" s="1738"/>
    </row>
    <row r="274" spans="1:21">
      <c r="A274" s="10" t="s">
        <v>15</v>
      </c>
      <c r="B274" s="200">
        <f>+CHAMNORD!B274</f>
        <v>46291</v>
      </c>
      <c r="C274" s="75" t="str">
        <f>IF(H274=0,"",'[3]2025-2026'!C273)</f>
        <v/>
      </c>
      <c r="D274" s="68" t="str">
        <f>'[3]2025'!C274</f>
        <v/>
      </c>
      <c r="E274" s="68" t="str">
        <f>'[3]2025'!D274</f>
        <v/>
      </c>
      <c r="F274" s="20" t="str">
        <f>'[3]2025'!E274</f>
        <v/>
      </c>
      <c r="G274" s="73" t="str">
        <f>'[3]2025'!F274</f>
        <v/>
      </c>
      <c r="H274" s="42">
        <f>'[3]2025'!G274</f>
        <v>0</v>
      </c>
      <c r="I274" s="13">
        <f>'[3]2025'!H274</f>
        <v>0</v>
      </c>
      <c r="J274" s="14">
        <f>'[3]2025'!I274</f>
        <v>0</v>
      </c>
      <c r="K274" s="15">
        <f>'[3]2025'!J274</f>
        <v>0</v>
      </c>
      <c r="L274" s="15">
        <f>'[3]2025'!K274</f>
        <v>0</v>
      </c>
      <c r="M274" s="15">
        <f>'[3]2025'!L274</f>
        <v>0</v>
      </c>
      <c r="N274" s="16" t="str">
        <f t="shared" si="16"/>
        <v/>
      </c>
      <c r="O274" s="17" t="str">
        <f t="shared" si="17"/>
        <v/>
      </c>
      <c r="P274" s="17" t="str">
        <f t="shared" si="17"/>
        <v/>
      </c>
      <c r="Q274" s="18" t="str">
        <f t="shared" si="18"/>
        <v/>
      </c>
      <c r="R274" s="18" t="e">
        <f t="shared" si="19"/>
        <v>#DIV/0!</v>
      </c>
      <c r="S274" s="36">
        <f>SUM(J269:J275)</f>
        <v>0</v>
      </c>
      <c r="T274" s="30" t="s">
        <v>3</v>
      </c>
      <c r="U274" s="1738"/>
    </row>
    <row r="275" spans="1:21" ht="18" thickBot="1">
      <c r="A275" s="10" t="s">
        <v>16</v>
      </c>
      <c r="B275" s="200">
        <f>+CHAMNORD!B275</f>
        <v>46292</v>
      </c>
      <c r="C275" s="75" t="str">
        <f>IF(H275=0,"",'[3]2025-2026'!C274)</f>
        <v/>
      </c>
      <c r="D275" s="68" t="str">
        <f>'[3]2025'!C275</f>
        <v/>
      </c>
      <c r="E275" s="68" t="str">
        <f>'[3]2025'!D275</f>
        <v/>
      </c>
      <c r="F275" s="20" t="str">
        <f>'[3]2025'!E275</f>
        <v/>
      </c>
      <c r="G275" s="73" t="str">
        <f>'[3]2025'!F275</f>
        <v/>
      </c>
      <c r="H275" s="42">
        <f>'[3]2025'!G275</f>
        <v>0</v>
      </c>
      <c r="I275" s="13">
        <f>'[3]2025'!H275</f>
        <v>0</v>
      </c>
      <c r="J275" s="14">
        <f>'[3]2025'!I275</f>
        <v>0</v>
      </c>
      <c r="K275" s="15">
        <f>'[3]2025'!J275</f>
        <v>0</v>
      </c>
      <c r="L275" s="15">
        <f>'[3]2025'!K275</f>
        <v>0</v>
      </c>
      <c r="M275" s="15">
        <f>'[3]2025'!L275</f>
        <v>0</v>
      </c>
      <c r="N275" s="16" t="str">
        <f t="shared" si="16"/>
        <v/>
      </c>
      <c r="O275" s="17" t="str">
        <f t="shared" si="17"/>
        <v/>
      </c>
      <c r="P275" s="17" t="str">
        <f t="shared" si="17"/>
        <v/>
      </c>
      <c r="Q275" s="18" t="str">
        <f t="shared" si="18"/>
        <v/>
      </c>
      <c r="R275" s="18" t="e">
        <f t="shared" si="19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1" ht="17" customHeight="1" thickTop="1">
      <c r="A276" s="10" t="s">
        <v>9</v>
      </c>
      <c r="B276" s="200">
        <f>+CHAMNORD!B276</f>
        <v>46293</v>
      </c>
      <c r="C276" s="75" t="str">
        <f>IF(H276=0,"",'[3]2025-2026'!C275)</f>
        <v/>
      </c>
      <c r="D276" s="68" t="str">
        <f>'[3]2025'!C276</f>
        <v/>
      </c>
      <c r="E276" s="68" t="str">
        <f>'[3]2025'!D276</f>
        <v/>
      </c>
      <c r="F276" s="20" t="str">
        <f>'[3]2025'!E276</f>
        <v/>
      </c>
      <c r="G276" s="73" t="str">
        <f>'[3]2025'!F276</f>
        <v/>
      </c>
      <c r="H276" s="42">
        <f>'[3]2025'!G276</f>
        <v>0</v>
      </c>
      <c r="I276" s="13">
        <f>'[3]2025'!H276</f>
        <v>0</v>
      </c>
      <c r="J276" s="14">
        <f>'[3]2025'!I276</f>
        <v>0</v>
      </c>
      <c r="K276" s="15">
        <f>'[3]2025'!J276</f>
        <v>0</v>
      </c>
      <c r="L276" s="15">
        <f>'[3]2025'!K276</f>
        <v>0</v>
      </c>
      <c r="M276" s="15">
        <f>'[3]2025'!L276</f>
        <v>0</v>
      </c>
      <c r="N276" s="16" t="str">
        <f t="shared" si="16"/>
        <v/>
      </c>
      <c r="O276" s="17" t="str">
        <f t="shared" si="17"/>
        <v/>
      </c>
      <c r="P276" s="17" t="str">
        <f t="shared" si="17"/>
        <v/>
      </c>
      <c r="Q276" s="18" t="str">
        <f t="shared" si="18"/>
        <v/>
      </c>
      <c r="R276" s="18" t="e">
        <f t="shared" si="19"/>
        <v>#DIV/0!</v>
      </c>
      <c r="S276" s="33" t="s">
        <v>39</v>
      </c>
      <c r="T276" s="31" t="s">
        <v>42</v>
      </c>
      <c r="U276" s="1737" t="s">
        <v>122</v>
      </c>
    </row>
    <row r="277" spans="1:21">
      <c r="A277" s="10" t="s">
        <v>11</v>
      </c>
      <c r="B277" s="200">
        <f>+CHAMNORD!B277</f>
        <v>46294</v>
      </c>
      <c r="C277" s="75" t="str">
        <f>IF(H277=0,"",'[3]2025-2026'!C276)</f>
        <v/>
      </c>
      <c r="D277" s="68" t="str">
        <f>'[3]2025'!C277</f>
        <v/>
      </c>
      <c r="E277" s="68" t="str">
        <f>'[3]2025'!D277</f>
        <v/>
      </c>
      <c r="F277" s="20" t="str">
        <f>'[3]2025'!E277</f>
        <v/>
      </c>
      <c r="G277" s="73" t="str">
        <f>'[3]2025'!F277</f>
        <v/>
      </c>
      <c r="H277" s="42">
        <f>'[3]2025'!G277</f>
        <v>0</v>
      </c>
      <c r="I277" s="13">
        <f>'[3]2025'!H277</f>
        <v>0</v>
      </c>
      <c r="J277" s="14">
        <f>'[3]2025'!I277</f>
        <v>0</v>
      </c>
      <c r="K277" s="15">
        <f>'[3]2025'!J277</f>
        <v>0</v>
      </c>
      <c r="L277" s="15">
        <f>'[3]2025'!K277</f>
        <v>0</v>
      </c>
      <c r="M277" s="15">
        <f>'[3]2025'!L277</f>
        <v>0</v>
      </c>
      <c r="N277" s="16" t="str">
        <f t="shared" si="16"/>
        <v/>
      </c>
      <c r="O277" s="17" t="str">
        <f t="shared" si="17"/>
        <v/>
      </c>
      <c r="P277" s="17" t="str">
        <f t="shared" si="17"/>
        <v/>
      </c>
      <c r="Q277" s="18" t="str">
        <f t="shared" si="18"/>
        <v/>
      </c>
      <c r="R277" s="18" t="e">
        <f t="shared" si="19"/>
        <v>#DIV/0!</v>
      </c>
      <c r="S277" s="34">
        <f>SUM(I276:I282)</f>
        <v>0</v>
      </c>
      <c r="T277" s="45" t="s">
        <v>41</v>
      </c>
      <c r="U277" s="1738"/>
    </row>
    <row r="278" spans="1:21">
      <c r="A278" s="10" t="s">
        <v>12</v>
      </c>
      <c r="B278" s="200">
        <f>+CHAMNORD!B278</f>
        <v>46295</v>
      </c>
      <c r="C278" s="75" t="str">
        <f>IF(H278=0,"",'[3]2025-2026'!C277)</f>
        <v/>
      </c>
      <c r="D278" s="68" t="str">
        <f>'[3]2025'!C278</f>
        <v/>
      </c>
      <c r="E278" s="68" t="str">
        <f>'[3]2025'!D278</f>
        <v/>
      </c>
      <c r="F278" s="20" t="str">
        <f>'[3]2025'!E278</f>
        <v/>
      </c>
      <c r="G278" s="73" t="str">
        <f>'[3]2025'!F278</f>
        <v/>
      </c>
      <c r="H278" s="42">
        <f>'[3]2025'!G278</f>
        <v>0</v>
      </c>
      <c r="I278" s="13">
        <f>'[3]2025'!H278</f>
        <v>0</v>
      </c>
      <c r="J278" s="14">
        <f>'[3]2025'!I278</f>
        <v>0</v>
      </c>
      <c r="K278" s="15">
        <f>'[3]2025'!J278</f>
        <v>0</v>
      </c>
      <c r="L278" s="15">
        <f>'[3]2025'!K278</f>
        <v>0</v>
      </c>
      <c r="M278" s="15">
        <f>'[3]2025'!L278</f>
        <v>0</v>
      </c>
      <c r="N278" s="16" t="str">
        <f t="shared" si="16"/>
        <v/>
      </c>
      <c r="O278" s="17" t="str">
        <f t="shared" si="17"/>
        <v/>
      </c>
      <c r="P278" s="17" t="str">
        <f t="shared" si="17"/>
        <v/>
      </c>
      <c r="Q278" s="18" t="str">
        <f t="shared" si="18"/>
        <v/>
      </c>
      <c r="R278" s="18" t="e">
        <f t="shared" si="19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</row>
    <row r="279" spans="1:21">
      <c r="A279" s="10" t="s">
        <v>13</v>
      </c>
      <c r="B279" s="200">
        <f>+CHAMNORD!B279</f>
        <v>46296</v>
      </c>
      <c r="C279" s="75" t="str">
        <f>IF(H279=0,"",'[3]2025-2026'!C278)</f>
        <v/>
      </c>
      <c r="D279" s="68" t="str">
        <f>'[3]2025'!C279</f>
        <v/>
      </c>
      <c r="E279" s="68" t="str">
        <f>'[3]2025'!D279</f>
        <v/>
      </c>
      <c r="F279" s="20" t="str">
        <f>'[3]2025'!E279</f>
        <v/>
      </c>
      <c r="G279" s="73" t="str">
        <f>'[3]2025'!F279</f>
        <v/>
      </c>
      <c r="H279" s="42">
        <f>'[3]2025'!G279</f>
        <v>0</v>
      </c>
      <c r="I279" s="13">
        <f>'[3]2025'!H279</f>
        <v>0</v>
      </c>
      <c r="J279" s="14">
        <f>'[3]2025'!I279</f>
        <v>0</v>
      </c>
      <c r="K279" s="15">
        <f>'[3]2025'!J279</f>
        <v>0</v>
      </c>
      <c r="L279" s="15">
        <f>'[3]2025'!K279</f>
        <v>0</v>
      </c>
      <c r="M279" s="15">
        <f>'[3]2025'!L279</f>
        <v>0</v>
      </c>
      <c r="N279" s="16" t="str">
        <f t="shared" si="16"/>
        <v/>
      </c>
      <c r="O279" s="17" t="str">
        <f t="shared" si="17"/>
        <v/>
      </c>
      <c r="P279" s="17" t="str">
        <f t="shared" si="17"/>
        <v/>
      </c>
      <c r="Q279" s="18" t="str">
        <f t="shared" si="18"/>
        <v/>
      </c>
      <c r="R279" s="18" t="e">
        <f t="shared" si="19"/>
        <v>#DIV/0!</v>
      </c>
      <c r="S279" s="34"/>
      <c r="T279" s="29" t="s">
        <v>8</v>
      </c>
      <c r="U279" s="1738"/>
    </row>
    <row r="280" spans="1:21">
      <c r="A280" s="10" t="s">
        <v>14</v>
      </c>
      <c r="B280" s="200">
        <f>+CHAMNORD!B280</f>
        <v>46297</v>
      </c>
      <c r="C280" s="75" t="str">
        <f>IF(H280=0,"",'[3]2025-2026'!C279)</f>
        <v/>
      </c>
      <c r="D280" s="68" t="str">
        <f>'[3]2025'!C280</f>
        <v/>
      </c>
      <c r="E280" s="68" t="str">
        <f>'[3]2025'!D280</f>
        <v/>
      </c>
      <c r="F280" s="20" t="str">
        <f>'[3]2025'!E280</f>
        <v/>
      </c>
      <c r="G280" s="73" t="str">
        <f>'[3]2025'!F280</f>
        <v/>
      </c>
      <c r="H280" s="42">
        <f>'[3]2025'!G280</f>
        <v>0</v>
      </c>
      <c r="I280" s="13">
        <f>'[3]2025'!H280</f>
        <v>0</v>
      </c>
      <c r="J280" s="14">
        <f>'[3]2025'!I280</f>
        <v>0</v>
      </c>
      <c r="K280" s="15">
        <f>'[3]2025'!J280</f>
        <v>0</v>
      </c>
      <c r="L280" s="15">
        <f>'[3]2025'!K280</f>
        <v>0</v>
      </c>
      <c r="M280" s="15">
        <f>'[3]2025'!L280</f>
        <v>0</v>
      </c>
      <c r="N280" s="16" t="str">
        <f t="shared" si="16"/>
        <v/>
      </c>
      <c r="O280" s="17" t="str">
        <f t="shared" si="17"/>
        <v/>
      </c>
      <c r="P280" s="17" t="str">
        <f t="shared" si="17"/>
        <v/>
      </c>
      <c r="Q280" s="18" t="str">
        <f t="shared" si="18"/>
        <v/>
      </c>
      <c r="R280" s="18" t="e">
        <f t="shared" si="19"/>
        <v>#DIV/0!</v>
      </c>
      <c r="S280" s="36" t="s">
        <v>40</v>
      </c>
      <c r="T280" s="48" t="e">
        <f>SUM(I276:I282)/SUM(L276:L282)</f>
        <v>#DIV/0!</v>
      </c>
      <c r="U280" s="1738"/>
    </row>
    <row r="281" spans="1:21">
      <c r="A281" s="10" t="s">
        <v>15</v>
      </c>
      <c r="B281" s="200">
        <f>+CHAMNORD!B281</f>
        <v>46298</v>
      </c>
      <c r="C281" s="75" t="str">
        <f>IF(H281=0,"",'[3]2025-2026'!C280)</f>
        <v/>
      </c>
      <c r="D281" s="68" t="str">
        <f>'[3]2025'!C281</f>
        <v/>
      </c>
      <c r="E281" s="68" t="str">
        <f>'[3]2025'!D281</f>
        <v/>
      </c>
      <c r="F281" s="20" t="str">
        <f>'[3]2025'!E281</f>
        <v/>
      </c>
      <c r="G281" s="73" t="str">
        <f>'[3]2025'!F281</f>
        <v/>
      </c>
      <c r="H281" s="42">
        <f>'[3]2025'!G281</f>
        <v>0</v>
      </c>
      <c r="I281" s="13">
        <f>'[3]2025'!H281</f>
        <v>0</v>
      </c>
      <c r="J281" s="14">
        <f>'[3]2025'!I281</f>
        <v>0</v>
      </c>
      <c r="K281" s="15">
        <f>'[3]2025'!J281</f>
        <v>0</v>
      </c>
      <c r="L281" s="15">
        <f>'[3]2025'!K281</f>
        <v>0</v>
      </c>
      <c r="M281" s="15">
        <f>'[3]2025'!L281</f>
        <v>0</v>
      </c>
      <c r="N281" s="16" t="str">
        <f t="shared" si="16"/>
        <v/>
      </c>
      <c r="O281" s="17" t="str">
        <f t="shared" si="17"/>
        <v/>
      </c>
      <c r="P281" s="17" t="str">
        <f t="shared" si="17"/>
        <v/>
      </c>
      <c r="Q281" s="18" t="str">
        <f t="shared" si="18"/>
        <v/>
      </c>
      <c r="R281" s="18" t="e">
        <f t="shared" si="19"/>
        <v>#DIV/0!</v>
      </c>
      <c r="S281" s="36">
        <f>SUM(J276:J282)</f>
        <v>0</v>
      </c>
      <c r="T281" s="30" t="s">
        <v>3</v>
      </c>
      <c r="U281" s="1738"/>
    </row>
    <row r="282" spans="1:21" ht="18" thickBot="1">
      <c r="A282" s="10" t="s">
        <v>16</v>
      </c>
      <c r="B282" s="200">
        <f>+CHAMNORD!B282</f>
        <v>46299</v>
      </c>
      <c r="C282" s="75" t="str">
        <f>IF(H282=0,"",'[3]2025-2026'!C281)</f>
        <v/>
      </c>
      <c r="D282" s="68" t="str">
        <f>'[3]2025'!C282</f>
        <v/>
      </c>
      <c r="E282" s="68" t="str">
        <f>'[3]2025'!D282</f>
        <v/>
      </c>
      <c r="F282" s="20" t="str">
        <f>'[3]2025'!E282</f>
        <v/>
      </c>
      <c r="G282" s="73" t="str">
        <f>'[3]2025'!F282</f>
        <v/>
      </c>
      <c r="H282" s="42">
        <f>'[3]2025'!G282</f>
        <v>0</v>
      </c>
      <c r="I282" s="13">
        <f>'[3]2025'!H282</f>
        <v>0</v>
      </c>
      <c r="J282" s="14">
        <f>'[3]2025'!I282</f>
        <v>0</v>
      </c>
      <c r="K282" s="15">
        <f>'[3]2025'!J282</f>
        <v>0</v>
      </c>
      <c r="L282" s="15">
        <f>'[3]2025'!K282</f>
        <v>0</v>
      </c>
      <c r="M282" s="15">
        <f>'[3]2025'!L282</f>
        <v>0</v>
      </c>
      <c r="N282" s="16" t="str">
        <f t="shared" si="16"/>
        <v/>
      </c>
      <c r="O282" s="17" t="str">
        <f t="shared" si="17"/>
        <v/>
      </c>
      <c r="P282" s="17" t="str">
        <f t="shared" si="17"/>
        <v/>
      </c>
      <c r="Q282" s="18" t="str">
        <f t="shared" si="18"/>
        <v/>
      </c>
      <c r="R282" s="18" t="e">
        <f t="shared" si="19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</row>
    <row r="283" spans="1:21" ht="17" customHeight="1" thickTop="1">
      <c r="A283" s="10" t="s">
        <v>9</v>
      </c>
      <c r="B283" s="200">
        <f>+CHAMNORD!B283</f>
        <v>46300</v>
      </c>
      <c r="C283" s="75" t="str">
        <f>IF(H283=0,"",'[3]2025-2026'!C282)</f>
        <v/>
      </c>
      <c r="D283" s="68" t="str">
        <f>'[3]2025'!C283</f>
        <v/>
      </c>
      <c r="E283" s="68" t="str">
        <f>'[3]2025'!D283</f>
        <v/>
      </c>
      <c r="F283" s="20" t="str">
        <f>'[3]2025'!E283</f>
        <v/>
      </c>
      <c r="G283" s="73" t="str">
        <f>'[3]2025'!F283</f>
        <v/>
      </c>
      <c r="H283" s="42">
        <f>'[3]2025'!G283</f>
        <v>0</v>
      </c>
      <c r="I283" s="13">
        <f>'[3]2025'!H283</f>
        <v>0</v>
      </c>
      <c r="J283" s="14">
        <f>'[3]2025'!I283</f>
        <v>0</v>
      </c>
      <c r="K283" s="15">
        <f>'[3]2025'!J283</f>
        <v>0</v>
      </c>
      <c r="L283" s="15">
        <f>'[3]2025'!K283</f>
        <v>0</v>
      </c>
      <c r="M283" s="15">
        <f>'[3]2025'!L283</f>
        <v>0</v>
      </c>
      <c r="N283" s="16" t="str">
        <f t="shared" si="16"/>
        <v/>
      </c>
      <c r="O283" s="17" t="str">
        <f t="shared" si="17"/>
        <v/>
      </c>
      <c r="P283" s="17" t="str">
        <f t="shared" si="17"/>
        <v/>
      </c>
      <c r="Q283" s="18" t="str">
        <f t="shared" si="18"/>
        <v/>
      </c>
      <c r="R283" s="18" t="e">
        <f t="shared" si="19"/>
        <v>#DIV/0!</v>
      </c>
      <c r="S283" s="33" t="s">
        <v>39</v>
      </c>
      <c r="T283" s="31" t="s">
        <v>42</v>
      </c>
      <c r="U283" s="1737" t="s">
        <v>123</v>
      </c>
    </row>
    <row r="284" spans="1:21">
      <c r="A284" s="10" t="s">
        <v>11</v>
      </c>
      <c r="B284" s="200">
        <f>+CHAMNORD!B284</f>
        <v>46301</v>
      </c>
      <c r="C284" s="75" t="str">
        <f>IF(H284=0,"",'[3]2025-2026'!C283)</f>
        <v/>
      </c>
      <c r="D284" s="68" t="str">
        <f>'[3]2025'!C284</f>
        <v/>
      </c>
      <c r="E284" s="68" t="str">
        <f>'[3]2025'!D284</f>
        <v/>
      </c>
      <c r="F284" s="20" t="str">
        <f>'[3]2025'!E284</f>
        <v/>
      </c>
      <c r="G284" s="73" t="str">
        <f>'[3]2025'!F284</f>
        <v/>
      </c>
      <c r="H284" s="42">
        <f>'[3]2025'!G284</f>
        <v>0</v>
      </c>
      <c r="I284" s="13">
        <f>'[3]2025'!H284</f>
        <v>0</v>
      </c>
      <c r="J284" s="14">
        <f>'[3]2025'!I284</f>
        <v>0</v>
      </c>
      <c r="K284" s="15">
        <f>'[3]2025'!J284</f>
        <v>0</v>
      </c>
      <c r="L284" s="15">
        <f>'[3]2025'!K284</f>
        <v>0</v>
      </c>
      <c r="M284" s="15">
        <f>'[3]2025'!L284</f>
        <v>0</v>
      </c>
      <c r="N284" s="16" t="str">
        <f t="shared" si="16"/>
        <v/>
      </c>
      <c r="O284" s="17" t="str">
        <f t="shared" si="17"/>
        <v/>
      </c>
      <c r="P284" s="17" t="str">
        <f t="shared" si="17"/>
        <v/>
      </c>
      <c r="Q284" s="18" t="str">
        <f t="shared" si="18"/>
        <v/>
      </c>
      <c r="R284" s="18" t="e">
        <f t="shared" si="19"/>
        <v>#DIV/0!</v>
      </c>
      <c r="S284" s="34">
        <f>SUM(I283:I289)</f>
        <v>0</v>
      </c>
      <c r="T284" s="45" t="s">
        <v>41</v>
      </c>
      <c r="U284" s="1738"/>
    </row>
    <row r="285" spans="1:21">
      <c r="A285" s="10" t="s">
        <v>12</v>
      </c>
      <c r="B285" s="200">
        <f>+CHAMNORD!B285</f>
        <v>46302</v>
      </c>
      <c r="C285" s="75" t="str">
        <f>IF(H285=0,"",'[3]2025-2026'!C284)</f>
        <v/>
      </c>
      <c r="D285" s="68" t="str">
        <f>'[3]2025'!C285</f>
        <v/>
      </c>
      <c r="E285" s="68" t="str">
        <f>'[3]2025'!D285</f>
        <v/>
      </c>
      <c r="F285" s="20" t="str">
        <f>'[3]2025'!E285</f>
        <v/>
      </c>
      <c r="G285" s="73" t="str">
        <f>'[3]2025'!F285</f>
        <v/>
      </c>
      <c r="H285" s="42">
        <f>'[3]2025'!G285</f>
        <v>0</v>
      </c>
      <c r="I285" s="13">
        <f>'[3]2025'!H285</f>
        <v>0</v>
      </c>
      <c r="J285" s="14">
        <f>'[3]2025'!I285</f>
        <v>0</v>
      </c>
      <c r="K285" s="15">
        <f>'[3]2025'!J285</f>
        <v>0</v>
      </c>
      <c r="L285" s="15">
        <f>'[3]2025'!K285</f>
        <v>0</v>
      </c>
      <c r="M285" s="15">
        <f>'[3]2025'!L285</f>
        <v>0</v>
      </c>
      <c r="N285" s="16" t="str">
        <f t="shared" si="16"/>
        <v/>
      </c>
      <c r="O285" s="17" t="str">
        <f t="shared" si="17"/>
        <v/>
      </c>
      <c r="P285" s="17" t="str">
        <f t="shared" si="17"/>
        <v/>
      </c>
      <c r="Q285" s="18" t="str">
        <f t="shared" si="18"/>
        <v/>
      </c>
      <c r="R285" s="18" t="e">
        <f t="shared" si="19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</row>
    <row r="286" spans="1:21">
      <c r="A286" s="10" t="s">
        <v>13</v>
      </c>
      <c r="B286" s="200">
        <f>+CHAMNORD!B286</f>
        <v>46303</v>
      </c>
      <c r="C286" s="75" t="str">
        <f>IF(H286=0,"",'[3]2025-2026'!C285)</f>
        <v/>
      </c>
      <c r="D286" s="68" t="str">
        <f>'[3]2025'!C286</f>
        <v/>
      </c>
      <c r="E286" s="68" t="str">
        <f>'[3]2025'!D286</f>
        <v/>
      </c>
      <c r="F286" s="20" t="str">
        <f>'[3]2025'!E286</f>
        <v/>
      </c>
      <c r="G286" s="73" t="str">
        <f>'[3]2025'!F286</f>
        <v/>
      </c>
      <c r="H286" s="42">
        <f>'[3]2025'!G286</f>
        <v>0</v>
      </c>
      <c r="I286" s="13">
        <f>'[3]2025'!H286</f>
        <v>0</v>
      </c>
      <c r="J286" s="14">
        <f>'[3]2025'!I286</f>
        <v>0</v>
      </c>
      <c r="K286" s="15">
        <f>'[3]2025'!J286</f>
        <v>0</v>
      </c>
      <c r="L286" s="15">
        <f>'[3]2025'!K286</f>
        <v>0</v>
      </c>
      <c r="M286" s="15">
        <f>'[3]2025'!L286</f>
        <v>0</v>
      </c>
      <c r="N286" s="16" t="str">
        <f t="shared" si="16"/>
        <v/>
      </c>
      <c r="O286" s="17" t="str">
        <f t="shared" si="17"/>
        <v/>
      </c>
      <c r="P286" s="17" t="str">
        <f t="shared" si="17"/>
        <v/>
      </c>
      <c r="Q286" s="18" t="str">
        <f t="shared" si="18"/>
        <v/>
      </c>
      <c r="R286" s="18" t="e">
        <f t="shared" si="19"/>
        <v>#DIV/0!</v>
      </c>
      <c r="S286" s="34"/>
      <c r="T286" s="29" t="s">
        <v>8</v>
      </c>
      <c r="U286" s="1738"/>
    </row>
    <row r="287" spans="1:21">
      <c r="A287" s="10" t="s">
        <v>14</v>
      </c>
      <c r="B287" s="200">
        <f>+CHAMNORD!B287</f>
        <v>46304</v>
      </c>
      <c r="C287" s="75" t="str">
        <f>IF(H287=0,"",'[3]2025-2026'!C286)</f>
        <v/>
      </c>
      <c r="D287" s="68" t="str">
        <f>'[3]2025'!C287</f>
        <v/>
      </c>
      <c r="E287" s="68" t="str">
        <f>'[3]2025'!D287</f>
        <v/>
      </c>
      <c r="F287" s="20" t="str">
        <f>'[3]2025'!E287</f>
        <v/>
      </c>
      <c r="G287" s="73" t="str">
        <f>'[3]2025'!F287</f>
        <v/>
      </c>
      <c r="H287" s="42">
        <f>'[3]2025'!G287</f>
        <v>0</v>
      </c>
      <c r="I287" s="13">
        <f>'[3]2025'!H287</f>
        <v>0</v>
      </c>
      <c r="J287" s="14">
        <f>'[3]2025'!I287</f>
        <v>0</v>
      </c>
      <c r="K287" s="15">
        <f>'[3]2025'!J287</f>
        <v>0</v>
      </c>
      <c r="L287" s="15">
        <f>'[3]2025'!K287</f>
        <v>0</v>
      </c>
      <c r="M287" s="15">
        <f>'[3]2025'!L287</f>
        <v>0</v>
      </c>
      <c r="N287" s="16" t="str">
        <f t="shared" si="16"/>
        <v/>
      </c>
      <c r="O287" s="17" t="str">
        <f t="shared" si="17"/>
        <v/>
      </c>
      <c r="P287" s="17" t="str">
        <f t="shared" si="17"/>
        <v/>
      </c>
      <c r="Q287" s="18" t="str">
        <f t="shared" si="18"/>
        <v/>
      </c>
      <c r="R287" s="18" t="e">
        <f t="shared" si="19"/>
        <v>#DIV/0!</v>
      </c>
      <c r="S287" s="36" t="s">
        <v>40</v>
      </c>
      <c r="T287" s="48" t="e">
        <f>SUM(I283:I289)/SUM(L283:L289)</f>
        <v>#DIV/0!</v>
      </c>
      <c r="U287" s="1738"/>
    </row>
    <row r="288" spans="1:21">
      <c r="A288" s="10" t="s">
        <v>15</v>
      </c>
      <c r="B288" s="200">
        <f>+CHAMNORD!B288</f>
        <v>46305</v>
      </c>
      <c r="C288" s="75" t="str">
        <f>IF(H288=0,"",'[3]2025-2026'!C287)</f>
        <v/>
      </c>
      <c r="D288" s="68" t="str">
        <f>'[3]2025'!C288</f>
        <v/>
      </c>
      <c r="E288" s="68" t="str">
        <f>'[3]2025'!D288</f>
        <v/>
      </c>
      <c r="F288" s="20" t="str">
        <f>'[3]2025'!E288</f>
        <v/>
      </c>
      <c r="G288" s="73" t="str">
        <f>'[3]2025'!F288</f>
        <v/>
      </c>
      <c r="H288" s="42">
        <f>'[3]2025'!G288</f>
        <v>0</v>
      </c>
      <c r="I288" s="13">
        <f>'[3]2025'!H288</f>
        <v>0</v>
      </c>
      <c r="J288" s="14">
        <f>'[3]2025'!I288</f>
        <v>0</v>
      </c>
      <c r="K288" s="15">
        <f>'[3]2025'!J288</f>
        <v>0</v>
      </c>
      <c r="L288" s="15">
        <f>'[3]2025'!K288</f>
        <v>0</v>
      </c>
      <c r="M288" s="15">
        <f>'[3]2025'!L288</f>
        <v>0</v>
      </c>
      <c r="N288" s="16" t="str">
        <f t="shared" si="16"/>
        <v/>
      </c>
      <c r="O288" s="17" t="str">
        <f t="shared" si="17"/>
        <v/>
      </c>
      <c r="P288" s="17" t="str">
        <f t="shared" si="17"/>
        <v/>
      </c>
      <c r="Q288" s="18" t="str">
        <f t="shared" si="18"/>
        <v/>
      </c>
      <c r="R288" s="18" t="e">
        <f t="shared" si="19"/>
        <v>#DIV/0!</v>
      </c>
      <c r="S288" s="36">
        <f>SUM(J283:J289)</f>
        <v>0</v>
      </c>
      <c r="T288" s="30" t="s">
        <v>3</v>
      </c>
      <c r="U288" s="1738"/>
    </row>
    <row r="289" spans="1:21" ht="18" thickBot="1">
      <c r="A289" s="10" t="s">
        <v>16</v>
      </c>
      <c r="B289" s="200">
        <f>+CHAMNORD!B289</f>
        <v>46306</v>
      </c>
      <c r="C289" s="75" t="str">
        <f>IF(H289=0,"",'[3]2025-2026'!C288)</f>
        <v/>
      </c>
      <c r="D289" s="68" t="str">
        <f>'[3]2025'!C289</f>
        <v/>
      </c>
      <c r="E289" s="68" t="str">
        <f>'[3]2025'!D289</f>
        <v/>
      </c>
      <c r="F289" s="20" t="str">
        <f>'[3]2025'!E289</f>
        <v/>
      </c>
      <c r="G289" s="73" t="str">
        <f>'[3]2025'!F289</f>
        <v/>
      </c>
      <c r="H289" s="42">
        <f>'[3]2025'!G289</f>
        <v>0</v>
      </c>
      <c r="I289" s="13">
        <f>'[3]2025'!H289</f>
        <v>0</v>
      </c>
      <c r="J289" s="14">
        <f>'[3]2025'!I289</f>
        <v>0</v>
      </c>
      <c r="K289" s="15">
        <f>'[3]2025'!J289</f>
        <v>0</v>
      </c>
      <c r="L289" s="15">
        <f>'[3]2025'!K289</f>
        <v>0</v>
      </c>
      <c r="M289" s="15">
        <f>'[3]2025'!L289</f>
        <v>0</v>
      </c>
      <c r="N289" s="16" t="str">
        <f t="shared" si="16"/>
        <v/>
      </c>
      <c r="O289" s="17" t="str">
        <f t="shared" si="17"/>
        <v/>
      </c>
      <c r="P289" s="17" t="str">
        <f t="shared" si="17"/>
        <v/>
      </c>
      <c r="Q289" s="18" t="str">
        <f t="shared" si="18"/>
        <v/>
      </c>
      <c r="R289" s="18" t="e">
        <f t="shared" si="19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</row>
    <row r="290" spans="1:21" ht="17" customHeight="1" thickTop="1">
      <c r="A290" s="10" t="s">
        <v>9</v>
      </c>
      <c r="B290" s="200">
        <f>+CHAMNORD!B290</f>
        <v>46307</v>
      </c>
      <c r="C290" s="75" t="str">
        <f>IF(H290=0,"",'[3]2025-2026'!C289)</f>
        <v/>
      </c>
      <c r="D290" s="68" t="str">
        <f>'[3]2025'!C290</f>
        <v/>
      </c>
      <c r="E290" s="68" t="str">
        <f>'[3]2025'!D290</f>
        <v/>
      </c>
      <c r="F290" s="20" t="str">
        <f>'[3]2025'!E290</f>
        <v/>
      </c>
      <c r="G290" s="73" t="str">
        <f>'[3]2025'!F290</f>
        <v/>
      </c>
      <c r="H290" s="42">
        <f>'[3]2025'!G290</f>
        <v>0</v>
      </c>
      <c r="I290" s="13">
        <f>'[3]2025'!H290</f>
        <v>0</v>
      </c>
      <c r="J290" s="14">
        <f>'[3]2025'!I290</f>
        <v>0</v>
      </c>
      <c r="K290" s="15">
        <f>'[3]2025'!J290</f>
        <v>0</v>
      </c>
      <c r="L290" s="15">
        <f>'[3]2025'!K290</f>
        <v>0</v>
      </c>
      <c r="M290" s="15">
        <f>'[3]2025'!L290</f>
        <v>0</v>
      </c>
      <c r="N290" s="16" t="str">
        <f t="shared" si="16"/>
        <v/>
      </c>
      <c r="O290" s="17" t="str">
        <f t="shared" si="17"/>
        <v/>
      </c>
      <c r="P290" s="17" t="str">
        <f t="shared" si="17"/>
        <v/>
      </c>
      <c r="Q290" s="18" t="str">
        <f t="shared" si="18"/>
        <v/>
      </c>
      <c r="R290" s="18" t="e">
        <f t="shared" si="19"/>
        <v>#DIV/0!</v>
      </c>
      <c r="S290" s="33" t="s">
        <v>39</v>
      </c>
      <c r="T290" s="31" t="s">
        <v>42</v>
      </c>
      <c r="U290" s="1737" t="s">
        <v>124</v>
      </c>
    </row>
    <row r="291" spans="1:21">
      <c r="A291" s="10" t="s">
        <v>11</v>
      </c>
      <c r="B291" s="200">
        <f>+CHAMNORD!B291</f>
        <v>46308</v>
      </c>
      <c r="C291" s="75" t="str">
        <f>IF(H291=0,"",'[3]2025-2026'!C290)</f>
        <v/>
      </c>
      <c r="D291" s="68" t="str">
        <f>'[3]2025'!C291</f>
        <v/>
      </c>
      <c r="E291" s="68" t="str">
        <f>'[3]2025'!D291</f>
        <v/>
      </c>
      <c r="F291" s="20" t="str">
        <f>'[3]2025'!E291</f>
        <v/>
      </c>
      <c r="G291" s="73" t="str">
        <f>'[3]2025'!F291</f>
        <v/>
      </c>
      <c r="H291" s="42">
        <f>'[3]2025'!G291</f>
        <v>0</v>
      </c>
      <c r="I291" s="13">
        <f>'[3]2025'!H291</f>
        <v>0</v>
      </c>
      <c r="J291" s="14">
        <f>'[3]2025'!I291</f>
        <v>0</v>
      </c>
      <c r="K291" s="15">
        <f>'[3]2025'!J291</f>
        <v>0</v>
      </c>
      <c r="L291" s="15">
        <f>'[3]2025'!K291</f>
        <v>0</v>
      </c>
      <c r="M291" s="15">
        <f>'[3]2025'!L291</f>
        <v>0</v>
      </c>
      <c r="N291" s="16" t="str">
        <f t="shared" si="16"/>
        <v/>
      </c>
      <c r="O291" s="17" t="str">
        <f t="shared" si="17"/>
        <v/>
      </c>
      <c r="P291" s="17" t="str">
        <f t="shared" si="17"/>
        <v/>
      </c>
      <c r="Q291" s="18" t="str">
        <f t="shared" si="18"/>
        <v/>
      </c>
      <c r="R291" s="18" t="e">
        <f t="shared" si="19"/>
        <v>#DIV/0!</v>
      </c>
      <c r="S291" s="34">
        <f>SUM(I290:I296)</f>
        <v>0</v>
      </c>
      <c r="T291" s="45" t="s">
        <v>41</v>
      </c>
      <c r="U291" s="1738"/>
    </row>
    <row r="292" spans="1:21">
      <c r="A292" s="10" t="s">
        <v>12</v>
      </c>
      <c r="B292" s="200">
        <f>+CHAMNORD!B292</f>
        <v>46309</v>
      </c>
      <c r="C292" s="75" t="str">
        <f>IF(H292=0,"",'[3]2025-2026'!C291)</f>
        <v/>
      </c>
      <c r="D292" s="68" t="str">
        <f>'[3]2025'!C292</f>
        <v/>
      </c>
      <c r="E292" s="68" t="str">
        <f>'[3]2025'!D292</f>
        <v/>
      </c>
      <c r="F292" s="20" t="str">
        <f>'[3]2025'!E292</f>
        <v/>
      </c>
      <c r="G292" s="73" t="str">
        <f>'[3]2025'!F292</f>
        <v/>
      </c>
      <c r="H292" s="42">
        <f>'[3]2025'!G292</f>
        <v>0</v>
      </c>
      <c r="I292" s="13">
        <f>'[3]2025'!H292</f>
        <v>0</v>
      </c>
      <c r="J292" s="14">
        <f>'[3]2025'!I292</f>
        <v>0</v>
      </c>
      <c r="K292" s="15">
        <f>'[3]2025'!J292</f>
        <v>0</v>
      </c>
      <c r="L292" s="15">
        <f>'[3]2025'!K292</f>
        <v>0</v>
      </c>
      <c r="M292" s="15">
        <f>'[3]2025'!L292</f>
        <v>0</v>
      </c>
      <c r="N292" s="16" t="str">
        <f t="shared" si="16"/>
        <v/>
      </c>
      <c r="O292" s="17" t="str">
        <f t="shared" si="17"/>
        <v/>
      </c>
      <c r="P292" s="17" t="str">
        <f t="shared" si="17"/>
        <v/>
      </c>
      <c r="Q292" s="18" t="str">
        <f t="shared" si="18"/>
        <v/>
      </c>
      <c r="R292" s="18" t="e">
        <f t="shared" si="19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</row>
    <row r="293" spans="1:21">
      <c r="A293" s="10" t="s">
        <v>13</v>
      </c>
      <c r="B293" s="200">
        <f>+CHAMNORD!B293</f>
        <v>46310</v>
      </c>
      <c r="C293" s="75" t="str">
        <f>IF(H293=0,"",'[3]2025-2026'!C292)</f>
        <v/>
      </c>
      <c r="D293" s="68" t="str">
        <f>'[3]2025'!C293</f>
        <v/>
      </c>
      <c r="E293" s="68" t="str">
        <f>'[3]2025'!D293</f>
        <v/>
      </c>
      <c r="F293" s="20" t="str">
        <f>'[3]2025'!E293</f>
        <v/>
      </c>
      <c r="G293" s="73" t="str">
        <f>'[3]2025'!F293</f>
        <v/>
      </c>
      <c r="H293" s="42">
        <f>'[3]2025'!G293</f>
        <v>0</v>
      </c>
      <c r="I293" s="13">
        <f>'[3]2025'!H293</f>
        <v>0</v>
      </c>
      <c r="J293" s="14">
        <f>'[3]2025'!I293</f>
        <v>0</v>
      </c>
      <c r="K293" s="15">
        <f>'[3]2025'!J293</f>
        <v>0</v>
      </c>
      <c r="L293" s="15">
        <f>'[3]2025'!K293</f>
        <v>0</v>
      </c>
      <c r="M293" s="15">
        <f>'[3]2025'!L293</f>
        <v>0</v>
      </c>
      <c r="N293" s="16" t="str">
        <f t="shared" si="16"/>
        <v/>
      </c>
      <c r="O293" s="17" t="str">
        <f t="shared" si="17"/>
        <v/>
      </c>
      <c r="P293" s="17" t="str">
        <f t="shared" si="17"/>
        <v/>
      </c>
      <c r="Q293" s="18" t="str">
        <f t="shared" si="18"/>
        <v/>
      </c>
      <c r="R293" s="18" t="e">
        <f t="shared" si="19"/>
        <v>#DIV/0!</v>
      </c>
      <c r="S293" s="34"/>
      <c r="T293" s="29" t="s">
        <v>8</v>
      </c>
      <c r="U293" s="1738"/>
    </row>
    <row r="294" spans="1:21">
      <c r="A294" s="10" t="s">
        <v>14</v>
      </c>
      <c r="B294" s="200">
        <f>+CHAMNORD!B294</f>
        <v>46311</v>
      </c>
      <c r="C294" s="75" t="str">
        <f>IF(H294=0,"",'[3]2025-2026'!C293)</f>
        <v/>
      </c>
      <c r="D294" s="68" t="str">
        <f>'[3]2025'!C294</f>
        <v/>
      </c>
      <c r="E294" s="68" t="str">
        <f>'[3]2025'!D294</f>
        <v/>
      </c>
      <c r="F294" s="20" t="str">
        <f>'[3]2025'!E294</f>
        <v/>
      </c>
      <c r="G294" s="73" t="str">
        <f>'[3]2025'!F294</f>
        <v/>
      </c>
      <c r="H294" s="42">
        <f>'[3]2025'!G294</f>
        <v>0</v>
      </c>
      <c r="I294" s="13">
        <f>'[3]2025'!H294</f>
        <v>0</v>
      </c>
      <c r="J294" s="14">
        <f>'[3]2025'!I294</f>
        <v>0</v>
      </c>
      <c r="K294" s="15">
        <f>'[3]2025'!J294</f>
        <v>0</v>
      </c>
      <c r="L294" s="15">
        <f>'[3]2025'!K294</f>
        <v>0</v>
      </c>
      <c r="M294" s="15">
        <f>'[3]2025'!L294</f>
        <v>0</v>
      </c>
      <c r="N294" s="16" t="str">
        <f t="shared" si="16"/>
        <v/>
      </c>
      <c r="O294" s="17" t="str">
        <f t="shared" si="17"/>
        <v/>
      </c>
      <c r="P294" s="17" t="str">
        <f t="shared" si="17"/>
        <v/>
      </c>
      <c r="Q294" s="18" t="str">
        <f t="shared" si="18"/>
        <v/>
      </c>
      <c r="R294" s="18" t="e">
        <f t="shared" si="19"/>
        <v>#DIV/0!</v>
      </c>
      <c r="S294" s="36" t="s">
        <v>40</v>
      </c>
      <c r="T294" s="48" t="e">
        <f>SUM(I290:I296)/SUM(L290:L296)</f>
        <v>#DIV/0!</v>
      </c>
      <c r="U294" s="1738"/>
    </row>
    <row r="295" spans="1:21">
      <c r="A295" s="10" t="s">
        <v>15</v>
      </c>
      <c r="B295" s="200">
        <f>+CHAMNORD!B295</f>
        <v>46312</v>
      </c>
      <c r="C295" s="75" t="str">
        <f>IF(H295=0,"",'[3]2025-2026'!C294)</f>
        <v/>
      </c>
      <c r="D295" s="68" t="str">
        <f>'[3]2025'!C295</f>
        <v/>
      </c>
      <c r="E295" s="68" t="str">
        <f>'[3]2025'!D295</f>
        <v/>
      </c>
      <c r="F295" s="20" t="str">
        <f>'[3]2025'!E295</f>
        <v/>
      </c>
      <c r="G295" s="73" t="str">
        <f>'[3]2025'!F295</f>
        <v/>
      </c>
      <c r="H295" s="42">
        <f>'[3]2025'!G295</f>
        <v>0</v>
      </c>
      <c r="I295" s="13">
        <f>'[3]2025'!H295</f>
        <v>0</v>
      </c>
      <c r="J295" s="14">
        <f>'[3]2025'!I295</f>
        <v>0</v>
      </c>
      <c r="K295" s="15">
        <f>'[3]2025'!J295</f>
        <v>0</v>
      </c>
      <c r="L295" s="15">
        <f>'[3]2025'!K295</f>
        <v>0</v>
      </c>
      <c r="M295" s="15">
        <f>'[3]2025'!L295</f>
        <v>0</v>
      </c>
      <c r="N295" s="16" t="str">
        <f t="shared" si="16"/>
        <v/>
      </c>
      <c r="O295" s="17" t="str">
        <f t="shared" si="17"/>
        <v/>
      </c>
      <c r="P295" s="17" t="str">
        <f t="shared" si="17"/>
        <v/>
      </c>
      <c r="Q295" s="18" t="str">
        <f t="shared" si="18"/>
        <v/>
      </c>
      <c r="R295" s="18" t="e">
        <f t="shared" si="19"/>
        <v>#DIV/0!</v>
      </c>
      <c r="S295" s="36">
        <f>SUM(J290:J296)</f>
        <v>0</v>
      </c>
      <c r="T295" s="30" t="s">
        <v>3</v>
      </c>
      <c r="U295" s="1738"/>
    </row>
    <row r="296" spans="1:21" ht="18" thickBot="1">
      <c r="A296" s="10" t="s">
        <v>16</v>
      </c>
      <c r="B296" s="200">
        <f>+CHAMNORD!B296</f>
        <v>46313</v>
      </c>
      <c r="C296" s="75" t="str">
        <f>IF(H296=0,"",'[3]2025-2026'!C295)</f>
        <v/>
      </c>
      <c r="D296" s="68" t="str">
        <f>'[3]2025'!C296</f>
        <v/>
      </c>
      <c r="E296" s="68" t="str">
        <f>'[3]2025'!D296</f>
        <v/>
      </c>
      <c r="F296" s="20" t="str">
        <f>'[3]2025'!E296</f>
        <v/>
      </c>
      <c r="G296" s="73" t="str">
        <f>'[3]2025'!F296</f>
        <v/>
      </c>
      <c r="H296" s="42">
        <f>'[3]2025'!G296</f>
        <v>0</v>
      </c>
      <c r="I296" s="13">
        <f>'[3]2025'!H296</f>
        <v>0</v>
      </c>
      <c r="J296" s="14">
        <f>'[3]2025'!I296</f>
        <v>0</v>
      </c>
      <c r="K296" s="15">
        <f>'[3]2025'!J296</f>
        <v>0</v>
      </c>
      <c r="L296" s="15">
        <f>'[3]2025'!K296</f>
        <v>0</v>
      </c>
      <c r="M296" s="15">
        <f>'[3]2025'!L296</f>
        <v>0</v>
      </c>
      <c r="N296" s="16" t="str">
        <f t="shared" si="16"/>
        <v/>
      </c>
      <c r="O296" s="17" t="str">
        <f t="shared" si="17"/>
        <v/>
      </c>
      <c r="P296" s="17" t="str">
        <f t="shared" si="17"/>
        <v/>
      </c>
      <c r="Q296" s="18" t="str">
        <f t="shared" si="18"/>
        <v/>
      </c>
      <c r="R296" s="18" t="e">
        <f t="shared" si="19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</row>
    <row r="297" spans="1:21" ht="17" customHeight="1" thickTop="1">
      <c r="A297" s="10" t="s">
        <v>9</v>
      </c>
      <c r="B297" s="200">
        <f>+CHAMNORD!B297</f>
        <v>46314</v>
      </c>
      <c r="C297" s="75" t="str">
        <f>IF(H297=0,"",'[3]2025-2026'!C296)</f>
        <v/>
      </c>
      <c r="D297" s="68" t="str">
        <f>'[3]2025'!C297</f>
        <v/>
      </c>
      <c r="E297" s="68" t="str">
        <f>'[3]2025'!D297</f>
        <v/>
      </c>
      <c r="F297" s="20" t="str">
        <f>'[3]2025'!E297</f>
        <v/>
      </c>
      <c r="G297" s="73" t="str">
        <f>'[3]2025'!F297</f>
        <v/>
      </c>
      <c r="H297" s="42">
        <f>'[3]2025'!G297</f>
        <v>0</v>
      </c>
      <c r="I297" s="13">
        <f>'[3]2025'!H297</f>
        <v>0</v>
      </c>
      <c r="J297" s="14">
        <f>'[3]2025'!I297</f>
        <v>0</v>
      </c>
      <c r="K297" s="15">
        <f>'[3]2025'!J297</f>
        <v>0</v>
      </c>
      <c r="L297" s="15">
        <f>'[3]2025'!K297</f>
        <v>0</v>
      </c>
      <c r="M297" s="15">
        <f>'[3]2025'!L297</f>
        <v>0</v>
      </c>
      <c r="N297" s="16" t="str">
        <f t="shared" si="16"/>
        <v/>
      </c>
      <c r="O297" s="17" t="str">
        <f t="shared" si="17"/>
        <v/>
      </c>
      <c r="P297" s="17" t="str">
        <f t="shared" si="17"/>
        <v/>
      </c>
      <c r="Q297" s="18" t="str">
        <f t="shared" si="18"/>
        <v/>
      </c>
      <c r="R297" s="18" t="e">
        <f t="shared" si="19"/>
        <v>#DIV/0!</v>
      </c>
      <c r="S297" s="33" t="s">
        <v>39</v>
      </c>
      <c r="T297" s="31" t="s">
        <v>42</v>
      </c>
      <c r="U297" s="1737" t="s">
        <v>125</v>
      </c>
    </row>
    <row r="298" spans="1:21">
      <c r="A298" s="10" t="s">
        <v>11</v>
      </c>
      <c r="B298" s="200">
        <f>+CHAMNORD!B298</f>
        <v>46315</v>
      </c>
      <c r="C298" s="75" t="str">
        <f>IF(H298=0,"",'[3]2025-2026'!C297)</f>
        <v/>
      </c>
      <c r="D298" s="68" t="str">
        <f>'[3]2025'!C298</f>
        <v/>
      </c>
      <c r="E298" s="68" t="str">
        <f>'[3]2025'!D298</f>
        <v/>
      </c>
      <c r="F298" s="20" t="str">
        <f>'[3]2025'!E298</f>
        <v/>
      </c>
      <c r="G298" s="73" t="str">
        <f>'[3]2025'!F298</f>
        <v/>
      </c>
      <c r="H298" s="42">
        <f>'[3]2025'!G298</f>
        <v>0</v>
      </c>
      <c r="I298" s="13">
        <f>'[3]2025'!H298</f>
        <v>0</v>
      </c>
      <c r="J298" s="14">
        <f>'[3]2025'!I298</f>
        <v>0</v>
      </c>
      <c r="K298" s="15">
        <f>'[3]2025'!J298</f>
        <v>0</v>
      </c>
      <c r="L298" s="15">
        <f>'[3]2025'!K298</f>
        <v>0</v>
      </c>
      <c r="M298" s="15">
        <f>'[3]2025'!L298</f>
        <v>0</v>
      </c>
      <c r="N298" s="16" t="str">
        <f t="shared" si="16"/>
        <v/>
      </c>
      <c r="O298" s="17" t="str">
        <f t="shared" si="17"/>
        <v/>
      </c>
      <c r="P298" s="17" t="str">
        <f t="shared" si="17"/>
        <v/>
      </c>
      <c r="Q298" s="18" t="str">
        <f t="shared" si="18"/>
        <v/>
      </c>
      <c r="R298" s="18" t="e">
        <f t="shared" si="19"/>
        <v>#DIV/0!</v>
      </c>
      <c r="S298" s="34">
        <f>SUM(I297:I303)</f>
        <v>0</v>
      </c>
      <c r="T298" s="45" t="s">
        <v>41</v>
      </c>
      <c r="U298" s="1738"/>
    </row>
    <row r="299" spans="1:21">
      <c r="A299" s="10" t="s">
        <v>12</v>
      </c>
      <c r="B299" s="200">
        <f>+CHAMNORD!B299</f>
        <v>46316</v>
      </c>
      <c r="C299" s="75" t="str">
        <f>IF(H299=0,"",'[3]2025-2026'!C298)</f>
        <v/>
      </c>
      <c r="D299" s="68" t="str">
        <f>'[3]2025'!C299</f>
        <v/>
      </c>
      <c r="E299" s="68" t="str">
        <f>'[3]2025'!D299</f>
        <v/>
      </c>
      <c r="F299" s="20" t="str">
        <f>'[3]2025'!E299</f>
        <v/>
      </c>
      <c r="G299" s="73" t="str">
        <f>'[3]2025'!F299</f>
        <v/>
      </c>
      <c r="H299" s="42">
        <f>'[3]2025'!G299</f>
        <v>0</v>
      </c>
      <c r="I299" s="13">
        <f>'[3]2025'!H299</f>
        <v>0</v>
      </c>
      <c r="J299" s="14">
        <f>'[3]2025'!I299</f>
        <v>0</v>
      </c>
      <c r="K299" s="15">
        <f>'[3]2025'!J299</f>
        <v>0</v>
      </c>
      <c r="L299" s="15">
        <f>'[3]2025'!K299</f>
        <v>0</v>
      </c>
      <c r="M299" s="15">
        <f>'[3]2025'!L299</f>
        <v>0</v>
      </c>
      <c r="N299" s="16" t="str">
        <f t="shared" si="16"/>
        <v/>
      </c>
      <c r="O299" s="17" t="str">
        <f t="shared" si="17"/>
        <v/>
      </c>
      <c r="P299" s="17" t="str">
        <f t="shared" si="17"/>
        <v/>
      </c>
      <c r="Q299" s="18" t="str">
        <f t="shared" si="18"/>
        <v/>
      </c>
      <c r="R299" s="18" t="e">
        <f t="shared" si="19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</row>
    <row r="300" spans="1:21">
      <c r="A300" s="10" t="s">
        <v>13</v>
      </c>
      <c r="B300" s="200">
        <f>+CHAMNORD!B300</f>
        <v>46317</v>
      </c>
      <c r="C300" s="75" t="str">
        <f>IF(H300=0,"",'[3]2025-2026'!C299)</f>
        <v/>
      </c>
      <c r="D300" s="68" t="str">
        <f>'[3]2025'!C300</f>
        <v/>
      </c>
      <c r="E300" s="68" t="str">
        <f>'[3]2025'!D300</f>
        <v/>
      </c>
      <c r="F300" s="20" t="str">
        <f>'[3]2025'!E300</f>
        <v/>
      </c>
      <c r="G300" s="73" t="str">
        <f>'[3]2025'!F300</f>
        <v/>
      </c>
      <c r="H300" s="42">
        <f>'[3]2025'!G300</f>
        <v>0</v>
      </c>
      <c r="I300" s="13">
        <f>'[3]2025'!H300</f>
        <v>0</v>
      </c>
      <c r="J300" s="14">
        <f>'[3]2025'!I300</f>
        <v>0</v>
      </c>
      <c r="K300" s="15">
        <f>'[3]2025'!J300</f>
        <v>0</v>
      </c>
      <c r="L300" s="15">
        <f>'[3]2025'!K300</f>
        <v>0</v>
      </c>
      <c r="M300" s="15">
        <f>'[3]2025'!L300</f>
        <v>0</v>
      </c>
      <c r="N300" s="16" t="str">
        <f t="shared" si="16"/>
        <v/>
      </c>
      <c r="O300" s="17" t="str">
        <f t="shared" si="17"/>
        <v/>
      </c>
      <c r="P300" s="17" t="str">
        <f t="shared" si="17"/>
        <v/>
      </c>
      <c r="Q300" s="18" t="str">
        <f t="shared" si="18"/>
        <v/>
      </c>
      <c r="R300" s="18" t="e">
        <f t="shared" si="19"/>
        <v>#DIV/0!</v>
      </c>
      <c r="S300" s="34"/>
      <c r="T300" s="29" t="s">
        <v>8</v>
      </c>
      <c r="U300" s="1738"/>
    </row>
    <row r="301" spans="1:21">
      <c r="A301" s="10" t="s">
        <v>14</v>
      </c>
      <c r="B301" s="200">
        <f>+CHAMNORD!B301</f>
        <v>46318</v>
      </c>
      <c r="C301" s="75" t="str">
        <f>IF(H301=0,"",'[3]2025-2026'!C300)</f>
        <v/>
      </c>
      <c r="D301" s="68" t="str">
        <f>'[3]2025'!C301</f>
        <v/>
      </c>
      <c r="E301" s="68" t="str">
        <f>'[3]2025'!D301</f>
        <v/>
      </c>
      <c r="F301" s="20" t="str">
        <f>'[3]2025'!E301</f>
        <v/>
      </c>
      <c r="G301" s="73" t="str">
        <f>'[3]2025'!F301</f>
        <v/>
      </c>
      <c r="H301" s="42">
        <f>'[3]2025'!G301</f>
        <v>0</v>
      </c>
      <c r="I301" s="13">
        <f>'[3]2025'!H301</f>
        <v>0</v>
      </c>
      <c r="J301" s="14">
        <f>'[3]2025'!I301</f>
        <v>0</v>
      </c>
      <c r="K301" s="15">
        <f>'[3]2025'!J301</f>
        <v>0</v>
      </c>
      <c r="L301" s="15">
        <f>'[3]2025'!K301</f>
        <v>0</v>
      </c>
      <c r="M301" s="15">
        <f>'[3]2025'!L301</f>
        <v>0</v>
      </c>
      <c r="N301" s="16" t="str">
        <f t="shared" si="16"/>
        <v/>
      </c>
      <c r="O301" s="17" t="str">
        <f t="shared" si="17"/>
        <v/>
      </c>
      <c r="P301" s="17" t="str">
        <f t="shared" si="17"/>
        <v/>
      </c>
      <c r="Q301" s="18" t="str">
        <f t="shared" si="18"/>
        <v/>
      </c>
      <c r="R301" s="18" t="e">
        <f t="shared" si="19"/>
        <v>#DIV/0!</v>
      </c>
      <c r="S301" s="36" t="s">
        <v>40</v>
      </c>
      <c r="T301" s="48" t="e">
        <f>SUM(I297:I303)/SUM(L297:L303)</f>
        <v>#DIV/0!</v>
      </c>
      <c r="U301" s="1738"/>
    </row>
    <row r="302" spans="1:21">
      <c r="A302" s="10" t="s">
        <v>15</v>
      </c>
      <c r="B302" s="200">
        <f>+CHAMNORD!B302</f>
        <v>46319</v>
      </c>
      <c r="C302" s="75" t="str">
        <f>IF(H302=0,"",'[3]2025-2026'!C301)</f>
        <v/>
      </c>
      <c r="D302" s="68" t="str">
        <f>'[3]2025'!C302</f>
        <v/>
      </c>
      <c r="E302" s="68" t="str">
        <f>'[3]2025'!D302</f>
        <v/>
      </c>
      <c r="F302" s="20" t="str">
        <f>'[3]2025'!E302</f>
        <v/>
      </c>
      <c r="G302" s="73" t="str">
        <f>'[3]2025'!F302</f>
        <v/>
      </c>
      <c r="H302" s="42">
        <f>'[3]2025'!G302</f>
        <v>0</v>
      </c>
      <c r="I302" s="13">
        <f>'[3]2025'!H302</f>
        <v>0</v>
      </c>
      <c r="J302" s="14">
        <f>'[3]2025'!I302</f>
        <v>0</v>
      </c>
      <c r="K302" s="15">
        <f>'[3]2025'!J302</f>
        <v>0</v>
      </c>
      <c r="L302" s="15">
        <f>'[3]2025'!K302</f>
        <v>0</v>
      </c>
      <c r="M302" s="15">
        <f>'[3]2025'!L302</f>
        <v>0</v>
      </c>
      <c r="N302" s="16" t="str">
        <f t="shared" si="16"/>
        <v/>
      </c>
      <c r="O302" s="17" t="str">
        <f t="shared" si="17"/>
        <v/>
      </c>
      <c r="P302" s="17" t="str">
        <f t="shared" si="17"/>
        <v/>
      </c>
      <c r="Q302" s="18" t="str">
        <f t="shared" si="18"/>
        <v/>
      </c>
      <c r="R302" s="18" t="e">
        <f t="shared" si="19"/>
        <v>#DIV/0!</v>
      </c>
      <c r="S302" s="36">
        <f>SUM(J297:J303)</f>
        <v>0</v>
      </c>
      <c r="T302" s="30" t="s">
        <v>3</v>
      </c>
      <c r="U302" s="1738"/>
    </row>
    <row r="303" spans="1:21" ht="18" thickBot="1">
      <c r="A303" s="10" t="s">
        <v>16</v>
      </c>
      <c r="B303" s="200">
        <f>+CHAMNORD!B303</f>
        <v>46320</v>
      </c>
      <c r="C303" s="75" t="str">
        <f>IF(H303=0,"",'[3]2025-2026'!C302)</f>
        <v/>
      </c>
      <c r="D303" s="68" t="str">
        <f>'[3]2025'!C303</f>
        <v/>
      </c>
      <c r="E303" s="68" t="str">
        <f>'[3]2025'!D303</f>
        <v/>
      </c>
      <c r="F303" s="20" t="str">
        <f>'[3]2025'!E303</f>
        <v/>
      </c>
      <c r="G303" s="73" t="str">
        <f>'[3]2025'!F303</f>
        <v/>
      </c>
      <c r="H303" s="42">
        <f>'[3]2025'!G303</f>
        <v>0</v>
      </c>
      <c r="I303" s="13">
        <f>'[3]2025'!H303</f>
        <v>0</v>
      </c>
      <c r="J303" s="14">
        <f>'[3]2025'!I303</f>
        <v>0</v>
      </c>
      <c r="K303" s="15">
        <f>'[3]2025'!J303</f>
        <v>0</v>
      </c>
      <c r="L303" s="15">
        <f>'[3]2025'!K303</f>
        <v>0</v>
      </c>
      <c r="M303" s="15">
        <f>'[3]2025'!L303</f>
        <v>0</v>
      </c>
      <c r="N303" s="16" t="str">
        <f t="shared" si="16"/>
        <v/>
      </c>
      <c r="O303" s="17" t="str">
        <f t="shared" si="17"/>
        <v/>
      </c>
      <c r="P303" s="17" t="str">
        <f t="shared" si="17"/>
        <v/>
      </c>
      <c r="Q303" s="18" t="str">
        <f t="shared" si="18"/>
        <v/>
      </c>
      <c r="R303" s="18" t="e">
        <f t="shared" si="19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</row>
    <row r="304" spans="1:21" ht="17" customHeight="1" thickTop="1">
      <c r="A304" s="10" t="s">
        <v>9</v>
      </c>
      <c r="B304" s="200">
        <f>+CHAMNORD!B304</f>
        <v>46321</v>
      </c>
      <c r="C304" s="75" t="str">
        <f>IF(H304=0,"",'[3]2025-2026'!C303)</f>
        <v/>
      </c>
      <c r="D304" s="68" t="str">
        <f>'[3]2025'!C304</f>
        <v/>
      </c>
      <c r="E304" s="68" t="str">
        <f>'[3]2025'!D304</f>
        <v/>
      </c>
      <c r="F304" s="20" t="str">
        <f>'[3]2025'!E304</f>
        <v/>
      </c>
      <c r="G304" s="73" t="str">
        <f>'[3]2025'!F304</f>
        <v/>
      </c>
      <c r="H304" s="42">
        <f>'[3]2025'!G304</f>
        <v>0</v>
      </c>
      <c r="I304" s="13">
        <f>'[3]2025'!H304</f>
        <v>0</v>
      </c>
      <c r="J304" s="14">
        <f>'[3]2025'!I304</f>
        <v>0</v>
      </c>
      <c r="K304" s="15">
        <f>'[3]2025'!J304</f>
        <v>0</v>
      </c>
      <c r="L304" s="15">
        <f>'[3]2025'!K304</f>
        <v>0</v>
      </c>
      <c r="M304" s="15">
        <f>'[3]2025'!L304</f>
        <v>0</v>
      </c>
      <c r="N304" s="16" t="str">
        <f t="shared" si="16"/>
        <v/>
      </c>
      <c r="O304" s="17" t="str">
        <f t="shared" si="17"/>
        <v/>
      </c>
      <c r="P304" s="17" t="str">
        <f t="shared" si="17"/>
        <v/>
      </c>
      <c r="Q304" s="18" t="str">
        <f t="shared" si="18"/>
        <v/>
      </c>
      <c r="R304" s="18" t="e">
        <f t="shared" si="19"/>
        <v>#DIV/0!</v>
      </c>
      <c r="S304" s="33" t="s">
        <v>39</v>
      </c>
      <c r="T304" s="31" t="s">
        <v>42</v>
      </c>
      <c r="U304" s="1737" t="s">
        <v>126</v>
      </c>
    </row>
    <row r="305" spans="1:21">
      <c r="A305" s="10" t="s">
        <v>11</v>
      </c>
      <c r="B305" s="200">
        <f>+CHAMNORD!B305</f>
        <v>46322</v>
      </c>
      <c r="C305" s="75" t="str">
        <f>IF(H305=0,"",'[3]2025-2026'!C304)</f>
        <v/>
      </c>
      <c r="D305" s="68" t="str">
        <f>'[3]2025'!C305</f>
        <v/>
      </c>
      <c r="E305" s="68" t="str">
        <f>'[3]2025'!D305</f>
        <v/>
      </c>
      <c r="F305" s="20" t="str">
        <f>'[3]2025'!E305</f>
        <v/>
      </c>
      <c r="G305" s="73" t="str">
        <f>'[3]2025'!F305</f>
        <v/>
      </c>
      <c r="H305" s="42">
        <f>'[3]2025'!G305</f>
        <v>0</v>
      </c>
      <c r="I305" s="13">
        <f>'[3]2025'!H305</f>
        <v>0</v>
      </c>
      <c r="J305" s="14">
        <f>'[3]2025'!I305</f>
        <v>0</v>
      </c>
      <c r="K305" s="15">
        <f>'[3]2025'!J305</f>
        <v>0</v>
      </c>
      <c r="L305" s="15">
        <f>'[3]2025'!K305</f>
        <v>0</v>
      </c>
      <c r="M305" s="15">
        <f>'[3]2025'!L305</f>
        <v>0</v>
      </c>
      <c r="N305" s="16" t="str">
        <f t="shared" si="16"/>
        <v/>
      </c>
      <c r="O305" s="17" t="str">
        <f t="shared" si="17"/>
        <v/>
      </c>
      <c r="P305" s="17" t="str">
        <f t="shared" si="17"/>
        <v/>
      </c>
      <c r="Q305" s="18" t="str">
        <f t="shared" si="18"/>
        <v/>
      </c>
      <c r="R305" s="18" t="e">
        <f t="shared" si="19"/>
        <v>#DIV/0!</v>
      </c>
      <c r="S305" s="34">
        <f>SUM(I304:I310)</f>
        <v>0</v>
      </c>
      <c r="T305" s="45" t="s">
        <v>41</v>
      </c>
      <c r="U305" s="1738"/>
    </row>
    <row r="306" spans="1:21">
      <c r="A306" s="10" t="s">
        <v>12</v>
      </c>
      <c r="B306" s="200">
        <f>+CHAMNORD!B306</f>
        <v>46323</v>
      </c>
      <c r="C306" s="75" t="str">
        <f>IF(H306=0,"",'[3]2025-2026'!C305)</f>
        <v/>
      </c>
      <c r="D306" s="68" t="str">
        <f>'[3]2025'!C306</f>
        <v/>
      </c>
      <c r="E306" s="68" t="str">
        <f>'[3]2025'!D306</f>
        <v/>
      </c>
      <c r="F306" s="20" t="str">
        <f>'[3]2025'!E306</f>
        <v/>
      </c>
      <c r="G306" s="73" t="str">
        <f>'[3]2025'!F306</f>
        <v/>
      </c>
      <c r="H306" s="42">
        <f>'[3]2025'!G306</f>
        <v>0</v>
      </c>
      <c r="I306" s="13">
        <f>'[3]2025'!H306</f>
        <v>0</v>
      </c>
      <c r="J306" s="14">
        <f>'[3]2025'!I306</f>
        <v>0</v>
      </c>
      <c r="K306" s="15">
        <f>'[3]2025'!J306</f>
        <v>0</v>
      </c>
      <c r="L306" s="15">
        <f>'[3]2025'!K306</f>
        <v>0</v>
      </c>
      <c r="M306" s="15">
        <f>'[3]2025'!L306</f>
        <v>0</v>
      </c>
      <c r="N306" s="16" t="str">
        <f t="shared" si="16"/>
        <v/>
      </c>
      <c r="O306" s="17" t="str">
        <f t="shared" si="17"/>
        <v/>
      </c>
      <c r="P306" s="17" t="str">
        <f t="shared" si="17"/>
        <v/>
      </c>
      <c r="Q306" s="18" t="str">
        <f t="shared" si="18"/>
        <v/>
      </c>
      <c r="R306" s="18" t="e">
        <f t="shared" si="19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</row>
    <row r="307" spans="1:21">
      <c r="A307" s="10" t="s">
        <v>13</v>
      </c>
      <c r="B307" s="200">
        <f>+CHAMNORD!B307</f>
        <v>46324</v>
      </c>
      <c r="C307" s="75" t="str">
        <f>IF(H307=0,"",'[3]2025-2026'!C306)</f>
        <v/>
      </c>
      <c r="D307" s="68" t="str">
        <f>'[3]2025'!C307</f>
        <v/>
      </c>
      <c r="E307" s="68" t="str">
        <f>'[3]2025'!D307</f>
        <v/>
      </c>
      <c r="F307" s="20" t="str">
        <f>'[3]2025'!E307</f>
        <v/>
      </c>
      <c r="G307" s="73" t="str">
        <f>'[3]2025'!F307</f>
        <v/>
      </c>
      <c r="H307" s="42">
        <f>'[3]2025'!G307</f>
        <v>0</v>
      </c>
      <c r="I307" s="13">
        <f>'[3]2025'!H307</f>
        <v>0</v>
      </c>
      <c r="J307" s="14">
        <f>'[3]2025'!I307</f>
        <v>0</v>
      </c>
      <c r="K307" s="15">
        <f>'[3]2025'!J307</f>
        <v>0</v>
      </c>
      <c r="L307" s="15">
        <f>'[3]2025'!K307</f>
        <v>0</v>
      </c>
      <c r="M307" s="15">
        <f>'[3]2025'!L307</f>
        <v>0</v>
      </c>
      <c r="N307" s="16" t="str">
        <f t="shared" si="16"/>
        <v/>
      </c>
      <c r="O307" s="17" t="str">
        <f t="shared" si="17"/>
        <v/>
      </c>
      <c r="P307" s="17" t="str">
        <f t="shared" si="17"/>
        <v/>
      </c>
      <c r="Q307" s="18" t="str">
        <f t="shared" si="18"/>
        <v/>
      </c>
      <c r="R307" s="18" t="e">
        <f t="shared" si="19"/>
        <v>#DIV/0!</v>
      </c>
      <c r="S307" s="34"/>
      <c r="T307" s="29" t="s">
        <v>8</v>
      </c>
      <c r="U307" s="1738"/>
    </row>
    <row r="308" spans="1:21">
      <c r="A308" s="10" t="s">
        <v>14</v>
      </c>
      <c r="B308" s="200">
        <f>+CHAMNORD!B308</f>
        <v>46325</v>
      </c>
      <c r="C308" s="75" t="str">
        <f>IF(H308=0,"",'[3]2025-2026'!C307)</f>
        <v/>
      </c>
      <c r="D308" s="68" t="str">
        <f>'[3]2025'!C308</f>
        <v/>
      </c>
      <c r="E308" s="68" t="str">
        <f>'[3]2025'!D308</f>
        <v/>
      </c>
      <c r="F308" s="20" t="str">
        <f>'[3]2025'!E308</f>
        <v/>
      </c>
      <c r="G308" s="73" t="str">
        <f>'[3]2025'!F308</f>
        <v/>
      </c>
      <c r="H308" s="42">
        <f>'[3]2025'!G308</f>
        <v>0</v>
      </c>
      <c r="I308" s="13">
        <f>'[3]2025'!H308</f>
        <v>0</v>
      </c>
      <c r="J308" s="14">
        <f>'[3]2025'!I308</f>
        <v>0</v>
      </c>
      <c r="K308" s="15">
        <f>'[3]2025'!J308</f>
        <v>0</v>
      </c>
      <c r="L308" s="15">
        <f>'[3]2025'!K308</f>
        <v>0</v>
      </c>
      <c r="M308" s="15">
        <f>'[3]2025'!L308</f>
        <v>0</v>
      </c>
      <c r="N308" s="16" t="str">
        <f t="shared" si="16"/>
        <v/>
      </c>
      <c r="O308" s="17" t="str">
        <f t="shared" si="17"/>
        <v/>
      </c>
      <c r="P308" s="17" t="str">
        <f t="shared" si="17"/>
        <v/>
      </c>
      <c r="Q308" s="18" t="str">
        <f t="shared" si="18"/>
        <v/>
      </c>
      <c r="R308" s="18" t="e">
        <f t="shared" si="19"/>
        <v>#DIV/0!</v>
      </c>
      <c r="S308" s="36" t="s">
        <v>40</v>
      </c>
      <c r="T308" s="48" t="e">
        <f>SUM(I304:I310)/SUM(L304:L310)</f>
        <v>#DIV/0!</v>
      </c>
      <c r="U308" s="1738"/>
    </row>
    <row r="309" spans="1:21">
      <c r="A309" s="10" t="s">
        <v>15</v>
      </c>
      <c r="B309" s="200">
        <f>+CHAMNORD!B309</f>
        <v>46326</v>
      </c>
      <c r="C309" s="75" t="str">
        <f>IF(H309=0,"",'[3]2025-2026'!C308)</f>
        <v/>
      </c>
      <c r="D309" s="68" t="str">
        <f>'[3]2025'!C309</f>
        <v/>
      </c>
      <c r="E309" s="68" t="str">
        <f>'[3]2025'!D309</f>
        <v/>
      </c>
      <c r="F309" s="20" t="str">
        <f>'[3]2025'!E309</f>
        <v/>
      </c>
      <c r="G309" s="73" t="str">
        <f>'[3]2025'!F309</f>
        <v/>
      </c>
      <c r="H309" s="42">
        <f>'[3]2025'!G309</f>
        <v>0</v>
      </c>
      <c r="I309" s="13">
        <f>'[3]2025'!H309</f>
        <v>0</v>
      </c>
      <c r="J309" s="14">
        <f>'[3]2025'!I309</f>
        <v>0</v>
      </c>
      <c r="K309" s="15">
        <f>'[3]2025'!J309</f>
        <v>0</v>
      </c>
      <c r="L309" s="15">
        <f>'[3]2025'!K309</f>
        <v>0</v>
      </c>
      <c r="M309" s="15">
        <f>'[3]2025'!L309</f>
        <v>0</v>
      </c>
      <c r="N309" s="16" t="str">
        <f t="shared" si="16"/>
        <v/>
      </c>
      <c r="O309" s="17" t="str">
        <f t="shared" si="17"/>
        <v/>
      </c>
      <c r="P309" s="17" t="str">
        <f t="shared" si="17"/>
        <v/>
      </c>
      <c r="Q309" s="18" t="str">
        <f t="shared" si="18"/>
        <v/>
      </c>
      <c r="R309" s="18" t="e">
        <f t="shared" si="19"/>
        <v>#DIV/0!</v>
      </c>
      <c r="S309" s="36">
        <f>SUM(J304:J310)</f>
        <v>0</v>
      </c>
      <c r="T309" s="30" t="s">
        <v>3</v>
      </c>
      <c r="U309" s="1738"/>
    </row>
    <row r="310" spans="1:21" ht="18" thickBot="1">
      <c r="A310" s="10" t="s">
        <v>16</v>
      </c>
      <c r="B310" s="200">
        <f>+CHAMNORD!B310</f>
        <v>46327</v>
      </c>
      <c r="C310" s="75" t="str">
        <f>IF(H310=0,"",'[3]2025-2026'!C309)</f>
        <v/>
      </c>
      <c r="D310" s="68" t="str">
        <f>'[3]2025'!C310</f>
        <v/>
      </c>
      <c r="E310" s="68" t="str">
        <f>'[3]2025'!D310</f>
        <v/>
      </c>
      <c r="F310" s="20" t="str">
        <f>'[3]2025'!E310</f>
        <v/>
      </c>
      <c r="G310" s="73" t="str">
        <f>'[3]2025'!F310</f>
        <v/>
      </c>
      <c r="H310" s="42">
        <f>'[3]2025'!G310</f>
        <v>0</v>
      </c>
      <c r="I310" s="13">
        <f>'[3]2025'!H310</f>
        <v>0</v>
      </c>
      <c r="J310" s="14">
        <f>'[3]2025'!I310</f>
        <v>0</v>
      </c>
      <c r="K310" s="15">
        <f>'[3]2025'!J310</f>
        <v>0</v>
      </c>
      <c r="L310" s="15">
        <f>'[3]2025'!K310</f>
        <v>0</v>
      </c>
      <c r="M310" s="15">
        <f>'[3]2025'!L310</f>
        <v>0</v>
      </c>
      <c r="N310" s="16" t="str">
        <f t="shared" si="16"/>
        <v/>
      </c>
      <c r="O310" s="17" t="str">
        <f t="shared" si="17"/>
        <v/>
      </c>
      <c r="P310" s="17" t="str">
        <f t="shared" si="17"/>
        <v/>
      </c>
      <c r="Q310" s="18" t="str">
        <f t="shared" si="18"/>
        <v/>
      </c>
      <c r="R310" s="18" t="e">
        <f t="shared" si="19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</row>
    <row r="311" spans="1:21" ht="17" customHeight="1" thickTop="1">
      <c r="A311" s="10" t="s">
        <v>9</v>
      </c>
      <c r="B311" s="200">
        <f>+CHAMNORD!B311</f>
        <v>46328</v>
      </c>
      <c r="C311" s="75" t="str">
        <f>IF(H311=0,"",'[3]2025-2026'!C310)</f>
        <v/>
      </c>
      <c r="D311" s="68" t="str">
        <f>'[3]2025'!C311</f>
        <v/>
      </c>
      <c r="E311" s="68" t="str">
        <f>'[3]2025'!D311</f>
        <v/>
      </c>
      <c r="F311" s="20" t="str">
        <f>'[3]2025'!E311</f>
        <v/>
      </c>
      <c r="G311" s="73" t="str">
        <f>'[3]2025'!F311</f>
        <v/>
      </c>
      <c r="H311" s="42">
        <f>'[3]2025'!G311</f>
        <v>0</v>
      </c>
      <c r="I311" s="13">
        <f>'[3]2025'!H311</f>
        <v>0</v>
      </c>
      <c r="J311" s="14">
        <f>'[3]2025'!I311</f>
        <v>0</v>
      </c>
      <c r="K311" s="15">
        <f>'[3]2025'!J311</f>
        <v>0</v>
      </c>
      <c r="L311" s="15">
        <f>'[3]2025'!K311</f>
        <v>0</v>
      </c>
      <c r="M311" s="15">
        <f>'[3]2025'!L311</f>
        <v>0</v>
      </c>
      <c r="N311" s="16" t="str">
        <f t="shared" si="16"/>
        <v/>
      </c>
      <c r="O311" s="17" t="str">
        <f t="shared" si="17"/>
        <v/>
      </c>
      <c r="P311" s="17" t="str">
        <f t="shared" si="17"/>
        <v/>
      </c>
      <c r="Q311" s="18" t="str">
        <f t="shared" si="18"/>
        <v/>
      </c>
      <c r="R311" s="18" t="e">
        <f t="shared" si="19"/>
        <v>#DIV/0!</v>
      </c>
      <c r="S311" s="33" t="s">
        <v>39</v>
      </c>
      <c r="T311" s="31" t="s">
        <v>42</v>
      </c>
      <c r="U311" s="1737" t="s">
        <v>127</v>
      </c>
    </row>
    <row r="312" spans="1:21">
      <c r="A312" s="10" t="s">
        <v>11</v>
      </c>
      <c r="B312" s="200">
        <f>+CHAMNORD!B312</f>
        <v>46329</v>
      </c>
      <c r="C312" s="75" t="str">
        <f>IF(H312=0,"",'[3]2025-2026'!C311)</f>
        <v/>
      </c>
      <c r="D312" s="68" t="str">
        <f>'[3]2025'!C312</f>
        <v/>
      </c>
      <c r="E312" s="68" t="str">
        <f>'[3]2025'!D312</f>
        <v/>
      </c>
      <c r="F312" s="20" t="str">
        <f>'[3]2025'!E312</f>
        <v/>
      </c>
      <c r="G312" s="73" t="str">
        <f>'[3]2025'!F312</f>
        <v/>
      </c>
      <c r="H312" s="42">
        <f>'[3]2025'!G312</f>
        <v>0</v>
      </c>
      <c r="I312" s="13">
        <f>'[3]2025'!H312</f>
        <v>0</v>
      </c>
      <c r="J312" s="14">
        <f>'[3]2025'!I312</f>
        <v>0</v>
      </c>
      <c r="K312" s="15">
        <f>'[3]2025'!J312</f>
        <v>0</v>
      </c>
      <c r="L312" s="15">
        <f>'[3]2025'!K312</f>
        <v>0</v>
      </c>
      <c r="M312" s="15">
        <f>'[3]2025'!L312</f>
        <v>0</v>
      </c>
      <c r="N312" s="16" t="str">
        <f t="shared" si="16"/>
        <v/>
      </c>
      <c r="O312" s="17" t="str">
        <f t="shared" si="17"/>
        <v/>
      </c>
      <c r="P312" s="17" t="str">
        <f t="shared" si="17"/>
        <v/>
      </c>
      <c r="Q312" s="18" t="str">
        <f t="shared" si="18"/>
        <v/>
      </c>
      <c r="R312" s="18" t="e">
        <f t="shared" si="19"/>
        <v>#DIV/0!</v>
      </c>
      <c r="S312" s="34">
        <f>SUM(I311:I317)</f>
        <v>0</v>
      </c>
      <c r="T312" s="45" t="s">
        <v>41</v>
      </c>
      <c r="U312" s="1738"/>
    </row>
    <row r="313" spans="1:21">
      <c r="A313" s="10" t="s">
        <v>12</v>
      </c>
      <c r="B313" s="200">
        <f>+CHAMNORD!B313</f>
        <v>46330</v>
      </c>
      <c r="C313" s="75" t="str">
        <f>IF(H313=0,"",'[3]2025-2026'!C312)</f>
        <v/>
      </c>
      <c r="D313" s="68" t="str">
        <f>'[3]2025'!C313</f>
        <v/>
      </c>
      <c r="E313" s="68" t="str">
        <f>'[3]2025'!D313</f>
        <v/>
      </c>
      <c r="F313" s="20" t="str">
        <f>'[3]2025'!E313</f>
        <v/>
      </c>
      <c r="G313" s="73" t="str">
        <f>'[3]2025'!F313</f>
        <v/>
      </c>
      <c r="H313" s="42">
        <f>'[3]2025'!G313</f>
        <v>0</v>
      </c>
      <c r="I313" s="13">
        <f>'[3]2025'!H313</f>
        <v>0</v>
      </c>
      <c r="J313" s="14">
        <f>'[3]2025'!I313</f>
        <v>0</v>
      </c>
      <c r="K313" s="15">
        <f>'[3]2025'!J313</f>
        <v>0</v>
      </c>
      <c r="L313" s="15">
        <f>'[3]2025'!K313</f>
        <v>0</v>
      </c>
      <c r="M313" s="15">
        <f>'[3]2025'!L313</f>
        <v>0</v>
      </c>
      <c r="N313" s="16" t="str">
        <f t="shared" si="16"/>
        <v/>
      </c>
      <c r="O313" s="17" t="str">
        <f t="shared" si="17"/>
        <v/>
      </c>
      <c r="P313" s="17" t="str">
        <f t="shared" si="17"/>
        <v/>
      </c>
      <c r="Q313" s="18" t="str">
        <f t="shared" si="18"/>
        <v/>
      </c>
      <c r="R313" s="18" t="e">
        <f t="shared" si="19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</row>
    <row r="314" spans="1:21">
      <c r="A314" s="10" t="s">
        <v>13</v>
      </c>
      <c r="B314" s="200">
        <f>+CHAMNORD!B314</f>
        <v>46331</v>
      </c>
      <c r="C314" s="75" t="str">
        <f>IF(H314=0,"",'[3]2025-2026'!C313)</f>
        <v/>
      </c>
      <c r="D314" s="68" t="str">
        <f>'[3]2025'!C314</f>
        <v/>
      </c>
      <c r="E314" s="68" t="str">
        <f>'[3]2025'!D314</f>
        <v/>
      </c>
      <c r="F314" s="20" t="str">
        <f>'[3]2025'!E314</f>
        <v/>
      </c>
      <c r="G314" s="73" t="str">
        <f>'[3]2025'!F314</f>
        <v/>
      </c>
      <c r="H314" s="42">
        <f>'[3]2025'!G314</f>
        <v>0</v>
      </c>
      <c r="I314" s="13">
        <f>'[3]2025'!H314</f>
        <v>0</v>
      </c>
      <c r="J314" s="14">
        <f>'[3]2025'!I314</f>
        <v>0</v>
      </c>
      <c r="K314" s="15">
        <f>'[3]2025'!J314</f>
        <v>0</v>
      </c>
      <c r="L314" s="15">
        <f>'[3]2025'!K314</f>
        <v>0</v>
      </c>
      <c r="M314" s="15">
        <f>'[3]2025'!L314</f>
        <v>0</v>
      </c>
      <c r="N314" s="16" t="str">
        <f t="shared" si="16"/>
        <v/>
      </c>
      <c r="O314" s="17" t="str">
        <f t="shared" si="17"/>
        <v/>
      </c>
      <c r="P314" s="17" t="str">
        <f t="shared" si="17"/>
        <v/>
      </c>
      <c r="Q314" s="18" t="str">
        <f t="shared" si="18"/>
        <v/>
      </c>
      <c r="R314" s="18" t="e">
        <f t="shared" si="19"/>
        <v>#DIV/0!</v>
      </c>
      <c r="S314" s="34"/>
      <c r="T314" s="29" t="s">
        <v>8</v>
      </c>
      <c r="U314" s="1738"/>
    </row>
    <row r="315" spans="1:21">
      <c r="A315" s="10" t="s">
        <v>14</v>
      </c>
      <c r="B315" s="200">
        <f>+CHAMNORD!B315</f>
        <v>46332</v>
      </c>
      <c r="C315" s="75" t="str">
        <f>IF(H315=0,"",'[3]2025-2026'!C314)</f>
        <v/>
      </c>
      <c r="D315" s="68" t="str">
        <f>'[3]2025'!C315</f>
        <v/>
      </c>
      <c r="E315" s="68" t="str">
        <f>'[3]2025'!D315</f>
        <v/>
      </c>
      <c r="F315" s="20" t="str">
        <f>'[3]2025'!E315</f>
        <v/>
      </c>
      <c r="G315" s="73" t="str">
        <f>'[3]2025'!F315</f>
        <v/>
      </c>
      <c r="H315" s="42">
        <f>'[3]2025'!G315</f>
        <v>0</v>
      </c>
      <c r="I315" s="13">
        <f>'[3]2025'!H315</f>
        <v>0</v>
      </c>
      <c r="J315" s="14">
        <f>'[3]2025'!I315</f>
        <v>0</v>
      </c>
      <c r="K315" s="15">
        <f>'[3]2025'!J315</f>
        <v>0</v>
      </c>
      <c r="L315" s="15">
        <f>'[3]2025'!K315</f>
        <v>0</v>
      </c>
      <c r="M315" s="15">
        <f>'[3]2025'!L315</f>
        <v>0</v>
      </c>
      <c r="N315" s="16" t="str">
        <f t="shared" si="16"/>
        <v/>
      </c>
      <c r="O315" s="17" t="str">
        <f t="shared" si="17"/>
        <v/>
      </c>
      <c r="P315" s="17" t="str">
        <f t="shared" si="17"/>
        <v/>
      </c>
      <c r="Q315" s="18" t="str">
        <f t="shared" si="18"/>
        <v/>
      </c>
      <c r="R315" s="18" t="e">
        <f t="shared" si="19"/>
        <v>#DIV/0!</v>
      </c>
      <c r="S315" s="36" t="s">
        <v>40</v>
      </c>
      <c r="T315" s="48" t="e">
        <f>SUM(I311:I317)/SUM(L311:L317)</f>
        <v>#DIV/0!</v>
      </c>
      <c r="U315" s="1738"/>
    </row>
    <row r="316" spans="1:21">
      <c r="A316" s="10" t="s">
        <v>15</v>
      </c>
      <c r="B316" s="200">
        <f>+CHAMNORD!B316</f>
        <v>46333</v>
      </c>
      <c r="C316" s="75" t="str">
        <f>IF(H316=0,"",'[3]2025-2026'!C315)</f>
        <v/>
      </c>
      <c r="D316" s="68" t="str">
        <f>'[3]2025'!C316</f>
        <v/>
      </c>
      <c r="E316" s="68" t="str">
        <f>'[3]2025'!D316</f>
        <v/>
      </c>
      <c r="F316" s="20" t="str">
        <f>'[3]2025'!E316</f>
        <v/>
      </c>
      <c r="G316" s="73" t="str">
        <f>'[3]2025'!F316</f>
        <v/>
      </c>
      <c r="H316" s="42">
        <f>'[3]2025'!G316</f>
        <v>0</v>
      </c>
      <c r="I316" s="13">
        <f>'[3]2025'!H316</f>
        <v>0</v>
      </c>
      <c r="J316" s="14">
        <f>'[3]2025'!I316</f>
        <v>0</v>
      </c>
      <c r="K316" s="15">
        <f>'[3]2025'!J316</f>
        <v>0</v>
      </c>
      <c r="L316" s="15">
        <f>'[3]2025'!K316</f>
        <v>0</v>
      </c>
      <c r="M316" s="15">
        <f>'[3]2025'!L316</f>
        <v>0</v>
      </c>
      <c r="N316" s="16" t="str">
        <f t="shared" si="16"/>
        <v/>
      </c>
      <c r="O316" s="17" t="str">
        <f t="shared" si="17"/>
        <v/>
      </c>
      <c r="P316" s="17" t="str">
        <f t="shared" si="17"/>
        <v/>
      </c>
      <c r="Q316" s="18" t="str">
        <f t="shared" si="18"/>
        <v/>
      </c>
      <c r="R316" s="18" t="e">
        <f t="shared" si="19"/>
        <v>#DIV/0!</v>
      </c>
      <c r="S316" s="36">
        <f>SUM(J311:J317)</f>
        <v>0</v>
      </c>
      <c r="T316" s="30" t="s">
        <v>3</v>
      </c>
      <c r="U316" s="1738"/>
    </row>
    <row r="317" spans="1:21" ht="18" thickBot="1">
      <c r="A317" s="10" t="s">
        <v>16</v>
      </c>
      <c r="B317" s="200">
        <f>+CHAMNORD!B317</f>
        <v>46334</v>
      </c>
      <c r="C317" s="75" t="str">
        <f>IF(H317=0,"",'[3]2025-2026'!C316)</f>
        <v/>
      </c>
      <c r="D317" s="68" t="str">
        <f>'[3]2025'!C317</f>
        <v/>
      </c>
      <c r="E317" s="68" t="str">
        <f>'[3]2025'!D317</f>
        <v/>
      </c>
      <c r="F317" s="20" t="str">
        <f>'[3]2025'!E317</f>
        <v/>
      </c>
      <c r="G317" s="73" t="str">
        <f>'[3]2025'!F317</f>
        <v/>
      </c>
      <c r="H317" s="42">
        <f>'[3]2025'!G317</f>
        <v>0</v>
      </c>
      <c r="I317" s="13">
        <f>'[3]2025'!H317</f>
        <v>0</v>
      </c>
      <c r="J317" s="14">
        <f>'[3]2025'!I317</f>
        <v>0</v>
      </c>
      <c r="K317" s="15">
        <f>'[3]2025'!J317</f>
        <v>0</v>
      </c>
      <c r="L317" s="15">
        <f>'[3]2025'!K317</f>
        <v>0</v>
      </c>
      <c r="M317" s="15">
        <f>'[3]2025'!L317</f>
        <v>0</v>
      </c>
      <c r="N317" s="16" t="str">
        <f t="shared" si="16"/>
        <v/>
      </c>
      <c r="O317" s="17" t="str">
        <f t="shared" si="17"/>
        <v/>
      </c>
      <c r="P317" s="17" t="str">
        <f t="shared" si="17"/>
        <v/>
      </c>
      <c r="Q317" s="18" t="str">
        <f t="shared" si="18"/>
        <v/>
      </c>
      <c r="R317" s="18" t="e">
        <f t="shared" si="19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</row>
    <row r="318" spans="1:21" ht="17" customHeight="1" thickTop="1">
      <c r="A318" s="10" t="s">
        <v>9</v>
      </c>
      <c r="B318" s="200">
        <f>+CHAMNORD!B318</f>
        <v>46335</v>
      </c>
      <c r="C318" s="75" t="str">
        <f>IF(H318=0,"",'[3]2025-2026'!C317)</f>
        <v/>
      </c>
      <c r="D318" s="68" t="str">
        <f>'[3]2025'!C318</f>
        <v/>
      </c>
      <c r="E318" s="68" t="str">
        <f>'[3]2025'!D318</f>
        <v/>
      </c>
      <c r="F318" s="20" t="str">
        <f>'[3]2025'!E318</f>
        <v/>
      </c>
      <c r="G318" s="73" t="str">
        <f>'[3]2025'!F318</f>
        <v/>
      </c>
      <c r="H318" s="42">
        <f>'[3]2025'!G318</f>
        <v>0</v>
      </c>
      <c r="I318" s="13">
        <f>'[3]2025'!H318</f>
        <v>0</v>
      </c>
      <c r="J318" s="14">
        <f>'[3]2025'!I318</f>
        <v>0</v>
      </c>
      <c r="K318" s="15">
        <f>'[3]2025'!J318</f>
        <v>0</v>
      </c>
      <c r="L318" s="15">
        <f>'[3]2025'!K318</f>
        <v>0</v>
      </c>
      <c r="M318" s="15">
        <f>'[3]2025'!L318</f>
        <v>0</v>
      </c>
      <c r="N318" s="16" t="str">
        <f t="shared" si="16"/>
        <v/>
      </c>
      <c r="O318" s="17" t="str">
        <f t="shared" si="17"/>
        <v/>
      </c>
      <c r="P318" s="17" t="str">
        <f t="shared" si="17"/>
        <v/>
      </c>
      <c r="Q318" s="18" t="str">
        <f t="shared" si="18"/>
        <v/>
      </c>
      <c r="R318" s="18" t="e">
        <f t="shared" si="19"/>
        <v>#DIV/0!</v>
      </c>
      <c r="S318" s="33" t="s">
        <v>39</v>
      </c>
      <c r="T318" s="31" t="s">
        <v>42</v>
      </c>
      <c r="U318" s="1737" t="s">
        <v>128</v>
      </c>
    </row>
    <row r="319" spans="1:21">
      <c r="A319" s="10" t="s">
        <v>11</v>
      </c>
      <c r="B319" s="200">
        <f>+CHAMNORD!B319</f>
        <v>46336</v>
      </c>
      <c r="C319" s="75" t="str">
        <f>IF(H319=0,"",'[3]2025-2026'!C318)</f>
        <v/>
      </c>
      <c r="D319" s="68" t="str">
        <f>'[3]2025'!C319</f>
        <v/>
      </c>
      <c r="E319" s="68" t="str">
        <f>'[3]2025'!D319</f>
        <v/>
      </c>
      <c r="F319" s="20" t="str">
        <f>'[3]2025'!E319</f>
        <v/>
      </c>
      <c r="G319" s="73" t="str">
        <f>'[3]2025'!F319</f>
        <v/>
      </c>
      <c r="H319" s="42">
        <f>'[3]2025'!G319</f>
        <v>0</v>
      </c>
      <c r="I319" s="13">
        <f>'[3]2025'!H319</f>
        <v>0</v>
      </c>
      <c r="J319" s="14">
        <f>'[3]2025'!I319</f>
        <v>0</v>
      </c>
      <c r="K319" s="15">
        <f>'[3]2025'!J319</f>
        <v>0</v>
      </c>
      <c r="L319" s="15">
        <f>'[3]2025'!K319</f>
        <v>0</v>
      </c>
      <c r="M319" s="15">
        <f>'[3]2025'!L319</f>
        <v>0</v>
      </c>
      <c r="N319" s="16" t="str">
        <f t="shared" si="16"/>
        <v/>
      </c>
      <c r="O319" s="17" t="str">
        <f t="shared" si="17"/>
        <v/>
      </c>
      <c r="P319" s="17" t="str">
        <f t="shared" si="17"/>
        <v/>
      </c>
      <c r="Q319" s="18" t="str">
        <f t="shared" si="18"/>
        <v/>
      </c>
      <c r="R319" s="18" t="e">
        <f t="shared" si="19"/>
        <v>#DIV/0!</v>
      </c>
      <c r="S319" s="34">
        <f>SUM(I318:I324)</f>
        <v>0</v>
      </c>
      <c r="T319" s="45" t="s">
        <v>41</v>
      </c>
      <c r="U319" s="1738"/>
    </row>
    <row r="320" spans="1:21">
      <c r="A320" s="10" t="s">
        <v>12</v>
      </c>
      <c r="B320" s="200">
        <f>+CHAMNORD!B320</f>
        <v>46337</v>
      </c>
      <c r="C320" s="75" t="str">
        <f>IF(H320=0,"",'[3]2025-2026'!C319)</f>
        <v/>
      </c>
      <c r="D320" s="68" t="str">
        <f>'[3]2025'!C320</f>
        <v/>
      </c>
      <c r="E320" s="68" t="str">
        <f>'[3]2025'!D320</f>
        <v/>
      </c>
      <c r="F320" s="20" t="str">
        <f>'[3]2025'!E320</f>
        <v/>
      </c>
      <c r="G320" s="73" t="str">
        <f>'[3]2025'!F320</f>
        <v/>
      </c>
      <c r="H320" s="42">
        <f>'[3]2025'!G320</f>
        <v>0</v>
      </c>
      <c r="I320" s="13">
        <f>'[3]2025'!H320</f>
        <v>0</v>
      </c>
      <c r="J320" s="14">
        <f>'[3]2025'!I320</f>
        <v>0</v>
      </c>
      <c r="K320" s="15">
        <f>'[3]2025'!J320</f>
        <v>0</v>
      </c>
      <c r="L320" s="15">
        <f>'[3]2025'!K320</f>
        <v>0</v>
      </c>
      <c r="M320" s="15">
        <f>'[3]2025'!L320</f>
        <v>0</v>
      </c>
      <c r="N320" s="16" t="str">
        <f t="shared" si="16"/>
        <v/>
      </c>
      <c r="O320" s="17" t="str">
        <f t="shared" si="17"/>
        <v/>
      </c>
      <c r="P320" s="17" t="str">
        <f t="shared" si="17"/>
        <v/>
      </c>
      <c r="Q320" s="18" t="str">
        <f t="shared" si="18"/>
        <v/>
      </c>
      <c r="R320" s="18" t="e">
        <f t="shared" si="19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</row>
    <row r="321" spans="1:21">
      <c r="A321" s="10" t="s">
        <v>13</v>
      </c>
      <c r="B321" s="200">
        <f>+CHAMNORD!B321</f>
        <v>46338</v>
      </c>
      <c r="C321" s="75" t="str">
        <f>IF(H321=0,"",'[3]2025-2026'!C320)</f>
        <v/>
      </c>
      <c r="D321" s="68" t="str">
        <f>'[3]2025'!C321</f>
        <v/>
      </c>
      <c r="E321" s="68" t="str">
        <f>'[3]2025'!D321</f>
        <v/>
      </c>
      <c r="F321" s="20" t="str">
        <f>'[3]2025'!E321</f>
        <v/>
      </c>
      <c r="G321" s="73" t="str">
        <f>'[3]2025'!F321</f>
        <v/>
      </c>
      <c r="H321" s="42">
        <f>'[3]2025'!G321</f>
        <v>0</v>
      </c>
      <c r="I321" s="13">
        <f>'[3]2025'!H321</f>
        <v>0</v>
      </c>
      <c r="J321" s="14">
        <f>'[3]2025'!I321</f>
        <v>0</v>
      </c>
      <c r="K321" s="15">
        <f>'[3]2025'!J321</f>
        <v>0</v>
      </c>
      <c r="L321" s="15">
        <f>'[3]2025'!K321</f>
        <v>0</v>
      </c>
      <c r="M321" s="15">
        <f>'[3]2025'!L321</f>
        <v>0</v>
      </c>
      <c r="N321" s="16" t="str">
        <f t="shared" si="16"/>
        <v/>
      </c>
      <c r="O321" s="17" t="str">
        <f t="shared" si="17"/>
        <v/>
      </c>
      <c r="P321" s="17" t="str">
        <f t="shared" si="17"/>
        <v/>
      </c>
      <c r="Q321" s="18" t="str">
        <f t="shared" si="18"/>
        <v/>
      </c>
      <c r="R321" s="18" t="e">
        <f t="shared" si="19"/>
        <v>#DIV/0!</v>
      </c>
      <c r="S321" s="34"/>
      <c r="T321" s="29" t="s">
        <v>8</v>
      </c>
      <c r="U321" s="1738"/>
    </row>
    <row r="322" spans="1:21">
      <c r="A322" s="10" t="s">
        <v>14</v>
      </c>
      <c r="B322" s="200">
        <f>+CHAMNORD!B322</f>
        <v>46339</v>
      </c>
      <c r="C322" s="75" t="str">
        <f>IF(H322=0,"",'[3]2025-2026'!C321)</f>
        <v/>
      </c>
      <c r="D322" s="68" t="str">
        <f>'[3]2025'!C322</f>
        <v/>
      </c>
      <c r="E322" s="68" t="str">
        <f>'[3]2025'!D322</f>
        <v/>
      </c>
      <c r="F322" s="20" t="str">
        <f>'[3]2025'!E322</f>
        <v/>
      </c>
      <c r="G322" s="73" t="str">
        <f>'[3]2025'!F322</f>
        <v/>
      </c>
      <c r="H322" s="42">
        <f>'[3]2025'!G322</f>
        <v>0</v>
      </c>
      <c r="I322" s="13">
        <f>'[3]2025'!H322</f>
        <v>0</v>
      </c>
      <c r="J322" s="14">
        <f>'[3]2025'!I322</f>
        <v>0</v>
      </c>
      <c r="K322" s="15">
        <f>'[3]2025'!J322</f>
        <v>0</v>
      </c>
      <c r="L322" s="15">
        <f>'[3]2025'!K322</f>
        <v>0</v>
      </c>
      <c r="M322" s="15">
        <f>'[3]2025'!L322</f>
        <v>0</v>
      </c>
      <c r="N322" s="16" t="str">
        <f t="shared" si="16"/>
        <v/>
      </c>
      <c r="O322" s="17" t="str">
        <f t="shared" si="17"/>
        <v/>
      </c>
      <c r="P322" s="17" t="str">
        <f t="shared" si="17"/>
        <v/>
      </c>
      <c r="Q322" s="18" t="str">
        <f t="shared" si="18"/>
        <v/>
      </c>
      <c r="R322" s="18" t="e">
        <f t="shared" si="19"/>
        <v>#DIV/0!</v>
      </c>
      <c r="S322" s="36" t="s">
        <v>40</v>
      </c>
      <c r="T322" s="48" t="e">
        <f>SUM(I318:I324)/SUM(L318:L324)</f>
        <v>#DIV/0!</v>
      </c>
      <c r="U322" s="1738"/>
    </row>
    <row r="323" spans="1:21">
      <c r="A323" s="10" t="s">
        <v>15</v>
      </c>
      <c r="B323" s="200">
        <f>+CHAMNORD!B323</f>
        <v>46340</v>
      </c>
      <c r="C323" s="75" t="str">
        <f>IF(H323=0,"",'[3]2025-2026'!C322)</f>
        <v/>
      </c>
      <c r="D323" s="68" t="str">
        <f>'[3]2025'!C323</f>
        <v/>
      </c>
      <c r="E323" s="68" t="str">
        <f>'[3]2025'!D323</f>
        <v/>
      </c>
      <c r="F323" s="20" t="str">
        <f>'[3]2025'!E323</f>
        <v/>
      </c>
      <c r="G323" s="73" t="str">
        <f>'[3]2025'!F323</f>
        <v/>
      </c>
      <c r="H323" s="42">
        <f>'[3]2025'!G323</f>
        <v>0</v>
      </c>
      <c r="I323" s="13">
        <f>'[3]2025'!H323</f>
        <v>0</v>
      </c>
      <c r="J323" s="14">
        <f>'[3]2025'!I323</f>
        <v>0</v>
      </c>
      <c r="K323" s="15">
        <f>'[3]2025'!J323</f>
        <v>0</v>
      </c>
      <c r="L323" s="15">
        <f>'[3]2025'!K323</f>
        <v>0</v>
      </c>
      <c r="M323" s="15">
        <f>'[3]2025'!L323</f>
        <v>0</v>
      </c>
      <c r="N323" s="16" t="str">
        <f t="shared" si="16"/>
        <v/>
      </c>
      <c r="O323" s="17" t="str">
        <f t="shared" si="17"/>
        <v/>
      </c>
      <c r="P323" s="17" t="str">
        <f t="shared" si="17"/>
        <v/>
      </c>
      <c r="Q323" s="18" t="str">
        <f t="shared" si="18"/>
        <v/>
      </c>
      <c r="R323" s="18" t="e">
        <f t="shared" si="19"/>
        <v>#DIV/0!</v>
      </c>
      <c r="S323" s="36">
        <f>SUM(J318:J324)</f>
        <v>0</v>
      </c>
      <c r="T323" s="30" t="s">
        <v>3</v>
      </c>
      <c r="U323" s="1738"/>
    </row>
    <row r="324" spans="1:21" ht="18" thickBot="1">
      <c r="A324" s="10" t="s">
        <v>16</v>
      </c>
      <c r="B324" s="200">
        <f>+CHAMNORD!B324</f>
        <v>46341</v>
      </c>
      <c r="C324" s="75" t="str">
        <f>IF(H324=0,"",'[3]2025-2026'!C323)</f>
        <v/>
      </c>
      <c r="D324" s="68" t="str">
        <f>'[3]2025'!C324</f>
        <v/>
      </c>
      <c r="E324" s="68" t="str">
        <f>'[3]2025'!D324</f>
        <v/>
      </c>
      <c r="F324" s="20" t="str">
        <f>'[3]2025'!E324</f>
        <v/>
      </c>
      <c r="G324" s="73" t="str">
        <f>'[3]2025'!F324</f>
        <v/>
      </c>
      <c r="H324" s="42">
        <f>'[3]2025'!G324</f>
        <v>0</v>
      </c>
      <c r="I324" s="13">
        <f>'[3]2025'!H324</f>
        <v>0</v>
      </c>
      <c r="J324" s="14">
        <f>'[3]2025'!I324</f>
        <v>0</v>
      </c>
      <c r="K324" s="15">
        <f>'[3]2025'!J324</f>
        <v>0</v>
      </c>
      <c r="L324" s="15">
        <f>'[3]2025'!K324</f>
        <v>0</v>
      </c>
      <c r="M324" s="15">
        <f>'[3]2025'!L324</f>
        <v>0</v>
      </c>
      <c r="N324" s="16" t="str">
        <f t="shared" ref="N324:N368" si="20">IF(M324=0,"",M324/I324)</f>
        <v/>
      </c>
      <c r="O324" s="17" t="str">
        <f t="shared" ref="O324:P368" si="21">IF(I324=0,"",(I324-E324)/E324)</f>
        <v/>
      </c>
      <c r="P324" s="17" t="str">
        <f t="shared" si="21"/>
        <v/>
      </c>
      <c r="Q324" s="18" t="str">
        <f t="shared" ref="Q324:Q368" si="22">IF(I324=0,"",I324/K324)</f>
        <v/>
      </c>
      <c r="R324" s="18" t="e">
        <f t="shared" ref="R324:R368" si="23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</row>
    <row r="325" spans="1:21" ht="17" customHeight="1" thickTop="1">
      <c r="A325" s="10" t="s">
        <v>9</v>
      </c>
      <c r="B325" s="200">
        <f>+CHAMNORD!B325</f>
        <v>46342</v>
      </c>
      <c r="C325" s="75" t="str">
        <f>IF(H325=0,"",'[3]2025-2026'!C324)</f>
        <v/>
      </c>
      <c r="D325" s="68" t="str">
        <f>'[3]2025'!C325</f>
        <v/>
      </c>
      <c r="E325" s="68" t="str">
        <f>'[3]2025'!D325</f>
        <v/>
      </c>
      <c r="F325" s="20" t="str">
        <f>'[3]2025'!E325</f>
        <v/>
      </c>
      <c r="G325" s="73" t="str">
        <f>'[3]2025'!F325</f>
        <v/>
      </c>
      <c r="H325" s="42">
        <f>'[3]2025'!G325</f>
        <v>0</v>
      </c>
      <c r="I325" s="13">
        <f>'[3]2025'!H325</f>
        <v>0</v>
      </c>
      <c r="J325" s="14">
        <f>'[3]2025'!I325</f>
        <v>0</v>
      </c>
      <c r="K325" s="15">
        <f>'[3]2025'!J325</f>
        <v>0</v>
      </c>
      <c r="L325" s="15">
        <f>'[3]2025'!K325</f>
        <v>0</v>
      </c>
      <c r="M325" s="15">
        <f>'[3]2025'!L325</f>
        <v>0</v>
      </c>
      <c r="N325" s="16" t="str">
        <f t="shared" si="20"/>
        <v/>
      </c>
      <c r="O325" s="17" t="str">
        <f t="shared" si="21"/>
        <v/>
      </c>
      <c r="P325" s="17" t="str">
        <f t="shared" si="21"/>
        <v/>
      </c>
      <c r="Q325" s="18" t="str">
        <f t="shared" si="22"/>
        <v/>
      </c>
      <c r="R325" s="18" t="e">
        <f t="shared" si="23"/>
        <v>#DIV/0!</v>
      </c>
      <c r="S325" s="33" t="s">
        <v>39</v>
      </c>
      <c r="T325" s="31" t="s">
        <v>42</v>
      </c>
      <c r="U325" s="1737" t="s">
        <v>129</v>
      </c>
    </row>
    <row r="326" spans="1:21">
      <c r="A326" s="10" t="s">
        <v>11</v>
      </c>
      <c r="B326" s="200">
        <f>+CHAMNORD!B326</f>
        <v>46343</v>
      </c>
      <c r="C326" s="75" t="str">
        <f>IF(H326=0,"",'[3]2025-2026'!C325)</f>
        <v/>
      </c>
      <c r="D326" s="68" t="str">
        <f>'[3]2025'!C326</f>
        <v/>
      </c>
      <c r="E326" s="68" t="str">
        <f>'[3]2025'!D326</f>
        <v/>
      </c>
      <c r="F326" s="20" t="str">
        <f>'[3]2025'!E326</f>
        <v/>
      </c>
      <c r="G326" s="73" t="str">
        <f>'[3]2025'!F326</f>
        <v/>
      </c>
      <c r="H326" s="42">
        <f>'[3]2025'!G326</f>
        <v>0</v>
      </c>
      <c r="I326" s="13">
        <f>'[3]2025'!H326</f>
        <v>0</v>
      </c>
      <c r="J326" s="14">
        <f>'[3]2025'!I326</f>
        <v>0</v>
      </c>
      <c r="K326" s="15">
        <f>'[3]2025'!J326</f>
        <v>0</v>
      </c>
      <c r="L326" s="15">
        <f>'[3]2025'!K326</f>
        <v>0</v>
      </c>
      <c r="M326" s="15">
        <f>'[3]2025'!L326</f>
        <v>0</v>
      </c>
      <c r="N326" s="16" t="str">
        <f t="shared" si="20"/>
        <v/>
      </c>
      <c r="O326" s="17" t="str">
        <f t="shared" si="21"/>
        <v/>
      </c>
      <c r="P326" s="17" t="str">
        <f t="shared" si="21"/>
        <v/>
      </c>
      <c r="Q326" s="18" t="str">
        <f t="shared" si="22"/>
        <v/>
      </c>
      <c r="R326" s="18" t="e">
        <f t="shared" si="23"/>
        <v>#DIV/0!</v>
      </c>
      <c r="S326" s="34">
        <f>SUM(I325:I331)</f>
        <v>0</v>
      </c>
      <c r="T326" s="45" t="s">
        <v>41</v>
      </c>
      <c r="U326" s="1738"/>
    </row>
    <row r="327" spans="1:21">
      <c r="A327" s="10" t="s">
        <v>12</v>
      </c>
      <c r="B327" s="200">
        <f>+CHAMNORD!B327</f>
        <v>46344</v>
      </c>
      <c r="C327" s="75" t="str">
        <f>IF(H327=0,"",'[3]2025-2026'!C326)</f>
        <v/>
      </c>
      <c r="D327" s="68" t="str">
        <f>'[3]2025'!C327</f>
        <v/>
      </c>
      <c r="E327" s="68" t="str">
        <f>'[3]2025'!D327</f>
        <v/>
      </c>
      <c r="F327" s="20" t="str">
        <f>'[3]2025'!E327</f>
        <v/>
      </c>
      <c r="G327" s="73" t="str">
        <f>'[3]2025'!F327</f>
        <v/>
      </c>
      <c r="H327" s="42">
        <f>'[3]2025'!G327</f>
        <v>0</v>
      </c>
      <c r="I327" s="13">
        <f>'[3]2025'!H327</f>
        <v>0</v>
      </c>
      <c r="J327" s="14">
        <f>'[3]2025'!I327</f>
        <v>0</v>
      </c>
      <c r="K327" s="15">
        <f>'[3]2025'!J327</f>
        <v>0</v>
      </c>
      <c r="L327" s="15">
        <f>'[3]2025'!K327</f>
        <v>0</v>
      </c>
      <c r="M327" s="15">
        <f>'[3]2025'!L327</f>
        <v>0</v>
      </c>
      <c r="N327" s="16" t="str">
        <f t="shared" si="20"/>
        <v/>
      </c>
      <c r="O327" s="17" t="str">
        <f t="shared" si="21"/>
        <v/>
      </c>
      <c r="P327" s="17" t="str">
        <f t="shared" si="21"/>
        <v/>
      </c>
      <c r="Q327" s="18" t="str">
        <f t="shared" si="22"/>
        <v/>
      </c>
      <c r="R327" s="18" t="e">
        <f t="shared" si="23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</row>
    <row r="328" spans="1:21">
      <c r="A328" s="10" t="s">
        <v>13</v>
      </c>
      <c r="B328" s="200">
        <f>+CHAMNORD!B328</f>
        <v>46345</v>
      </c>
      <c r="C328" s="75" t="str">
        <f>IF(H328=0,"",'[3]2025-2026'!C327)</f>
        <v/>
      </c>
      <c r="D328" s="68" t="str">
        <f>'[3]2025'!C328</f>
        <v/>
      </c>
      <c r="E328" s="68" t="str">
        <f>'[3]2025'!D328</f>
        <v/>
      </c>
      <c r="F328" s="20" t="str">
        <f>'[3]2025'!E328</f>
        <v/>
      </c>
      <c r="G328" s="73" t="str">
        <f>'[3]2025'!F328</f>
        <v/>
      </c>
      <c r="H328" s="42">
        <f>'[3]2025'!G328</f>
        <v>0</v>
      </c>
      <c r="I328" s="13">
        <f>'[3]2025'!H328</f>
        <v>0</v>
      </c>
      <c r="J328" s="14">
        <f>'[3]2025'!I328</f>
        <v>0</v>
      </c>
      <c r="K328" s="15">
        <f>'[3]2025'!J328</f>
        <v>0</v>
      </c>
      <c r="L328" s="15">
        <f>'[3]2025'!K328</f>
        <v>0</v>
      </c>
      <c r="M328" s="15">
        <f>'[3]2025'!L328</f>
        <v>0</v>
      </c>
      <c r="N328" s="16" t="str">
        <f t="shared" si="20"/>
        <v/>
      </c>
      <c r="O328" s="17" t="str">
        <f t="shared" si="21"/>
        <v/>
      </c>
      <c r="P328" s="17" t="str">
        <f t="shared" si="21"/>
        <v/>
      </c>
      <c r="Q328" s="18" t="str">
        <f t="shared" si="22"/>
        <v/>
      </c>
      <c r="R328" s="18" t="e">
        <f t="shared" si="23"/>
        <v>#DIV/0!</v>
      </c>
      <c r="S328" s="34"/>
      <c r="T328" s="29" t="s">
        <v>8</v>
      </c>
      <c r="U328" s="1738"/>
    </row>
    <row r="329" spans="1:21">
      <c r="A329" s="10" t="s">
        <v>14</v>
      </c>
      <c r="B329" s="200">
        <f>+CHAMNORD!B329</f>
        <v>46346</v>
      </c>
      <c r="C329" s="75" t="str">
        <f>IF(H329=0,"",'[3]2025-2026'!C328)</f>
        <v/>
      </c>
      <c r="D329" s="68" t="str">
        <f>'[3]2025'!C329</f>
        <v/>
      </c>
      <c r="E329" s="68" t="str">
        <f>'[3]2025'!D329</f>
        <v/>
      </c>
      <c r="F329" s="20" t="str">
        <f>'[3]2025'!E329</f>
        <v/>
      </c>
      <c r="G329" s="73" t="str">
        <f>'[3]2025'!F329</f>
        <v/>
      </c>
      <c r="H329" s="42">
        <f>'[3]2025'!G329</f>
        <v>0</v>
      </c>
      <c r="I329" s="13">
        <f>'[3]2025'!H329</f>
        <v>0</v>
      </c>
      <c r="J329" s="14">
        <f>'[3]2025'!I329</f>
        <v>0</v>
      </c>
      <c r="K329" s="15">
        <f>'[3]2025'!J329</f>
        <v>0</v>
      </c>
      <c r="L329" s="15">
        <f>'[3]2025'!K329</f>
        <v>0</v>
      </c>
      <c r="M329" s="15">
        <f>'[3]2025'!L329</f>
        <v>0</v>
      </c>
      <c r="N329" s="16" t="str">
        <f t="shared" si="20"/>
        <v/>
      </c>
      <c r="O329" s="17" t="str">
        <f t="shared" si="21"/>
        <v/>
      </c>
      <c r="P329" s="17" t="str">
        <f t="shared" si="21"/>
        <v/>
      </c>
      <c r="Q329" s="18" t="str">
        <f t="shared" si="22"/>
        <v/>
      </c>
      <c r="R329" s="18" t="e">
        <f t="shared" si="23"/>
        <v>#DIV/0!</v>
      </c>
      <c r="S329" s="36" t="s">
        <v>40</v>
      </c>
      <c r="T329" s="48" t="e">
        <f>SUM(I325:I331)/SUM(L325:L331)</f>
        <v>#DIV/0!</v>
      </c>
      <c r="U329" s="1738"/>
    </row>
    <row r="330" spans="1:21">
      <c r="A330" s="10" t="s">
        <v>15</v>
      </c>
      <c r="B330" s="200">
        <f>+CHAMNORD!B330</f>
        <v>46347</v>
      </c>
      <c r="C330" s="75" t="str">
        <f>IF(H330=0,"",'[3]2025-2026'!C329)</f>
        <v/>
      </c>
      <c r="D330" s="68" t="str">
        <f>'[3]2025'!C330</f>
        <v/>
      </c>
      <c r="E330" s="68" t="str">
        <f>'[3]2025'!D330</f>
        <v/>
      </c>
      <c r="F330" s="20" t="str">
        <f>'[3]2025'!E330</f>
        <v/>
      </c>
      <c r="G330" s="73" t="str">
        <f>'[3]2025'!F330</f>
        <v/>
      </c>
      <c r="H330" s="42">
        <f>'[3]2025'!G330</f>
        <v>0</v>
      </c>
      <c r="I330" s="13">
        <f>'[3]2025'!H330</f>
        <v>0</v>
      </c>
      <c r="J330" s="14">
        <f>'[3]2025'!I330</f>
        <v>0</v>
      </c>
      <c r="K330" s="15">
        <f>'[3]2025'!J330</f>
        <v>0</v>
      </c>
      <c r="L330" s="15">
        <f>'[3]2025'!K330</f>
        <v>0</v>
      </c>
      <c r="M330" s="15">
        <f>'[3]2025'!L330</f>
        <v>0</v>
      </c>
      <c r="N330" s="16" t="str">
        <f t="shared" si="20"/>
        <v/>
      </c>
      <c r="O330" s="17" t="str">
        <f t="shared" si="21"/>
        <v/>
      </c>
      <c r="P330" s="17" t="str">
        <f t="shared" si="21"/>
        <v/>
      </c>
      <c r="Q330" s="18" t="str">
        <f t="shared" si="22"/>
        <v/>
      </c>
      <c r="R330" s="18" t="e">
        <f t="shared" si="23"/>
        <v>#DIV/0!</v>
      </c>
      <c r="S330" s="36">
        <f>SUM(J325:J331)</f>
        <v>0</v>
      </c>
      <c r="T330" s="30" t="s">
        <v>3</v>
      </c>
      <c r="U330" s="1738"/>
    </row>
    <row r="331" spans="1:21" ht="18" thickBot="1">
      <c r="A331" s="10" t="s">
        <v>16</v>
      </c>
      <c r="B331" s="200">
        <f>+CHAMNORD!B331</f>
        <v>46348</v>
      </c>
      <c r="C331" s="75" t="str">
        <f>IF(H331=0,"",'[3]2025-2026'!C330)</f>
        <v/>
      </c>
      <c r="D331" s="68" t="str">
        <f>'[3]2025'!C331</f>
        <v/>
      </c>
      <c r="E331" s="68" t="str">
        <f>'[3]2025'!D331</f>
        <v/>
      </c>
      <c r="F331" s="20" t="str">
        <f>'[3]2025'!E331</f>
        <v/>
      </c>
      <c r="G331" s="73" t="str">
        <f>'[3]2025'!F331</f>
        <v/>
      </c>
      <c r="H331" s="42">
        <f>'[3]2025'!G331</f>
        <v>0</v>
      </c>
      <c r="I331" s="13">
        <f>'[3]2025'!H331</f>
        <v>0</v>
      </c>
      <c r="J331" s="14">
        <f>'[3]2025'!I331</f>
        <v>0</v>
      </c>
      <c r="K331" s="15">
        <f>'[3]2025'!J331</f>
        <v>0</v>
      </c>
      <c r="L331" s="15">
        <f>'[3]2025'!K331</f>
        <v>0</v>
      </c>
      <c r="M331" s="15">
        <f>'[3]2025'!L331</f>
        <v>0</v>
      </c>
      <c r="N331" s="16" t="str">
        <f t="shared" si="20"/>
        <v/>
      </c>
      <c r="O331" s="17" t="str">
        <f t="shared" si="21"/>
        <v/>
      </c>
      <c r="P331" s="17" t="str">
        <f t="shared" si="21"/>
        <v/>
      </c>
      <c r="Q331" s="18" t="str">
        <f t="shared" si="22"/>
        <v/>
      </c>
      <c r="R331" s="18" t="e">
        <f t="shared" si="23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</row>
    <row r="332" spans="1:21" ht="17" customHeight="1" thickTop="1">
      <c r="A332" s="10" t="s">
        <v>9</v>
      </c>
      <c r="B332" s="200">
        <f>+CHAMNORD!B332</f>
        <v>46349</v>
      </c>
      <c r="C332" s="75" t="str">
        <f>IF(H332=0,"",'[3]2025-2026'!C331)</f>
        <v/>
      </c>
      <c r="D332" s="68" t="str">
        <f>'[3]2025'!C332</f>
        <v/>
      </c>
      <c r="E332" s="68" t="str">
        <f>'[3]2025'!D332</f>
        <v/>
      </c>
      <c r="F332" s="20" t="str">
        <f>'[3]2025'!E332</f>
        <v/>
      </c>
      <c r="G332" s="73" t="str">
        <f>'[3]2025'!F332</f>
        <v/>
      </c>
      <c r="H332" s="42">
        <f>'[3]2025'!G332</f>
        <v>0</v>
      </c>
      <c r="I332" s="13">
        <f>'[3]2025'!H332</f>
        <v>0</v>
      </c>
      <c r="J332" s="14">
        <f>'[3]2025'!I332</f>
        <v>0</v>
      </c>
      <c r="K332" s="15">
        <f>'[3]2025'!J332</f>
        <v>0</v>
      </c>
      <c r="L332" s="15">
        <f>'[3]2025'!K332</f>
        <v>0</v>
      </c>
      <c r="M332" s="15">
        <f>'[3]2025'!L332</f>
        <v>0</v>
      </c>
      <c r="N332" s="16" t="str">
        <f t="shared" si="20"/>
        <v/>
      </c>
      <c r="O332" s="17" t="str">
        <f t="shared" si="21"/>
        <v/>
      </c>
      <c r="P332" s="17" t="str">
        <f t="shared" si="21"/>
        <v/>
      </c>
      <c r="Q332" s="18" t="str">
        <f t="shared" si="22"/>
        <v/>
      </c>
      <c r="R332" s="18" t="e">
        <f t="shared" si="23"/>
        <v>#DIV/0!</v>
      </c>
      <c r="S332" s="33" t="s">
        <v>39</v>
      </c>
      <c r="T332" s="31" t="s">
        <v>42</v>
      </c>
      <c r="U332" s="1737" t="s">
        <v>130</v>
      </c>
    </row>
    <row r="333" spans="1:21">
      <c r="A333" s="10" t="s">
        <v>11</v>
      </c>
      <c r="B333" s="200">
        <f>+CHAMNORD!B333</f>
        <v>46350</v>
      </c>
      <c r="C333" s="75" t="str">
        <f>IF(H333=0,"",'[3]2025-2026'!C332)</f>
        <v/>
      </c>
      <c r="D333" s="68" t="str">
        <f>'[3]2025'!C333</f>
        <v/>
      </c>
      <c r="E333" s="68" t="str">
        <f>'[3]2025'!D333</f>
        <v/>
      </c>
      <c r="F333" s="20" t="str">
        <f>'[3]2025'!E333</f>
        <v/>
      </c>
      <c r="G333" s="73" t="str">
        <f>'[3]2025'!F333</f>
        <v/>
      </c>
      <c r="H333" s="42">
        <f>'[3]2025'!G333</f>
        <v>0</v>
      </c>
      <c r="I333" s="13">
        <f>'[3]2025'!H333</f>
        <v>0</v>
      </c>
      <c r="J333" s="14">
        <f>'[3]2025'!I333</f>
        <v>0</v>
      </c>
      <c r="K333" s="15">
        <f>'[3]2025'!J333</f>
        <v>0</v>
      </c>
      <c r="L333" s="15">
        <f>'[3]2025'!K333</f>
        <v>0</v>
      </c>
      <c r="M333" s="15">
        <f>'[3]2025'!L333</f>
        <v>0</v>
      </c>
      <c r="N333" s="16" t="str">
        <f t="shared" si="20"/>
        <v/>
      </c>
      <c r="O333" s="17" t="str">
        <f t="shared" si="21"/>
        <v/>
      </c>
      <c r="P333" s="17" t="str">
        <f t="shared" si="21"/>
        <v/>
      </c>
      <c r="Q333" s="18" t="str">
        <f t="shared" si="22"/>
        <v/>
      </c>
      <c r="R333" s="18" t="e">
        <f t="shared" si="23"/>
        <v>#DIV/0!</v>
      </c>
      <c r="S333" s="34">
        <f>SUM(I332:I338)</f>
        <v>0</v>
      </c>
      <c r="T333" s="45" t="s">
        <v>41</v>
      </c>
      <c r="U333" s="1738"/>
    </row>
    <row r="334" spans="1:21">
      <c r="A334" s="10" t="s">
        <v>12</v>
      </c>
      <c r="B334" s="200">
        <f>+CHAMNORD!B334</f>
        <v>46351</v>
      </c>
      <c r="C334" s="75" t="str">
        <f>IF(H334=0,"",'[3]2025-2026'!C333)</f>
        <v/>
      </c>
      <c r="D334" s="68" t="str">
        <f>'[3]2025'!C334</f>
        <v/>
      </c>
      <c r="E334" s="68" t="str">
        <f>'[3]2025'!D334</f>
        <v/>
      </c>
      <c r="F334" s="20" t="str">
        <f>'[3]2025'!E334</f>
        <v/>
      </c>
      <c r="G334" s="73" t="str">
        <f>'[3]2025'!F334</f>
        <v/>
      </c>
      <c r="H334" s="42">
        <f>'[3]2025'!G334</f>
        <v>0</v>
      </c>
      <c r="I334" s="13">
        <f>'[3]2025'!H334</f>
        <v>0</v>
      </c>
      <c r="J334" s="14">
        <f>'[3]2025'!I334</f>
        <v>0</v>
      </c>
      <c r="K334" s="15">
        <f>'[3]2025'!J334</f>
        <v>0</v>
      </c>
      <c r="L334" s="15">
        <f>'[3]2025'!K334</f>
        <v>0</v>
      </c>
      <c r="M334" s="15">
        <f>'[3]2025'!L334</f>
        <v>0</v>
      </c>
      <c r="N334" s="16" t="str">
        <f t="shared" si="20"/>
        <v/>
      </c>
      <c r="O334" s="17" t="str">
        <f t="shared" si="21"/>
        <v/>
      </c>
      <c r="P334" s="17" t="str">
        <f t="shared" si="21"/>
        <v/>
      </c>
      <c r="Q334" s="18" t="str">
        <f t="shared" si="22"/>
        <v/>
      </c>
      <c r="R334" s="18" t="e">
        <f t="shared" si="23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</row>
    <row r="335" spans="1:21">
      <c r="A335" s="10" t="s">
        <v>13</v>
      </c>
      <c r="B335" s="200">
        <f>+CHAMNORD!B335</f>
        <v>46352</v>
      </c>
      <c r="C335" s="75" t="str">
        <f>IF(H335=0,"",'[3]2025-2026'!C334)</f>
        <v/>
      </c>
      <c r="D335" s="68" t="str">
        <f>'[3]2025'!C335</f>
        <v/>
      </c>
      <c r="E335" s="68" t="str">
        <f>'[3]2025'!D335</f>
        <v/>
      </c>
      <c r="F335" s="20" t="str">
        <f>'[3]2025'!E335</f>
        <v/>
      </c>
      <c r="G335" s="73" t="str">
        <f>'[3]2025'!F335</f>
        <v/>
      </c>
      <c r="H335" s="42">
        <f>'[3]2025'!G335</f>
        <v>0</v>
      </c>
      <c r="I335" s="13">
        <f>'[3]2025'!H335</f>
        <v>0</v>
      </c>
      <c r="J335" s="14">
        <f>'[3]2025'!I335</f>
        <v>0</v>
      </c>
      <c r="K335" s="15">
        <f>'[3]2025'!J335</f>
        <v>0</v>
      </c>
      <c r="L335" s="15">
        <f>'[3]2025'!K335</f>
        <v>0</v>
      </c>
      <c r="M335" s="15">
        <f>'[3]2025'!L335</f>
        <v>0</v>
      </c>
      <c r="N335" s="16" t="str">
        <f t="shared" si="20"/>
        <v/>
      </c>
      <c r="O335" s="17" t="str">
        <f t="shared" si="21"/>
        <v/>
      </c>
      <c r="P335" s="17" t="str">
        <f t="shared" si="21"/>
        <v/>
      </c>
      <c r="Q335" s="18" t="str">
        <f t="shared" si="22"/>
        <v/>
      </c>
      <c r="R335" s="18" t="e">
        <f t="shared" si="23"/>
        <v>#DIV/0!</v>
      </c>
      <c r="S335" s="34"/>
      <c r="T335" s="29" t="s">
        <v>8</v>
      </c>
      <c r="U335" s="1738"/>
    </row>
    <row r="336" spans="1:21">
      <c r="A336" s="10" t="s">
        <v>14</v>
      </c>
      <c r="B336" s="200">
        <f>+CHAMNORD!B336</f>
        <v>46353</v>
      </c>
      <c r="C336" s="75" t="str">
        <f>IF(H336=0,"",'[3]2025-2026'!C335)</f>
        <v/>
      </c>
      <c r="D336" s="68" t="str">
        <f>'[3]2025'!C336</f>
        <v/>
      </c>
      <c r="E336" s="68" t="str">
        <f>'[3]2025'!D336</f>
        <v/>
      </c>
      <c r="F336" s="20" t="str">
        <f>'[3]2025'!E336</f>
        <v/>
      </c>
      <c r="G336" s="73" t="str">
        <f>'[3]2025'!F336</f>
        <v/>
      </c>
      <c r="H336" s="42">
        <f>'[3]2025'!G336</f>
        <v>0</v>
      </c>
      <c r="I336" s="13">
        <f>'[3]2025'!H336</f>
        <v>0</v>
      </c>
      <c r="J336" s="14">
        <f>'[3]2025'!I336</f>
        <v>0</v>
      </c>
      <c r="K336" s="15">
        <f>'[3]2025'!J336</f>
        <v>0</v>
      </c>
      <c r="L336" s="15">
        <f>'[3]2025'!K336</f>
        <v>0</v>
      </c>
      <c r="M336" s="15">
        <f>'[3]2025'!L336</f>
        <v>0</v>
      </c>
      <c r="N336" s="16" t="str">
        <f t="shared" si="20"/>
        <v/>
      </c>
      <c r="O336" s="17" t="str">
        <f t="shared" si="21"/>
        <v/>
      </c>
      <c r="P336" s="17" t="str">
        <f t="shared" si="21"/>
        <v/>
      </c>
      <c r="Q336" s="18" t="str">
        <f t="shared" si="22"/>
        <v/>
      </c>
      <c r="R336" s="18" t="e">
        <f t="shared" si="23"/>
        <v>#DIV/0!</v>
      </c>
      <c r="S336" s="36" t="s">
        <v>40</v>
      </c>
      <c r="T336" s="48" t="e">
        <f>SUM(I332:I338)/SUM(L332:L338)</f>
        <v>#DIV/0!</v>
      </c>
      <c r="U336" s="1738"/>
    </row>
    <row r="337" spans="1:21">
      <c r="A337" s="10" t="s">
        <v>15</v>
      </c>
      <c r="B337" s="200">
        <f>+CHAMNORD!B337</f>
        <v>46354</v>
      </c>
      <c r="C337" s="75" t="str">
        <f>IF(H337=0,"",'[3]2025-2026'!C336)</f>
        <v/>
      </c>
      <c r="D337" s="68" t="str">
        <f>'[3]2025'!C337</f>
        <v/>
      </c>
      <c r="E337" s="68" t="str">
        <f>'[3]2025'!D337</f>
        <v/>
      </c>
      <c r="F337" s="20" t="str">
        <f>'[3]2025'!E337</f>
        <v/>
      </c>
      <c r="G337" s="73" t="str">
        <f>'[3]2025'!F337</f>
        <v/>
      </c>
      <c r="H337" s="42">
        <f>'[3]2025'!G337</f>
        <v>0</v>
      </c>
      <c r="I337" s="13">
        <f>'[3]2025'!H337</f>
        <v>0</v>
      </c>
      <c r="J337" s="14">
        <f>'[3]2025'!I337</f>
        <v>0</v>
      </c>
      <c r="K337" s="15">
        <f>'[3]2025'!J337</f>
        <v>0</v>
      </c>
      <c r="L337" s="15">
        <f>'[3]2025'!K337</f>
        <v>0</v>
      </c>
      <c r="M337" s="15">
        <f>'[3]2025'!L337</f>
        <v>0</v>
      </c>
      <c r="N337" s="16" t="str">
        <f t="shared" si="20"/>
        <v/>
      </c>
      <c r="O337" s="17" t="str">
        <f t="shared" si="21"/>
        <v/>
      </c>
      <c r="P337" s="17" t="str">
        <f t="shared" si="21"/>
        <v/>
      </c>
      <c r="Q337" s="18" t="str">
        <f t="shared" si="22"/>
        <v/>
      </c>
      <c r="R337" s="18" t="e">
        <f t="shared" si="23"/>
        <v>#DIV/0!</v>
      </c>
      <c r="S337" s="36">
        <f>SUM(J332:J338)</f>
        <v>0</v>
      </c>
      <c r="T337" s="30" t="s">
        <v>3</v>
      </c>
      <c r="U337" s="1738"/>
    </row>
    <row r="338" spans="1:21" ht="18" thickBot="1">
      <c r="A338" s="10" t="s">
        <v>16</v>
      </c>
      <c r="B338" s="200">
        <f>+CHAMNORD!B338</f>
        <v>46355</v>
      </c>
      <c r="C338" s="75" t="str">
        <f>IF(H338=0,"",'[3]2025-2026'!C337)</f>
        <v/>
      </c>
      <c r="D338" s="68" t="str">
        <f>'[3]2025'!C338</f>
        <v/>
      </c>
      <c r="E338" s="68" t="str">
        <f>'[3]2025'!D338</f>
        <v/>
      </c>
      <c r="F338" s="20" t="str">
        <f>'[3]2025'!E338</f>
        <v/>
      </c>
      <c r="G338" s="73" t="str">
        <f>'[3]2025'!F338</f>
        <v/>
      </c>
      <c r="H338" s="42">
        <f>'[3]2025'!G338</f>
        <v>0</v>
      </c>
      <c r="I338" s="13">
        <f>'[3]2025'!H338</f>
        <v>0</v>
      </c>
      <c r="J338" s="14">
        <f>'[3]2025'!I338</f>
        <v>0</v>
      </c>
      <c r="K338" s="15">
        <f>'[3]2025'!J338</f>
        <v>0</v>
      </c>
      <c r="L338" s="15">
        <f>'[3]2025'!K338</f>
        <v>0</v>
      </c>
      <c r="M338" s="15">
        <f>'[3]2025'!L338</f>
        <v>0</v>
      </c>
      <c r="N338" s="16" t="str">
        <f t="shared" si="20"/>
        <v/>
      </c>
      <c r="O338" s="17" t="str">
        <f t="shared" si="21"/>
        <v/>
      </c>
      <c r="P338" s="17" t="str">
        <f t="shared" si="21"/>
        <v/>
      </c>
      <c r="Q338" s="18" t="str">
        <f t="shared" si="22"/>
        <v/>
      </c>
      <c r="R338" s="18" t="e">
        <f t="shared" si="23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1" ht="17" customHeight="1" thickTop="1">
      <c r="A339" s="10" t="s">
        <v>9</v>
      </c>
      <c r="B339" s="200">
        <f>+CHAMNORD!B339</f>
        <v>46356</v>
      </c>
      <c r="C339" s="75" t="str">
        <f>IF(H339=0,"",'[3]2025-2026'!C338)</f>
        <v/>
      </c>
      <c r="D339" s="68" t="str">
        <f>'[3]2025'!C339</f>
        <v/>
      </c>
      <c r="E339" s="68" t="str">
        <f>'[3]2025'!D339</f>
        <v/>
      </c>
      <c r="F339" s="20" t="str">
        <f>'[3]2025'!E339</f>
        <v/>
      </c>
      <c r="G339" s="73" t="str">
        <f>'[3]2025'!F339</f>
        <v/>
      </c>
      <c r="H339" s="42">
        <f>'[3]2025'!G339</f>
        <v>0</v>
      </c>
      <c r="I339" s="13">
        <f>'[3]2025'!H339</f>
        <v>0</v>
      </c>
      <c r="J339" s="14">
        <f>'[3]2025'!I339</f>
        <v>0</v>
      </c>
      <c r="K339" s="15">
        <f>'[3]2025'!J339</f>
        <v>0</v>
      </c>
      <c r="L339" s="15">
        <f>'[3]2025'!K339</f>
        <v>0</v>
      </c>
      <c r="M339" s="15">
        <f>'[3]2025'!L339</f>
        <v>0</v>
      </c>
      <c r="N339" s="16" t="str">
        <f t="shared" si="20"/>
        <v/>
      </c>
      <c r="O339" s="17" t="str">
        <f t="shared" si="21"/>
        <v/>
      </c>
      <c r="P339" s="17" t="str">
        <f t="shared" si="21"/>
        <v/>
      </c>
      <c r="Q339" s="18" t="str">
        <f t="shared" si="22"/>
        <v/>
      </c>
      <c r="R339" s="18" t="e">
        <f t="shared" si="23"/>
        <v>#DIV/0!</v>
      </c>
      <c r="S339" s="33" t="s">
        <v>39</v>
      </c>
      <c r="T339" s="31" t="s">
        <v>42</v>
      </c>
      <c r="U339" s="1737" t="s">
        <v>131</v>
      </c>
    </row>
    <row r="340" spans="1:21">
      <c r="A340" s="10" t="s">
        <v>11</v>
      </c>
      <c r="B340" s="200">
        <f>+CHAMNORD!B340</f>
        <v>46357</v>
      </c>
      <c r="C340" s="75" t="str">
        <f>IF(H340=0,"",'[3]2025-2026'!C339)</f>
        <v/>
      </c>
      <c r="D340" s="68" t="str">
        <f>'[3]2025'!C340</f>
        <v/>
      </c>
      <c r="E340" s="68" t="str">
        <f>'[3]2025'!D340</f>
        <v/>
      </c>
      <c r="F340" s="20" t="str">
        <f>'[3]2025'!E340</f>
        <v/>
      </c>
      <c r="G340" s="73" t="str">
        <f>'[3]2025'!F340</f>
        <v/>
      </c>
      <c r="H340" s="42">
        <f>'[3]2025'!G340</f>
        <v>0</v>
      </c>
      <c r="I340" s="13">
        <f>'[3]2025'!H340</f>
        <v>0</v>
      </c>
      <c r="J340" s="14">
        <f>'[3]2025'!I340</f>
        <v>0</v>
      </c>
      <c r="K340" s="15">
        <f>'[3]2025'!J340</f>
        <v>0</v>
      </c>
      <c r="L340" s="15">
        <f>'[3]2025'!K340</f>
        <v>0</v>
      </c>
      <c r="M340" s="15">
        <f>'[3]2025'!L340</f>
        <v>0</v>
      </c>
      <c r="N340" s="16" t="str">
        <f t="shared" si="20"/>
        <v/>
      </c>
      <c r="O340" s="17" t="str">
        <f t="shared" si="21"/>
        <v/>
      </c>
      <c r="P340" s="17" t="str">
        <f t="shared" si="21"/>
        <v/>
      </c>
      <c r="Q340" s="18" t="str">
        <f t="shared" si="22"/>
        <v/>
      </c>
      <c r="R340" s="18" t="e">
        <f t="shared" si="23"/>
        <v>#DIV/0!</v>
      </c>
      <c r="S340" s="34">
        <f>SUM(I339:I345)</f>
        <v>0</v>
      </c>
      <c r="T340" s="45" t="s">
        <v>41</v>
      </c>
      <c r="U340" s="1738"/>
    </row>
    <row r="341" spans="1:21">
      <c r="A341" s="10" t="s">
        <v>12</v>
      </c>
      <c r="B341" s="200">
        <f>+CHAMNORD!B341</f>
        <v>46358</v>
      </c>
      <c r="C341" s="75" t="str">
        <f>IF(H341=0,"",'[3]2025-2026'!C340)</f>
        <v/>
      </c>
      <c r="D341" s="68" t="str">
        <f>'[3]2025'!C341</f>
        <v/>
      </c>
      <c r="E341" s="68" t="str">
        <f>'[3]2025'!D341</f>
        <v/>
      </c>
      <c r="F341" s="20" t="str">
        <f>'[3]2025'!E341</f>
        <v/>
      </c>
      <c r="G341" s="73" t="str">
        <f>'[3]2025'!F341</f>
        <v/>
      </c>
      <c r="H341" s="42">
        <f>'[3]2025'!G341</f>
        <v>0</v>
      </c>
      <c r="I341" s="13">
        <f>'[3]2025'!H341</f>
        <v>0</v>
      </c>
      <c r="J341" s="14">
        <f>'[3]2025'!I341</f>
        <v>0</v>
      </c>
      <c r="K341" s="15">
        <f>'[3]2025'!J341</f>
        <v>0</v>
      </c>
      <c r="L341" s="15">
        <f>'[3]2025'!K341</f>
        <v>0</v>
      </c>
      <c r="M341" s="15">
        <f>'[3]2025'!L341</f>
        <v>0</v>
      </c>
      <c r="N341" s="16" t="str">
        <f t="shared" si="20"/>
        <v/>
      </c>
      <c r="O341" s="17" t="str">
        <f t="shared" si="21"/>
        <v/>
      </c>
      <c r="P341" s="17" t="str">
        <f t="shared" si="21"/>
        <v/>
      </c>
      <c r="Q341" s="18" t="str">
        <f t="shared" si="22"/>
        <v/>
      </c>
      <c r="R341" s="18" t="e">
        <f t="shared" si="23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1">
      <c r="A342" s="10" t="s">
        <v>13</v>
      </c>
      <c r="B342" s="200">
        <f>+CHAMNORD!B342</f>
        <v>46359</v>
      </c>
      <c r="C342" s="75" t="str">
        <f>IF(H342=0,"",'[3]2025-2026'!C341)</f>
        <v/>
      </c>
      <c r="D342" s="68" t="str">
        <f>'[3]2025'!C342</f>
        <v/>
      </c>
      <c r="E342" s="68" t="str">
        <f>'[3]2025'!D342</f>
        <v/>
      </c>
      <c r="F342" s="20" t="str">
        <f>'[3]2025'!E342</f>
        <v/>
      </c>
      <c r="G342" s="73" t="str">
        <f>'[3]2025'!F342</f>
        <v/>
      </c>
      <c r="H342" s="42">
        <f>'[3]2025'!G342</f>
        <v>0</v>
      </c>
      <c r="I342" s="13">
        <f>'[3]2025'!H342</f>
        <v>0</v>
      </c>
      <c r="J342" s="14">
        <f>'[3]2025'!I342</f>
        <v>0</v>
      </c>
      <c r="K342" s="15">
        <f>'[3]2025'!J342</f>
        <v>0</v>
      </c>
      <c r="L342" s="15">
        <f>'[3]2025'!K342</f>
        <v>0</v>
      </c>
      <c r="M342" s="15">
        <f>'[3]2025'!L342</f>
        <v>0</v>
      </c>
      <c r="N342" s="16" t="str">
        <f t="shared" si="20"/>
        <v/>
      </c>
      <c r="O342" s="17" t="str">
        <f t="shared" si="21"/>
        <v/>
      </c>
      <c r="P342" s="17" t="str">
        <f t="shared" si="21"/>
        <v/>
      </c>
      <c r="Q342" s="18" t="str">
        <f t="shared" si="22"/>
        <v/>
      </c>
      <c r="R342" s="18" t="e">
        <f t="shared" si="23"/>
        <v>#DIV/0!</v>
      </c>
      <c r="S342" s="34"/>
      <c r="T342" s="29" t="s">
        <v>8</v>
      </c>
      <c r="U342" s="1738"/>
    </row>
    <row r="343" spans="1:21">
      <c r="A343" s="10" t="s">
        <v>14</v>
      </c>
      <c r="B343" s="200">
        <f>+CHAMNORD!B343</f>
        <v>46360</v>
      </c>
      <c r="C343" s="75" t="str">
        <f>IF(H343=0,"",'[3]2025-2026'!C342)</f>
        <v/>
      </c>
      <c r="D343" s="68" t="str">
        <f>'[3]2025'!C343</f>
        <v/>
      </c>
      <c r="E343" s="68" t="str">
        <f>'[3]2025'!D343</f>
        <v/>
      </c>
      <c r="F343" s="20" t="str">
        <f>'[3]2025'!E343</f>
        <v/>
      </c>
      <c r="G343" s="73" t="str">
        <f>'[3]2025'!F343</f>
        <v/>
      </c>
      <c r="H343" s="42">
        <f>'[3]2025'!G343</f>
        <v>0</v>
      </c>
      <c r="I343" s="13">
        <f>'[3]2025'!H343</f>
        <v>0</v>
      </c>
      <c r="J343" s="14">
        <f>'[3]2025'!I343</f>
        <v>0</v>
      </c>
      <c r="K343" s="15">
        <f>'[3]2025'!J343</f>
        <v>0</v>
      </c>
      <c r="L343" s="15">
        <f>'[3]2025'!K343</f>
        <v>0</v>
      </c>
      <c r="M343" s="15">
        <f>'[3]2025'!L343</f>
        <v>0</v>
      </c>
      <c r="N343" s="16" t="str">
        <f t="shared" si="20"/>
        <v/>
      </c>
      <c r="O343" s="17" t="str">
        <f t="shared" si="21"/>
        <v/>
      </c>
      <c r="P343" s="17" t="str">
        <f t="shared" si="21"/>
        <v/>
      </c>
      <c r="Q343" s="18" t="str">
        <f t="shared" si="22"/>
        <v/>
      </c>
      <c r="R343" s="18" t="e">
        <f t="shared" si="23"/>
        <v>#DIV/0!</v>
      </c>
      <c r="S343" s="36" t="s">
        <v>40</v>
      </c>
      <c r="T343" s="48" t="e">
        <f>SUM(I339:I345)/SUM(L339:L345)</f>
        <v>#DIV/0!</v>
      </c>
      <c r="U343" s="1738"/>
    </row>
    <row r="344" spans="1:21">
      <c r="A344" s="10" t="s">
        <v>15</v>
      </c>
      <c r="B344" s="200">
        <f>+CHAMNORD!B344</f>
        <v>46361</v>
      </c>
      <c r="C344" s="75" t="str">
        <f>IF(H344=0,"",'[3]2025-2026'!C343)</f>
        <v/>
      </c>
      <c r="D344" s="68" t="str">
        <f>'[3]2025'!C344</f>
        <v/>
      </c>
      <c r="E344" s="68" t="str">
        <f>'[3]2025'!D344</f>
        <v/>
      </c>
      <c r="F344" s="20" t="str">
        <f>'[3]2025'!E344</f>
        <v/>
      </c>
      <c r="G344" s="73" t="str">
        <f>'[3]2025'!F344</f>
        <v/>
      </c>
      <c r="H344" s="42">
        <f>'[3]2025'!G344</f>
        <v>0</v>
      </c>
      <c r="I344" s="13">
        <f>'[3]2025'!H344</f>
        <v>0</v>
      </c>
      <c r="J344" s="14">
        <f>'[3]2025'!I344</f>
        <v>0</v>
      </c>
      <c r="K344" s="15">
        <f>'[3]2025'!J344</f>
        <v>0</v>
      </c>
      <c r="L344" s="15">
        <f>'[3]2025'!K344</f>
        <v>0</v>
      </c>
      <c r="M344" s="15">
        <f>'[3]2025'!L344</f>
        <v>0</v>
      </c>
      <c r="N344" s="16" t="str">
        <f t="shared" si="20"/>
        <v/>
      </c>
      <c r="O344" s="17" t="str">
        <f t="shared" si="21"/>
        <v/>
      </c>
      <c r="P344" s="17" t="str">
        <f t="shared" si="21"/>
        <v/>
      </c>
      <c r="Q344" s="18" t="str">
        <f t="shared" si="22"/>
        <v/>
      </c>
      <c r="R344" s="18" t="e">
        <f t="shared" si="23"/>
        <v>#DIV/0!</v>
      </c>
      <c r="S344" s="36">
        <f>SUM(J339:J345)</f>
        <v>0</v>
      </c>
      <c r="T344" s="30" t="s">
        <v>3</v>
      </c>
      <c r="U344" s="1738"/>
    </row>
    <row r="345" spans="1:21" ht="18" thickBot="1">
      <c r="A345" s="10" t="s">
        <v>16</v>
      </c>
      <c r="B345" s="200">
        <f>+CHAMNORD!B345</f>
        <v>46362</v>
      </c>
      <c r="C345" s="75" t="str">
        <f>IF(H345=0,"",'[3]2025-2026'!C344)</f>
        <v/>
      </c>
      <c r="D345" s="68" t="str">
        <f>'[3]2025'!C345</f>
        <v/>
      </c>
      <c r="E345" s="68" t="str">
        <f>'[3]2025'!D345</f>
        <v/>
      </c>
      <c r="F345" s="20" t="str">
        <f>'[3]2025'!E345</f>
        <v/>
      </c>
      <c r="G345" s="73" t="str">
        <f>'[3]2025'!F345</f>
        <v/>
      </c>
      <c r="H345" s="42">
        <f>'[3]2025'!G345</f>
        <v>0</v>
      </c>
      <c r="I345" s="13">
        <f>'[3]2025'!H345</f>
        <v>0</v>
      </c>
      <c r="J345" s="14">
        <f>'[3]2025'!I345</f>
        <v>0</v>
      </c>
      <c r="K345" s="15">
        <f>'[3]2025'!J345</f>
        <v>0</v>
      </c>
      <c r="L345" s="15">
        <f>'[3]2025'!K345</f>
        <v>0</v>
      </c>
      <c r="M345" s="15">
        <f>'[3]2025'!L345</f>
        <v>0</v>
      </c>
      <c r="N345" s="16" t="str">
        <f t="shared" si="20"/>
        <v/>
      </c>
      <c r="O345" s="17" t="str">
        <f t="shared" si="21"/>
        <v/>
      </c>
      <c r="P345" s="17" t="str">
        <f t="shared" si="21"/>
        <v/>
      </c>
      <c r="Q345" s="18" t="str">
        <f t="shared" si="22"/>
        <v/>
      </c>
      <c r="R345" s="18" t="e">
        <f t="shared" si="23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1" ht="17" customHeight="1" thickTop="1">
      <c r="A346" s="10" t="s">
        <v>9</v>
      </c>
      <c r="B346" s="200">
        <f>+CHAMNORD!B346</f>
        <v>46363</v>
      </c>
      <c r="C346" s="75" t="str">
        <f>IF(H346=0,"",'[3]2025-2026'!C345)</f>
        <v/>
      </c>
      <c r="D346" s="68" t="str">
        <f>'[3]2025'!C346</f>
        <v/>
      </c>
      <c r="E346" s="68" t="str">
        <f>'[3]2025'!D346</f>
        <v/>
      </c>
      <c r="F346" s="20" t="str">
        <f>'[3]2025'!E346</f>
        <v/>
      </c>
      <c r="G346" s="73" t="str">
        <f>'[3]2025'!F346</f>
        <v/>
      </c>
      <c r="H346" s="42">
        <f>'[3]2025'!G346</f>
        <v>0</v>
      </c>
      <c r="I346" s="13">
        <f>'[3]2025'!H346</f>
        <v>0</v>
      </c>
      <c r="J346" s="14">
        <f>'[3]2025'!I346</f>
        <v>0</v>
      </c>
      <c r="K346" s="15">
        <f>'[3]2025'!J346</f>
        <v>0</v>
      </c>
      <c r="L346" s="15">
        <f>'[3]2025'!K346</f>
        <v>0</v>
      </c>
      <c r="M346" s="15">
        <f>'[3]2025'!L346</f>
        <v>0</v>
      </c>
      <c r="N346" s="16" t="str">
        <f t="shared" si="20"/>
        <v/>
      </c>
      <c r="O346" s="17" t="str">
        <f t="shared" si="21"/>
        <v/>
      </c>
      <c r="P346" s="17" t="str">
        <f t="shared" si="21"/>
        <v/>
      </c>
      <c r="Q346" s="18" t="str">
        <f t="shared" si="22"/>
        <v/>
      </c>
      <c r="R346" s="18" t="e">
        <f t="shared" si="23"/>
        <v>#DIV/0!</v>
      </c>
      <c r="S346" s="33" t="s">
        <v>39</v>
      </c>
      <c r="T346" s="31" t="s">
        <v>42</v>
      </c>
      <c r="U346" s="1737" t="s">
        <v>132</v>
      </c>
    </row>
    <row r="347" spans="1:21">
      <c r="A347" s="10" t="s">
        <v>11</v>
      </c>
      <c r="B347" s="200">
        <f>+CHAMNORD!B347</f>
        <v>46364</v>
      </c>
      <c r="C347" s="75" t="str">
        <f>IF(H347=0,"",'[3]2025-2026'!C346)</f>
        <v/>
      </c>
      <c r="D347" s="68" t="str">
        <f>'[3]2025'!C347</f>
        <v/>
      </c>
      <c r="E347" s="68" t="str">
        <f>'[3]2025'!D347</f>
        <v/>
      </c>
      <c r="F347" s="20" t="str">
        <f>'[3]2025'!E347</f>
        <v/>
      </c>
      <c r="G347" s="73" t="str">
        <f>'[3]2025'!F347</f>
        <v/>
      </c>
      <c r="H347" s="42">
        <f>'[3]2025'!G347</f>
        <v>0</v>
      </c>
      <c r="I347" s="13">
        <f>'[3]2025'!H347</f>
        <v>0</v>
      </c>
      <c r="J347" s="14">
        <f>'[3]2025'!I347</f>
        <v>0</v>
      </c>
      <c r="K347" s="15">
        <f>'[3]2025'!J347</f>
        <v>0</v>
      </c>
      <c r="L347" s="15">
        <f>'[3]2025'!K347</f>
        <v>0</v>
      </c>
      <c r="M347" s="15">
        <f>'[3]2025'!L347</f>
        <v>0</v>
      </c>
      <c r="N347" s="16" t="str">
        <f t="shared" si="20"/>
        <v/>
      </c>
      <c r="O347" s="17" t="str">
        <f t="shared" si="21"/>
        <v/>
      </c>
      <c r="P347" s="17" t="str">
        <f t="shared" si="21"/>
        <v/>
      </c>
      <c r="Q347" s="18" t="str">
        <f t="shared" si="22"/>
        <v/>
      </c>
      <c r="R347" s="18" t="e">
        <f t="shared" si="23"/>
        <v>#DIV/0!</v>
      </c>
      <c r="S347" s="34">
        <f>SUM(I346:I352)</f>
        <v>0</v>
      </c>
      <c r="T347" s="45" t="s">
        <v>41</v>
      </c>
      <c r="U347" s="1738"/>
    </row>
    <row r="348" spans="1:21">
      <c r="A348" s="10" t="s">
        <v>12</v>
      </c>
      <c r="B348" s="200">
        <f>+CHAMNORD!B348</f>
        <v>46365</v>
      </c>
      <c r="C348" s="75" t="str">
        <f>IF(H348=0,"",'[3]2025-2026'!C347)</f>
        <v/>
      </c>
      <c r="D348" s="68" t="str">
        <f>'[3]2025'!C348</f>
        <v/>
      </c>
      <c r="E348" s="68" t="str">
        <f>'[3]2025'!D348</f>
        <v/>
      </c>
      <c r="F348" s="20" t="str">
        <f>'[3]2025'!E348</f>
        <v/>
      </c>
      <c r="G348" s="73" t="str">
        <f>'[3]2025'!F348</f>
        <v/>
      </c>
      <c r="H348" s="42">
        <f>'[3]2025'!G348</f>
        <v>0</v>
      </c>
      <c r="I348" s="13">
        <f>'[3]2025'!H348</f>
        <v>0</v>
      </c>
      <c r="J348" s="14">
        <f>'[3]2025'!I348</f>
        <v>0</v>
      </c>
      <c r="K348" s="15">
        <f>'[3]2025'!J348</f>
        <v>0</v>
      </c>
      <c r="L348" s="15">
        <f>'[3]2025'!K348</f>
        <v>0</v>
      </c>
      <c r="M348" s="15">
        <f>'[3]2025'!L348</f>
        <v>0</v>
      </c>
      <c r="N348" s="16" t="str">
        <f t="shared" si="20"/>
        <v/>
      </c>
      <c r="O348" s="17" t="str">
        <f t="shared" si="21"/>
        <v/>
      </c>
      <c r="P348" s="17" t="str">
        <f t="shared" si="21"/>
        <v/>
      </c>
      <c r="Q348" s="18" t="str">
        <f t="shared" si="22"/>
        <v/>
      </c>
      <c r="R348" s="18" t="e">
        <f t="shared" si="23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1">
      <c r="A349" s="10" t="s">
        <v>13</v>
      </c>
      <c r="B349" s="200">
        <f>+CHAMNORD!B349</f>
        <v>46366</v>
      </c>
      <c r="C349" s="75" t="str">
        <f>IF(H349=0,"",'[3]2025-2026'!C348)</f>
        <v/>
      </c>
      <c r="D349" s="68" t="str">
        <f>'[3]2025'!C349</f>
        <v/>
      </c>
      <c r="E349" s="68" t="str">
        <f>'[3]2025'!D349</f>
        <v/>
      </c>
      <c r="F349" s="20" t="str">
        <f>'[3]2025'!E349</f>
        <v/>
      </c>
      <c r="G349" s="73" t="str">
        <f>'[3]2025'!F349</f>
        <v/>
      </c>
      <c r="H349" s="42">
        <f>'[3]2025'!G349</f>
        <v>0</v>
      </c>
      <c r="I349" s="13">
        <f>'[3]2025'!H349</f>
        <v>0</v>
      </c>
      <c r="J349" s="14">
        <f>'[3]2025'!I349</f>
        <v>0</v>
      </c>
      <c r="K349" s="15">
        <f>'[3]2025'!J349</f>
        <v>0</v>
      </c>
      <c r="L349" s="15">
        <f>'[3]2025'!K349</f>
        <v>0</v>
      </c>
      <c r="M349" s="15">
        <f>'[3]2025'!L349</f>
        <v>0</v>
      </c>
      <c r="N349" s="16" t="str">
        <f t="shared" si="20"/>
        <v/>
      </c>
      <c r="O349" s="17" t="str">
        <f t="shared" si="21"/>
        <v/>
      </c>
      <c r="P349" s="17" t="str">
        <f t="shared" si="21"/>
        <v/>
      </c>
      <c r="Q349" s="18" t="str">
        <f t="shared" si="22"/>
        <v/>
      </c>
      <c r="R349" s="18" t="e">
        <f t="shared" si="23"/>
        <v>#DIV/0!</v>
      </c>
      <c r="S349" s="34"/>
      <c r="T349" s="29" t="s">
        <v>8</v>
      </c>
      <c r="U349" s="1738"/>
    </row>
    <row r="350" spans="1:21">
      <c r="A350" s="10" t="s">
        <v>14</v>
      </c>
      <c r="B350" s="200">
        <f>+CHAMNORD!B350</f>
        <v>46367</v>
      </c>
      <c r="C350" s="75" t="str">
        <f>IF(H350=0,"",'[3]2025-2026'!C349)</f>
        <v/>
      </c>
      <c r="D350" s="68" t="str">
        <f>'[3]2025'!C350</f>
        <v/>
      </c>
      <c r="E350" s="68" t="str">
        <f>'[3]2025'!D350</f>
        <v/>
      </c>
      <c r="F350" s="20" t="str">
        <f>'[3]2025'!E350</f>
        <v/>
      </c>
      <c r="G350" s="73" t="str">
        <f>'[3]2025'!F350</f>
        <v/>
      </c>
      <c r="H350" s="42">
        <f>'[3]2025'!G350</f>
        <v>0</v>
      </c>
      <c r="I350" s="13">
        <f>'[3]2025'!H350</f>
        <v>0</v>
      </c>
      <c r="J350" s="14">
        <f>'[3]2025'!I350</f>
        <v>0</v>
      </c>
      <c r="K350" s="15">
        <f>'[3]2025'!J350</f>
        <v>0</v>
      </c>
      <c r="L350" s="15">
        <f>'[3]2025'!K350</f>
        <v>0</v>
      </c>
      <c r="M350" s="15">
        <f>'[3]2025'!L350</f>
        <v>0</v>
      </c>
      <c r="N350" s="16" t="str">
        <f t="shared" si="20"/>
        <v/>
      </c>
      <c r="O350" s="17" t="str">
        <f t="shared" si="21"/>
        <v/>
      </c>
      <c r="P350" s="17" t="str">
        <f t="shared" si="21"/>
        <v/>
      </c>
      <c r="Q350" s="18" t="str">
        <f t="shared" si="22"/>
        <v/>
      </c>
      <c r="R350" s="18" t="e">
        <f t="shared" si="23"/>
        <v>#DIV/0!</v>
      </c>
      <c r="S350" s="36" t="s">
        <v>40</v>
      </c>
      <c r="T350" s="48" t="e">
        <f>SUM(I346:I352)/SUM(L346:L352)</f>
        <v>#DIV/0!</v>
      </c>
      <c r="U350" s="1738"/>
    </row>
    <row r="351" spans="1:21">
      <c r="A351" s="10" t="s">
        <v>15</v>
      </c>
      <c r="B351" s="200">
        <f>+CHAMNORD!B351</f>
        <v>46368</v>
      </c>
      <c r="C351" s="75" t="str">
        <f>IF(H351=0,"",'[3]2025-2026'!C350)</f>
        <v/>
      </c>
      <c r="D351" s="68" t="str">
        <f>'[3]2025'!C351</f>
        <v/>
      </c>
      <c r="E351" s="68" t="str">
        <f>'[3]2025'!D351</f>
        <v/>
      </c>
      <c r="F351" s="20" t="str">
        <f>'[3]2025'!E351</f>
        <v/>
      </c>
      <c r="G351" s="73" t="str">
        <f>'[3]2025'!F351</f>
        <v/>
      </c>
      <c r="H351" s="42">
        <f>'[3]2025'!G351</f>
        <v>0</v>
      </c>
      <c r="I351" s="13">
        <f>'[3]2025'!H351</f>
        <v>0</v>
      </c>
      <c r="J351" s="14">
        <f>'[3]2025'!I351</f>
        <v>0</v>
      </c>
      <c r="K351" s="15">
        <f>'[3]2025'!J351</f>
        <v>0</v>
      </c>
      <c r="L351" s="15">
        <f>'[3]2025'!K351</f>
        <v>0</v>
      </c>
      <c r="M351" s="15">
        <f>'[3]2025'!L351</f>
        <v>0</v>
      </c>
      <c r="N351" s="16" t="str">
        <f t="shared" si="20"/>
        <v/>
      </c>
      <c r="O351" s="17" t="str">
        <f t="shared" si="21"/>
        <v/>
      </c>
      <c r="P351" s="17" t="str">
        <f t="shared" si="21"/>
        <v/>
      </c>
      <c r="Q351" s="18" t="str">
        <f t="shared" si="22"/>
        <v/>
      </c>
      <c r="R351" s="18" t="e">
        <f t="shared" si="23"/>
        <v>#DIV/0!</v>
      </c>
      <c r="S351" s="36">
        <f>SUM(J346:J352)</f>
        <v>0</v>
      </c>
      <c r="T351" s="30" t="s">
        <v>3</v>
      </c>
      <c r="U351" s="1738"/>
    </row>
    <row r="352" spans="1:21" ht="18" thickBot="1">
      <c r="A352" s="10" t="s">
        <v>16</v>
      </c>
      <c r="B352" s="200">
        <f>+CHAMNORD!B352</f>
        <v>46369</v>
      </c>
      <c r="C352" s="75" t="str">
        <f>IF(H352=0,"",'[3]2025-2026'!C351)</f>
        <v/>
      </c>
      <c r="D352" s="68" t="str">
        <f>'[3]2025'!C352</f>
        <v/>
      </c>
      <c r="E352" s="68" t="str">
        <f>'[3]2025'!D352</f>
        <v/>
      </c>
      <c r="F352" s="20" t="str">
        <f>'[3]2025'!E352</f>
        <v/>
      </c>
      <c r="G352" s="73" t="str">
        <f>'[3]2025'!F352</f>
        <v/>
      </c>
      <c r="H352" s="42">
        <f>'[3]2025'!G352</f>
        <v>0</v>
      </c>
      <c r="I352" s="13">
        <f>'[3]2025'!H352</f>
        <v>0</v>
      </c>
      <c r="J352" s="14">
        <f>'[3]2025'!I352</f>
        <v>0</v>
      </c>
      <c r="K352" s="15">
        <f>'[3]2025'!J352</f>
        <v>0</v>
      </c>
      <c r="L352" s="15">
        <f>'[3]2025'!K352</f>
        <v>0</v>
      </c>
      <c r="M352" s="15">
        <f>'[3]2025'!L352</f>
        <v>0</v>
      </c>
      <c r="N352" s="16" t="str">
        <f t="shared" si="20"/>
        <v/>
      </c>
      <c r="O352" s="17" t="str">
        <f t="shared" si="21"/>
        <v/>
      </c>
      <c r="P352" s="17" t="str">
        <f t="shared" si="21"/>
        <v/>
      </c>
      <c r="Q352" s="18" t="str">
        <f t="shared" si="22"/>
        <v/>
      </c>
      <c r="R352" s="18" t="e">
        <f t="shared" si="23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200">
        <f>+CHAMNORD!B353</f>
        <v>46370</v>
      </c>
      <c r="C353" s="75" t="str">
        <f>IF(H353=0,"",'[3]2025-2026'!C352)</f>
        <v/>
      </c>
      <c r="D353" s="68" t="str">
        <f>'[3]2025'!C353</f>
        <v/>
      </c>
      <c r="E353" s="68" t="str">
        <f>'[3]2025'!D353</f>
        <v/>
      </c>
      <c r="F353" s="20" t="str">
        <f>'[3]2025'!E353</f>
        <v/>
      </c>
      <c r="G353" s="73" t="str">
        <f>'[3]2025'!F353</f>
        <v/>
      </c>
      <c r="H353" s="42">
        <f>'[3]2025'!G353</f>
        <v>0</v>
      </c>
      <c r="I353" s="13">
        <f>'[3]2025'!H353</f>
        <v>0</v>
      </c>
      <c r="J353" s="14">
        <f>'[3]2025'!I353</f>
        <v>0</v>
      </c>
      <c r="K353" s="15">
        <f>'[3]2025'!J353</f>
        <v>0</v>
      </c>
      <c r="L353" s="15">
        <f>'[3]2025'!K353</f>
        <v>0</v>
      </c>
      <c r="M353" s="15">
        <f>'[3]2025'!L353</f>
        <v>0</v>
      </c>
      <c r="N353" s="16" t="str">
        <f t="shared" si="20"/>
        <v/>
      </c>
      <c r="O353" s="17" t="str">
        <f t="shared" si="21"/>
        <v/>
      </c>
      <c r="P353" s="17" t="str">
        <f t="shared" si="21"/>
        <v/>
      </c>
      <c r="Q353" s="18" t="str">
        <f t="shared" si="22"/>
        <v/>
      </c>
      <c r="R353" s="18" t="e">
        <f t="shared" si="23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200">
        <f>+CHAMNORD!B354</f>
        <v>46371</v>
      </c>
      <c r="C354" s="75" t="str">
        <f>IF(H354=0,"",'[3]2025-2026'!C353)</f>
        <v/>
      </c>
      <c r="D354" s="68" t="str">
        <f>'[3]2025'!C354</f>
        <v/>
      </c>
      <c r="E354" s="68" t="str">
        <f>'[3]2025'!D354</f>
        <v/>
      </c>
      <c r="F354" s="20" t="str">
        <f>'[3]2025'!E354</f>
        <v/>
      </c>
      <c r="G354" s="73" t="str">
        <f>'[3]2025'!F354</f>
        <v/>
      </c>
      <c r="H354" s="42">
        <f>'[3]2025'!G354</f>
        <v>0</v>
      </c>
      <c r="I354" s="13">
        <f>'[3]2025'!H354</f>
        <v>0</v>
      </c>
      <c r="J354" s="14">
        <f>'[3]2025'!I354</f>
        <v>0</v>
      </c>
      <c r="K354" s="15">
        <f>'[3]2025'!J354</f>
        <v>0</v>
      </c>
      <c r="L354" s="15">
        <f>'[3]2025'!K354</f>
        <v>0</v>
      </c>
      <c r="M354" s="15">
        <f>'[3]2025'!L354</f>
        <v>0</v>
      </c>
      <c r="N354" s="16" t="str">
        <f t="shared" si="20"/>
        <v/>
      </c>
      <c r="O354" s="17" t="str">
        <f t="shared" si="21"/>
        <v/>
      </c>
      <c r="P354" s="17" t="str">
        <f t="shared" si="21"/>
        <v/>
      </c>
      <c r="Q354" s="18" t="str">
        <f t="shared" si="22"/>
        <v/>
      </c>
      <c r="R354" s="18" t="e">
        <f t="shared" si="23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200">
        <f>+CHAMNORD!B355</f>
        <v>46372</v>
      </c>
      <c r="C355" s="75" t="str">
        <f>IF(H355=0,"",'[3]2025-2026'!C354)</f>
        <v/>
      </c>
      <c r="D355" s="68" t="str">
        <f>'[3]2025'!C355</f>
        <v/>
      </c>
      <c r="E355" s="68" t="str">
        <f>'[3]2025'!D355</f>
        <v/>
      </c>
      <c r="F355" s="20" t="str">
        <f>'[3]2025'!E355</f>
        <v/>
      </c>
      <c r="G355" s="73" t="str">
        <f>'[3]2025'!F355</f>
        <v/>
      </c>
      <c r="H355" s="42">
        <f>'[3]2025'!G355</f>
        <v>0</v>
      </c>
      <c r="I355" s="13">
        <f>'[3]2025'!H355</f>
        <v>0</v>
      </c>
      <c r="J355" s="14">
        <f>'[3]2025'!I355</f>
        <v>0</v>
      </c>
      <c r="K355" s="15">
        <f>'[3]2025'!J355</f>
        <v>0</v>
      </c>
      <c r="L355" s="15">
        <f>'[3]2025'!K355</f>
        <v>0</v>
      </c>
      <c r="M355" s="15">
        <f>'[3]2025'!L355</f>
        <v>0</v>
      </c>
      <c r="N355" s="16" t="str">
        <f t="shared" si="20"/>
        <v/>
      </c>
      <c r="O355" s="17" t="str">
        <f t="shared" si="21"/>
        <v/>
      </c>
      <c r="P355" s="17" t="str">
        <f t="shared" si="21"/>
        <v/>
      </c>
      <c r="Q355" s="18" t="str">
        <f t="shared" si="22"/>
        <v/>
      </c>
      <c r="R355" s="18" t="e">
        <f t="shared" si="23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200">
        <f>+CHAMNORD!B356</f>
        <v>46373</v>
      </c>
      <c r="C356" s="75" t="str">
        <f>IF(H356=0,"",'[3]2025-2026'!C355)</f>
        <v/>
      </c>
      <c r="D356" s="68" t="str">
        <f>'[3]2025'!C356</f>
        <v/>
      </c>
      <c r="E356" s="68" t="str">
        <f>'[3]2025'!D356</f>
        <v/>
      </c>
      <c r="F356" s="20" t="str">
        <f>'[3]2025'!E356</f>
        <v/>
      </c>
      <c r="G356" s="73" t="str">
        <f>'[3]2025'!F356</f>
        <v/>
      </c>
      <c r="H356" s="42">
        <f>'[3]2025'!G356</f>
        <v>0</v>
      </c>
      <c r="I356" s="13">
        <f>'[3]2025'!H356</f>
        <v>0</v>
      </c>
      <c r="J356" s="14">
        <f>'[3]2025'!I356</f>
        <v>0</v>
      </c>
      <c r="K356" s="15">
        <f>'[3]2025'!J356</f>
        <v>0</v>
      </c>
      <c r="L356" s="15">
        <f>'[3]2025'!K356</f>
        <v>0</v>
      </c>
      <c r="M356" s="15">
        <f>'[3]2025'!L356</f>
        <v>0</v>
      </c>
      <c r="N356" s="16" t="str">
        <f t="shared" si="20"/>
        <v/>
      </c>
      <c r="O356" s="17" t="str">
        <f t="shared" si="21"/>
        <v/>
      </c>
      <c r="P356" s="17" t="str">
        <f t="shared" si="21"/>
        <v/>
      </c>
      <c r="Q356" s="18" t="str">
        <f t="shared" si="22"/>
        <v/>
      </c>
      <c r="R356" s="18" t="e">
        <f t="shared" si="23"/>
        <v>#DIV/0!</v>
      </c>
      <c r="S356" s="34"/>
      <c r="T356" s="29" t="s">
        <v>8</v>
      </c>
      <c r="U356" s="1738"/>
    </row>
    <row r="357" spans="1:21">
      <c r="A357" s="10" t="s">
        <v>14</v>
      </c>
      <c r="B357" s="200">
        <f>+CHAMNORD!B357</f>
        <v>46374</v>
      </c>
      <c r="C357" s="75" t="str">
        <f>IF(H357=0,"",'[3]2025-2026'!C356)</f>
        <v/>
      </c>
      <c r="D357" s="68" t="str">
        <f>'[3]2025'!C357</f>
        <v/>
      </c>
      <c r="E357" s="68" t="str">
        <f>'[3]2025'!D357</f>
        <v/>
      </c>
      <c r="F357" s="20" t="str">
        <f>'[3]2025'!E357</f>
        <v/>
      </c>
      <c r="G357" s="73" t="str">
        <f>'[3]2025'!F357</f>
        <v/>
      </c>
      <c r="H357" s="42">
        <f>'[3]2025'!G357</f>
        <v>0</v>
      </c>
      <c r="I357" s="13">
        <f>'[3]2025'!H357</f>
        <v>0</v>
      </c>
      <c r="J357" s="14">
        <f>'[3]2025'!I357</f>
        <v>0</v>
      </c>
      <c r="K357" s="15">
        <f>'[3]2025'!J357</f>
        <v>0</v>
      </c>
      <c r="L357" s="15">
        <f>'[3]2025'!K357</f>
        <v>0</v>
      </c>
      <c r="M357" s="15">
        <f>'[3]2025'!L357</f>
        <v>0</v>
      </c>
      <c r="N357" s="16" t="str">
        <f t="shared" si="20"/>
        <v/>
      </c>
      <c r="O357" s="17" t="str">
        <f t="shared" si="21"/>
        <v/>
      </c>
      <c r="P357" s="17" t="str">
        <f t="shared" si="21"/>
        <v/>
      </c>
      <c r="Q357" s="18" t="str">
        <f t="shared" si="22"/>
        <v/>
      </c>
      <c r="R357" s="18" t="e">
        <f t="shared" si="23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200">
        <f>+CHAMNORD!B358</f>
        <v>46375</v>
      </c>
      <c r="C358" s="75" t="str">
        <f>IF(H358=0,"",'[3]2025-2026'!C357)</f>
        <v/>
      </c>
      <c r="D358" s="68" t="str">
        <f>'[3]2025'!C358</f>
        <v/>
      </c>
      <c r="E358" s="68" t="str">
        <f>'[3]2025'!D358</f>
        <v/>
      </c>
      <c r="F358" s="20" t="str">
        <f>'[3]2025'!E358</f>
        <v/>
      </c>
      <c r="G358" s="73" t="str">
        <f>'[3]2025'!F358</f>
        <v/>
      </c>
      <c r="H358" s="42">
        <f>'[3]2025'!G358</f>
        <v>0</v>
      </c>
      <c r="I358" s="13">
        <f>'[3]2025'!H358</f>
        <v>0</v>
      </c>
      <c r="J358" s="14">
        <f>'[3]2025'!I358</f>
        <v>0</v>
      </c>
      <c r="K358" s="15">
        <f>'[3]2025'!J358</f>
        <v>0</v>
      </c>
      <c r="L358" s="15">
        <f>'[3]2025'!K358</f>
        <v>0</v>
      </c>
      <c r="M358" s="15">
        <f>'[3]2025'!L358</f>
        <v>0</v>
      </c>
      <c r="N358" s="16" t="str">
        <f t="shared" si="20"/>
        <v/>
      </c>
      <c r="O358" s="17" t="str">
        <f t="shared" si="21"/>
        <v/>
      </c>
      <c r="P358" s="17" t="str">
        <f t="shared" si="21"/>
        <v/>
      </c>
      <c r="Q358" s="18" t="str">
        <f t="shared" si="22"/>
        <v/>
      </c>
      <c r="R358" s="18" t="e">
        <f t="shared" si="23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200">
        <f>+CHAMNORD!B359</f>
        <v>46376</v>
      </c>
      <c r="C359" s="75" t="str">
        <f>IF(H359=0,"",'[3]2025-2026'!C358)</f>
        <v/>
      </c>
      <c r="D359" s="68" t="str">
        <f>'[3]2025'!C359</f>
        <v/>
      </c>
      <c r="E359" s="68" t="str">
        <f>'[3]2025'!D359</f>
        <v/>
      </c>
      <c r="F359" s="20" t="str">
        <f>'[3]2025'!E359</f>
        <v/>
      </c>
      <c r="G359" s="73" t="str">
        <f>'[3]2025'!F359</f>
        <v/>
      </c>
      <c r="H359" s="42">
        <f>'[3]2025'!G359</f>
        <v>0</v>
      </c>
      <c r="I359" s="13">
        <f>'[3]2025'!H359</f>
        <v>0</v>
      </c>
      <c r="J359" s="14">
        <f>'[3]2025'!I359</f>
        <v>0</v>
      </c>
      <c r="K359" s="15">
        <f>'[3]2025'!J359</f>
        <v>0</v>
      </c>
      <c r="L359" s="15">
        <f>'[3]2025'!K359</f>
        <v>0</v>
      </c>
      <c r="M359" s="15">
        <f>'[3]2025'!L359</f>
        <v>0</v>
      </c>
      <c r="N359" s="16" t="str">
        <f t="shared" si="20"/>
        <v/>
      </c>
      <c r="O359" s="17" t="str">
        <f t="shared" si="21"/>
        <v/>
      </c>
      <c r="P359" s="17" t="str">
        <f t="shared" si="21"/>
        <v/>
      </c>
      <c r="Q359" s="18" t="str">
        <f t="shared" si="22"/>
        <v/>
      </c>
      <c r="R359" s="18" t="e">
        <f t="shared" si="23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200">
        <f>+CHAMNORD!B360</f>
        <v>46377</v>
      </c>
      <c r="C360" s="75" t="str">
        <f>IF(H360=0,"",'[3]2025-2026'!C359)</f>
        <v/>
      </c>
      <c r="D360" s="68" t="str">
        <f>'[3]2025'!C360</f>
        <v/>
      </c>
      <c r="E360" s="68" t="str">
        <f>'[3]2025'!D360</f>
        <v/>
      </c>
      <c r="F360" s="20" t="str">
        <f>'[3]2025'!E360</f>
        <v/>
      </c>
      <c r="G360" s="73" t="str">
        <f>'[3]2025'!F360</f>
        <v/>
      </c>
      <c r="H360" s="42">
        <f>'[3]2025'!G360</f>
        <v>0</v>
      </c>
      <c r="I360" s="13">
        <f>'[3]2025'!H360</f>
        <v>0</v>
      </c>
      <c r="J360" s="14">
        <f>'[3]2025'!I360</f>
        <v>0</v>
      </c>
      <c r="K360" s="15">
        <f>'[3]2025'!J360</f>
        <v>0</v>
      </c>
      <c r="L360" s="15">
        <f>'[3]2025'!K360</f>
        <v>0</v>
      </c>
      <c r="M360" s="15">
        <f>'[3]2025'!L360</f>
        <v>0</v>
      </c>
      <c r="N360" s="16" t="str">
        <f t="shared" si="20"/>
        <v/>
      </c>
      <c r="O360" s="17" t="str">
        <f t="shared" si="21"/>
        <v/>
      </c>
      <c r="P360" s="17" t="str">
        <f t="shared" si="21"/>
        <v/>
      </c>
      <c r="Q360" s="18" t="str">
        <f t="shared" si="22"/>
        <v/>
      </c>
      <c r="R360" s="18" t="e">
        <f t="shared" si="23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200">
        <f>+CHAMNORD!B361</f>
        <v>46378</v>
      </c>
      <c r="C361" s="75" t="str">
        <f>IF(H361=0,"",'[3]2025-2026'!C360)</f>
        <v/>
      </c>
      <c r="D361" s="68" t="str">
        <f>'[3]2025'!C361</f>
        <v/>
      </c>
      <c r="E361" s="68" t="str">
        <f>'[3]2025'!D361</f>
        <v/>
      </c>
      <c r="F361" s="20" t="str">
        <f>'[3]2025'!E361</f>
        <v/>
      </c>
      <c r="G361" s="73" t="str">
        <f>'[3]2025'!F361</f>
        <v/>
      </c>
      <c r="H361" s="42">
        <f>'[3]2025'!G361</f>
        <v>0</v>
      </c>
      <c r="I361" s="13">
        <f>'[3]2025'!H361</f>
        <v>0</v>
      </c>
      <c r="J361" s="14">
        <f>'[3]2025'!I361</f>
        <v>0</v>
      </c>
      <c r="K361" s="15">
        <f>'[3]2025'!J361</f>
        <v>0</v>
      </c>
      <c r="L361" s="15">
        <f>'[3]2025'!K361</f>
        <v>0</v>
      </c>
      <c r="M361" s="15">
        <f>'[3]2025'!L361</f>
        <v>0</v>
      </c>
      <c r="N361" s="16" t="str">
        <f t="shared" si="20"/>
        <v/>
      </c>
      <c r="O361" s="17" t="str">
        <f t="shared" si="21"/>
        <v/>
      </c>
      <c r="P361" s="17" t="str">
        <f t="shared" si="21"/>
        <v/>
      </c>
      <c r="Q361" s="18" t="str">
        <f t="shared" si="22"/>
        <v/>
      </c>
      <c r="R361" s="18" t="e">
        <f t="shared" si="23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200">
        <f>+CHAMNORD!B362</f>
        <v>46379</v>
      </c>
      <c r="C362" s="75" t="str">
        <f>IF(H362=0,"",'[3]2025-2026'!C361)</f>
        <v/>
      </c>
      <c r="D362" s="68" t="str">
        <f>'[3]2025'!C362</f>
        <v/>
      </c>
      <c r="E362" s="68" t="str">
        <f>'[3]2025'!D362</f>
        <v/>
      </c>
      <c r="F362" s="20" t="str">
        <f>'[3]2025'!E362</f>
        <v/>
      </c>
      <c r="G362" s="73" t="str">
        <f>'[3]2025'!F362</f>
        <v/>
      </c>
      <c r="H362" s="42">
        <f>'[3]2025'!G362</f>
        <v>0</v>
      </c>
      <c r="I362" s="13">
        <f>'[3]2025'!H362</f>
        <v>0</v>
      </c>
      <c r="J362" s="14">
        <f>'[3]2025'!I362</f>
        <v>0</v>
      </c>
      <c r="K362" s="15">
        <f>'[3]2025'!J362</f>
        <v>0</v>
      </c>
      <c r="L362" s="15">
        <f>'[3]2025'!K362</f>
        <v>0</v>
      </c>
      <c r="M362" s="15">
        <f>'[3]2025'!L362</f>
        <v>0</v>
      </c>
      <c r="N362" s="16" t="str">
        <f t="shared" si="20"/>
        <v/>
      </c>
      <c r="O362" s="17" t="str">
        <f t="shared" si="21"/>
        <v/>
      </c>
      <c r="P362" s="17" t="str">
        <f t="shared" si="21"/>
        <v/>
      </c>
      <c r="Q362" s="18" t="str">
        <f t="shared" si="22"/>
        <v/>
      </c>
      <c r="R362" s="18" t="e">
        <f t="shared" si="23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200">
        <f>+CHAMNORD!B363</f>
        <v>46380</v>
      </c>
      <c r="C363" s="75" t="str">
        <f>IF(H363=0,"",'[3]2025-2026'!C362)</f>
        <v/>
      </c>
      <c r="D363" s="68" t="str">
        <f>'[3]2025'!C363</f>
        <v/>
      </c>
      <c r="E363" s="68" t="str">
        <f>'[3]2025'!D363</f>
        <v/>
      </c>
      <c r="F363" s="20" t="str">
        <f>'[3]2025'!E363</f>
        <v/>
      </c>
      <c r="G363" s="73" t="str">
        <f>'[3]2025'!F363</f>
        <v/>
      </c>
      <c r="H363" s="42">
        <f>'[3]2025'!G363</f>
        <v>0</v>
      </c>
      <c r="I363" s="13">
        <f>'[3]2025'!H363</f>
        <v>0</v>
      </c>
      <c r="J363" s="14">
        <f>'[3]2025'!I363</f>
        <v>0</v>
      </c>
      <c r="K363" s="15">
        <f>'[3]2025'!J363</f>
        <v>0</v>
      </c>
      <c r="L363" s="15">
        <f>'[3]2025'!K363</f>
        <v>0</v>
      </c>
      <c r="M363" s="15">
        <f>'[3]2025'!L363</f>
        <v>0</v>
      </c>
      <c r="N363" s="16" t="str">
        <f t="shared" si="20"/>
        <v/>
      </c>
      <c r="O363" s="17" t="str">
        <f t="shared" si="21"/>
        <v/>
      </c>
      <c r="P363" s="17" t="str">
        <f t="shared" si="21"/>
        <v/>
      </c>
      <c r="Q363" s="18" t="str">
        <f t="shared" si="22"/>
        <v/>
      </c>
      <c r="R363" s="18" t="e">
        <f t="shared" si="23"/>
        <v>#DIV/0!</v>
      </c>
      <c r="S363" s="34"/>
      <c r="T363" s="29" t="s">
        <v>8</v>
      </c>
      <c r="U363" s="1738"/>
    </row>
    <row r="364" spans="1:21">
      <c r="A364" s="10" t="s">
        <v>14</v>
      </c>
      <c r="B364" s="200">
        <f>+CHAMNORD!B364</f>
        <v>46381</v>
      </c>
      <c r="C364" s="75" t="str">
        <f>IF(H364=0,"",'[3]2025-2026'!C363)</f>
        <v/>
      </c>
      <c r="D364" s="68" t="str">
        <f>'[3]2025'!C364</f>
        <v/>
      </c>
      <c r="E364" s="68" t="str">
        <f>'[3]2025'!D364</f>
        <v/>
      </c>
      <c r="F364" s="20" t="str">
        <f>'[3]2025'!E364</f>
        <v/>
      </c>
      <c r="G364" s="73" t="str">
        <f>'[3]2025'!F364</f>
        <v/>
      </c>
      <c r="H364" s="42">
        <f>'[3]2025'!G364</f>
        <v>0</v>
      </c>
      <c r="I364" s="13">
        <f>'[3]2025'!H364</f>
        <v>0</v>
      </c>
      <c r="J364" s="14">
        <f>'[3]2025'!I364</f>
        <v>0</v>
      </c>
      <c r="K364" s="15">
        <f>'[3]2025'!J364</f>
        <v>0</v>
      </c>
      <c r="L364" s="15">
        <f>'[3]2025'!K364</f>
        <v>0</v>
      </c>
      <c r="M364" s="15">
        <f>'[3]2025'!L364</f>
        <v>0</v>
      </c>
      <c r="N364" s="16" t="str">
        <f t="shared" si="20"/>
        <v/>
      </c>
      <c r="O364" s="17" t="str">
        <f t="shared" si="21"/>
        <v/>
      </c>
      <c r="P364" s="17" t="str">
        <f t="shared" si="21"/>
        <v/>
      </c>
      <c r="Q364" s="18" t="str">
        <f t="shared" si="22"/>
        <v/>
      </c>
      <c r="R364" s="18" t="e">
        <f t="shared" si="23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200">
        <f>+CHAMNORD!B365</f>
        <v>46382</v>
      </c>
      <c r="C365" s="75" t="str">
        <f>IF(H365=0,"",'[3]2025-2026'!C364)</f>
        <v/>
      </c>
      <c r="D365" s="68" t="str">
        <f>'[3]2025'!C365</f>
        <v/>
      </c>
      <c r="E365" s="68" t="str">
        <f>'[3]2025'!D365</f>
        <v/>
      </c>
      <c r="F365" s="20" t="str">
        <f>'[3]2025'!E365</f>
        <v/>
      </c>
      <c r="G365" s="73" t="str">
        <f>'[3]2025'!F365</f>
        <v/>
      </c>
      <c r="H365" s="42">
        <f>'[3]2025'!G365</f>
        <v>0</v>
      </c>
      <c r="I365" s="13">
        <f>'[3]2025'!H365</f>
        <v>0</v>
      </c>
      <c r="J365" s="14">
        <f>'[3]2025'!I365</f>
        <v>0</v>
      </c>
      <c r="K365" s="15">
        <f>'[3]2025'!J365</f>
        <v>0</v>
      </c>
      <c r="L365" s="15">
        <f>'[3]2025'!K365</f>
        <v>0</v>
      </c>
      <c r="M365" s="15">
        <f>'[3]2025'!L365</f>
        <v>0</v>
      </c>
      <c r="N365" s="16" t="str">
        <f t="shared" si="20"/>
        <v/>
      </c>
      <c r="O365" s="17" t="str">
        <f t="shared" si="21"/>
        <v/>
      </c>
      <c r="P365" s="17" t="str">
        <f t="shared" si="21"/>
        <v/>
      </c>
      <c r="Q365" s="18" t="str">
        <f t="shared" si="22"/>
        <v/>
      </c>
      <c r="R365" s="18" t="e">
        <f t="shared" si="23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200">
        <f>+CHAMNORD!B366</f>
        <v>46383</v>
      </c>
      <c r="C366" s="75" t="str">
        <f>IF(H366=0,"",'[3]2025-2026'!C365)</f>
        <v/>
      </c>
      <c r="D366" s="68" t="str">
        <f>'[3]2025'!C366</f>
        <v/>
      </c>
      <c r="E366" s="68" t="str">
        <f>'[3]2025'!D366</f>
        <v/>
      </c>
      <c r="F366" s="20" t="str">
        <f>'[3]2025'!E366</f>
        <v/>
      </c>
      <c r="G366" s="73" t="str">
        <f>'[3]2025'!F366</f>
        <v/>
      </c>
      <c r="H366" s="42">
        <f>'[3]2025'!G366</f>
        <v>0</v>
      </c>
      <c r="I366" s="13">
        <f>'[3]2025'!H366</f>
        <v>0</v>
      </c>
      <c r="J366" s="14">
        <f>'[3]2025'!I366</f>
        <v>0</v>
      </c>
      <c r="K366" s="15">
        <f>'[3]2025'!J366</f>
        <v>0</v>
      </c>
      <c r="L366" s="15">
        <f>'[3]2025'!K366</f>
        <v>0</v>
      </c>
      <c r="M366" s="15">
        <f>'[3]2025'!L366</f>
        <v>0</v>
      </c>
      <c r="N366" s="16" t="str">
        <f t="shared" si="20"/>
        <v/>
      </c>
      <c r="O366" s="17" t="str">
        <f t="shared" si="21"/>
        <v/>
      </c>
      <c r="P366" s="17" t="str">
        <f t="shared" si="21"/>
        <v/>
      </c>
      <c r="Q366" s="18" t="str">
        <f t="shared" si="22"/>
        <v/>
      </c>
      <c r="R366" s="18" t="e">
        <f t="shared" si="23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200">
        <f>+CHAMNORD!B367</f>
        <v>46384</v>
      </c>
      <c r="C367" s="75" t="str">
        <f>IF(H367=0,"",'[3]2025-2026'!C366)</f>
        <v/>
      </c>
      <c r="D367" s="68" t="str">
        <f>'[3]2025'!C367</f>
        <v/>
      </c>
      <c r="E367" s="68">
        <f>'[3]2025'!D367</f>
        <v>0</v>
      </c>
      <c r="F367" s="20" t="str">
        <f>'[3]2025'!E367</f>
        <v/>
      </c>
      <c r="G367" s="73" t="str">
        <f>'[3]2025'!F367</f>
        <v/>
      </c>
      <c r="H367" s="42">
        <f>'[3]2025'!G367</f>
        <v>0</v>
      </c>
      <c r="I367" s="13">
        <f>'[3]2025'!H367</f>
        <v>0</v>
      </c>
      <c r="J367" s="14">
        <f>'[3]2025'!I367</f>
        <v>0</v>
      </c>
      <c r="K367" s="15">
        <f>'[3]2025'!J367</f>
        <v>0</v>
      </c>
      <c r="L367" s="15">
        <f>'[3]2025'!K367</f>
        <v>0</v>
      </c>
      <c r="M367" s="15">
        <f>'[3]2025'!L367</f>
        <v>0</v>
      </c>
      <c r="N367" s="16" t="str">
        <f t="shared" si="20"/>
        <v/>
      </c>
      <c r="O367" s="17" t="str">
        <f t="shared" si="21"/>
        <v/>
      </c>
      <c r="P367" s="17" t="str">
        <f t="shared" si="21"/>
        <v/>
      </c>
      <c r="Q367" s="18" t="str">
        <f t="shared" si="22"/>
        <v/>
      </c>
      <c r="R367" s="18" t="e">
        <f t="shared" si="23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200">
        <f>+CHAMNORD!B368</f>
        <v>46385</v>
      </c>
      <c r="C368" s="75" t="str">
        <f>IF(H368=0,"",'[3]2025-2026'!C367)</f>
        <v/>
      </c>
      <c r="D368" s="68" t="str">
        <f>'[3]2025'!C368</f>
        <v/>
      </c>
      <c r="E368" s="68">
        <f>'[3]2025'!D368</f>
        <v>0</v>
      </c>
      <c r="F368" s="20" t="str">
        <f>'[3]2025'!E368</f>
        <v/>
      </c>
      <c r="G368" s="73" t="str">
        <f>'[3]2025'!F368</f>
        <v/>
      </c>
      <c r="H368" s="42">
        <f>'[3]2025'!G368</f>
        <v>0</v>
      </c>
      <c r="I368" s="13">
        <f>'[3]2025'!H368</f>
        <v>0</v>
      </c>
      <c r="J368" s="14">
        <f>'[3]2025'!I368</f>
        <v>0</v>
      </c>
      <c r="K368" s="15">
        <f>'[3]2025'!J368</f>
        <v>0</v>
      </c>
      <c r="L368" s="15">
        <f>'[3]2025'!K368</f>
        <v>0</v>
      </c>
      <c r="M368" s="15">
        <f>'[3]2025'!L368</f>
        <v>0</v>
      </c>
      <c r="N368" s="17" t="str">
        <f t="shared" si="20"/>
        <v/>
      </c>
      <c r="O368" s="17" t="str">
        <f t="shared" si="21"/>
        <v/>
      </c>
      <c r="P368" s="17" t="str">
        <f t="shared" si="21"/>
        <v/>
      </c>
      <c r="Q368" s="18" t="str">
        <f t="shared" si="22"/>
        <v/>
      </c>
      <c r="R368" s="18" t="e">
        <f t="shared" si="23"/>
        <v>#DIV/0!</v>
      </c>
      <c r="S368" s="34">
        <f>SUM(I367:I373)</f>
        <v>0</v>
      </c>
      <c r="T368" s="45" t="s">
        <v>41</v>
      </c>
      <c r="U368" s="1738"/>
    </row>
    <row r="369" spans="1:26">
      <c r="A369" s="10" t="s">
        <v>12</v>
      </c>
      <c r="B369" s="200">
        <f>+CHAMNORD!B369</f>
        <v>46386</v>
      </c>
      <c r="C369" s="75" t="str">
        <f>IF(H369=0,"",'[3]2025-2026'!C368)</f>
        <v/>
      </c>
      <c r="D369" s="68" t="str">
        <f>'[3]2025'!C369</f>
        <v/>
      </c>
      <c r="E369" s="68">
        <f>'[3]2025'!D369</f>
        <v>0</v>
      </c>
      <c r="F369" s="20">
        <f>'[3]2025'!E369</f>
        <v>0</v>
      </c>
      <c r="G369" s="73">
        <f>'[3]2025'!F369</f>
        <v>0</v>
      </c>
      <c r="H369" s="42">
        <f>'[3]2025'!G369</f>
        <v>0</v>
      </c>
      <c r="I369" s="13">
        <f>'[3]2025'!H369</f>
        <v>0</v>
      </c>
      <c r="J369" s="14">
        <f>'[3]2025'!I369</f>
        <v>0</v>
      </c>
      <c r="K369" s="60">
        <f>'[3]2025'!J369</f>
        <v>0</v>
      </c>
      <c r="L369" s="60">
        <f>'[3]2025'!K369</f>
        <v>0</v>
      </c>
      <c r="M369" s="60">
        <f>'[3]2025'!L369</f>
        <v>0</v>
      </c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200"/>
      <c r="C370" s="75" t="str">
        <f>IF(H370=0,"",'[3]2025-2026'!C369)</f>
        <v/>
      </c>
      <c r="D370" s="68"/>
      <c r="E370" s="68"/>
      <c r="F370" s="20"/>
      <c r="G370" s="73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200"/>
      <c r="C371" s="75" t="str">
        <f>IF(H371=0,"",'[3]2025-2026'!C370)</f>
        <v/>
      </c>
      <c r="D371" s="68"/>
      <c r="E371" s="68"/>
      <c r="F371" s="20"/>
      <c r="G371" s="73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200"/>
      <c r="C372" s="75" t="str">
        <f>IF(H372=0,"",'[3]2025-2026'!C371)</f>
        <v/>
      </c>
      <c r="D372" s="68"/>
      <c r="E372" s="68"/>
      <c r="F372" s="20"/>
      <c r="G372" s="73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200"/>
      <c r="C373" s="75" t="str">
        <f>IF(H373=0,"",'[3]2025-2026'!C372)</f>
        <v/>
      </c>
      <c r="D373" s="71"/>
      <c r="E373" s="71"/>
      <c r="F373" s="21"/>
      <c r="G373" s="74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69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404104.14000000007</v>
      </c>
      <c r="E377" s="104"/>
      <c r="F377" s="102">
        <v>97</v>
      </c>
      <c r="G377" s="105">
        <f>M377/F377</f>
        <v>3884.4091752577315</v>
      </c>
      <c r="H377" s="84">
        <f>SUM(D$6:D$36)</f>
        <v>383296.01000000013</v>
      </c>
      <c r="I377" s="84">
        <f t="shared" ref="I377:Q377" si="24">SUM(E$6:E$36)</f>
        <v>375859.20000000007</v>
      </c>
      <c r="J377" s="89">
        <f t="shared" si="24"/>
        <v>22245</v>
      </c>
      <c r="K377" s="84">
        <f t="shared" si="24"/>
        <v>387800</v>
      </c>
      <c r="L377" s="84">
        <f t="shared" si="24"/>
        <v>384720.66000000009</v>
      </c>
      <c r="M377" s="84">
        <f t="shared" si="24"/>
        <v>376787.68999999994</v>
      </c>
      <c r="N377" s="89">
        <f t="shared" si="24"/>
        <v>20855</v>
      </c>
      <c r="O377" s="89">
        <f t="shared" si="24"/>
        <v>3717.29</v>
      </c>
      <c r="P377" s="89">
        <f t="shared" si="24"/>
        <v>4325.25</v>
      </c>
      <c r="Q377" s="87">
        <f t="shared" si="24"/>
        <v>1739.2300000000002</v>
      </c>
      <c r="R377" s="87">
        <f>'[3]2025'!$G$387</f>
        <v>1404.8600000000001</v>
      </c>
      <c r="S377" s="87">
        <f>'[3]2025'!$G$388</f>
        <v>-24.1</v>
      </c>
      <c r="T377" s="87">
        <f>'[3]2025'!$G$389</f>
        <v>208.76999999999998</v>
      </c>
      <c r="V377" s="1502">
        <f>(L377-D377)/D377</f>
        <v>-4.7966546445181134E-2</v>
      </c>
      <c r="W377" s="1502">
        <f>(L377-H377)/H377</f>
        <v>3.7168401518188634E-3</v>
      </c>
      <c r="X377" s="1502">
        <f>(M377-I377)/I377</f>
        <v>2.4703133513823104E-3</v>
      </c>
      <c r="Y377" s="1502">
        <f>(N377-J377)/J377</f>
        <v>-6.2485951899303213E-2</v>
      </c>
    </row>
    <row r="378" spans="1:26" ht="17" customHeight="1">
      <c r="B378" s="98" t="s">
        <v>25</v>
      </c>
      <c r="C378" s="204"/>
      <c r="D378" s="84">
        <f>SUM(C$37:C$64)</f>
        <v>382054.81000000011</v>
      </c>
      <c r="E378" s="104"/>
      <c r="F378" s="102">
        <v>97</v>
      </c>
      <c r="G378" s="105">
        <f t="shared" ref="G378:G388" si="25">M378/F378</f>
        <v>3873.3751546391741</v>
      </c>
      <c r="H378" s="83">
        <f>SUM(D$37:D$64)</f>
        <v>382646.29</v>
      </c>
      <c r="I378" s="83">
        <f t="shared" ref="I378:Q378" si="26">SUM(E$37:E$64)</f>
        <v>376679.18000000005</v>
      </c>
      <c r="J378" s="89">
        <f t="shared" si="26"/>
        <v>22141</v>
      </c>
      <c r="K378" s="84">
        <f t="shared" si="26"/>
        <v>383600</v>
      </c>
      <c r="L378" s="88">
        <f t="shared" si="26"/>
        <v>383624.50999999995</v>
      </c>
      <c r="M378" s="88">
        <f t="shared" si="26"/>
        <v>375717.3899999999</v>
      </c>
      <c r="N378" s="93">
        <f t="shared" si="26"/>
        <v>21170</v>
      </c>
      <c r="O378" s="93">
        <f t="shared" si="26"/>
        <v>3749.4100000000003</v>
      </c>
      <c r="P378" s="93">
        <f t="shared" si="26"/>
        <v>4307.7699999999995</v>
      </c>
      <c r="Q378" s="87">
        <f t="shared" si="26"/>
        <v>1815.7000000000005</v>
      </c>
      <c r="R378" s="87">
        <f>'[3]2025'!$H$387</f>
        <v>3985.25</v>
      </c>
      <c r="S378" s="87">
        <f>'[3]2025'!$H$388</f>
        <v>8.4700000000000006</v>
      </c>
      <c r="T378" s="87">
        <f>'[3]2025'!$H$389</f>
        <v>167.19</v>
      </c>
      <c r="V378" s="1502">
        <f t="shared" ref="V378:V388" si="27">(L378-D378)/D378</f>
        <v>4.1085727987558553E-3</v>
      </c>
      <c r="W378" s="1502">
        <f t="shared" ref="W378:Y388" si="28">(L378-H378)/H378</f>
        <v>2.5564601710890028E-3</v>
      </c>
      <c r="X378" s="1502">
        <f t="shared" si="28"/>
        <v>-2.5533399536447794E-3</v>
      </c>
      <c r="Y378" s="1502">
        <f t="shared" si="28"/>
        <v>-4.3855291088930042E-2</v>
      </c>
    </row>
    <row r="379" spans="1:26">
      <c r="B379" s="98" t="s">
        <v>17</v>
      </c>
      <c r="C379" s="204"/>
      <c r="D379" s="84">
        <f>SUM(C$65:C$95)</f>
        <v>411812.7</v>
      </c>
      <c r="E379" s="104"/>
      <c r="F379" s="102">
        <v>97</v>
      </c>
      <c r="G379" s="105">
        <f t="shared" si="25"/>
        <v>3891.9724742268045</v>
      </c>
      <c r="H379" s="83">
        <f>SUM(D$65:D$95)</f>
        <v>407027.76</v>
      </c>
      <c r="I379" s="83">
        <f t="shared" ref="I379:Q379" si="29">SUM(E$65:E$95)</f>
        <v>400302.38000000006</v>
      </c>
      <c r="J379" s="90">
        <f t="shared" si="29"/>
        <v>23884</v>
      </c>
      <c r="K379" s="83">
        <f t="shared" si="29"/>
        <v>403800</v>
      </c>
      <c r="L379" s="83">
        <f t="shared" si="29"/>
        <v>385296.22999999992</v>
      </c>
      <c r="M379" s="83">
        <f t="shared" si="29"/>
        <v>377521.33</v>
      </c>
      <c r="N379" s="90">
        <f t="shared" si="29"/>
        <v>21495</v>
      </c>
      <c r="O379" s="90">
        <f t="shared" si="29"/>
        <v>3882.32</v>
      </c>
      <c r="P379" s="90">
        <f t="shared" si="29"/>
        <v>4524.88</v>
      </c>
      <c r="Q379" s="83">
        <f t="shared" si="29"/>
        <v>2224.0500000000002</v>
      </c>
      <c r="R379" s="87">
        <f>'[3]2025'!$I$387</f>
        <v>1249.21</v>
      </c>
      <c r="S379" s="87">
        <f>'[3]2025'!$I$388</f>
        <v>48.690000000000005</v>
      </c>
      <c r="T379" s="87">
        <f>'[3]2025'!$I$389</f>
        <v>165.38</v>
      </c>
      <c r="V379" s="1502">
        <f t="shared" si="27"/>
        <v>-6.4389636356528321E-2</v>
      </c>
      <c r="W379" s="1502">
        <f t="shared" si="28"/>
        <v>-5.3390781012086462E-2</v>
      </c>
      <c r="X379" s="1502">
        <f t="shared" si="28"/>
        <v>-5.6909604184716668E-2</v>
      </c>
      <c r="Y379" s="1502">
        <f t="shared" si="28"/>
        <v>-0.10002512142019762</v>
      </c>
    </row>
    <row r="380" spans="1:26">
      <c r="B380" s="98" t="s">
        <v>18</v>
      </c>
      <c r="C380" s="204"/>
      <c r="D380" s="84">
        <f>SUM(C$96:C$125)</f>
        <v>477517.13</v>
      </c>
      <c r="E380" s="104"/>
      <c r="F380" s="102">
        <v>97</v>
      </c>
      <c r="G380" s="105">
        <f t="shared" si="25"/>
        <v>4724.699381443299</v>
      </c>
      <c r="H380" s="83">
        <f>SUM(D$96:D$125)</f>
        <v>493533.49</v>
      </c>
      <c r="I380" s="83">
        <f t="shared" ref="I380:Q380" si="30">SUM(E$96:E$125)</f>
        <v>485157.9</v>
      </c>
      <c r="J380" s="90">
        <f t="shared" si="30"/>
        <v>29405</v>
      </c>
      <c r="K380" s="83">
        <f t="shared" si="30"/>
        <v>482245</v>
      </c>
      <c r="L380" s="83">
        <f t="shared" si="30"/>
        <v>469413.27999999997</v>
      </c>
      <c r="M380" s="83">
        <f t="shared" si="30"/>
        <v>458295.83999999997</v>
      </c>
      <c r="N380" s="90">
        <f t="shared" si="30"/>
        <v>27051</v>
      </c>
      <c r="O380" s="90">
        <f t="shared" si="30"/>
        <v>4244.37</v>
      </c>
      <c r="P380" s="90">
        <f t="shared" si="30"/>
        <v>4946.2299999999996</v>
      </c>
      <c r="Q380" s="83">
        <f t="shared" si="30"/>
        <v>2034.88</v>
      </c>
      <c r="R380" s="87">
        <f>'[3]2025'!$J$387</f>
        <v>1185.1600000000001</v>
      </c>
      <c r="S380" s="87">
        <f>'[3]2025'!$J$388</f>
        <v>49.109999999999985</v>
      </c>
      <c r="T380" s="87">
        <f>'[3]2025'!$J$389</f>
        <v>262.81000000000006</v>
      </c>
      <c r="V380" s="1502">
        <f t="shared" si="27"/>
        <v>-1.6970804796050006E-2</v>
      </c>
      <c r="W380" s="1502">
        <f t="shared" si="28"/>
        <v>-4.8872488876084218E-2</v>
      </c>
      <c r="X380" s="1502">
        <f t="shared" si="28"/>
        <v>-5.5367664836540958E-2</v>
      </c>
      <c r="Y380" s="1502">
        <f t="shared" si="28"/>
        <v>-8.0054412514878423E-2</v>
      </c>
    </row>
    <row r="381" spans="1:26" ht="17" customHeight="1">
      <c r="B381" s="98" t="s">
        <v>19</v>
      </c>
      <c r="C381" s="204"/>
      <c r="D381" s="84">
        <f>SUM(C$126:C$156)</f>
        <v>487644.75000000006</v>
      </c>
      <c r="E381" s="104"/>
      <c r="F381" s="102">
        <v>97</v>
      </c>
      <c r="G381" s="105">
        <f t="shared" si="25"/>
        <v>4764.4013402061855</v>
      </c>
      <c r="H381" s="84">
        <f>SUM(D$126:D$156)</f>
        <v>483051.81000000006</v>
      </c>
      <c r="I381" s="84">
        <f t="shared" ref="I381:Q381" si="31">SUM(E$126:E$156)</f>
        <v>476168.32999999996</v>
      </c>
      <c r="J381" s="89">
        <f t="shared" si="31"/>
        <v>29111</v>
      </c>
      <c r="K381" s="84">
        <f t="shared" si="31"/>
        <v>490800</v>
      </c>
      <c r="L381" s="84">
        <f t="shared" si="31"/>
        <v>471842.93000000011</v>
      </c>
      <c r="M381" s="84">
        <f t="shared" si="31"/>
        <v>462146.93</v>
      </c>
      <c r="N381" s="89">
        <f t="shared" si="31"/>
        <v>28009</v>
      </c>
      <c r="O381" s="89">
        <f t="shared" si="31"/>
        <v>4534.6299999999992</v>
      </c>
      <c r="P381" s="89">
        <f t="shared" si="31"/>
        <v>5238.7699999999995</v>
      </c>
      <c r="Q381" s="87">
        <f t="shared" si="31"/>
        <v>2377.7900000000004</v>
      </c>
      <c r="R381" s="87">
        <f>'[3]2025'!$K$387</f>
        <v>1384.12</v>
      </c>
      <c r="S381" s="87">
        <f>'[3]2025'!$K$388</f>
        <v>-11.670000000000002</v>
      </c>
      <c r="T381" s="87">
        <f>'[3]2025'!$K$389</f>
        <v>334.01</v>
      </c>
      <c r="V381" s="1502">
        <f t="shared" si="27"/>
        <v>-3.2404368138896085E-2</v>
      </c>
      <c r="W381" s="1502">
        <f t="shared" si="28"/>
        <v>-2.3204301832550726E-2</v>
      </c>
      <c r="X381" s="1502">
        <f t="shared" si="28"/>
        <v>-2.9446309459513962E-2</v>
      </c>
      <c r="Y381" s="1502">
        <f t="shared" si="28"/>
        <v>-3.7855106317199683E-2</v>
      </c>
    </row>
    <row r="382" spans="1:26" ht="17" customHeight="1">
      <c r="B382" s="98" t="s">
        <v>20</v>
      </c>
      <c r="C382" s="204"/>
      <c r="D382" s="84">
        <f>SUM(C$157:C$186)</f>
        <v>103476.82</v>
      </c>
      <c r="E382" s="104"/>
      <c r="F382" s="102">
        <v>97</v>
      </c>
      <c r="G382" s="105">
        <f>M382/F382</f>
        <v>1017.2887628865979</v>
      </c>
      <c r="H382" s="84">
        <f>SUM(D$157:D$186)</f>
        <v>103573.42000000001</v>
      </c>
      <c r="I382" s="84">
        <f t="shared" ref="I382:Q382" si="32">SUM(E$157:E$186)</f>
        <v>101992.06</v>
      </c>
      <c r="J382" s="89">
        <f t="shared" si="32"/>
        <v>5974</v>
      </c>
      <c r="K382" s="84">
        <f t="shared" si="32"/>
        <v>99600</v>
      </c>
      <c r="L382" s="84">
        <f t="shared" si="32"/>
        <v>100619.3</v>
      </c>
      <c r="M382" s="84">
        <f t="shared" si="32"/>
        <v>98677.01</v>
      </c>
      <c r="N382" s="89">
        <f t="shared" si="32"/>
        <v>5866</v>
      </c>
      <c r="O382" s="89">
        <f t="shared" si="32"/>
        <v>1119.54</v>
      </c>
      <c r="P382" s="89">
        <f t="shared" si="32"/>
        <v>1272.67</v>
      </c>
      <c r="Q382" s="87">
        <f t="shared" si="32"/>
        <v>581.11</v>
      </c>
      <c r="R382" s="87">
        <f>'[3]2025'!$L$387</f>
        <v>166.06</v>
      </c>
      <c r="S382" s="87">
        <f>'[3]2025'!$L$388</f>
        <v>33.190000000000005</v>
      </c>
      <c r="T382" s="87">
        <f>'[3]2025'!$L$389</f>
        <v>66.72999999999999</v>
      </c>
      <c r="V382" s="1502">
        <f t="shared" si="27"/>
        <v>-2.7615073598125685E-2</v>
      </c>
      <c r="W382" s="1502">
        <f t="shared" si="28"/>
        <v>-2.8521989522022249E-2</v>
      </c>
      <c r="X382" s="1502">
        <f t="shared" si="28"/>
        <v>-3.2503020333151451E-2</v>
      </c>
      <c r="Y382" s="1502">
        <f t="shared" si="28"/>
        <v>-1.8078339471041177E-2</v>
      </c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97</v>
      </c>
      <c r="G383" s="105">
        <f t="shared" si="25"/>
        <v>0</v>
      </c>
      <c r="H383" s="84">
        <f>SUM(D$187:D$217)</f>
        <v>0</v>
      </c>
      <c r="I383" s="84">
        <f t="shared" ref="I383:Q383" si="33">SUM(E$187:E$217)</f>
        <v>0</v>
      </c>
      <c r="J383" s="89">
        <f t="shared" si="33"/>
        <v>0</v>
      </c>
      <c r="K383" s="84">
        <f t="shared" si="33"/>
        <v>0</v>
      </c>
      <c r="L383" s="84">
        <f t="shared" si="33"/>
        <v>0</v>
      </c>
      <c r="M383" s="84">
        <f t="shared" si="33"/>
        <v>0</v>
      </c>
      <c r="N383" s="89">
        <f t="shared" si="33"/>
        <v>0</v>
      </c>
      <c r="O383" s="89">
        <f t="shared" si="33"/>
        <v>0</v>
      </c>
      <c r="P383" s="89">
        <f t="shared" si="33"/>
        <v>0</v>
      </c>
      <c r="Q383" s="87">
        <f t="shared" si="33"/>
        <v>0</v>
      </c>
      <c r="R383" s="87">
        <f>'[3]2025'!$M$387</f>
        <v>0</v>
      </c>
      <c r="S383" s="87">
        <f>'[3]2025'!$M$388</f>
        <v>0</v>
      </c>
      <c r="T383" s="87">
        <f>'[3]2025'!$M$389</f>
        <v>0</v>
      </c>
      <c r="V383" s="1502" t="e">
        <f t="shared" si="27"/>
        <v>#DIV/0!</v>
      </c>
      <c r="W383" s="1502" t="e">
        <f t="shared" si="28"/>
        <v>#DIV/0!</v>
      </c>
      <c r="X383" s="1502" t="e">
        <f t="shared" si="28"/>
        <v>#DIV/0!</v>
      </c>
      <c r="Y383" s="1502" t="e">
        <f t="shared" si="28"/>
        <v>#DIV/0!</v>
      </c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97</v>
      </c>
      <c r="G384" s="105">
        <f t="shared" si="25"/>
        <v>0</v>
      </c>
      <c r="H384" s="84">
        <f>SUM(D$218:D$248)</f>
        <v>0</v>
      </c>
      <c r="I384" s="84">
        <f t="shared" ref="I384:Q384" si="34">SUM(E$218:E$248)</f>
        <v>0</v>
      </c>
      <c r="J384" s="89">
        <f t="shared" si="34"/>
        <v>0</v>
      </c>
      <c r="K384" s="84">
        <f t="shared" si="34"/>
        <v>0</v>
      </c>
      <c r="L384" s="84">
        <f t="shared" si="34"/>
        <v>0</v>
      </c>
      <c r="M384" s="84">
        <f t="shared" si="34"/>
        <v>0</v>
      </c>
      <c r="N384" s="89">
        <f t="shared" si="34"/>
        <v>0</v>
      </c>
      <c r="O384" s="89">
        <f t="shared" si="34"/>
        <v>0</v>
      </c>
      <c r="P384" s="89">
        <f t="shared" si="34"/>
        <v>0</v>
      </c>
      <c r="Q384" s="84">
        <f t="shared" si="34"/>
        <v>0</v>
      </c>
      <c r="R384" s="87">
        <f>'[3]2025'!$N$387</f>
        <v>0</v>
      </c>
      <c r="S384" s="87">
        <f>'[3]2025'!$N$388</f>
        <v>0</v>
      </c>
      <c r="T384" s="87">
        <f>'[3]2025'!$N$389</f>
        <v>0</v>
      </c>
      <c r="V384" s="1502" t="e">
        <f t="shared" si="27"/>
        <v>#DIV/0!</v>
      </c>
      <c r="W384" s="1502" t="e">
        <f t="shared" si="28"/>
        <v>#DIV/0!</v>
      </c>
      <c r="X384" s="1502" t="e">
        <f t="shared" si="28"/>
        <v>#DIV/0!</v>
      </c>
      <c r="Y384" s="1502" t="e">
        <f t="shared" si="28"/>
        <v>#DIV/0!</v>
      </c>
    </row>
    <row r="385" spans="2:25" ht="17" customHeight="1">
      <c r="B385" s="98" t="s">
        <v>22</v>
      </c>
      <c r="C385" s="204"/>
      <c r="D385" s="84">
        <f>SUM(C$249:C$278)</f>
        <v>0</v>
      </c>
      <c r="E385" s="104"/>
      <c r="F385" s="102">
        <v>97</v>
      </c>
      <c r="G385" s="105">
        <f t="shared" si="25"/>
        <v>0</v>
      </c>
      <c r="H385" s="85">
        <f>SUM(D$249:D$278)</f>
        <v>0</v>
      </c>
      <c r="I385" s="85">
        <f t="shared" ref="I385:Q385" si="35">SUM(E$249:E$278)</f>
        <v>0</v>
      </c>
      <c r="J385" s="91">
        <f t="shared" si="35"/>
        <v>0</v>
      </c>
      <c r="K385" s="85">
        <f t="shared" si="35"/>
        <v>0</v>
      </c>
      <c r="L385" s="85">
        <f t="shared" si="35"/>
        <v>0</v>
      </c>
      <c r="M385" s="85">
        <f t="shared" si="35"/>
        <v>0</v>
      </c>
      <c r="N385" s="91">
        <f t="shared" si="35"/>
        <v>0</v>
      </c>
      <c r="O385" s="91">
        <f t="shared" si="35"/>
        <v>0</v>
      </c>
      <c r="P385" s="91">
        <f t="shared" si="35"/>
        <v>0</v>
      </c>
      <c r="Q385" s="85">
        <f t="shared" si="35"/>
        <v>0</v>
      </c>
      <c r="R385" s="87">
        <f>'[3]2025'!$O$387</f>
        <v>0</v>
      </c>
      <c r="S385" s="87">
        <f>'[3]2025'!$O$388</f>
        <v>0</v>
      </c>
      <c r="T385" s="87">
        <f>'[3]2025'!$O$389</f>
        <v>0</v>
      </c>
      <c r="V385" s="1502" t="e">
        <f t="shared" si="27"/>
        <v>#DIV/0!</v>
      </c>
      <c r="W385" s="1502" t="e">
        <f t="shared" si="28"/>
        <v>#DIV/0!</v>
      </c>
      <c r="X385" s="1502" t="e">
        <f t="shared" si="28"/>
        <v>#DIV/0!</v>
      </c>
      <c r="Y385" s="1502" t="e">
        <f t="shared" si="28"/>
        <v>#DIV/0!</v>
      </c>
    </row>
    <row r="386" spans="2:25">
      <c r="B386" s="98" t="s">
        <v>23</v>
      </c>
      <c r="C386" s="204"/>
      <c r="D386" s="84">
        <f>SUM(C$279:C$309)</f>
        <v>0</v>
      </c>
      <c r="E386" s="104"/>
      <c r="F386" s="102">
        <v>97</v>
      </c>
      <c r="G386" s="105">
        <f t="shared" si="25"/>
        <v>0</v>
      </c>
      <c r="H386" s="84">
        <f>SUM(D$279:D$309)</f>
        <v>0</v>
      </c>
      <c r="I386" s="84">
        <f t="shared" ref="I386:Q386" si="36">SUM(E$279:E$309)</f>
        <v>0</v>
      </c>
      <c r="J386" s="89">
        <f t="shared" si="36"/>
        <v>0</v>
      </c>
      <c r="K386" s="84">
        <f t="shared" si="36"/>
        <v>0</v>
      </c>
      <c r="L386" s="84">
        <f t="shared" si="36"/>
        <v>0</v>
      </c>
      <c r="M386" s="84">
        <f t="shared" si="36"/>
        <v>0</v>
      </c>
      <c r="N386" s="89">
        <f t="shared" si="36"/>
        <v>0</v>
      </c>
      <c r="O386" s="89">
        <f t="shared" si="36"/>
        <v>0</v>
      </c>
      <c r="P386" s="89">
        <f t="shared" si="36"/>
        <v>0</v>
      </c>
      <c r="Q386" s="84">
        <f t="shared" si="36"/>
        <v>0</v>
      </c>
      <c r="R386" s="87">
        <f>'[3]2025'!$P$387</f>
        <v>0</v>
      </c>
      <c r="S386" s="87">
        <f>'[3]2025'!$P$388</f>
        <v>0</v>
      </c>
      <c r="T386" s="87">
        <f>'[3]2025'!$P$389</f>
        <v>0</v>
      </c>
      <c r="V386" s="1502" t="e">
        <f t="shared" si="27"/>
        <v>#DIV/0!</v>
      </c>
      <c r="W386" s="1502" t="e">
        <f t="shared" si="28"/>
        <v>#DIV/0!</v>
      </c>
      <c r="X386" s="1502" t="e">
        <f t="shared" si="28"/>
        <v>#DIV/0!</v>
      </c>
      <c r="Y386" s="1502" t="e">
        <f t="shared" si="28"/>
        <v>#DIV/0!</v>
      </c>
    </row>
    <row r="387" spans="2:25">
      <c r="B387" s="98" t="s">
        <v>24</v>
      </c>
      <c r="C387" s="204"/>
      <c r="D387" s="84">
        <f>SUM(C$310:C$339)</f>
        <v>0</v>
      </c>
      <c r="E387" s="104"/>
      <c r="F387" s="102">
        <v>97</v>
      </c>
      <c r="G387" s="105">
        <f t="shared" si="25"/>
        <v>0</v>
      </c>
      <c r="H387" s="86">
        <f>SUM(D$310:D$339)</f>
        <v>0</v>
      </c>
      <c r="I387" s="86">
        <f t="shared" ref="I387:Q387" si="37">SUM(E$310:E$339)</f>
        <v>0</v>
      </c>
      <c r="J387" s="92">
        <f t="shared" si="37"/>
        <v>0</v>
      </c>
      <c r="K387" s="86">
        <f t="shared" si="37"/>
        <v>0</v>
      </c>
      <c r="L387" s="86">
        <f t="shared" si="37"/>
        <v>0</v>
      </c>
      <c r="M387" s="86">
        <f t="shared" si="37"/>
        <v>0</v>
      </c>
      <c r="N387" s="92">
        <f t="shared" si="37"/>
        <v>0</v>
      </c>
      <c r="O387" s="92">
        <f t="shared" si="37"/>
        <v>0</v>
      </c>
      <c r="P387" s="92">
        <f t="shared" si="37"/>
        <v>0</v>
      </c>
      <c r="Q387" s="86">
        <f t="shared" si="37"/>
        <v>0</v>
      </c>
      <c r="R387" s="87">
        <f>'[3]2025'!$Q$387</f>
        <v>0</v>
      </c>
      <c r="S387" s="87">
        <f>'[3]2025'!$Q$388</f>
        <v>0</v>
      </c>
      <c r="T387" s="87">
        <f>'[3]2025'!$Q$389</f>
        <v>0</v>
      </c>
      <c r="V387" s="1502" t="e">
        <f t="shared" si="27"/>
        <v>#DIV/0!</v>
      </c>
      <c r="W387" s="1502" t="e">
        <f t="shared" si="28"/>
        <v>#DIV/0!</v>
      </c>
      <c r="X387" s="1502" t="e">
        <f t="shared" si="28"/>
        <v>#DIV/0!</v>
      </c>
      <c r="Y387" s="1502" t="e">
        <f t="shared" si="28"/>
        <v>#DIV/0!</v>
      </c>
    </row>
    <row r="388" spans="2:25" ht="17" customHeight="1">
      <c r="B388" s="98" t="s">
        <v>27</v>
      </c>
      <c r="C388" s="204"/>
      <c r="D388" s="84">
        <f>SUM(C$340:C$370)</f>
        <v>0</v>
      </c>
      <c r="E388" s="104"/>
      <c r="F388" s="102">
        <v>97</v>
      </c>
      <c r="G388" s="105">
        <f t="shared" si="25"/>
        <v>0</v>
      </c>
      <c r="H388" s="84">
        <f>SUM(D$340:D$370)</f>
        <v>0</v>
      </c>
      <c r="I388" s="84">
        <f t="shared" ref="I388:Q388" si="38">SUM(E$340:E$370)</f>
        <v>0</v>
      </c>
      <c r="J388" s="89">
        <f t="shared" si="38"/>
        <v>0</v>
      </c>
      <c r="K388" s="84">
        <f t="shared" si="38"/>
        <v>0</v>
      </c>
      <c r="L388" s="84">
        <f t="shared" si="38"/>
        <v>0</v>
      </c>
      <c r="M388" s="84">
        <f t="shared" si="38"/>
        <v>0</v>
      </c>
      <c r="N388" s="89">
        <f t="shared" si="38"/>
        <v>0</v>
      </c>
      <c r="O388" s="89">
        <f t="shared" si="38"/>
        <v>0</v>
      </c>
      <c r="P388" s="89">
        <f t="shared" si="38"/>
        <v>0</v>
      </c>
      <c r="Q388" s="84">
        <f t="shared" si="38"/>
        <v>0</v>
      </c>
      <c r="R388" s="87">
        <f>'[3]2025'!$R$387</f>
        <v>0</v>
      </c>
      <c r="S388" s="87">
        <f>'[3]2025'!$R$388</f>
        <v>0</v>
      </c>
      <c r="T388" s="87">
        <f>'[3]2025'!$R$389</f>
        <v>0</v>
      </c>
      <c r="V388" s="1502" t="e">
        <f t="shared" si="27"/>
        <v>#DIV/0!</v>
      </c>
      <c r="W388" s="1502" t="e">
        <f t="shared" si="28"/>
        <v>#DIV/0!</v>
      </c>
      <c r="X388" s="1502" t="e">
        <f t="shared" si="28"/>
        <v>#DIV/0!</v>
      </c>
      <c r="Y388" s="1502" t="e">
        <f t="shared" si="28"/>
        <v>#DIV/0!</v>
      </c>
    </row>
    <row r="389" spans="2:25" ht="18" customHeight="1" thickBot="1">
      <c r="B389" s="99" t="s">
        <v>45</v>
      </c>
      <c r="C389" s="205"/>
      <c r="D389" s="96">
        <f>SUM(D377:D388)</f>
        <v>2266610.35</v>
      </c>
      <c r="E389" s="106"/>
      <c r="F389" s="100">
        <f>AVERAGE(F377:F388)</f>
        <v>97</v>
      </c>
      <c r="G389" s="106">
        <f t="shared" ref="G389:T389" si="39">SUM(G377:G388)</f>
        <v>22156.146288659791</v>
      </c>
      <c r="H389" s="96">
        <f>SUM(H377:H388)</f>
        <v>2253128.7800000003</v>
      </c>
      <c r="I389" s="96">
        <f t="shared" si="39"/>
        <v>2216159.0500000003</v>
      </c>
      <c r="J389" s="97">
        <f t="shared" si="39"/>
        <v>132760</v>
      </c>
      <c r="K389" s="96">
        <f t="shared" si="39"/>
        <v>2247845</v>
      </c>
      <c r="L389" s="96">
        <f t="shared" si="39"/>
        <v>2195516.91</v>
      </c>
      <c r="M389" s="96">
        <f t="shared" si="39"/>
        <v>2149146.19</v>
      </c>
      <c r="N389" s="97">
        <f t="shared" si="39"/>
        <v>124446</v>
      </c>
      <c r="O389" s="97">
        <f t="shared" si="39"/>
        <v>21247.559999999998</v>
      </c>
      <c r="P389" s="97">
        <f t="shared" si="39"/>
        <v>24615.57</v>
      </c>
      <c r="Q389" s="96">
        <f t="shared" si="39"/>
        <v>10772.760000000002</v>
      </c>
      <c r="R389" s="96">
        <f t="shared" si="39"/>
        <v>9374.66</v>
      </c>
      <c r="S389" s="96">
        <f t="shared" si="39"/>
        <v>103.69</v>
      </c>
      <c r="T389" s="96">
        <f t="shared" si="39"/>
        <v>1204.8899999999999</v>
      </c>
      <c r="V389" s="1502">
        <f>(L389-D389)/D389</f>
        <v>-3.1365532236275168E-2</v>
      </c>
      <c r="W389" s="1502">
        <f>(L389-H389)/H389</f>
        <v>-2.5569719099677961E-2</v>
      </c>
      <c r="X389" s="1502">
        <f>(M389-I389)/I389</f>
        <v>-3.0238289981939847E-2</v>
      </c>
      <c r="Y389" s="1502">
        <f>(N389-J389)/J389</f>
        <v>-6.2624284423018983E-2</v>
      </c>
    </row>
  </sheetData>
  <mergeCells count="55"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  <mergeCell ref="U73:U79"/>
    <mergeCell ref="U80:U86"/>
    <mergeCell ref="U87:U93"/>
    <mergeCell ref="U94:U100"/>
    <mergeCell ref="U101:U107"/>
    <mergeCell ref="U108:U114"/>
    <mergeCell ref="U115:U121"/>
    <mergeCell ref="U122:U128"/>
    <mergeCell ref="U129:U135"/>
    <mergeCell ref="U136:U142"/>
    <mergeCell ref="U325:U331"/>
    <mergeCell ref="U332:U338"/>
    <mergeCell ref="U143:U149"/>
    <mergeCell ref="U234:U240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13:U219"/>
    <mergeCell ref="U220:U226"/>
    <mergeCell ref="U227:U233"/>
    <mergeCell ref="U150:U156"/>
    <mergeCell ref="U318:U324"/>
    <mergeCell ref="U241:U247"/>
    <mergeCell ref="U248:U254"/>
    <mergeCell ref="U255:U261"/>
    <mergeCell ref="U262:U268"/>
    <mergeCell ref="U269:U275"/>
    <mergeCell ref="U276:U282"/>
    <mergeCell ref="U283:U289"/>
    <mergeCell ref="U290:U296"/>
    <mergeCell ref="U297:U303"/>
    <mergeCell ref="U304:U310"/>
    <mergeCell ref="U311:U317"/>
    <mergeCell ref="U339:U345"/>
    <mergeCell ref="U346:U352"/>
    <mergeCell ref="U353:U359"/>
    <mergeCell ref="U360:U366"/>
    <mergeCell ref="U367:U373"/>
  </mergeCells>
  <phoneticPr fontId="5" type="noConversion"/>
  <conditionalFormatting sqref="N3:N367">
    <cfRule type="cellIs" dxfId="355" priority="1" operator="lessThan">
      <formula>0.006</formula>
    </cfRule>
    <cfRule type="cellIs" dxfId="354" priority="2" operator="greaterThan">
      <formula>0.006</formula>
    </cfRule>
  </conditionalFormatting>
  <conditionalFormatting sqref="O3:P373">
    <cfRule type="cellIs" dxfId="353" priority="3" operator="lessThan">
      <formula>0</formula>
    </cfRule>
    <cfRule type="cellIs" dxfId="352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59727-267D-8846-A065-EF2868097F68}">
  <sheetPr codeName="Feuil7"/>
  <dimension ref="A1:Z390"/>
  <sheetViews>
    <sheetView showGridLines="0" topLeftCell="A86" workbookViewId="0">
      <selection activeCell="Q380" sqref="Q380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5" width="10.83203125" style="70"/>
    <col min="6" max="6" width="10.83203125" style="38"/>
    <col min="7" max="7" width="10.83203125" style="70"/>
    <col min="8" max="8" width="11.5" style="44" bestFit="1" customWidth="1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25" width="14.1640625" style="38" customWidth="1"/>
    <col min="26" max="16384" width="10.83203125" style="38"/>
  </cols>
  <sheetData>
    <row r="1" spans="1:21" ht="16" customHeight="1">
      <c r="A1" s="1740"/>
      <c r="B1" s="1"/>
      <c r="C1" s="206"/>
      <c r="D1" s="1741" t="s">
        <v>147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1" s="39" customFormat="1" ht="37" customHeight="1" thickBot="1">
      <c r="A2" s="1740"/>
      <c r="B2" s="2"/>
      <c r="C2" s="203"/>
      <c r="D2" s="5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1" ht="17" customHeight="1" thickTop="1">
      <c r="A3" s="10" t="s">
        <v>9</v>
      </c>
      <c r="B3" s="11"/>
      <c r="C3" s="207"/>
      <c r="D3" s="68"/>
      <c r="E3" s="68"/>
      <c r="F3" s="12"/>
      <c r="G3" s="73"/>
      <c r="H3" s="42"/>
      <c r="I3" s="13"/>
      <c r="J3" s="14"/>
      <c r="K3" s="15"/>
      <c r="L3" s="15"/>
      <c r="M3" s="15"/>
      <c r="N3" s="16"/>
      <c r="O3" s="17"/>
      <c r="Q3" s="18"/>
      <c r="S3" s="33" t="s">
        <v>39</v>
      </c>
      <c r="T3" s="31" t="s">
        <v>42</v>
      </c>
      <c r="U3" s="1737" t="s">
        <v>83</v>
      </c>
    </row>
    <row r="4" spans="1:21">
      <c r="A4" s="10" t="s">
        <v>11</v>
      </c>
      <c r="B4" s="11"/>
      <c r="C4" s="207"/>
      <c r="D4" s="68"/>
      <c r="E4" s="68"/>
      <c r="F4" s="12"/>
      <c r="G4" s="73"/>
      <c r="H4" s="42"/>
      <c r="I4" s="13"/>
      <c r="J4" s="14"/>
      <c r="K4" s="15"/>
      <c r="L4" s="15"/>
      <c r="M4" s="15"/>
      <c r="N4" s="16"/>
      <c r="O4" s="17"/>
      <c r="Q4" s="18"/>
      <c r="S4" s="34">
        <f>SUM(I3:I9)</f>
        <v>75332.61</v>
      </c>
      <c r="T4" s="45" t="s">
        <v>41</v>
      </c>
      <c r="U4" s="1738"/>
    </row>
    <row r="5" spans="1:21">
      <c r="A5" s="10" t="s">
        <v>12</v>
      </c>
      <c r="B5" s="11"/>
      <c r="C5" s="75"/>
      <c r="D5" s="68"/>
      <c r="E5" s="68"/>
      <c r="F5" s="12"/>
      <c r="G5" s="73"/>
      <c r="H5" s="42"/>
      <c r="I5" s="13"/>
      <c r="J5" s="14"/>
      <c r="K5" s="15"/>
      <c r="L5" s="15"/>
      <c r="M5" s="15"/>
      <c r="N5" s="16"/>
      <c r="O5" s="17" t="str">
        <f t="shared" ref="O5:P67" si="0">IF(I5=0,"",(I5-E5)/E5)</f>
        <v/>
      </c>
      <c r="P5" s="17" t="str">
        <f t="shared" si="0"/>
        <v/>
      </c>
      <c r="Q5" s="18" t="str">
        <f t="shared" ref="Q5:Q67" si="1">IF(I5=0,"",I5/K5)</f>
        <v/>
      </c>
      <c r="R5" s="18" t="e">
        <f t="shared" ref="R5:R67" si="2">I5/L5</f>
        <v>#DIV/0!</v>
      </c>
      <c r="S5" s="35">
        <f>(S4-SUM(E3:E9))/SUM(E3:E9)</f>
        <v>0.38864641619791707</v>
      </c>
      <c r="T5" s="48">
        <f>SUM(I3:I9)/SUM(K3:K9)</f>
        <v>124.45294146800812</v>
      </c>
      <c r="U5" s="1738"/>
    </row>
    <row r="6" spans="1:21">
      <c r="A6" s="10" t="s">
        <v>13</v>
      </c>
      <c r="B6" s="11">
        <f>CHAMNORD!B6</f>
        <v>46023</v>
      </c>
      <c r="C6" s="75">
        <f>IF(H6=0,"",'[4]2025-2026'!C5)</f>
        <v>22647.55</v>
      </c>
      <c r="D6" s="68">
        <f>'[4]2025'!C6</f>
        <v>12706.33</v>
      </c>
      <c r="E6" s="68">
        <f>'[4]2025'!D6</f>
        <v>12482.32</v>
      </c>
      <c r="F6" s="12">
        <f>'[4]2025'!E6</f>
        <v>610</v>
      </c>
      <c r="G6" s="73">
        <f>'[4]2025'!F6</f>
        <v>23100</v>
      </c>
      <c r="H6" s="42">
        <f>'[4]2025'!G6</f>
        <v>24482.58</v>
      </c>
      <c r="I6" s="13">
        <f>'[4]2025'!H6</f>
        <v>24306.31</v>
      </c>
      <c r="J6" s="14">
        <f>'[4]2025'!I6</f>
        <v>1016</v>
      </c>
      <c r="K6" s="15">
        <f>'[4]2025'!J6</f>
        <v>163.73000000000002</v>
      </c>
      <c r="L6" s="15">
        <f>'[4]2025'!K6</f>
        <v>206.15</v>
      </c>
      <c r="M6" s="15">
        <f>'[4]2025'!L6</f>
        <v>79.260000000000005</v>
      </c>
      <c r="N6" s="16">
        <f t="shared" ref="N6:N67" si="3">IF(M6=0,"",M6/I6)</f>
        <v>3.2608816393767709E-3</v>
      </c>
      <c r="O6" s="17">
        <f t="shared" si="0"/>
        <v>0.94725900313403288</v>
      </c>
      <c r="P6" s="17">
        <f t="shared" si="0"/>
        <v>0.66557377049180333</v>
      </c>
      <c r="Q6" s="18">
        <f t="shared" si="1"/>
        <v>148.45361265498076</v>
      </c>
      <c r="R6" s="18">
        <f t="shared" si="2"/>
        <v>117.90594227504245</v>
      </c>
      <c r="S6" s="34"/>
      <c r="T6" s="29" t="s">
        <v>8</v>
      </c>
      <c r="U6" s="1738"/>
    </row>
    <row r="7" spans="1:21">
      <c r="A7" s="10" t="s">
        <v>14</v>
      </c>
      <c r="B7" s="11">
        <f>CHAMNORD!B7</f>
        <v>46024</v>
      </c>
      <c r="C7" s="75">
        <f>IF(H7=0,"",'[4]2025-2026'!C6)</f>
        <v>12706.33</v>
      </c>
      <c r="D7" s="68">
        <f>'[4]2025'!C7</f>
        <v>15634.89</v>
      </c>
      <c r="E7" s="68">
        <f>'[4]2025'!D7</f>
        <v>15405.11</v>
      </c>
      <c r="F7" s="12">
        <f>'[4]2025'!E7</f>
        <v>758</v>
      </c>
      <c r="G7" s="73">
        <f>'[4]2025'!F7</f>
        <v>15500</v>
      </c>
      <c r="H7" s="42">
        <f>'[4]2025'!G7</f>
        <v>18221.02</v>
      </c>
      <c r="I7" s="13">
        <f>'[4]2025'!H7</f>
        <v>18079.95</v>
      </c>
      <c r="J7" s="14">
        <f>'[4]2025'!I7</f>
        <v>785</v>
      </c>
      <c r="K7" s="15">
        <f>'[4]2025'!J7</f>
        <v>149.69</v>
      </c>
      <c r="L7" s="15">
        <f>'[4]2025'!K7</f>
        <v>175.57</v>
      </c>
      <c r="M7" s="15">
        <f>'[4]2025'!L7</f>
        <v>28.8</v>
      </c>
      <c r="N7" s="16">
        <f t="shared" si="3"/>
        <v>1.5929247591945773E-3</v>
      </c>
      <c r="O7" s="17">
        <f t="shared" si="0"/>
        <v>0.1736332944068559</v>
      </c>
      <c r="P7" s="17">
        <f t="shared" si="0"/>
        <v>3.5620052770448551E-2</v>
      </c>
      <c r="Q7" s="18">
        <f t="shared" si="1"/>
        <v>120.78261740931259</v>
      </c>
      <c r="R7" s="18">
        <f t="shared" si="2"/>
        <v>102.97858404055363</v>
      </c>
      <c r="S7" s="36" t="s">
        <v>40</v>
      </c>
      <c r="T7" s="48">
        <f>SUM(I3:I9)/SUM(L3:L9)</f>
        <v>106.1022676056338</v>
      </c>
      <c r="U7" s="1738"/>
    </row>
    <row r="8" spans="1:21">
      <c r="A8" s="10" t="s">
        <v>15</v>
      </c>
      <c r="B8" s="11">
        <f>CHAMNORD!B8</f>
        <v>46025</v>
      </c>
      <c r="C8" s="75">
        <f>IF(H8=0,"",'[4]2025-2026'!C7)</f>
        <v>15634.89</v>
      </c>
      <c r="D8" s="68">
        <f>'[4]2025'!C8</f>
        <v>14617.3</v>
      </c>
      <c r="E8" s="68">
        <f>'[4]2025'!D8</f>
        <v>14357.33</v>
      </c>
      <c r="F8" s="12">
        <f>'[4]2025'!E8</f>
        <v>670</v>
      </c>
      <c r="G8" s="73">
        <f>'[4]2025'!F8</f>
        <v>14500</v>
      </c>
      <c r="H8" s="42">
        <f>'[4]2025'!G8</f>
        <v>17091.96</v>
      </c>
      <c r="I8" s="13">
        <f>'[4]2025'!H8</f>
        <v>16946.349999999999</v>
      </c>
      <c r="J8" s="14">
        <f>'[4]2025'!I8</f>
        <v>719</v>
      </c>
      <c r="K8" s="15">
        <f>'[4]2025'!J8</f>
        <v>162.56</v>
      </c>
      <c r="L8" s="15">
        <f>'[4]2025'!K8</f>
        <v>180.07</v>
      </c>
      <c r="M8" s="15">
        <f>'[4]2025'!L8</f>
        <v>57.91</v>
      </c>
      <c r="N8" s="16">
        <f t="shared" si="3"/>
        <v>3.4172550431213803E-3</v>
      </c>
      <c r="O8" s="17">
        <f t="shared" si="0"/>
        <v>0.18032740070751307</v>
      </c>
      <c r="P8" s="17">
        <f t="shared" si="0"/>
        <v>7.3134328358208961E-2</v>
      </c>
      <c r="Q8" s="18">
        <f t="shared" si="1"/>
        <v>104.24673966535433</v>
      </c>
      <c r="R8" s="18">
        <f t="shared" si="2"/>
        <v>94.109790636974509</v>
      </c>
      <c r="S8" s="36">
        <f>SUM(J3:J9)</f>
        <v>3184</v>
      </c>
      <c r="T8" s="30" t="s">
        <v>3</v>
      </c>
      <c r="U8" s="1738"/>
    </row>
    <row r="9" spans="1:21" ht="18" thickBot="1">
      <c r="A9" s="10" t="s">
        <v>16</v>
      </c>
      <c r="B9" s="11">
        <f>CHAMNORD!B9</f>
        <v>46026</v>
      </c>
      <c r="C9" s="75">
        <f>IF(H9=0,"",'[4]2025-2026'!C8)</f>
        <v>14617.3</v>
      </c>
      <c r="D9" s="68">
        <f>'[4]2025'!C9</f>
        <v>12179.37</v>
      </c>
      <c r="E9" s="68">
        <f>'[4]2025'!D9</f>
        <v>12004.19</v>
      </c>
      <c r="F9" s="12">
        <f>'[4]2025'!E9</f>
        <v>549</v>
      </c>
      <c r="G9" s="73">
        <f>'[4]2025'!F9</f>
        <v>12100</v>
      </c>
      <c r="H9" s="42">
        <f>'[4]2025'!G9</f>
        <v>16119.02</v>
      </c>
      <c r="I9" s="13">
        <f>'[4]2025'!H9</f>
        <v>16000</v>
      </c>
      <c r="J9" s="14">
        <f>'[4]2025'!I9</f>
        <v>664</v>
      </c>
      <c r="K9" s="15">
        <f>'[4]2025'!J9</f>
        <v>129.33000000000001</v>
      </c>
      <c r="L9" s="15">
        <f>'[4]2025'!K9</f>
        <v>148.21</v>
      </c>
      <c r="M9" s="15">
        <f>'[4]2025'!L9</f>
        <v>43.91</v>
      </c>
      <c r="N9" s="16">
        <f t="shared" si="3"/>
        <v>2.7443749999999999E-3</v>
      </c>
      <c r="O9" s="17">
        <f t="shared" si="0"/>
        <v>0.3328679402775197</v>
      </c>
      <c r="P9" s="17">
        <f t="shared" si="0"/>
        <v>0.20947176684881602</v>
      </c>
      <c r="Q9" s="18">
        <f t="shared" si="1"/>
        <v>123.71452872496712</v>
      </c>
      <c r="R9" s="18">
        <f t="shared" si="2"/>
        <v>107.9549288172188</v>
      </c>
      <c r="S9" s="37">
        <f>(S8-SUM(F3:F9))/SUM(F3:F9)</f>
        <v>0.23076923076923078</v>
      </c>
      <c r="T9" s="47">
        <f>SUM(M3:M9)/SUM(I3:I9)</f>
        <v>2.7860444500728168E-3</v>
      </c>
      <c r="U9" s="1739"/>
    </row>
    <row r="10" spans="1:21" ht="17" customHeight="1" thickTop="1">
      <c r="A10" s="10" t="s">
        <v>9</v>
      </c>
      <c r="B10" s="19">
        <f>CHAMNORD!B10</f>
        <v>46027</v>
      </c>
      <c r="C10" s="75">
        <f>IF(H10=0,"",'[4]2025-2026'!C9)</f>
        <v>12179.37</v>
      </c>
      <c r="D10" s="68">
        <f>'[4]2025'!C10</f>
        <v>7147.56</v>
      </c>
      <c r="E10" s="68">
        <f>'[4]2025'!D10</f>
        <v>7082.19</v>
      </c>
      <c r="F10" s="12">
        <f>'[4]2025'!E10</f>
        <v>399</v>
      </c>
      <c r="G10" s="73">
        <f>'[4]2025'!F10</f>
        <v>7100</v>
      </c>
      <c r="H10" s="42">
        <f>'[4]2025'!G10</f>
        <v>7091.19</v>
      </c>
      <c r="I10" s="13">
        <f>'[4]2025'!H10</f>
        <v>7042.5</v>
      </c>
      <c r="J10" s="14">
        <f>'[4]2025'!I10</f>
        <v>383</v>
      </c>
      <c r="K10" s="15">
        <f>'[4]2025'!J10</f>
        <v>83.85</v>
      </c>
      <c r="L10" s="15">
        <f>'[4]2025'!K10</f>
        <v>100.52</v>
      </c>
      <c r="M10" s="15">
        <f>'[4]2025'!L10</f>
        <v>29.97</v>
      </c>
      <c r="N10" s="16">
        <f t="shared" si="3"/>
        <v>4.2555910543130987E-3</v>
      </c>
      <c r="O10" s="17">
        <f t="shared" si="0"/>
        <v>-5.6041987012491338E-3</v>
      </c>
      <c r="P10" s="17">
        <f t="shared" si="0"/>
        <v>-4.0100250626566414E-2</v>
      </c>
      <c r="Q10" s="18">
        <f t="shared" si="1"/>
        <v>83.989266547406089</v>
      </c>
      <c r="R10" s="18">
        <f t="shared" si="2"/>
        <v>70.060684440907281</v>
      </c>
      <c r="S10" s="33" t="s">
        <v>39</v>
      </c>
      <c r="T10" s="31" t="s">
        <v>42</v>
      </c>
      <c r="U10" s="1737" t="s">
        <v>84</v>
      </c>
    </row>
    <row r="11" spans="1:21">
      <c r="A11" s="10" t="s">
        <v>11</v>
      </c>
      <c r="B11" s="19">
        <f>CHAMNORD!B11</f>
        <v>46028</v>
      </c>
      <c r="C11" s="75">
        <f>IF(H11=0,"",'[4]2025-2026'!C10)</f>
        <v>7147.56</v>
      </c>
      <c r="D11" s="68">
        <f>'[4]2025'!C11</f>
        <v>7765.79</v>
      </c>
      <c r="E11" s="68">
        <f>'[4]2025'!D11</f>
        <v>7690.33</v>
      </c>
      <c r="F11" s="12">
        <f>'[4]2025'!E11</f>
        <v>410</v>
      </c>
      <c r="G11" s="73">
        <f>'[4]2025'!F11</f>
        <v>7800</v>
      </c>
      <c r="H11" s="42">
        <f>'[4]2025'!G11</f>
        <v>8481.92</v>
      </c>
      <c r="I11" s="13">
        <f>'[4]2025'!H11</f>
        <v>8412.26</v>
      </c>
      <c r="J11" s="14">
        <f>'[4]2025'!I11</f>
        <v>446</v>
      </c>
      <c r="K11" s="15">
        <f>'[4]2025'!J11</f>
        <v>84.63</v>
      </c>
      <c r="L11" s="15">
        <f>'[4]2025'!K11</f>
        <v>109.44</v>
      </c>
      <c r="M11" s="15">
        <f>'[4]2025'!L11</f>
        <v>44.59</v>
      </c>
      <c r="N11" s="16">
        <f t="shared" si="3"/>
        <v>5.3005969858278277E-3</v>
      </c>
      <c r="O11" s="17">
        <f t="shared" si="0"/>
        <v>9.3875035271568361E-2</v>
      </c>
      <c r="P11" s="17">
        <f t="shared" si="0"/>
        <v>8.7804878048780483E-2</v>
      </c>
      <c r="Q11" s="18">
        <f t="shared" si="1"/>
        <v>99.400449013352244</v>
      </c>
      <c r="R11" s="18">
        <f t="shared" si="2"/>
        <v>76.866410818713447</v>
      </c>
      <c r="S11" s="34">
        <f>SUM(I10:I16)</f>
        <v>69006.59</v>
      </c>
      <c r="T11" s="45" t="s">
        <v>41</v>
      </c>
      <c r="U11" s="1738"/>
    </row>
    <row r="12" spans="1:21">
      <c r="A12" s="10" t="s">
        <v>12</v>
      </c>
      <c r="B12" s="19">
        <f>CHAMNORD!B12</f>
        <v>46029</v>
      </c>
      <c r="C12" s="75">
        <f>IF(H12=0,"",'[4]2025-2026'!C11)</f>
        <v>7765.79</v>
      </c>
      <c r="D12" s="68">
        <f>'[4]2025'!C12</f>
        <v>11291.64</v>
      </c>
      <c r="E12" s="68">
        <f>'[4]2025'!D12</f>
        <v>11096.53</v>
      </c>
      <c r="F12" s="12">
        <f>'[4]2025'!E12</f>
        <v>562</v>
      </c>
      <c r="G12" s="73">
        <f>'[4]2025'!F12</f>
        <v>11200</v>
      </c>
      <c r="H12" s="42">
        <f>'[4]2025'!G12</f>
        <v>9492.19</v>
      </c>
      <c r="I12" s="13">
        <f>'[4]2025'!H12</f>
        <v>9407.66</v>
      </c>
      <c r="J12" s="14">
        <f>'[4]2025'!I12</f>
        <v>487</v>
      </c>
      <c r="K12" s="15">
        <f>'[4]2025'!J12</f>
        <v>109.23</v>
      </c>
      <c r="L12" s="15">
        <f>'[4]2025'!K12</f>
        <v>126.39</v>
      </c>
      <c r="M12" s="15">
        <f>'[4]2025'!L12</f>
        <v>34.28</v>
      </c>
      <c r="N12" s="16">
        <f t="shared" si="3"/>
        <v>3.6438391693577364E-3</v>
      </c>
      <c r="O12" s="17">
        <f t="shared" si="0"/>
        <v>-0.1521980294740789</v>
      </c>
      <c r="P12" s="17">
        <f t="shared" si="0"/>
        <v>-0.13345195729537365</v>
      </c>
      <c r="Q12" s="18">
        <f t="shared" si="1"/>
        <v>86.127071317403633</v>
      </c>
      <c r="R12" s="18">
        <f t="shared" si="2"/>
        <v>74.433578605902369</v>
      </c>
      <c r="S12" s="35">
        <f>(S11-SUM(E10:E16))/SUM(E10:E16)</f>
        <v>-7.3336156030991764E-2</v>
      </c>
      <c r="T12" s="48">
        <f>SUM(I10:I16)/SUM(K10:K16)</f>
        <v>87.857239254430624</v>
      </c>
      <c r="U12" s="1738"/>
    </row>
    <row r="13" spans="1:21">
      <c r="A13" s="10" t="s">
        <v>13</v>
      </c>
      <c r="B13" s="19">
        <f>CHAMNORD!B13</f>
        <v>46030</v>
      </c>
      <c r="C13" s="75">
        <f>IF(H13=0,"",'[4]2025-2026'!C12)</f>
        <v>11291.64</v>
      </c>
      <c r="D13" s="68">
        <f>'[4]2025'!C13</f>
        <v>7869.33</v>
      </c>
      <c r="E13" s="68">
        <f>'[4]2025'!D13</f>
        <v>7780.59</v>
      </c>
      <c r="F13" s="12">
        <f>'[4]2025'!E13</f>
        <v>432</v>
      </c>
      <c r="G13" s="73">
        <f>'[4]2025'!F13</f>
        <v>7800</v>
      </c>
      <c r="H13" s="42">
        <f>'[4]2025'!G13</f>
        <v>7014.11</v>
      </c>
      <c r="I13" s="13">
        <f>'[4]2025'!H13</f>
        <v>6970.51</v>
      </c>
      <c r="J13" s="14">
        <f>'[4]2025'!I13</f>
        <v>385</v>
      </c>
      <c r="K13" s="15">
        <f>'[4]2025'!J13</f>
        <v>95.67</v>
      </c>
      <c r="L13" s="15">
        <f>'[4]2025'!K13</f>
        <v>120.48</v>
      </c>
      <c r="M13" s="15">
        <f>'[4]2025'!L13</f>
        <v>29.54</v>
      </c>
      <c r="N13" s="16">
        <f t="shared" si="3"/>
        <v>4.2378534712668083E-3</v>
      </c>
      <c r="O13" s="17">
        <f t="shared" si="0"/>
        <v>-0.10411549766791463</v>
      </c>
      <c r="P13" s="17">
        <f t="shared" si="0"/>
        <v>-0.10879629629629629</v>
      </c>
      <c r="Q13" s="18">
        <f t="shared" si="1"/>
        <v>72.85993519389568</v>
      </c>
      <c r="R13" s="18">
        <f t="shared" si="2"/>
        <v>57.856158698539176</v>
      </c>
      <c r="S13" s="34"/>
      <c r="T13" s="29" t="s">
        <v>8</v>
      </c>
      <c r="U13" s="1738"/>
    </row>
    <row r="14" spans="1:21">
      <c r="A14" s="10" t="s">
        <v>14</v>
      </c>
      <c r="B14" s="19">
        <f>CHAMNORD!B14</f>
        <v>46031</v>
      </c>
      <c r="C14" s="75">
        <f>IF(H14=0,"",'[4]2025-2026'!C13)</f>
        <v>7869.33</v>
      </c>
      <c r="D14" s="68">
        <f>'[4]2025'!C14</f>
        <v>14058.73</v>
      </c>
      <c r="E14" s="68">
        <f>'[4]2025'!D14</f>
        <v>13931.14</v>
      </c>
      <c r="F14" s="12">
        <f>'[4]2025'!E14</f>
        <v>749</v>
      </c>
      <c r="G14" s="73">
        <f>'[4]2025'!F14</f>
        <v>14100</v>
      </c>
      <c r="H14" s="42">
        <f>'[4]2025'!G14</f>
        <v>12590.01</v>
      </c>
      <c r="I14" s="13">
        <f>'[4]2025'!H14</f>
        <v>12505.46</v>
      </c>
      <c r="J14" s="14">
        <f>'[4]2025'!I14</f>
        <v>632</v>
      </c>
      <c r="K14" s="15">
        <f>'[4]2025'!J14</f>
        <v>125.65</v>
      </c>
      <c r="L14" s="15">
        <f>'[4]2025'!K14</f>
        <v>142.33000000000001</v>
      </c>
      <c r="M14" s="15">
        <f>'[4]2025'!L14</f>
        <v>49.29</v>
      </c>
      <c r="N14" s="16">
        <f t="shared" si="3"/>
        <v>3.9414783622513687E-3</v>
      </c>
      <c r="O14" s="17">
        <f t="shared" si="0"/>
        <v>-0.10233764070994911</v>
      </c>
      <c r="P14" s="17">
        <f t="shared" si="0"/>
        <v>-0.15620827770360482</v>
      </c>
      <c r="Q14" s="18">
        <f t="shared" si="1"/>
        <v>99.52614405093513</v>
      </c>
      <c r="R14" s="18">
        <f t="shared" si="2"/>
        <v>87.86243237546546</v>
      </c>
      <c r="S14" s="36" t="s">
        <v>40</v>
      </c>
      <c r="T14" s="48">
        <f>SUM(I10:I16)/SUM(L10:L16)</f>
        <v>73.648665378827502</v>
      </c>
      <c r="U14" s="1738"/>
    </row>
    <row r="15" spans="1:21">
      <c r="A15" s="10" t="s">
        <v>15</v>
      </c>
      <c r="B15" s="19">
        <f>CHAMNORD!B15</f>
        <v>46032</v>
      </c>
      <c r="C15" s="75">
        <f>IF(H15=0,"",'[4]2025-2026'!C14)</f>
        <v>14058.73</v>
      </c>
      <c r="D15" s="68">
        <f>'[4]2025'!C15</f>
        <v>13503.21</v>
      </c>
      <c r="E15" s="68">
        <f>'[4]2025'!D15</f>
        <v>13315.97</v>
      </c>
      <c r="F15" s="12">
        <f>'[4]2025'!E15</f>
        <v>665</v>
      </c>
      <c r="G15" s="73">
        <f>'[4]2025'!F15</f>
        <v>13400</v>
      </c>
      <c r="H15" s="42">
        <f>'[4]2025'!G15</f>
        <v>11774.2</v>
      </c>
      <c r="I15" s="13">
        <f>'[4]2025'!H15</f>
        <v>11684.44</v>
      </c>
      <c r="J15" s="14">
        <f>'[4]2025'!I15</f>
        <v>562</v>
      </c>
      <c r="K15" s="15">
        <f>'[4]2025'!J15</f>
        <v>145.86000000000001</v>
      </c>
      <c r="L15" s="15">
        <f>'[4]2025'!K15</f>
        <v>172.52</v>
      </c>
      <c r="M15" s="15">
        <f>'[4]2025'!L15</f>
        <v>33.94</v>
      </c>
      <c r="N15" s="16">
        <f t="shared" si="3"/>
        <v>2.9047177271653581E-3</v>
      </c>
      <c r="O15" s="17">
        <f t="shared" si="0"/>
        <v>-0.1225243072791542</v>
      </c>
      <c r="P15" s="17">
        <f t="shared" si="0"/>
        <v>-0.1548872180451128</v>
      </c>
      <c r="Q15" s="18">
        <f t="shared" si="1"/>
        <v>80.107226107226097</v>
      </c>
      <c r="R15" s="18">
        <f t="shared" si="2"/>
        <v>67.728031532575926</v>
      </c>
      <c r="S15" s="36">
        <f>SUM(J10:J16)</f>
        <v>3446</v>
      </c>
      <c r="T15" s="30" t="s">
        <v>3</v>
      </c>
      <c r="U15" s="1738"/>
    </row>
    <row r="16" spans="1:21" ht="18" thickBot="1">
      <c r="A16" s="10" t="s">
        <v>16</v>
      </c>
      <c r="B16" s="19">
        <f>CHAMNORD!B16</f>
        <v>46033</v>
      </c>
      <c r="C16" s="75">
        <f>IF(H16=0,"",'[4]2025-2026'!C15)</f>
        <v>13503.21</v>
      </c>
      <c r="D16" s="68">
        <f>'[4]2025'!C16</f>
        <v>13678.29</v>
      </c>
      <c r="E16" s="68">
        <f>'[4]2025'!D16</f>
        <v>13571.02</v>
      </c>
      <c r="F16" s="12">
        <f>'[4]2025'!E16</f>
        <v>620</v>
      </c>
      <c r="G16" s="73">
        <f>'[4]2025'!F16</f>
        <v>13700</v>
      </c>
      <c r="H16" s="42">
        <f>'[4]2025'!G16</f>
        <v>13096.26</v>
      </c>
      <c r="I16" s="13">
        <f>'[4]2025'!H16</f>
        <v>12983.76</v>
      </c>
      <c r="J16" s="14">
        <f>'[4]2025'!I16</f>
        <v>551</v>
      </c>
      <c r="K16" s="15">
        <f>'[4]2025'!J16</f>
        <v>140.55000000000001</v>
      </c>
      <c r="L16" s="15">
        <f>'[4]2025'!K16</f>
        <v>165.29</v>
      </c>
      <c r="M16" s="15">
        <f>'[4]2025'!L16</f>
        <v>42.46</v>
      </c>
      <c r="N16" s="16">
        <f t="shared" si="3"/>
        <v>3.2702391294971564E-3</v>
      </c>
      <c r="O16" s="17">
        <f t="shared" si="0"/>
        <v>-4.327309222151321E-2</v>
      </c>
      <c r="P16" s="17">
        <f t="shared" si="0"/>
        <v>-0.11129032258064517</v>
      </c>
      <c r="Q16" s="18">
        <f t="shared" si="1"/>
        <v>92.378228388473843</v>
      </c>
      <c r="R16" s="18">
        <f t="shared" si="2"/>
        <v>78.551394518724678</v>
      </c>
      <c r="S16" s="37">
        <f>(S15-SUM(F10:F16))/SUM(F10:F16)</f>
        <v>-0.10190252801667969</v>
      </c>
      <c r="T16" s="47">
        <f>SUM(M10:M16)/SUM(I10:I16)</f>
        <v>3.8267359682604227E-3</v>
      </c>
      <c r="U16" s="1739"/>
    </row>
    <row r="17" spans="1:21" ht="17" customHeight="1" thickTop="1">
      <c r="A17" s="10" t="s">
        <v>9</v>
      </c>
      <c r="B17" s="19">
        <f>CHAMNORD!B17</f>
        <v>46034</v>
      </c>
      <c r="C17" s="75">
        <f>IF(H17=0,"",'[4]2025-2026'!C16)</f>
        <v>13678.29</v>
      </c>
      <c r="D17" s="68">
        <f>'[4]2025'!C17</f>
        <v>7607.67</v>
      </c>
      <c r="E17" s="68">
        <f>'[4]2025'!D17</f>
        <v>7556.95</v>
      </c>
      <c r="F17" s="12">
        <f>'[4]2025'!E17</f>
        <v>429</v>
      </c>
      <c r="G17" s="73">
        <f>'[4]2025'!F17</f>
        <v>7600</v>
      </c>
      <c r="H17" s="42">
        <f>'[4]2025'!G17</f>
        <v>7436.88</v>
      </c>
      <c r="I17" s="13">
        <f>'[4]2025'!H17</f>
        <v>7381.52</v>
      </c>
      <c r="J17" s="14">
        <f>'[4]2025'!I17</f>
        <v>384</v>
      </c>
      <c r="K17" s="15">
        <f>'[4]2025'!J17</f>
        <v>92.63</v>
      </c>
      <c r="L17" s="15">
        <f>'[4]2025'!K17</f>
        <v>109.03</v>
      </c>
      <c r="M17" s="15">
        <f>'[4]2025'!L17</f>
        <v>42.69</v>
      </c>
      <c r="N17" s="16">
        <f t="shared" si="3"/>
        <v>5.783361692442748E-3</v>
      </c>
      <c r="O17" s="17">
        <f t="shared" si="0"/>
        <v>-2.321439204970251E-2</v>
      </c>
      <c r="P17" s="17">
        <f t="shared" si="0"/>
        <v>-0.1048951048951049</v>
      </c>
      <c r="Q17" s="18">
        <f t="shared" si="1"/>
        <v>79.688221958328839</v>
      </c>
      <c r="R17" s="18">
        <f t="shared" si="2"/>
        <v>67.70173346785289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19">
        <f>CHAMNORD!B18</f>
        <v>46035</v>
      </c>
      <c r="C18" s="75">
        <f>IF(H18=0,"",'[4]2025-2026'!C17)</f>
        <v>7607.67</v>
      </c>
      <c r="D18" s="68">
        <f>'[4]2025'!C18</f>
        <v>8105.24</v>
      </c>
      <c r="E18" s="68">
        <f>'[4]2025'!D18</f>
        <v>8059.09</v>
      </c>
      <c r="F18" s="12">
        <f>'[4]2025'!E18</f>
        <v>460</v>
      </c>
      <c r="G18" s="73">
        <f>'[4]2025'!F18</f>
        <v>8100</v>
      </c>
      <c r="H18" s="42">
        <f>'[4]2025'!G18</f>
        <v>9514.9</v>
      </c>
      <c r="I18" s="13">
        <f>'[4]2025'!H18</f>
        <v>9451.7800000000007</v>
      </c>
      <c r="J18" s="14">
        <f>'[4]2025'!I18</f>
        <v>492</v>
      </c>
      <c r="K18" s="15">
        <f>'[4]2025'!J18</f>
        <v>94.99</v>
      </c>
      <c r="L18" s="15">
        <f>'[4]2025'!K18</f>
        <v>113.44</v>
      </c>
      <c r="M18" s="15">
        <f>'[4]2025'!L18</f>
        <v>52.74</v>
      </c>
      <c r="N18" s="16">
        <f t="shared" si="3"/>
        <v>5.5799013519146658E-3</v>
      </c>
      <c r="O18" s="17">
        <f t="shared" si="0"/>
        <v>0.17280983336828357</v>
      </c>
      <c r="P18" s="17">
        <f t="shared" si="0"/>
        <v>6.9565217391304349E-2</v>
      </c>
      <c r="Q18" s="18">
        <f t="shared" si="1"/>
        <v>99.502895041583344</v>
      </c>
      <c r="R18" s="18">
        <f t="shared" si="2"/>
        <v>83.319640338504939</v>
      </c>
      <c r="S18" s="34">
        <f>SUM(I17:I23)</f>
        <v>76810.11</v>
      </c>
      <c r="T18" s="45" t="s">
        <v>41</v>
      </c>
      <c r="U18" s="1738"/>
    </row>
    <row r="19" spans="1:21">
      <c r="A19" s="10" t="s">
        <v>12</v>
      </c>
      <c r="B19" s="19">
        <f>CHAMNORD!B19</f>
        <v>46036</v>
      </c>
      <c r="C19" s="75">
        <f>IF(H19=0,"",'[4]2025-2026'!C18)</f>
        <v>8105.24</v>
      </c>
      <c r="D19" s="68">
        <f>'[4]2025'!C19</f>
        <v>10309.379999999999</v>
      </c>
      <c r="E19" s="68">
        <f>'[4]2025'!D19</f>
        <v>10212.86</v>
      </c>
      <c r="F19" s="12">
        <f>'[4]2025'!E19</f>
        <v>560</v>
      </c>
      <c r="G19" s="73">
        <f>'[4]2025'!F19</f>
        <v>10300</v>
      </c>
      <c r="H19" s="42">
        <f>'[4]2025'!G19</f>
        <v>10813.12</v>
      </c>
      <c r="I19" s="13">
        <f>'[4]2025'!H19</f>
        <v>10730.52</v>
      </c>
      <c r="J19" s="14">
        <f>'[4]2025'!I19</f>
        <v>532</v>
      </c>
      <c r="K19" s="15">
        <f>'[4]2025'!J19</f>
        <v>125.96000000000001</v>
      </c>
      <c r="L19" s="15">
        <f>'[4]2025'!K19</f>
        <v>134.09</v>
      </c>
      <c r="M19" s="15">
        <f>'[4]2025'!L19</f>
        <v>28.04</v>
      </c>
      <c r="N19" s="16">
        <f t="shared" si="3"/>
        <v>2.6131072865061525E-3</v>
      </c>
      <c r="O19" s="17">
        <f t="shared" si="0"/>
        <v>5.0687074923185062E-2</v>
      </c>
      <c r="P19" s="17">
        <f t="shared" si="0"/>
        <v>-0.05</v>
      </c>
      <c r="Q19" s="18">
        <f t="shared" si="1"/>
        <v>85.189901556049534</v>
      </c>
      <c r="R19" s="18">
        <f t="shared" si="2"/>
        <v>80.024759489894848</v>
      </c>
      <c r="S19" s="35">
        <f>(S18-SUM(E17:E23))/SUM(E17:E23)</f>
        <v>2.7157107071848118E-2</v>
      </c>
      <c r="T19" s="48">
        <f>SUM(I17:I23)/SUM(K17:K23)</f>
        <v>96.943293113893375</v>
      </c>
      <c r="U19" s="1738"/>
    </row>
    <row r="20" spans="1:21">
      <c r="A20" s="10" t="s">
        <v>13</v>
      </c>
      <c r="B20" s="19">
        <f>CHAMNORD!B20</f>
        <v>46037</v>
      </c>
      <c r="C20" s="75">
        <f>IF(H20=0,"",'[4]2025-2026'!C19)</f>
        <v>10309.379999999999</v>
      </c>
      <c r="D20" s="68">
        <f>'[4]2025'!C20</f>
        <v>8613.91</v>
      </c>
      <c r="E20" s="68">
        <f>'[4]2025'!D20</f>
        <v>8557.36</v>
      </c>
      <c r="F20" s="12">
        <f>'[4]2025'!E20</f>
        <v>496</v>
      </c>
      <c r="G20" s="73">
        <f>'[4]2025'!F20</f>
        <v>8600</v>
      </c>
      <c r="H20" s="42">
        <f>'[4]2025'!G20</f>
        <v>8285.09</v>
      </c>
      <c r="I20" s="13">
        <f>'[4]2025'!H20</f>
        <v>8230.4699999999993</v>
      </c>
      <c r="J20" s="14">
        <f>'[4]2025'!I20</f>
        <v>434</v>
      </c>
      <c r="K20" s="15">
        <f>'[4]2025'!J20</f>
        <v>98.41</v>
      </c>
      <c r="L20" s="15">
        <f>'[4]2025'!K20</f>
        <v>122.09</v>
      </c>
      <c r="M20" s="15">
        <f>'[4]2025'!L20</f>
        <v>44.62</v>
      </c>
      <c r="N20" s="16">
        <f t="shared" si="3"/>
        <v>5.4213185881243717E-3</v>
      </c>
      <c r="O20" s="17">
        <f t="shared" si="0"/>
        <v>-3.8199865379042276E-2</v>
      </c>
      <c r="P20" s="17">
        <f t="shared" si="0"/>
        <v>-0.125</v>
      </c>
      <c r="Q20" s="18">
        <f t="shared" si="1"/>
        <v>83.634488365003548</v>
      </c>
      <c r="R20" s="18">
        <f t="shared" si="2"/>
        <v>67.413137849127679</v>
      </c>
      <c r="S20" s="34"/>
      <c r="T20" s="29" t="s">
        <v>8</v>
      </c>
      <c r="U20" s="1738"/>
    </row>
    <row r="21" spans="1:21">
      <c r="A21" s="10" t="s">
        <v>14</v>
      </c>
      <c r="B21" s="19">
        <f>CHAMNORD!B21</f>
        <v>46038</v>
      </c>
      <c r="C21" s="75">
        <f>IF(H21=0,"",'[4]2025-2026'!C20)</f>
        <v>8613.91</v>
      </c>
      <c r="D21" s="68">
        <f>'[4]2025'!C21</f>
        <v>13100.77</v>
      </c>
      <c r="E21" s="68">
        <f>'[4]2025'!D21</f>
        <v>13000.65</v>
      </c>
      <c r="F21" s="12">
        <f>'[4]2025'!E21</f>
        <v>671</v>
      </c>
      <c r="G21" s="73">
        <f>'[4]2025'!F21</f>
        <v>13100</v>
      </c>
      <c r="H21" s="42">
        <f>'[4]2025'!G21</f>
        <v>14057.8</v>
      </c>
      <c r="I21" s="13">
        <f>'[4]2025'!H21</f>
        <v>13961.39</v>
      </c>
      <c r="J21" s="14">
        <f>'[4]2025'!I21</f>
        <v>642</v>
      </c>
      <c r="K21" s="15">
        <f>'[4]2025'!J21</f>
        <v>122.82000000000002</v>
      </c>
      <c r="L21" s="15">
        <f>'[4]2025'!K21</f>
        <v>157.55000000000001</v>
      </c>
      <c r="M21" s="15">
        <f>'[4]2025'!L21</f>
        <v>108.39</v>
      </c>
      <c r="N21" s="16">
        <f t="shared" si="3"/>
        <v>7.7635536289724734E-3</v>
      </c>
      <c r="O21" s="17">
        <f t="shared" si="0"/>
        <v>7.3899381953979215E-2</v>
      </c>
      <c r="P21" s="17">
        <f t="shared" si="0"/>
        <v>-4.3219076005961254E-2</v>
      </c>
      <c r="Q21" s="18">
        <f t="shared" si="1"/>
        <v>113.67358736362154</v>
      </c>
      <c r="R21" s="18">
        <f t="shared" si="2"/>
        <v>88.615614090764822</v>
      </c>
      <c r="S21" s="36" t="s">
        <v>40</v>
      </c>
      <c r="T21" s="48">
        <f>SUM(I17:I23)/SUM(L17:L23)</f>
        <v>81.350268484097469</v>
      </c>
      <c r="U21" s="1738"/>
    </row>
    <row r="22" spans="1:21">
      <c r="A22" s="10" t="s">
        <v>15</v>
      </c>
      <c r="B22" s="19">
        <f>CHAMNORD!B22</f>
        <v>46039</v>
      </c>
      <c r="C22" s="75">
        <f>IF(H22=0,"",'[4]2025-2026'!C21)</f>
        <v>13100.77</v>
      </c>
      <c r="D22" s="68">
        <f>'[4]2025'!C22</f>
        <v>13758.43</v>
      </c>
      <c r="E22" s="68">
        <f>'[4]2025'!D22</f>
        <v>13633.96</v>
      </c>
      <c r="F22" s="12">
        <f>'[4]2025'!E22</f>
        <v>671</v>
      </c>
      <c r="G22" s="73">
        <f>'[4]2025'!F22</f>
        <v>13800</v>
      </c>
      <c r="H22" s="42">
        <f>'[4]2025'!G22</f>
        <v>13742.34</v>
      </c>
      <c r="I22" s="13">
        <f>'[4]2025'!H22</f>
        <v>13632.45</v>
      </c>
      <c r="J22" s="14">
        <f>'[4]2025'!I22</f>
        <v>654</v>
      </c>
      <c r="K22" s="15">
        <f>'[4]2025'!J22</f>
        <v>138.23000000000002</v>
      </c>
      <c r="L22" s="15">
        <f>'[4]2025'!K22</f>
        <v>163.58000000000001</v>
      </c>
      <c r="M22" s="15">
        <f>'[4]2025'!L22</f>
        <v>49.88</v>
      </c>
      <c r="N22" s="16">
        <f t="shared" si="3"/>
        <v>3.6589167757813158E-3</v>
      </c>
      <c r="O22" s="17">
        <f t="shared" si="0"/>
        <v>-1.1075285536985581E-4</v>
      </c>
      <c r="P22" s="17">
        <f t="shared" si="0"/>
        <v>-2.533532041728763E-2</v>
      </c>
      <c r="Q22" s="18">
        <f t="shared" si="1"/>
        <v>98.621500397887573</v>
      </c>
      <c r="R22" s="18">
        <f t="shared" si="2"/>
        <v>83.338122019806818</v>
      </c>
      <c r="S22" s="36">
        <f>SUM(J17:J23)</f>
        <v>3749</v>
      </c>
      <c r="T22" s="30" t="s">
        <v>3</v>
      </c>
      <c r="U22" s="1738"/>
    </row>
    <row r="23" spans="1:21" ht="18" thickBot="1">
      <c r="A23" s="10" t="s">
        <v>16</v>
      </c>
      <c r="B23" s="19">
        <f>CHAMNORD!B23</f>
        <v>46040</v>
      </c>
      <c r="C23" s="75">
        <f>IF(H23=0,"",'[4]2025-2026'!C22)</f>
        <v>13758.43</v>
      </c>
      <c r="D23" s="68">
        <f>'[4]2025'!C23</f>
        <v>13859.9</v>
      </c>
      <c r="E23" s="68">
        <f>'[4]2025'!D23</f>
        <v>13758.45</v>
      </c>
      <c r="F23" s="12">
        <f>'[4]2025'!E23</f>
        <v>638</v>
      </c>
      <c r="G23" s="73">
        <f>'[4]2025'!F23</f>
        <v>13900</v>
      </c>
      <c r="H23" s="42">
        <f>'[4]2025'!G23</f>
        <v>13518.91</v>
      </c>
      <c r="I23" s="13">
        <f>'[4]2025'!H23</f>
        <v>13421.98</v>
      </c>
      <c r="J23" s="14">
        <f>'[4]2025'!I23</f>
        <v>611</v>
      </c>
      <c r="K23" s="15">
        <f>'[4]2025'!J23</f>
        <v>119.28</v>
      </c>
      <c r="L23" s="15">
        <f>'[4]2025'!K23</f>
        <v>144.41</v>
      </c>
      <c r="M23" s="15">
        <f>'[4]2025'!L23</f>
        <v>29.99</v>
      </c>
      <c r="N23" s="16">
        <f t="shared" si="3"/>
        <v>2.2343946273202611E-3</v>
      </c>
      <c r="O23" s="17">
        <f t="shared" si="0"/>
        <v>-2.4455516428086094E-2</v>
      </c>
      <c r="P23" s="17">
        <f t="shared" si="0"/>
        <v>-4.2319749216300939E-2</v>
      </c>
      <c r="Q23" s="18">
        <f t="shared" si="1"/>
        <v>112.52498323272971</v>
      </c>
      <c r="R23" s="18">
        <f t="shared" si="2"/>
        <v>92.943563465133991</v>
      </c>
      <c r="S23" s="37">
        <f>(S22-SUM(F17:F23))/SUM(F17:F23)</f>
        <v>-4.4840764331210189E-2</v>
      </c>
      <c r="T23" s="47">
        <f>SUM(M17:M23)/SUM(I17:I23)</f>
        <v>4.6393632296581793E-3</v>
      </c>
      <c r="U23" s="1739"/>
    </row>
    <row r="24" spans="1:21" ht="17" customHeight="1" thickTop="1">
      <c r="A24" s="10" t="s">
        <v>9</v>
      </c>
      <c r="B24" s="19">
        <f>CHAMNORD!B24</f>
        <v>46041</v>
      </c>
      <c r="C24" s="75">
        <f>IF(H24=0,"",'[4]2025-2026'!C23)</f>
        <v>13859.9</v>
      </c>
      <c r="D24" s="68">
        <f>'[4]2025'!C24</f>
        <v>6106.85</v>
      </c>
      <c r="E24" s="68">
        <f>'[4]2025'!D24</f>
        <v>6071.15</v>
      </c>
      <c r="F24" s="12">
        <f>'[4]2025'!E24</f>
        <v>382</v>
      </c>
      <c r="G24" s="73">
        <f>'[4]2025'!F24</f>
        <v>6100</v>
      </c>
      <c r="H24" s="42">
        <f>'[4]2025'!G24</f>
        <v>7136.2</v>
      </c>
      <c r="I24" s="13">
        <f>'[4]2025'!H24</f>
        <v>7089.99</v>
      </c>
      <c r="J24" s="14">
        <f>'[4]2025'!I24</f>
        <v>378</v>
      </c>
      <c r="K24" s="15">
        <f>'[4]2025'!J24</f>
        <v>86.87</v>
      </c>
      <c r="L24" s="15">
        <f>'[4]2025'!K24</f>
        <v>103.59</v>
      </c>
      <c r="M24" s="15">
        <f>'[4]2025'!L24</f>
        <v>41.34</v>
      </c>
      <c r="N24" s="16">
        <f t="shared" si="3"/>
        <v>5.8307557556498673E-3</v>
      </c>
      <c r="O24" s="17">
        <f t="shared" si="0"/>
        <v>0.16781664099882232</v>
      </c>
      <c r="P24" s="17">
        <f t="shared" si="0"/>
        <v>-1.0471204188481676E-2</v>
      </c>
      <c r="Q24" s="18">
        <f t="shared" si="1"/>
        <v>81.616093012547481</v>
      </c>
      <c r="R24" s="18">
        <f t="shared" si="2"/>
        <v>68.442803359397615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19">
        <f>CHAMNORD!B25</f>
        <v>46042</v>
      </c>
      <c r="C25" s="75">
        <f>IF(H25=0,"",'[4]2025-2026'!C24)</f>
        <v>6106.85</v>
      </c>
      <c r="D25" s="68">
        <f>'[4]2025'!C25</f>
        <v>7940.03</v>
      </c>
      <c r="E25" s="68">
        <f>'[4]2025'!D25</f>
        <v>7869.29</v>
      </c>
      <c r="F25" s="12">
        <f>'[4]2025'!E25</f>
        <v>472</v>
      </c>
      <c r="G25" s="73">
        <f>'[4]2025'!F25</f>
        <v>7900</v>
      </c>
      <c r="H25" s="42">
        <f>'[4]2025'!G25</f>
        <v>8236.2800000000007</v>
      </c>
      <c r="I25" s="13">
        <f>'[4]2025'!H25</f>
        <v>8176.4</v>
      </c>
      <c r="J25" s="14">
        <f>'[4]2025'!I25</f>
        <v>416</v>
      </c>
      <c r="K25" s="15">
        <f>'[4]2025'!J25</f>
        <v>105.11999999999999</v>
      </c>
      <c r="L25" s="15">
        <f>'[4]2025'!K25</f>
        <v>121.3</v>
      </c>
      <c r="M25" s="15">
        <f>'[4]2025'!L25</f>
        <v>28.03</v>
      </c>
      <c r="N25" s="16">
        <f t="shared" si="3"/>
        <v>3.4281590920209387E-3</v>
      </c>
      <c r="O25" s="17">
        <f t="shared" si="0"/>
        <v>3.9026392469968661E-2</v>
      </c>
      <c r="P25" s="17">
        <f t="shared" si="0"/>
        <v>-0.11864406779661017</v>
      </c>
      <c r="Q25" s="18">
        <f t="shared" si="1"/>
        <v>77.781582952815839</v>
      </c>
      <c r="R25" s="18">
        <f t="shared" si="2"/>
        <v>67.406430338004938</v>
      </c>
      <c r="S25" s="34">
        <f>SUM(I24:I30)</f>
        <v>74761.119999999995</v>
      </c>
      <c r="T25" s="45" t="s">
        <v>41</v>
      </c>
      <c r="U25" s="1738"/>
    </row>
    <row r="26" spans="1:21">
      <c r="A26" s="10" t="s">
        <v>12</v>
      </c>
      <c r="B26" s="19">
        <f>CHAMNORD!B26</f>
        <v>46043</v>
      </c>
      <c r="C26" s="75">
        <f>IF(H26=0,"",'[4]2025-2026'!C25)</f>
        <v>7940.03</v>
      </c>
      <c r="D26" s="68">
        <f>'[4]2025'!C26</f>
        <v>9423.9500000000007</v>
      </c>
      <c r="E26" s="68">
        <f>'[4]2025'!D26</f>
        <v>9332.7900000000009</v>
      </c>
      <c r="F26" s="12">
        <f>'[4]2025'!E26</f>
        <v>517</v>
      </c>
      <c r="G26" s="73">
        <f>'[4]2025'!F26</f>
        <v>9300</v>
      </c>
      <c r="H26" s="42">
        <f>'[4]2025'!G26</f>
        <v>9279.64</v>
      </c>
      <c r="I26" s="13">
        <f>'[4]2025'!H26</f>
        <v>9192.35</v>
      </c>
      <c r="J26" s="14">
        <f>'[4]2025'!I26</f>
        <v>491</v>
      </c>
      <c r="K26" s="15">
        <f>'[4]2025'!J26</f>
        <v>114.28000000000002</v>
      </c>
      <c r="L26" s="15">
        <f>'[4]2025'!K26</f>
        <v>130.58000000000001</v>
      </c>
      <c r="M26" s="15">
        <f>'[4]2025'!L26</f>
        <v>22.32</v>
      </c>
      <c r="N26" s="16">
        <f t="shared" si="3"/>
        <v>2.4281059794285464E-3</v>
      </c>
      <c r="O26" s="17">
        <f t="shared" si="0"/>
        <v>-1.5048018866812656E-2</v>
      </c>
      <c r="P26" s="17">
        <f t="shared" si="0"/>
        <v>-5.0290135396518373E-2</v>
      </c>
      <c r="Q26" s="18">
        <f t="shared" si="1"/>
        <v>80.437084354217703</v>
      </c>
      <c r="R26" s="18">
        <f t="shared" si="2"/>
        <v>70.396308776229134</v>
      </c>
      <c r="S26" s="35">
        <f>(S25-SUM(E24:E30))/SUM(E24:E30)</f>
        <v>1.2280418597950229E-2</v>
      </c>
      <c r="T26" s="48">
        <f>SUM(I24:I30)/SUM(K24:K30)</f>
        <v>93.944609198291019</v>
      </c>
      <c r="U26" s="1738"/>
    </row>
    <row r="27" spans="1:21">
      <c r="A27" s="10" t="s">
        <v>13</v>
      </c>
      <c r="B27" s="19">
        <f>CHAMNORD!B27</f>
        <v>46044</v>
      </c>
      <c r="C27" s="75">
        <f>IF(H27=0,"",'[4]2025-2026'!C26)</f>
        <v>9423.9500000000007</v>
      </c>
      <c r="D27" s="68">
        <f>'[4]2025'!C27</f>
        <v>8710.84</v>
      </c>
      <c r="E27" s="68">
        <f>'[4]2025'!D27</f>
        <v>8662.69</v>
      </c>
      <c r="F27" s="12">
        <f>'[4]2025'!E27</f>
        <v>508</v>
      </c>
      <c r="G27" s="73">
        <f>'[4]2025'!F27</f>
        <v>8700</v>
      </c>
      <c r="H27" s="42">
        <f>'[4]2025'!G27</f>
        <v>7735.74</v>
      </c>
      <c r="I27" s="13">
        <f>'[4]2025'!H27</f>
        <v>7679.15</v>
      </c>
      <c r="J27" s="14">
        <f>'[4]2025'!I27</f>
        <v>461</v>
      </c>
      <c r="K27" s="15">
        <f>'[4]2025'!J27</f>
        <v>93.86</v>
      </c>
      <c r="L27" s="15">
        <f>'[4]2025'!K27</f>
        <v>118.28</v>
      </c>
      <c r="M27" s="15">
        <f>'[4]2025'!L27</f>
        <v>42.26</v>
      </c>
      <c r="N27" s="16">
        <f t="shared" si="3"/>
        <v>5.5032132462577241E-3</v>
      </c>
      <c r="O27" s="17">
        <f t="shared" si="0"/>
        <v>-0.11353748085179094</v>
      </c>
      <c r="P27" s="17">
        <f t="shared" si="0"/>
        <v>-9.2519685039370081E-2</v>
      </c>
      <c r="Q27" s="18">
        <f t="shared" si="1"/>
        <v>81.814937140421904</v>
      </c>
      <c r="R27" s="18">
        <f t="shared" si="2"/>
        <v>64.923486641866759</v>
      </c>
      <c r="S27" s="34"/>
      <c r="T27" s="29" t="s">
        <v>8</v>
      </c>
      <c r="U27" s="1738"/>
    </row>
    <row r="28" spans="1:21">
      <c r="A28" s="10" t="s">
        <v>14</v>
      </c>
      <c r="B28" s="19">
        <f>CHAMNORD!B28</f>
        <v>46045</v>
      </c>
      <c r="C28" s="75">
        <f>IF(H28=0,"",'[4]2025-2026'!C27)</f>
        <v>8710.84</v>
      </c>
      <c r="D28" s="68">
        <f>'[4]2025'!C28</f>
        <v>12570.91</v>
      </c>
      <c r="E28" s="68">
        <f>'[4]2025'!D28</f>
        <v>12488.75</v>
      </c>
      <c r="F28" s="12">
        <f>'[4]2025'!E28</f>
        <v>675</v>
      </c>
      <c r="G28" s="73">
        <f>'[4]2025'!F28</f>
        <v>12500</v>
      </c>
      <c r="H28" s="42">
        <f>'[4]2025'!G28</f>
        <v>13554.32</v>
      </c>
      <c r="I28" s="13">
        <f>'[4]2025'!H28</f>
        <v>13461.27</v>
      </c>
      <c r="J28" s="14">
        <f>'[4]2025'!I28</f>
        <v>665</v>
      </c>
      <c r="K28" s="15">
        <f>'[4]2025'!J28</f>
        <v>126.78999999999998</v>
      </c>
      <c r="L28" s="15">
        <f>'[4]2025'!K28</f>
        <v>160.58000000000001</v>
      </c>
      <c r="M28" s="15">
        <f>'[4]2025'!L28</f>
        <v>56.37</v>
      </c>
      <c r="N28" s="16">
        <f t="shared" si="3"/>
        <v>4.1875692263805718E-3</v>
      </c>
      <c r="O28" s="17">
        <f t="shared" si="0"/>
        <v>7.7871684516064493E-2</v>
      </c>
      <c r="P28" s="17">
        <f t="shared" si="0"/>
        <v>-1.4814814814814815E-2</v>
      </c>
      <c r="Q28" s="18">
        <f t="shared" si="1"/>
        <v>106.16980834450669</v>
      </c>
      <c r="R28" s="18">
        <f t="shared" si="2"/>
        <v>83.829057167766848</v>
      </c>
      <c r="S28" s="36" t="s">
        <v>40</v>
      </c>
      <c r="T28" s="48">
        <f>SUM(I24:I30)/SUM(L24:L30)</f>
        <v>78.463828045465505</v>
      </c>
      <c r="U28" s="1738"/>
    </row>
    <row r="29" spans="1:21">
      <c r="A29" s="10" t="s">
        <v>15</v>
      </c>
      <c r="B29" s="19">
        <f>CHAMNORD!B29</f>
        <v>46046</v>
      </c>
      <c r="C29" s="75">
        <f>IF(H29=0,"",'[4]2025-2026'!C28)</f>
        <v>12570.91</v>
      </c>
      <c r="D29" s="68">
        <f>'[4]2025'!C29</f>
        <v>15874.72</v>
      </c>
      <c r="E29" s="68">
        <f>'[4]2025'!D29</f>
        <v>15736.29</v>
      </c>
      <c r="F29" s="12">
        <f>'[4]2025'!E29</f>
        <v>783</v>
      </c>
      <c r="G29" s="73">
        <f>'[4]2025'!F29</f>
        <v>15700</v>
      </c>
      <c r="H29" s="42">
        <f>'[4]2025'!G29</f>
        <v>14916.86</v>
      </c>
      <c r="I29" s="13">
        <f>'[4]2025'!H29</f>
        <v>14780.2</v>
      </c>
      <c r="J29" s="14">
        <f>'[4]2025'!I29</f>
        <v>700</v>
      </c>
      <c r="K29" s="15">
        <f>'[4]2025'!J29</f>
        <v>139.53000000000003</v>
      </c>
      <c r="L29" s="15">
        <f>'[4]2025'!K29</f>
        <v>173.12</v>
      </c>
      <c r="M29" s="15">
        <f>'[4]2025'!L29</f>
        <v>43.9</v>
      </c>
      <c r="N29" s="16">
        <f t="shared" si="3"/>
        <v>2.9701898485812099E-3</v>
      </c>
      <c r="O29" s="17">
        <f t="shared" si="0"/>
        <v>-6.0757014518669911E-2</v>
      </c>
      <c r="P29" s="17">
        <f t="shared" si="0"/>
        <v>-0.10600255427841634</v>
      </c>
      <c r="Q29" s="18">
        <f t="shared" si="1"/>
        <v>105.92847416326236</v>
      </c>
      <c r="R29" s="18">
        <f t="shared" si="2"/>
        <v>85.375462107208875</v>
      </c>
      <c r="S29" s="36">
        <f>SUM(J24:J30)</f>
        <v>3756</v>
      </c>
      <c r="T29" s="30" t="s">
        <v>3</v>
      </c>
      <c r="U29" s="1738"/>
    </row>
    <row r="30" spans="1:21" ht="18" thickBot="1">
      <c r="A30" s="10" t="s">
        <v>16</v>
      </c>
      <c r="B30" s="19">
        <f>CHAMNORD!B30</f>
        <v>46047</v>
      </c>
      <c r="C30" s="75">
        <f>IF(H30=0,"",'[4]2025-2026'!C29)</f>
        <v>15874.72</v>
      </c>
      <c r="D30" s="68">
        <f>'[4]2025'!C30</f>
        <v>13803.81</v>
      </c>
      <c r="E30" s="68">
        <f>'[4]2025'!D30</f>
        <v>13693.2</v>
      </c>
      <c r="F30" s="12">
        <f>'[4]2025'!E30</f>
        <v>673</v>
      </c>
      <c r="G30" s="73">
        <f>'[4]2025'!F30</f>
        <v>13500</v>
      </c>
      <c r="H30" s="42">
        <f>'[4]2025'!G30</f>
        <v>14483.88</v>
      </c>
      <c r="I30" s="13">
        <f>'[4]2025'!H30</f>
        <v>14381.76</v>
      </c>
      <c r="J30" s="14">
        <f>'[4]2025'!I30</f>
        <v>645</v>
      </c>
      <c r="K30" s="15">
        <f>'[4]2025'!J30</f>
        <v>129.35000000000002</v>
      </c>
      <c r="L30" s="15">
        <f>'[4]2025'!K30</f>
        <v>145.36000000000001</v>
      </c>
      <c r="M30" s="15">
        <f>'[4]2025'!L30</f>
        <v>40.049999999999997</v>
      </c>
      <c r="N30" s="16">
        <f t="shared" si="3"/>
        <v>2.7847773846872703E-3</v>
      </c>
      <c r="O30" s="17">
        <f t="shared" si="0"/>
        <v>5.0284812899833456E-2</v>
      </c>
      <c r="P30" s="17">
        <f t="shared" si="0"/>
        <v>-4.1604754829123326E-2</v>
      </c>
      <c r="Q30" s="18">
        <f t="shared" si="1"/>
        <v>111.18484731349051</v>
      </c>
      <c r="R30" s="18">
        <f t="shared" si="2"/>
        <v>98.938910291689595</v>
      </c>
      <c r="S30" s="37">
        <f>(S29-SUM(F24:F30))/SUM(F24:F30)</f>
        <v>-6.3341645885286776E-2</v>
      </c>
      <c r="T30" s="47">
        <f>SUM(M24:M30)/SUM(I24:I30)</f>
        <v>3.6686181266412272E-3</v>
      </c>
      <c r="U30" s="1739"/>
    </row>
    <row r="31" spans="1:21" ht="17" customHeight="1" thickTop="1">
      <c r="A31" s="10" t="s">
        <v>9</v>
      </c>
      <c r="B31" s="19">
        <f>CHAMNORD!B31</f>
        <v>46048</v>
      </c>
      <c r="C31" s="75">
        <f>IF(H31=0,"",'[4]2025-2026'!C30)</f>
        <v>13803.81</v>
      </c>
      <c r="D31" s="68">
        <f>'[4]2025'!C31</f>
        <v>5791.8</v>
      </c>
      <c r="E31" s="68">
        <f>'[4]2025'!D31</f>
        <v>5743.64</v>
      </c>
      <c r="F31" s="12">
        <f>'[4]2025'!E31</f>
        <v>335</v>
      </c>
      <c r="G31" s="73">
        <f>'[4]2025'!F31</f>
        <v>5700</v>
      </c>
      <c r="H31" s="42">
        <f>'[4]2025'!G31</f>
        <v>6717.96</v>
      </c>
      <c r="I31" s="13">
        <f>'[4]2025'!H31</f>
        <v>6679.58</v>
      </c>
      <c r="J31" s="14">
        <f>'[4]2025'!I31</f>
        <v>374</v>
      </c>
      <c r="K31" s="15">
        <f>'[4]2025'!J31</f>
        <v>85.85</v>
      </c>
      <c r="L31" s="15">
        <f>'[4]2025'!K31</f>
        <v>94.08</v>
      </c>
      <c r="M31" s="15">
        <f>'[4]2025'!L31</f>
        <v>35.36</v>
      </c>
      <c r="N31" s="16">
        <f t="shared" si="3"/>
        <v>5.2937460139709383E-3</v>
      </c>
      <c r="O31" s="17">
        <f t="shared" si="0"/>
        <v>0.16295241345209649</v>
      </c>
      <c r="P31" s="17">
        <f t="shared" si="0"/>
        <v>0.11641791044776119</v>
      </c>
      <c r="Q31" s="18">
        <f t="shared" si="1"/>
        <v>77.80524170064065</v>
      </c>
      <c r="R31" s="18">
        <f t="shared" si="2"/>
        <v>70.998937074829939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19">
        <f>CHAMNORD!B32</f>
        <v>46049</v>
      </c>
      <c r="C32" s="75">
        <f>IF(H32=0,"",'[4]2025-2026'!C31)</f>
        <v>5791.8</v>
      </c>
      <c r="D32" s="68">
        <f>'[4]2025'!C32</f>
        <v>7963.59</v>
      </c>
      <c r="E32" s="68">
        <f>'[4]2025'!D32</f>
        <v>7918.69</v>
      </c>
      <c r="F32" s="12">
        <f>'[4]2025'!E32</f>
        <v>450</v>
      </c>
      <c r="G32" s="73">
        <f>'[4]2025'!F32</f>
        <v>7800</v>
      </c>
      <c r="H32" s="42">
        <f>'[4]2025'!G32</f>
        <v>7893.5</v>
      </c>
      <c r="I32" s="13">
        <f>'[4]2025'!H32</f>
        <v>7832.27</v>
      </c>
      <c r="J32" s="14">
        <f>'[4]2025'!I32</f>
        <v>427</v>
      </c>
      <c r="K32" s="15">
        <f>'[4]2025'!J32</f>
        <v>86.169999999999987</v>
      </c>
      <c r="L32" s="15">
        <f>'[4]2025'!K32</f>
        <v>102.53</v>
      </c>
      <c r="M32" s="15">
        <f>'[4]2025'!L32</f>
        <v>26.14</v>
      </c>
      <c r="N32" s="16">
        <f t="shared" si="3"/>
        <v>3.337474320982295E-3</v>
      </c>
      <c r="O32" s="17">
        <f t="shared" si="0"/>
        <v>-1.0913421285591324E-2</v>
      </c>
      <c r="P32" s="17">
        <f t="shared" si="0"/>
        <v>-5.1111111111111114E-2</v>
      </c>
      <c r="Q32" s="18">
        <f t="shared" si="1"/>
        <v>90.893234304282245</v>
      </c>
      <c r="R32" s="18">
        <f t="shared" si="2"/>
        <v>76.390032185701756</v>
      </c>
      <c r="S32" s="34">
        <f>SUM(I31:I37)</f>
        <v>80436.81</v>
      </c>
      <c r="T32" s="45" t="s">
        <v>41</v>
      </c>
      <c r="U32" s="1738"/>
    </row>
    <row r="33" spans="1:21">
      <c r="A33" s="10" t="s">
        <v>12</v>
      </c>
      <c r="B33" s="19">
        <f>CHAMNORD!B33</f>
        <v>46050</v>
      </c>
      <c r="C33" s="75">
        <f>IF(H33=0,"",'[4]2025-2026'!C32)</f>
        <v>7963.59</v>
      </c>
      <c r="D33" s="68">
        <f>'[4]2025'!C33</f>
        <v>10960.49</v>
      </c>
      <c r="E33" s="68">
        <f>'[4]2025'!D33</f>
        <v>10865.49</v>
      </c>
      <c r="F33" s="12">
        <f>'[4]2025'!E33</f>
        <v>529</v>
      </c>
      <c r="G33" s="73">
        <f>'[4]2025'!F33</f>
        <v>10700</v>
      </c>
      <c r="H33" s="42">
        <f>'[4]2025'!G33</f>
        <v>10016.280000000001</v>
      </c>
      <c r="I33" s="13">
        <f>'[4]2025'!H33</f>
        <v>9936.9599999999991</v>
      </c>
      <c r="J33" s="14">
        <f>'[4]2025'!I33</f>
        <v>484</v>
      </c>
      <c r="K33" s="15">
        <f>'[4]2025'!J33</f>
        <v>99.220000000000013</v>
      </c>
      <c r="L33" s="15">
        <f>'[4]2025'!K33</f>
        <v>115.43</v>
      </c>
      <c r="M33" s="15">
        <f>'[4]2025'!L33</f>
        <v>42.51</v>
      </c>
      <c r="N33" s="16">
        <f t="shared" si="3"/>
        <v>4.2779683122403638E-3</v>
      </c>
      <c r="O33" s="17">
        <f t="shared" si="0"/>
        <v>-8.5456799463254823E-2</v>
      </c>
      <c r="P33" s="17">
        <f t="shared" si="0"/>
        <v>-8.5066162570888462E-2</v>
      </c>
      <c r="Q33" s="18">
        <f t="shared" si="1"/>
        <v>100.15077605321505</v>
      </c>
      <c r="R33" s="18">
        <f t="shared" si="2"/>
        <v>86.086459325998433</v>
      </c>
      <c r="S33" s="35">
        <f>(S32-SUM(E31:E37))/SUM(E31:E37)</f>
        <v>1.3243864366060015E-2</v>
      </c>
      <c r="T33" s="48">
        <f>SUM(I31:I37)/SUM(K31:K37)</f>
        <v>105.90200647760487</v>
      </c>
      <c r="U33" s="1738"/>
    </row>
    <row r="34" spans="1:21">
      <c r="A34" s="10" t="s">
        <v>13</v>
      </c>
      <c r="B34" s="19">
        <f>CHAMNORD!B34</f>
        <v>46051</v>
      </c>
      <c r="C34" s="75">
        <f>IF(H34=0,"",'[4]2025-2026'!C33)</f>
        <v>10960.49</v>
      </c>
      <c r="D34" s="68">
        <f>'[4]2025'!C34</f>
        <v>8007.56</v>
      </c>
      <c r="E34" s="68">
        <f>'[4]2025'!D34</f>
        <v>7969.82</v>
      </c>
      <c r="F34" s="12">
        <f>'[4]2025'!E34</f>
        <v>446</v>
      </c>
      <c r="G34" s="73">
        <f>'[4]2025'!F34</f>
        <v>7900</v>
      </c>
      <c r="H34" s="42">
        <f>'[4]2025'!G34</f>
        <v>8224.75</v>
      </c>
      <c r="I34" s="13">
        <f>'[4]2025'!H34</f>
        <v>8174.02</v>
      </c>
      <c r="J34" s="14">
        <f>'[4]2025'!I34</f>
        <v>433</v>
      </c>
      <c r="K34" s="15">
        <f>'[4]2025'!J34</f>
        <v>81.59</v>
      </c>
      <c r="L34" s="15">
        <f>'[4]2025'!K34</f>
        <v>98.11</v>
      </c>
      <c r="M34" s="15">
        <f>'[4]2025'!L34</f>
        <v>11.32</v>
      </c>
      <c r="N34" s="16">
        <f t="shared" si="3"/>
        <v>1.384875495778087E-3</v>
      </c>
      <c r="O34" s="17">
        <f t="shared" si="0"/>
        <v>2.5621657703687253E-2</v>
      </c>
      <c r="P34" s="17">
        <f t="shared" si="0"/>
        <v>-2.914798206278027E-2</v>
      </c>
      <c r="Q34" s="18">
        <f t="shared" si="1"/>
        <v>100.18409118764555</v>
      </c>
      <c r="R34" s="18">
        <f t="shared" si="2"/>
        <v>83.314850677810625</v>
      </c>
      <c r="S34" s="34"/>
      <c r="T34" s="29" t="s">
        <v>8</v>
      </c>
      <c r="U34" s="1738"/>
    </row>
    <row r="35" spans="1:21">
      <c r="A35" s="10" t="s">
        <v>14</v>
      </c>
      <c r="B35" s="19">
        <f>CHAMNORD!B35</f>
        <v>46052</v>
      </c>
      <c r="C35" s="75">
        <f>IF(H35=0,"",'[4]2025-2026'!C34)</f>
        <v>8007.56</v>
      </c>
      <c r="D35" s="68">
        <f>'[4]2025'!C35</f>
        <v>14314.48</v>
      </c>
      <c r="E35" s="68">
        <f>'[4]2025'!D35</f>
        <v>14221.55</v>
      </c>
      <c r="F35" s="12">
        <f>'[4]2025'!E35</f>
        <v>720</v>
      </c>
      <c r="G35" s="73">
        <f>'[4]2025'!F35</f>
        <v>14100</v>
      </c>
      <c r="H35" s="42">
        <f>'[4]2025'!G35</f>
        <v>13099.06</v>
      </c>
      <c r="I35" s="13">
        <f>'[4]2025'!H35</f>
        <v>13017.79</v>
      </c>
      <c r="J35" s="14">
        <f>'[4]2025'!I35</f>
        <v>604</v>
      </c>
      <c r="K35" s="15">
        <f>'[4]2025'!J35</f>
        <v>134</v>
      </c>
      <c r="L35" s="15">
        <f>'[4]2025'!K35</f>
        <v>157.11000000000001</v>
      </c>
      <c r="M35" s="15">
        <f>'[4]2025'!L35</f>
        <v>34.75</v>
      </c>
      <c r="N35" s="16">
        <f t="shared" si="3"/>
        <v>2.6694239191137666E-3</v>
      </c>
      <c r="O35" s="17">
        <f t="shared" si="0"/>
        <v>-8.4643375722055506E-2</v>
      </c>
      <c r="P35" s="17">
        <f t="shared" si="0"/>
        <v>-0.16111111111111112</v>
      </c>
      <c r="Q35" s="18">
        <f t="shared" si="1"/>
        <v>97.147686567164186</v>
      </c>
      <c r="R35" s="18">
        <f t="shared" si="2"/>
        <v>82.857806632295848</v>
      </c>
      <c r="S35" s="36" t="s">
        <v>40</v>
      </c>
      <c r="T35" s="48">
        <f>SUM(I31:I37)/SUM(L31:L37)</f>
        <v>90.086920974823059</v>
      </c>
      <c r="U35" s="1738"/>
    </row>
    <row r="36" spans="1:21">
      <c r="A36" s="10" t="s">
        <v>15</v>
      </c>
      <c r="B36" s="19">
        <f>CHAMNORD!B36</f>
        <v>46053</v>
      </c>
      <c r="C36" s="75">
        <f>IF(H36=0,"",'[4]2025-2026'!C35)</f>
        <v>14314.48</v>
      </c>
      <c r="D36" s="68">
        <f>'[4]2025'!C36</f>
        <v>18335.63</v>
      </c>
      <c r="E36" s="68">
        <f>'[4]2025'!D36</f>
        <v>18195.13</v>
      </c>
      <c r="F36" s="12">
        <f>'[4]2025'!E36</f>
        <v>909</v>
      </c>
      <c r="G36" s="73">
        <f>'[4]2025'!F36</f>
        <v>18000</v>
      </c>
      <c r="H36" s="42">
        <f>'[4]2025'!G36</f>
        <v>19601.52</v>
      </c>
      <c r="I36" s="13">
        <f>'[4]2025'!H36</f>
        <v>19455.14</v>
      </c>
      <c r="J36" s="14">
        <f>'[4]2025'!I36</f>
        <v>882</v>
      </c>
      <c r="K36" s="15">
        <f>'[4]2025'!J36</f>
        <v>142.21999999999997</v>
      </c>
      <c r="L36" s="15">
        <f>'[4]2025'!K36</f>
        <v>177.42</v>
      </c>
      <c r="M36" s="15">
        <f>'[4]2025'!L36</f>
        <v>75.400000000000006</v>
      </c>
      <c r="N36" s="16">
        <f t="shared" si="3"/>
        <v>3.875582493880795E-3</v>
      </c>
      <c r="O36" s="17">
        <f t="shared" si="0"/>
        <v>6.9249848723257179E-2</v>
      </c>
      <c r="P36" s="17">
        <f t="shared" si="0"/>
        <v>-2.9702970297029702E-2</v>
      </c>
      <c r="Q36" s="18">
        <f t="shared" si="1"/>
        <v>136.79609056391507</v>
      </c>
      <c r="R36" s="18">
        <f t="shared" si="2"/>
        <v>109.65584488783678</v>
      </c>
      <c r="S36" s="36">
        <f>SUM(J31:J37)</f>
        <v>3875</v>
      </c>
      <c r="T36" s="30" t="s">
        <v>3</v>
      </c>
      <c r="U36" s="1738"/>
    </row>
    <row r="37" spans="1:21" ht="18" thickBot="1">
      <c r="A37" s="10" t="s">
        <v>16</v>
      </c>
      <c r="B37" s="19">
        <f>CHAMNORD!B37</f>
        <v>46054</v>
      </c>
      <c r="C37" s="75">
        <f>IF(H37=0,"",'[4]2025-2026'!C36)</f>
        <v>18335.63</v>
      </c>
      <c r="D37" s="68">
        <f>'[4]2025'!C37</f>
        <v>14555.68</v>
      </c>
      <c r="E37" s="68">
        <f>'[4]2025'!D37</f>
        <v>14471.12</v>
      </c>
      <c r="F37" s="12">
        <f>'[4]2025'!E37</f>
        <v>705</v>
      </c>
      <c r="G37" s="73">
        <f>'[4]2025'!F37</f>
        <v>14600</v>
      </c>
      <c r="H37" s="42">
        <f>'[4]2025'!G37</f>
        <v>15462.04</v>
      </c>
      <c r="I37" s="13">
        <f>'[4]2025'!H37</f>
        <v>15341.05</v>
      </c>
      <c r="J37" s="14">
        <f>'[4]2025'!I37</f>
        <v>671</v>
      </c>
      <c r="K37" s="15">
        <f>'[4]2025'!J37</f>
        <v>130.48999999999998</v>
      </c>
      <c r="L37" s="15">
        <f>'[4]2025'!K37</f>
        <v>148.19999999999999</v>
      </c>
      <c r="M37" s="15">
        <f>'[4]2025'!L37</f>
        <v>32.049999999999997</v>
      </c>
      <c r="N37" s="16">
        <f t="shared" si="3"/>
        <v>2.0891659958086309E-3</v>
      </c>
      <c r="O37" s="17">
        <f t="shared" si="0"/>
        <v>6.0114904720574389E-2</v>
      </c>
      <c r="P37" s="17">
        <f t="shared" si="0"/>
        <v>-4.8226950354609929E-2</v>
      </c>
      <c r="Q37" s="18">
        <f t="shared" si="1"/>
        <v>117.56494750555599</v>
      </c>
      <c r="R37" s="18">
        <f t="shared" si="2"/>
        <v>103.51585695006747</v>
      </c>
      <c r="S37" s="37">
        <f>(S36-SUM(F31:F37))/SUM(F31:F37)</f>
        <v>-5.3492916463116755E-2</v>
      </c>
      <c r="T37" s="47">
        <f>SUM(M31:M37)/SUM(I31:I37)</f>
        <v>3.2016436255987773E-3</v>
      </c>
      <c r="U37" s="1739"/>
    </row>
    <row r="38" spans="1:21" ht="17" customHeight="1" thickTop="1">
      <c r="A38" s="10" t="s">
        <v>9</v>
      </c>
      <c r="B38" s="19">
        <f>CHAMNORD!B38</f>
        <v>46055</v>
      </c>
      <c r="C38" s="75">
        <f>IF(H38=0,"",'[4]2025-2026'!C37)</f>
        <v>14555.68</v>
      </c>
      <c r="D38" s="68">
        <f>'[4]2025'!C38</f>
        <v>6678.72</v>
      </c>
      <c r="E38" s="68">
        <f>'[4]2025'!D38</f>
        <v>6637.76</v>
      </c>
      <c r="F38" s="12">
        <f>'[4]2025'!E38</f>
        <v>384</v>
      </c>
      <c r="G38" s="73">
        <f>'[4]2025'!F38</f>
        <v>6700</v>
      </c>
      <c r="H38" s="42">
        <f>'[4]2025'!G38</f>
        <v>6966.43</v>
      </c>
      <c r="I38" s="13">
        <f>'[4]2025'!H38</f>
        <v>6917.75</v>
      </c>
      <c r="J38" s="14">
        <f>'[4]2025'!I38</f>
        <v>384</v>
      </c>
      <c r="K38" s="15">
        <f>'[4]2025'!J38</f>
        <v>87.95</v>
      </c>
      <c r="L38" s="15">
        <f>'[4]2025'!K38</f>
        <v>112.01</v>
      </c>
      <c r="M38" s="15">
        <f>'[4]2025'!L38</f>
        <v>55.14</v>
      </c>
      <c r="N38" s="16">
        <f t="shared" si="3"/>
        <v>7.9707997542553585E-3</v>
      </c>
      <c r="O38" s="17">
        <f t="shared" si="0"/>
        <v>4.2181398544087124E-2</v>
      </c>
      <c r="P38" s="17">
        <f t="shared" si="0"/>
        <v>0</v>
      </c>
      <c r="Q38" s="18">
        <f t="shared" si="1"/>
        <v>78.6554860716316</v>
      </c>
      <c r="R38" s="18">
        <f t="shared" si="2"/>
        <v>61.760110704401392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19">
        <f>CHAMNORD!B39</f>
        <v>46056</v>
      </c>
      <c r="C39" s="75">
        <f>IF(H39=0,"",'[4]2025-2026'!C38)</f>
        <v>6678.72</v>
      </c>
      <c r="D39" s="68">
        <f>'[4]2025'!C39</f>
        <v>8135.7</v>
      </c>
      <c r="E39" s="68">
        <f>'[4]2025'!D39</f>
        <v>8062.87</v>
      </c>
      <c r="F39" s="12">
        <f>'[4]2025'!E39</f>
        <v>445</v>
      </c>
      <c r="G39" s="73">
        <f>'[4]2025'!F39</f>
        <v>8100</v>
      </c>
      <c r="H39" s="42">
        <f>'[4]2025'!G39</f>
        <v>7718.43</v>
      </c>
      <c r="I39" s="13">
        <f>'[4]2025'!H39</f>
        <v>7646.86</v>
      </c>
      <c r="J39" s="14">
        <f>'[4]2025'!I39</f>
        <v>405</v>
      </c>
      <c r="K39" s="15">
        <f>'[4]2025'!J39</f>
        <v>111.65</v>
      </c>
      <c r="L39" s="15">
        <f>'[4]2025'!K39</f>
        <v>136.36000000000001</v>
      </c>
      <c r="M39" s="15">
        <f>'[4]2025'!L39</f>
        <v>47.5</v>
      </c>
      <c r="N39" s="16">
        <f t="shared" si="3"/>
        <v>6.2116999657375709E-3</v>
      </c>
      <c r="O39" s="17">
        <f t="shared" si="0"/>
        <v>-5.1595771728925335E-2</v>
      </c>
      <c r="P39" s="17">
        <f t="shared" si="0"/>
        <v>-8.98876404494382E-2</v>
      </c>
      <c r="Q39" s="18">
        <f t="shared" si="1"/>
        <v>68.489565606806977</v>
      </c>
      <c r="R39" s="18">
        <f t="shared" si="2"/>
        <v>56.078468759166903</v>
      </c>
      <c r="S39" s="34">
        <f>SUM(I38:I44)</f>
        <v>82401.429999999993</v>
      </c>
      <c r="T39" s="45" t="s">
        <v>41</v>
      </c>
      <c r="U39" s="1738"/>
    </row>
    <row r="40" spans="1:21">
      <c r="A40" s="10" t="s">
        <v>12</v>
      </c>
      <c r="B40" s="19">
        <f>CHAMNORD!B40</f>
        <v>46057</v>
      </c>
      <c r="C40" s="75">
        <f>IF(H40=0,"",'[4]2025-2026'!C39)</f>
        <v>8135.7</v>
      </c>
      <c r="D40" s="68">
        <f>'[4]2025'!C40</f>
        <v>10922.24</v>
      </c>
      <c r="E40" s="68">
        <f>'[4]2025'!D40</f>
        <v>10827.21</v>
      </c>
      <c r="F40" s="12">
        <f>'[4]2025'!E40</f>
        <v>575</v>
      </c>
      <c r="G40" s="73">
        <f>'[4]2025'!F40</f>
        <v>10900</v>
      </c>
      <c r="H40" s="42">
        <f>'[4]2025'!G40</f>
        <v>10548.44</v>
      </c>
      <c r="I40" s="13">
        <f>'[4]2025'!H40</f>
        <v>10437.16</v>
      </c>
      <c r="J40" s="14">
        <f>'[4]2025'!I40</f>
        <v>523</v>
      </c>
      <c r="K40" s="15">
        <f>'[4]2025'!J40</f>
        <v>126.91</v>
      </c>
      <c r="L40" s="15">
        <f>'[4]2025'!K40</f>
        <v>151.25</v>
      </c>
      <c r="M40" s="15">
        <f>'[4]2025'!L40</f>
        <v>29.65</v>
      </c>
      <c r="N40" s="16">
        <f t="shared" si="3"/>
        <v>2.8408111018706239E-3</v>
      </c>
      <c r="O40" s="17">
        <f t="shared" si="0"/>
        <v>-3.6024977810534688E-2</v>
      </c>
      <c r="P40" s="17">
        <f t="shared" si="0"/>
        <v>-9.0434782608695655E-2</v>
      </c>
      <c r="Q40" s="18">
        <f t="shared" si="1"/>
        <v>82.240642975336854</v>
      </c>
      <c r="R40" s="18">
        <f t="shared" si="2"/>
        <v>69.006016528925613</v>
      </c>
      <c r="S40" s="35">
        <f>(S39-SUM(E38:E44))/SUM(E38:E44)</f>
        <v>-1.8968229646980063E-2</v>
      </c>
      <c r="T40" s="48">
        <f>SUM(I38:I44)/SUM(K38:K44)</f>
        <v>92.468472613423401</v>
      </c>
      <c r="U40" s="1738"/>
    </row>
    <row r="41" spans="1:21">
      <c r="A41" s="10" t="s">
        <v>13</v>
      </c>
      <c r="B41" s="19">
        <f>CHAMNORD!B41</f>
        <v>46058</v>
      </c>
      <c r="C41" s="75">
        <f>IF(H41=0,"",'[4]2025-2026'!C40)</f>
        <v>10922.24</v>
      </c>
      <c r="D41" s="68">
        <f>'[4]2025'!C41</f>
        <v>8478.44</v>
      </c>
      <c r="E41" s="68">
        <f>'[4]2025'!D41</f>
        <v>8423.1</v>
      </c>
      <c r="F41" s="12">
        <f>'[4]2025'!E41</f>
        <v>477</v>
      </c>
      <c r="G41" s="73">
        <f>'[4]2025'!F41</f>
        <v>8500</v>
      </c>
      <c r="H41" s="42">
        <f>'[4]2025'!G41</f>
        <v>11089.79</v>
      </c>
      <c r="I41" s="13">
        <f>'[4]2025'!H41</f>
        <v>11041.62</v>
      </c>
      <c r="J41" s="14">
        <f>'[4]2025'!I41</f>
        <v>526</v>
      </c>
      <c r="K41" s="15">
        <f>'[4]2025'!J41</f>
        <v>90.85</v>
      </c>
      <c r="L41" s="15">
        <f>'[4]2025'!K41</f>
        <v>107.32</v>
      </c>
      <c r="M41" s="15">
        <f>'[4]2025'!L41</f>
        <v>38</v>
      </c>
      <c r="N41" s="16">
        <f t="shared" si="3"/>
        <v>3.4415239792711574E-3</v>
      </c>
      <c r="O41" s="17">
        <f t="shared" si="0"/>
        <v>0.31087366883926348</v>
      </c>
      <c r="P41" s="17">
        <f t="shared" si="0"/>
        <v>0.10272536687631027</v>
      </c>
      <c r="Q41" s="18">
        <f t="shared" si="1"/>
        <v>121.53681893230602</v>
      </c>
      <c r="R41" s="18">
        <f t="shared" si="2"/>
        <v>102.88501677226986</v>
      </c>
      <c r="S41" s="34"/>
      <c r="T41" s="29" t="s">
        <v>8</v>
      </c>
      <c r="U41" s="1738"/>
    </row>
    <row r="42" spans="1:21">
      <c r="A42" s="10" t="s">
        <v>14</v>
      </c>
      <c r="B42" s="19">
        <f>CHAMNORD!B42</f>
        <v>46059</v>
      </c>
      <c r="C42" s="75">
        <f>IF(H42=0,"",'[4]2025-2026'!C41)</f>
        <v>8478.44</v>
      </c>
      <c r="D42" s="68">
        <f>'[4]2025'!C42</f>
        <v>15262.7</v>
      </c>
      <c r="E42" s="68">
        <f>'[4]2025'!D42</f>
        <v>15157.29</v>
      </c>
      <c r="F42" s="12">
        <f>'[4]2025'!E42</f>
        <v>787</v>
      </c>
      <c r="G42" s="73">
        <f>'[4]2025'!F42</f>
        <v>15300</v>
      </c>
      <c r="H42" s="42">
        <f>'[4]2025'!G42</f>
        <v>13955.5</v>
      </c>
      <c r="I42" s="13">
        <f>'[4]2025'!H42</f>
        <v>13824.85</v>
      </c>
      <c r="J42" s="14">
        <f>'[4]2025'!I42</f>
        <v>695</v>
      </c>
      <c r="K42" s="15">
        <f>'[4]2025'!J42</f>
        <v>145.48999999999998</v>
      </c>
      <c r="L42" s="15">
        <f>'[4]2025'!K42</f>
        <v>170.57</v>
      </c>
      <c r="M42" s="15">
        <f>'[4]2025'!L42</f>
        <v>40.76</v>
      </c>
      <c r="N42" s="16">
        <f t="shared" si="3"/>
        <v>2.948314086590451E-3</v>
      </c>
      <c r="O42" s="17">
        <f t="shared" si="0"/>
        <v>-8.7907534922139804E-2</v>
      </c>
      <c r="P42" s="17">
        <f t="shared" si="0"/>
        <v>-0.11689961880559085</v>
      </c>
      <c r="Q42" s="18">
        <f t="shared" si="1"/>
        <v>95.02268197126952</v>
      </c>
      <c r="R42" s="18">
        <f t="shared" si="2"/>
        <v>81.050888198393622</v>
      </c>
      <c r="S42" s="36" t="s">
        <v>40</v>
      </c>
      <c r="T42" s="48">
        <f>SUM(I38:I44)/SUM(L38:L44)</f>
        <v>77.802522872978244</v>
      </c>
      <c r="U42" s="1738"/>
    </row>
    <row r="43" spans="1:21">
      <c r="A43" s="10" t="s">
        <v>15</v>
      </c>
      <c r="B43" s="19">
        <f>CHAMNORD!B43</f>
        <v>46060</v>
      </c>
      <c r="C43" s="75">
        <f>IF(H43=0,"",'[4]2025-2026'!C42)</f>
        <v>15262.7</v>
      </c>
      <c r="D43" s="68">
        <f>'[4]2025'!C43</f>
        <v>19417.63</v>
      </c>
      <c r="E43" s="68">
        <f>'[4]2025'!D43</f>
        <v>19223.060000000001</v>
      </c>
      <c r="F43" s="12">
        <f>'[4]2025'!E43</f>
        <v>909</v>
      </c>
      <c r="G43" s="73">
        <f>'[4]2025'!F43</f>
        <v>17000</v>
      </c>
      <c r="H43" s="42">
        <f>'[4]2025'!G43</f>
        <v>17272.61</v>
      </c>
      <c r="I43" s="13">
        <f>'[4]2025'!H43</f>
        <v>17085.400000000001</v>
      </c>
      <c r="J43" s="14">
        <f>'[4]2025'!I43</f>
        <v>759</v>
      </c>
      <c r="K43" s="15">
        <f>'[4]2025'!J43</f>
        <v>186.02</v>
      </c>
      <c r="L43" s="15">
        <f>'[4]2025'!K43</f>
        <v>221.73</v>
      </c>
      <c r="M43" s="15">
        <f>'[4]2025'!L43</f>
        <v>51.27</v>
      </c>
      <c r="N43" s="16">
        <f t="shared" si="3"/>
        <v>3.0008077071651817E-3</v>
      </c>
      <c r="O43" s="17">
        <f t="shared" si="0"/>
        <v>-0.11120289901815839</v>
      </c>
      <c r="P43" s="17">
        <f t="shared" si="0"/>
        <v>-0.16501650165016502</v>
      </c>
      <c r="Q43" s="18">
        <f t="shared" si="1"/>
        <v>91.847113213632952</v>
      </c>
      <c r="R43" s="18">
        <f t="shared" si="2"/>
        <v>77.054976773553435</v>
      </c>
      <c r="S43" s="36">
        <f>SUM(J38:J44)</f>
        <v>4009</v>
      </c>
      <c r="T43" s="30" t="s">
        <v>3</v>
      </c>
      <c r="U43" s="1738"/>
    </row>
    <row r="44" spans="1:21" ht="18" thickBot="1">
      <c r="A44" s="10" t="s">
        <v>16</v>
      </c>
      <c r="B44" s="19">
        <f>CHAMNORD!B44</f>
        <v>46061</v>
      </c>
      <c r="C44" s="75">
        <f>IF(H44=0,"",'[4]2025-2026'!C43)</f>
        <v>19417.63</v>
      </c>
      <c r="D44" s="68">
        <f>'[4]2025'!C44</f>
        <v>15801.99</v>
      </c>
      <c r="E44" s="68">
        <f>'[4]2025'!D44</f>
        <v>15663.37</v>
      </c>
      <c r="F44" s="12">
        <f>'[4]2025'!E44</f>
        <v>747</v>
      </c>
      <c r="G44" s="73">
        <f>'[4]2025'!F44</f>
        <v>15800</v>
      </c>
      <c r="H44" s="42">
        <f>'[4]2025'!G44</f>
        <v>15556.5</v>
      </c>
      <c r="I44" s="13">
        <f>'[4]2025'!H44</f>
        <v>15447.79</v>
      </c>
      <c r="J44" s="14">
        <f>'[4]2025'!I44</f>
        <v>717</v>
      </c>
      <c r="K44" s="15">
        <f>'[4]2025'!J44</f>
        <v>142.26</v>
      </c>
      <c r="L44" s="15">
        <f>'[4]2025'!K44</f>
        <v>159.87</v>
      </c>
      <c r="M44" s="15">
        <f>'[4]2025'!L44</f>
        <v>64.61</v>
      </c>
      <c r="N44" s="16">
        <f t="shared" si="3"/>
        <v>4.1824752925823045E-3</v>
      </c>
      <c r="O44" s="17">
        <f t="shared" si="0"/>
        <v>-1.3763321686201624E-2</v>
      </c>
      <c r="P44" s="17">
        <f t="shared" si="0"/>
        <v>-4.0160642570281124E-2</v>
      </c>
      <c r="Q44" s="18">
        <f t="shared" si="1"/>
        <v>108.58842963587799</v>
      </c>
      <c r="R44" s="18">
        <f t="shared" si="2"/>
        <v>96.62719709764184</v>
      </c>
      <c r="S44" s="37">
        <f>(S43-SUM(F38:F44))/SUM(F38:F44)</f>
        <v>-7.2849213691026829E-2</v>
      </c>
      <c r="T44" s="47">
        <f>SUM(M38:M44)/SUM(I38:I44)</f>
        <v>3.9675282334299296E-3</v>
      </c>
      <c r="U44" s="1739"/>
    </row>
    <row r="45" spans="1:21" ht="17" customHeight="1" thickTop="1">
      <c r="A45" s="10" t="s">
        <v>9</v>
      </c>
      <c r="B45" s="19">
        <f>CHAMNORD!B45</f>
        <v>46062</v>
      </c>
      <c r="C45" s="75">
        <f>IF(H45=0,"",'[4]2025-2026'!C44)</f>
        <v>15801.99</v>
      </c>
      <c r="D45" s="68">
        <f>'[4]2025'!C45</f>
        <v>7402.33</v>
      </c>
      <c r="E45" s="68">
        <f>'[4]2025'!D45</f>
        <v>7355.78</v>
      </c>
      <c r="F45" s="12">
        <f>'[4]2025'!E45</f>
        <v>409</v>
      </c>
      <c r="G45" s="73">
        <f>'[4]2025'!F45</f>
        <v>7400</v>
      </c>
      <c r="H45" s="42">
        <f>'[4]2025'!G45</f>
        <v>9427.68</v>
      </c>
      <c r="I45" s="13">
        <f>'[4]2025'!H45</f>
        <v>9356.7900000000009</v>
      </c>
      <c r="J45" s="14">
        <f>'[4]2025'!I45</f>
        <v>482</v>
      </c>
      <c r="K45" s="15">
        <f>'[4]2025'!J45</f>
        <v>92.27</v>
      </c>
      <c r="L45" s="15">
        <f>'[4]2025'!K45</f>
        <v>100.6</v>
      </c>
      <c r="M45" s="15">
        <f>'[4]2025'!L45</f>
        <v>31.95</v>
      </c>
      <c r="N45" s="16">
        <f t="shared" si="3"/>
        <v>3.4146325823279132E-3</v>
      </c>
      <c r="O45" s="17">
        <f t="shared" si="0"/>
        <v>0.27203233375658342</v>
      </c>
      <c r="P45" s="17">
        <f t="shared" si="0"/>
        <v>0.17848410757946209</v>
      </c>
      <c r="Q45" s="18">
        <f t="shared" si="1"/>
        <v>101.40663270835593</v>
      </c>
      <c r="R45" s="18">
        <f t="shared" si="2"/>
        <v>93.009840954274367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19">
        <f>CHAMNORD!B46</f>
        <v>46063</v>
      </c>
      <c r="C46" s="75">
        <f>IF(H46=0,"",'[4]2025-2026'!C45)</f>
        <v>7402.33</v>
      </c>
      <c r="D46" s="68">
        <f>'[4]2025'!C46</f>
        <v>9104.98</v>
      </c>
      <c r="E46" s="68">
        <f>'[4]2025'!D46</f>
        <v>9033.42</v>
      </c>
      <c r="F46" s="12">
        <f>'[4]2025'!E46</f>
        <v>488</v>
      </c>
      <c r="G46" s="73">
        <f>'[4]2025'!F46</f>
        <v>9100</v>
      </c>
      <c r="H46" s="42">
        <f>'[4]2025'!G46</f>
        <v>8825.57</v>
      </c>
      <c r="I46" s="13">
        <f>'[4]2025'!H46</f>
        <v>8748.14</v>
      </c>
      <c r="J46" s="14">
        <f>'[4]2025'!I46</f>
        <v>462</v>
      </c>
      <c r="K46" s="15">
        <f>'[4]2025'!J46</f>
        <v>95.03</v>
      </c>
      <c r="L46" s="15">
        <f>'[4]2025'!K46</f>
        <v>112.25</v>
      </c>
      <c r="M46" s="15">
        <f>'[4]2025'!L46</f>
        <v>29.55</v>
      </c>
      <c r="N46" s="16">
        <f t="shared" si="3"/>
        <v>3.3778608938585804E-3</v>
      </c>
      <c r="O46" s="17">
        <f t="shared" si="0"/>
        <v>-3.1580508821686656E-2</v>
      </c>
      <c r="P46" s="17">
        <f t="shared" si="0"/>
        <v>-5.3278688524590161E-2</v>
      </c>
      <c r="Q46" s="18">
        <f t="shared" si="1"/>
        <v>92.056613700936538</v>
      </c>
      <c r="R46" s="18">
        <f t="shared" si="2"/>
        <v>77.934432071269484</v>
      </c>
      <c r="S46" s="34">
        <f>SUM(I45:I51)</f>
        <v>87522.540000000008</v>
      </c>
      <c r="T46" s="45" t="s">
        <v>41</v>
      </c>
      <c r="U46" s="1738"/>
    </row>
    <row r="47" spans="1:21">
      <c r="A47" s="10" t="s">
        <v>12</v>
      </c>
      <c r="B47" s="19">
        <f>CHAMNORD!B47</f>
        <v>46064</v>
      </c>
      <c r="C47" s="75">
        <f>IF(H47=0,"",'[4]2025-2026'!C46)</f>
        <v>9104.98</v>
      </c>
      <c r="D47" s="68">
        <f>'[4]2025'!C47</f>
        <v>10660.68</v>
      </c>
      <c r="E47" s="68">
        <f>'[4]2025'!D47</f>
        <v>10568.79</v>
      </c>
      <c r="F47" s="12">
        <f>'[4]2025'!E47</f>
        <v>576</v>
      </c>
      <c r="G47" s="73">
        <f>'[4]2025'!F47</f>
        <v>10700</v>
      </c>
      <c r="H47" s="42">
        <f>'[4]2025'!G47</f>
        <v>9856.86</v>
      </c>
      <c r="I47" s="13">
        <f>'[4]2025'!H47</f>
        <v>9763.43</v>
      </c>
      <c r="J47" s="14">
        <f>'[4]2025'!I47</f>
        <v>487</v>
      </c>
      <c r="K47" s="15">
        <f>'[4]2025'!J47</f>
        <v>103.5</v>
      </c>
      <c r="L47" s="15">
        <f>'[4]2025'!K47</f>
        <v>119.67</v>
      </c>
      <c r="M47" s="15">
        <f>'[4]2025'!L47</f>
        <v>25.87</v>
      </c>
      <c r="N47" s="16">
        <f t="shared" si="3"/>
        <v>2.6496835640753302E-3</v>
      </c>
      <c r="O47" s="17">
        <f t="shared" si="0"/>
        <v>-7.6201722240672828E-2</v>
      </c>
      <c r="P47" s="17">
        <f t="shared" si="0"/>
        <v>-0.1545138888888889</v>
      </c>
      <c r="Q47" s="18">
        <f t="shared" si="1"/>
        <v>94.332657004830921</v>
      </c>
      <c r="R47" s="18">
        <f t="shared" si="2"/>
        <v>81.586278933734434</v>
      </c>
      <c r="S47" s="35">
        <f>(S46-SUM(E45:E51))/SUM(E45:E51)</f>
        <v>-3.5697121608593771E-2</v>
      </c>
      <c r="T47" s="48">
        <f>SUM(I45:I51)/SUM(K45:K51)</f>
        <v>101.50718485786855</v>
      </c>
      <c r="U47" s="1738"/>
    </row>
    <row r="48" spans="1:21">
      <c r="A48" s="10" t="s">
        <v>13</v>
      </c>
      <c r="B48" s="19">
        <f>CHAMNORD!B48</f>
        <v>46065</v>
      </c>
      <c r="C48" s="75">
        <f>IF(H48=0,"",'[4]2025-2026'!C47)</f>
        <v>10660.68</v>
      </c>
      <c r="D48" s="68">
        <f>'[4]2025'!C48</f>
        <v>9079.5300000000007</v>
      </c>
      <c r="E48" s="68">
        <f>'[4]2025'!D48</f>
        <v>9018.9699999999993</v>
      </c>
      <c r="F48" s="12">
        <f>'[4]2025'!E48</f>
        <v>489</v>
      </c>
      <c r="G48" s="73">
        <f>'[4]2025'!F48</f>
        <v>9100</v>
      </c>
      <c r="H48" s="42">
        <f>'[4]2025'!G48</f>
        <v>9330.85</v>
      </c>
      <c r="I48" s="13">
        <f>'[4]2025'!H48</f>
        <v>9254.07</v>
      </c>
      <c r="J48" s="14">
        <f>'[4]2025'!I48</f>
        <v>491</v>
      </c>
      <c r="K48" s="15">
        <f>'[4]2025'!J48</f>
        <v>90.289999999999992</v>
      </c>
      <c r="L48" s="15">
        <f>'[4]2025'!K48</f>
        <v>106.5</v>
      </c>
      <c r="M48" s="15">
        <f>'[4]2025'!L48</f>
        <v>40.65</v>
      </c>
      <c r="N48" s="16">
        <f t="shared" si="3"/>
        <v>4.3926618233923022E-3</v>
      </c>
      <c r="O48" s="17">
        <f t="shared" si="0"/>
        <v>2.6067278192520919E-2</v>
      </c>
      <c r="P48" s="17">
        <f t="shared" si="0"/>
        <v>4.0899795501022499E-3</v>
      </c>
      <c r="Q48" s="18">
        <f t="shared" si="1"/>
        <v>102.49274559751912</v>
      </c>
      <c r="R48" s="18">
        <f t="shared" si="2"/>
        <v>86.892676056338018</v>
      </c>
      <c r="S48" s="34"/>
      <c r="T48" s="29" t="s">
        <v>8</v>
      </c>
      <c r="U48" s="1738"/>
    </row>
    <row r="49" spans="1:21">
      <c r="A49" s="10" t="s">
        <v>14</v>
      </c>
      <c r="B49" s="19">
        <f>CHAMNORD!B49</f>
        <v>46066</v>
      </c>
      <c r="C49" s="75">
        <f>IF(H49=0,"",'[4]2025-2026'!C48)</f>
        <v>9079.5300000000007</v>
      </c>
      <c r="D49" s="68">
        <f>'[4]2025'!C49</f>
        <v>15921</v>
      </c>
      <c r="E49" s="68">
        <f>'[4]2025'!D49</f>
        <v>15818.82</v>
      </c>
      <c r="F49" s="12">
        <f>'[4]2025'!E49</f>
        <v>827</v>
      </c>
      <c r="G49" s="73">
        <f>'[4]2025'!F49</f>
        <v>16000</v>
      </c>
      <c r="H49" s="42">
        <f>'[4]2025'!G49</f>
        <v>15799.99</v>
      </c>
      <c r="I49" s="13">
        <f>'[4]2025'!H49</f>
        <v>15644.87</v>
      </c>
      <c r="J49" s="14">
        <f>'[4]2025'!I49</f>
        <v>735</v>
      </c>
      <c r="K49" s="15">
        <f>'[4]2025'!J49</f>
        <v>147.54999999999998</v>
      </c>
      <c r="L49" s="15">
        <f>'[4]2025'!K49</f>
        <v>165.16</v>
      </c>
      <c r="M49" s="15">
        <f>'[4]2025'!L49</f>
        <v>51.8</v>
      </c>
      <c r="N49" s="16">
        <f t="shared" si="3"/>
        <v>3.3109894808969328E-3</v>
      </c>
      <c r="O49" s="17">
        <f t="shared" si="0"/>
        <v>-1.0996395432781896E-2</v>
      </c>
      <c r="P49" s="17">
        <f t="shared" si="0"/>
        <v>-0.11124546553808948</v>
      </c>
      <c r="Q49" s="18">
        <f t="shared" si="1"/>
        <v>106.03097255167742</v>
      </c>
      <c r="R49" s="18">
        <f t="shared" si="2"/>
        <v>94.725538871397433</v>
      </c>
      <c r="S49" s="36" t="s">
        <v>40</v>
      </c>
      <c r="T49" s="48">
        <f>SUM(I45:I51)/SUM(L45:L51)</f>
        <v>89.347005859654146</v>
      </c>
      <c r="U49" s="1738"/>
    </row>
    <row r="50" spans="1:21">
      <c r="A50" s="10" t="s">
        <v>15</v>
      </c>
      <c r="B50" s="19">
        <f>CHAMNORD!B50</f>
        <v>46067</v>
      </c>
      <c r="C50" s="75">
        <f>IF(H50=0,"",'[4]2025-2026'!C49)</f>
        <v>15921</v>
      </c>
      <c r="D50" s="68">
        <f>'[4]2025'!C50</f>
        <v>23426.63</v>
      </c>
      <c r="E50" s="68">
        <f>'[4]2025'!D50</f>
        <v>23167</v>
      </c>
      <c r="F50" s="12">
        <f>'[4]2025'!E50</f>
        <v>1006</v>
      </c>
      <c r="G50" s="73">
        <f>'[4]2025'!F50</f>
        <v>24100</v>
      </c>
      <c r="H50" s="42">
        <f>'[4]2025'!G50</f>
        <v>20334.060000000001</v>
      </c>
      <c r="I50" s="13">
        <f>'[4]2025'!H50</f>
        <v>20094.21</v>
      </c>
      <c r="J50" s="14">
        <f>'[4]2025'!I50</f>
        <v>897</v>
      </c>
      <c r="K50" s="15">
        <f>'[4]2025'!J50</f>
        <v>192.59000000000003</v>
      </c>
      <c r="L50" s="15">
        <f>'[4]2025'!K50</f>
        <v>218.4</v>
      </c>
      <c r="M50" s="15">
        <f>'[4]2025'!L50</f>
        <v>59.77</v>
      </c>
      <c r="N50" s="16">
        <f t="shared" si="3"/>
        <v>2.9744886711147145E-3</v>
      </c>
      <c r="O50" s="17">
        <f t="shared" si="0"/>
        <v>-0.13263650882721115</v>
      </c>
      <c r="P50" s="17">
        <f t="shared" si="0"/>
        <v>-0.10834990059642147</v>
      </c>
      <c r="Q50" s="18">
        <f t="shared" si="1"/>
        <v>104.33672568669192</v>
      </c>
      <c r="R50" s="18">
        <f t="shared" si="2"/>
        <v>92.006456043956035</v>
      </c>
      <c r="S50" s="36">
        <f>SUM(J45:J51)</f>
        <v>4226</v>
      </c>
      <c r="T50" s="30" t="s">
        <v>3</v>
      </c>
      <c r="U50" s="1738"/>
    </row>
    <row r="51" spans="1:21" ht="18" thickBot="1">
      <c r="A51" s="10" t="s">
        <v>16</v>
      </c>
      <c r="B51" s="19">
        <f>CHAMNORD!B51</f>
        <v>46068</v>
      </c>
      <c r="C51" s="75">
        <f>IF(H51=0,"",'[4]2025-2026'!C50)</f>
        <v>23426.63</v>
      </c>
      <c r="D51" s="68">
        <f>'[4]2025'!C51</f>
        <v>15919.34</v>
      </c>
      <c r="E51" s="68">
        <f>'[4]2025'!D51</f>
        <v>15799.72</v>
      </c>
      <c r="F51" s="12">
        <f>'[4]2025'!E51</f>
        <v>783</v>
      </c>
      <c r="G51" s="73">
        <f>'[4]2025'!F51</f>
        <v>15800</v>
      </c>
      <c r="H51" s="42">
        <f>'[4]2025'!G51</f>
        <v>14777.6</v>
      </c>
      <c r="I51" s="13">
        <f>'[4]2025'!H51</f>
        <v>14661.03</v>
      </c>
      <c r="J51" s="14">
        <f>'[4]2025'!I51</f>
        <v>672</v>
      </c>
      <c r="K51" s="15">
        <f>'[4]2025'!J51</f>
        <v>141</v>
      </c>
      <c r="L51" s="15">
        <f>'[4]2025'!K51</f>
        <v>157</v>
      </c>
      <c r="M51" s="15">
        <f>'[4]2025'!L51</f>
        <v>45.92</v>
      </c>
      <c r="N51" s="16">
        <f t="shared" si="3"/>
        <v>3.1321128188128663E-3</v>
      </c>
      <c r="O51" s="17">
        <f t="shared" si="0"/>
        <v>-7.2070264536333473E-2</v>
      </c>
      <c r="P51" s="17">
        <f t="shared" si="0"/>
        <v>-0.1417624521072797</v>
      </c>
      <c r="Q51" s="18">
        <f t="shared" si="1"/>
        <v>103.97893617021278</v>
      </c>
      <c r="R51" s="18">
        <f t="shared" si="2"/>
        <v>93.382356687898096</v>
      </c>
      <c r="S51" s="37">
        <f>(S50-SUM(F45:F51))/SUM(F45:F51)</f>
        <v>-7.6889471384884223E-2</v>
      </c>
      <c r="T51" s="47">
        <f>SUM(M45:M51)/SUM(I45:I51)</f>
        <v>3.2621311035991411E-3</v>
      </c>
      <c r="U51" s="1739"/>
    </row>
    <row r="52" spans="1:21" ht="17" customHeight="1" thickTop="1">
      <c r="A52" s="10" t="s">
        <v>9</v>
      </c>
      <c r="B52" s="19">
        <f>CHAMNORD!B52</f>
        <v>46069</v>
      </c>
      <c r="C52" s="75">
        <f>IF(H52=0,"",'[4]2025-2026'!C51)</f>
        <v>15919.34</v>
      </c>
      <c r="D52" s="68">
        <f>'[4]2025'!C52</f>
        <v>7415.88</v>
      </c>
      <c r="E52" s="68">
        <f>'[4]2025'!D52</f>
        <v>7363.16</v>
      </c>
      <c r="F52" s="12">
        <f>'[4]2025'!E52</f>
        <v>413</v>
      </c>
      <c r="G52" s="73">
        <f>'[4]2025'!F52</f>
        <v>7300</v>
      </c>
      <c r="H52" s="42">
        <f>'[4]2025'!G52</f>
        <v>8126.06</v>
      </c>
      <c r="I52" s="13">
        <f>'[4]2025'!H52</f>
        <v>8043.43</v>
      </c>
      <c r="J52" s="14">
        <f>'[4]2025'!I52</f>
        <v>411</v>
      </c>
      <c r="K52" s="15">
        <f>'[4]2025'!J52</f>
        <v>100.60000000000001</v>
      </c>
      <c r="L52" s="15">
        <f>'[4]2025'!K52</f>
        <v>109.01</v>
      </c>
      <c r="M52" s="15">
        <f>'[4]2025'!L52</f>
        <v>26.92</v>
      </c>
      <c r="N52" s="16">
        <f t="shared" si="3"/>
        <v>3.3468308917961615E-3</v>
      </c>
      <c r="O52" s="17">
        <f t="shared" si="0"/>
        <v>9.2388322405054416E-2</v>
      </c>
      <c r="P52" s="17">
        <f t="shared" si="0"/>
        <v>-4.8426150121065378E-3</v>
      </c>
      <c r="Q52" s="18">
        <f t="shared" si="1"/>
        <v>79.95457256461232</v>
      </c>
      <c r="R52" s="18">
        <f t="shared" si="2"/>
        <v>73.786166406751676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19">
        <f>CHAMNORD!B53</f>
        <v>46070</v>
      </c>
      <c r="C53" s="75">
        <f>IF(H53=0,"",'[4]2025-2026'!C52)</f>
        <v>7415.88</v>
      </c>
      <c r="D53" s="68">
        <f>'[4]2025'!C53</f>
        <v>7874.05</v>
      </c>
      <c r="E53" s="68">
        <f>'[4]2025'!D53</f>
        <v>7798.64</v>
      </c>
      <c r="F53" s="12">
        <f>'[4]2025'!E53</f>
        <v>453</v>
      </c>
      <c r="G53" s="73">
        <f>'[4]2025'!F53</f>
        <v>7800</v>
      </c>
      <c r="H53" s="42">
        <f>'[4]2025'!G53</f>
        <v>8815.7000000000007</v>
      </c>
      <c r="I53" s="13">
        <f>'[4]2025'!H53</f>
        <v>8735.06</v>
      </c>
      <c r="J53" s="14">
        <f>'[4]2025'!I53</f>
        <v>452</v>
      </c>
      <c r="K53" s="15">
        <f>'[4]2025'!J53</f>
        <v>106.59</v>
      </c>
      <c r="L53" s="15">
        <f>'[4]2025'!K53</f>
        <v>124.62</v>
      </c>
      <c r="M53" s="15">
        <f>'[4]2025'!L53</f>
        <v>38.04</v>
      </c>
      <c r="N53" s="16">
        <f t="shared" si="3"/>
        <v>4.3548641909729301E-3</v>
      </c>
      <c r="O53" s="17">
        <f t="shared" si="0"/>
        <v>0.12007478226972897</v>
      </c>
      <c r="P53" s="17">
        <f t="shared" si="0"/>
        <v>-2.2075055187637969E-3</v>
      </c>
      <c r="Q53" s="18">
        <f t="shared" si="1"/>
        <v>81.950089126559703</v>
      </c>
      <c r="R53" s="18">
        <f t="shared" si="2"/>
        <v>70.093564435885085</v>
      </c>
      <c r="S53" s="34">
        <f>SUM(I52:I58)</f>
        <v>86120.530000000013</v>
      </c>
      <c r="T53" s="45" t="s">
        <v>41</v>
      </c>
      <c r="U53" s="1738"/>
    </row>
    <row r="54" spans="1:21">
      <c r="A54" s="10" t="s">
        <v>12</v>
      </c>
      <c r="B54" s="19">
        <f>CHAMNORD!B54</f>
        <v>46071</v>
      </c>
      <c r="C54" s="75">
        <f>IF(H54=0,"",'[4]2025-2026'!C53)</f>
        <v>7874.05</v>
      </c>
      <c r="D54" s="68">
        <f>'[4]2025'!C54</f>
        <v>10423.23</v>
      </c>
      <c r="E54" s="68">
        <f>'[4]2025'!D54</f>
        <v>10319.370000000001</v>
      </c>
      <c r="F54" s="12">
        <f>'[4]2025'!E54</f>
        <v>571</v>
      </c>
      <c r="G54" s="73">
        <f>'[4]2025'!F54</f>
        <v>10300</v>
      </c>
      <c r="H54" s="42">
        <f>'[4]2025'!G54</f>
        <v>8938.73</v>
      </c>
      <c r="I54" s="13">
        <f>'[4]2025'!H54</f>
        <v>8847.65</v>
      </c>
      <c r="J54" s="14">
        <f>'[4]2025'!I54</f>
        <v>438</v>
      </c>
      <c r="K54" s="15">
        <f>'[4]2025'!J54</f>
        <v>113.50999999999999</v>
      </c>
      <c r="L54" s="15">
        <f>'[4]2025'!K54</f>
        <v>138.09</v>
      </c>
      <c r="M54" s="15">
        <f>'[4]2025'!L54</f>
        <v>46.94</v>
      </c>
      <c r="N54" s="16">
        <f t="shared" si="3"/>
        <v>5.3053635711177542E-3</v>
      </c>
      <c r="O54" s="17">
        <f t="shared" si="0"/>
        <v>-0.14261723341638113</v>
      </c>
      <c r="P54" s="17">
        <f t="shared" si="0"/>
        <v>-0.23292469352014011</v>
      </c>
      <c r="Q54" s="18">
        <f t="shared" si="1"/>
        <v>77.945995947493614</v>
      </c>
      <c r="R54" s="18">
        <f t="shared" si="2"/>
        <v>64.071619957998408</v>
      </c>
      <c r="S54" s="35">
        <f>(S53-SUM(E52:E58))/SUM(E52:E58)</f>
        <v>1.8654558646262434E-2</v>
      </c>
      <c r="T54" s="48">
        <f>SUM(I52:I58)/SUM(K52:K58)</f>
        <v>97.599168168270282</v>
      </c>
      <c r="U54" s="1738"/>
    </row>
    <row r="55" spans="1:21">
      <c r="A55" s="10" t="s">
        <v>13</v>
      </c>
      <c r="B55" s="19">
        <f>CHAMNORD!B55</f>
        <v>46072</v>
      </c>
      <c r="C55" s="75">
        <f>IF(H55=0,"",'[4]2025-2026'!C54)</f>
        <v>10423.23</v>
      </c>
      <c r="D55" s="68">
        <f>'[4]2025'!C55</f>
        <v>9188.92</v>
      </c>
      <c r="E55" s="68">
        <f>'[4]2025'!D55</f>
        <v>9108.24</v>
      </c>
      <c r="F55" s="12">
        <f>'[4]2025'!E55</f>
        <v>515</v>
      </c>
      <c r="G55" s="73">
        <f>'[4]2025'!F55</f>
        <v>9100</v>
      </c>
      <c r="H55" s="42">
        <f>'[4]2025'!G55</f>
        <v>9284.4699999999993</v>
      </c>
      <c r="I55" s="13">
        <f>'[4]2025'!H55</f>
        <v>9185.91</v>
      </c>
      <c r="J55" s="14">
        <f>'[4]2025'!I55</f>
        <v>475</v>
      </c>
      <c r="K55" s="15">
        <f>'[4]2025'!J55</f>
        <v>93.39</v>
      </c>
      <c r="L55" s="15">
        <f>'[4]2025'!K55</f>
        <v>101.42</v>
      </c>
      <c r="M55" s="15">
        <f>'[4]2025'!L55</f>
        <v>38.47</v>
      </c>
      <c r="N55" s="16">
        <f t="shared" si="3"/>
        <v>4.1879356536260424E-3</v>
      </c>
      <c r="O55" s="17">
        <f t="shared" si="0"/>
        <v>8.5274432821269616E-3</v>
      </c>
      <c r="P55" s="17">
        <f t="shared" si="0"/>
        <v>-7.7669902912621352E-2</v>
      </c>
      <c r="Q55" s="18">
        <f t="shared" si="1"/>
        <v>98.360745261805334</v>
      </c>
      <c r="R55" s="18">
        <f t="shared" si="2"/>
        <v>90.572963912443299</v>
      </c>
      <c r="S55" s="34"/>
      <c r="T55" s="29" t="s">
        <v>8</v>
      </c>
      <c r="U55" s="1738"/>
    </row>
    <row r="56" spans="1:21">
      <c r="A56" s="10" t="s">
        <v>14</v>
      </c>
      <c r="B56" s="19">
        <f>CHAMNORD!B56</f>
        <v>46073</v>
      </c>
      <c r="C56" s="75">
        <f>IF(H56=0,"",'[4]2025-2026'!C55)</f>
        <v>9188.92</v>
      </c>
      <c r="D56" s="68">
        <f>'[4]2025'!C56</f>
        <v>15133.4</v>
      </c>
      <c r="E56" s="68">
        <f>'[4]2025'!D56</f>
        <v>14993.61</v>
      </c>
      <c r="F56" s="12">
        <f>'[4]2025'!E56</f>
        <v>740</v>
      </c>
      <c r="G56" s="73">
        <f>'[4]2025'!F56</f>
        <v>15000</v>
      </c>
      <c r="H56" s="42">
        <f>'[4]2025'!G56</f>
        <v>14276.53</v>
      </c>
      <c r="I56" s="13">
        <f>'[4]2025'!H56</f>
        <v>14148.94</v>
      </c>
      <c r="J56" s="14">
        <f>'[4]2025'!I56</f>
        <v>681</v>
      </c>
      <c r="K56" s="15">
        <f>'[4]2025'!J56</f>
        <v>127.92999999999999</v>
      </c>
      <c r="L56" s="15">
        <f>'[4]2025'!K56</f>
        <v>145.24</v>
      </c>
      <c r="M56" s="15">
        <f>'[4]2025'!L56</f>
        <v>55.37</v>
      </c>
      <c r="N56" s="16">
        <f t="shared" si="3"/>
        <v>3.9133673617953004E-3</v>
      </c>
      <c r="O56" s="17">
        <f t="shared" si="0"/>
        <v>-5.6335332184844079E-2</v>
      </c>
      <c r="P56" s="17">
        <f t="shared" si="0"/>
        <v>-7.9729729729729734E-2</v>
      </c>
      <c r="Q56" s="18">
        <f t="shared" si="1"/>
        <v>110.59907762057377</v>
      </c>
      <c r="R56" s="18">
        <f t="shared" si="2"/>
        <v>97.417653538969972</v>
      </c>
      <c r="S56" s="36" t="s">
        <v>40</v>
      </c>
      <c r="T56" s="48">
        <f>SUM(I52:I58)/SUM(L52:L58)</f>
        <v>86.274962182306339</v>
      </c>
      <c r="U56" s="1738"/>
    </row>
    <row r="57" spans="1:21">
      <c r="A57" s="10" t="s">
        <v>15</v>
      </c>
      <c r="B57" s="19">
        <f>CHAMNORD!B57</f>
        <v>46074</v>
      </c>
      <c r="C57" s="75">
        <f>IF(H57=0,"",'[4]2025-2026'!C56)</f>
        <v>15133.4</v>
      </c>
      <c r="D57" s="68">
        <f>'[4]2025'!C57</f>
        <v>21229.55</v>
      </c>
      <c r="E57" s="68">
        <f>'[4]2025'!D57</f>
        <v>21013.64</v>
      </c>
      <c r="F57" s="12">
        <f>'[4]2025'!E57</f>
        <v>949</v>
      </c>
      <c r="G57" s="73">
        <f>'[4]2025'!F57</f>
        <v>21900</v>
      </c>
      <c r="H57" s="42">
        <f>'[4]2025'!G57</f>
        <v>20572.84</v>
      </c>
      <c r="I57" s="13">
        <f>'[4]2025'!H57</f>
        <v>20351.650000000001</v>
      </c>
      <c r="J57" s="14">
        <f>'[4]2025'!I57</f>
        <v>862</v>
      </c>
      <c r="K57" s="15">
        <f>'[4]2025'!J57</f>
        <v>205.23999999999998</v>
      </c>
      <c r="L57" s="15">
        <f>'[4]2025'!K57</f>
        <v>228.29</v>
      </c>
      <c r="M57" s="15">
        <f>'[4]2025'!L57</f>
        <v>25.08</v>
      </c>
      <c r="N57" s="16">
        <f t="shared" si="3"/>
        <v>1.2323325135799798E-3</v>
      </c>
      <c r="O57" s="17">
        <f t="shared" si="0"/>
        <v>-3.1502871468246242E-2</v>
      </c>
      <c r="P57" s="17">
        <f t="shared" si="0"/>
        <v>-9.1675447839831406E-2</v>
      </c>
      <c r="Q57" s="18">
        <f t="shared" si="1"/>
        <v>99.160251412979946</v>
      </c>
      <c r="R57" s="18">
        <f t="shared" si="2"/>
        <v>89.148232511279517</v>
      </c>
      <c r="S57" s="36">
        <f>SUM(J52:J58)</f>
        <v>4021</v>
      </c>
      <c r="T57" s="30" t="s">
        <v>3</v>
      </c>
      <c r="U57" s="1738"/>
    </row>
    <row r="58" spans="1:21" ht="18" thickBot="1">
      <c r="A58" s="10" t="s">
        <v>16</v>
      </c>
      <c r="B58" s="19">
        <f>CHAMNORD!B58</f>
        <v>46075</v>
      </c>
      <c r="C58" s="75">
        <f>IF(H58=0,"",'[4]2025-2026'!C57)</f>
        <v>21229.55</v>
      </c>
      <c r="D58" s="68">
        <f>'[4]2025'!C58</f>
        <v>14053.07</v>
      </c>
      <c r="E58" s="68">
        <f>'[4]2025'!D58</f>
        <v>13946.75</v>
      </c>
      <c r="F58" s="12">
        <f>'[4]2025'!E58</f>
        <v>667</v>
      </c>
      <c r="G58" s="73">
        <f>'[4]2025'!F58</f>
        <v>13900</v>
      </c>
      <c r="H58" s="42">
        <f>'[4]2025'!G58</f>
        <v>16947.14</v>
      </c>
      <c r="I58" s="13">
        <f>'[4]2025'!H58</f>
        <v>16807.89</v>
      </c>
      <c r="J58" s="14">
        <f>'[4]2025'!I58</f>
        <v>702</v>
      </c>
      <c r="K58" s="15">
        <f>'[4]2025'!J58</f>
        <v>135.13</v>
      </c>
      <c r="L58" s="15">
        <f>'[4]2025'!K58</f>
        <v>151.54</v>
      </c>
      <c r="M58" s="15">
        <f>'[4]2025'!L58</f>
        <v>62.61</v>
      </c>
      <c r="N58" s="16">
        <f t="shared" si="3"/>
        <v>3.725036277605339E-3</v>
      </c>
      <c r="O58" s="17">
        <f t="shared" si="0"/>
        <v>0.20514743578252995</v>
      </c>
      <c r="P58" s="17">
        <f t="shared" si="0"/>
        <v>5.2473763118440778E-2</v>
      </c>
      <c r="Q58" s="18">
        <f t="shared" si="1"/>
        <v>124.38311255827722</v>
      </c>
      <c r="R58" s="18">
        <f t="shared" si="2"/>
        <v>110.91388412300383</v>
      </c>
      <c r="S58" s="37">
        <f>(S57-SUM(F52:F58))/SUM(F52:F58)</f>
        <v>-6.662024141132776E-2</v>
      </c>
      <c r="T58" s="47">
        <f>SUM(M52:M58)/SUM(I52:I58)</f>
        <v>3.4072015116488482E-3</v>
      </c>
      <c r="U58" s="1739"/>
    </row>
    <row r="59" spans="1:21" ht="17" customHeight="1" thickTop="1">
      <c r="A59" s="10" t="s">
        <v>9</v>
      </c>
      <c r="B59" s="19">
        <f>CHAMNORD!B59</f>
        <v>46076</v>
      </c>
      <c r="C59" s="75">
        <f>IF(H59=0,"",'[4]2025-2026'!C58)</f>
        <v>14053.07</v>
      </c>
      <c r="D59" s="68">
        <f>'[4]2025'!C59</f>
        <v>8529.06</v>
      </c>
      <c r="E59" s="68">
        <f>'[4]2025'!D59</f>
        <v>8467.4599999999991</v>
      </c>
      <c r="F59" s="12">
        <f>'[4]2025'!E59</f>
        <v>472</v>
      </c>
      <c r="G59" s="73">
        <f>'[4]2025'!F59</f>
        <v>8500</v>
      </c>
      <c r="H59" s="42">
        <f>'[4]2025'!G59</f>
        <v>6806.8</v>
      </c>
      <c r="I59" s="13">
        <f>'[4]2025'!H59</f>
        <v>6734.21</v>
      </c>
      <c r="J59" s="14">
        <f>'[4]2025'!I59</f>
        <v>376</v>
      </c>
      <c r="K59" s="15">
        <f>'[4]2025'!J59</f>
        <v>92.850000000000009</v>
      </c>
      <c r="L59" s="15">
        <f>'[4]2025'!K59</f>
        <v>109.43</v>
      </c>
      <c r="M59" s="15">
        <f>'[4]2025'!L59</f>
        <v>32.700000000000003</v>
      </c>
      <c r="N59" s="16">
        <f t="shared" si="3"/>
        <v>4.8558034275735388E-3</v>
      </c>
      <c r="O59" s="17">
        <f t="shared" si="0"/>
        <v>-0.20469538681021218</v>
      </c>
      <c r="P59" s="17">
        <f t="shared" si="0"/>
        <v>-0.20338983050847459</v>
      </c>
      <c r="Q59" s="18">
        <f t="shared" si="1"/>
        <v>72.527840603123309</v>
      </c>
      <c r="R59" s="18">
        <f t="shared" si="2"/>
        <v>61.538974687014523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19">
        <f>CHAMNORD!B60</f>
        <v>46077</v>
      </c>
      <c r="C60" s="75">
        <f>IF(H60=0,"",'[4]2025-2026'!C59)</f>
        <v>8529.06</v>
      </c>
      <c r="D60" s="68">
        <f>'[4]2025'!C60</f>
        <v>8963.67</v>
      </c>
      <c r="E60" s="68">
        <f>'[4]2025'!D60</f>
        <v>8871.5300000000007</v>
      </c>
      <c r="F60" s="12">
        <f>'[4]2025'!E60</f>
        <v>461</v>
      </c>
      <c r="G60" s="73">
        <f>'[4]2025'!F60</f>
        <v>8900</v>
      </c>
      <c r="H60" s="42">
        <f>'[4]2025'!G60</f>
        <v>8084.42</v>
      </c>
      <c r="I60" s="13">
        <f>'[4]2025'!H60</f>
        <v>8005.56</v>
      </c>
      <c r="J60" s="14">
        <f>'[4]2025'!I60</f>
        <v>408</v>
      </c>
      <c r="K60" s="15">
        <f>'[4]2025'!J60</f>
        <v>104.15</v>
      </c>
      <c r="L60" s="15">
        <f>'[4]2025'!K60</f>
        <v>112.82</v>
      </c>
      <c r="M60" s="15">
        <f>'[4]2025'!L60</f>
        <v>22.49</v>
      </c>
      <c r="N60" s="16">
        <f t="shared" si="3"/>
        <v>2.8092975382109429E-3</v>
      </c>
      <c r="O60" s="17">
        <f t="shared" si="0"/>
        <v>-9.7612249521784877E-2</v>
      </c>
      <c r="P60" s="17">
        <f t="shared" si="0"/>
        <v>-0.11496746203904555</v>
      </c>
      <c r="Q60" s="18">
        <f t="shared" si="1"/>
        <v>76.86567450792127</v>
      </c>
      <c r="R60" s="18">
        <f t="shared" si="2"/>
        <v>70.958695266796681</v>
      </c>
      <c r="S60" s="34">
        <f>SUM(I59:I65)</f>
        <v>82631.450000000012</v>
      </c>
      <c r="T60" s="45" t="s">
        <v>41</v>
      </c>
      <c r="U60" s="1738"/>
    </row>
    <row r="61" spans="1:21">
      <c r="A61" s="10" t="s">
        <v>12</v>
      </c>
      <c r="B61" s="19">
        <f>CHAMNORD!B61</f>
        <v>46078</v>
      </c>
      <c r="C61" s="75">
        <f>IF(H61=0,"",'[4]2025-2026'!C60)</f>
        <v>8963.67</v>
      </c>
      <c r="D61" s="68">
        <f>'[4]2025'!C61</f>
        <v>10611</v>
      </c>
      <c r="E61" s="68">
        <f>'[4]2025'!D61</f>
        <v>10511.15</v>
      </c>
      <c r="F61" s="12">
        <f>'[4]2025'!E61</f>
        <v>567</v>
      </c>
      <c r="G61" s="73">
        <f>'[4]2025'!F61</f>
        <v>10500</v>
      </c>
      <c r="H61" s="42">
        <f>'[4]2025'!G61</f>
        <v>10513.94</v>
      </c>
      <c r="I61" s="13">
        <f>'[4]2025'!H61</f>
        <v>10398.299999999999</v>
      </c>
      <c r="J61" s="14">
        <f>'[4]2025'!I61</f>
        <v>501</v>
      </c>
      <c r="K61" s="15">
        <f>'[4]2025'!J61</f>
        <v>111.03</v>
      </c>
      <c r="L61" s="15">
        <f>'[4]2025'!K61</f>
        <v>119.8</v>
      </c>
      <c r="M61" s="15">
        <f>'[4]2025'!L61</f>
        <v>41.3</v>
      </c>
      <c r="N61" s="16">
        <f t="shared" si="3"/>
        <v>3.9718030831962913E-3</v>
      </c>
      <c r="O61" s="17">
        <f t="shared" si="0"/>
        <v>-1.0736218206380878E-2</v>
      </c>
      <c r="P61" s="17">
        <f t="shared" si="0"/>
        <v>-0.1164021164021164</v>
      </c>
      <c r="Q61" s="18">
        <f t="shared" si="1"/>
        <v>93.653066738719261</v>
      </c>
      <c r="R61" s="18">
        <f t="shared" si="2"/>
        <v>86.797161936560926</v>
      </c>
      <c r="S61" s="35">
        <f>(S60-SUM(E59:E65))/SUM(E59:E65)</f>
        <v>-5.1939995268387953E-2</v>
      </c>
      <c r="T61" s="48">
        <f>SUM(I59:I65)/SUM(K59:K65)</f>
        <v>94.801062377384909</v>
      </c>
      <c r="U61" s="1738"/>
    </row>
    <row r="62" spans="1:21">
      <c r="A62" s="10" t="s">
        <v>13</v>
      </c>
      <c r="B62" s="19">
        <f>CHAMNORD!B62</f>
        <v>46079</v>
      </c>
      <c r="C62" s="75">
        <f>IF(H62=0,"",'[4]2025-2026'!C61)</f>
        <v>10611</v>
      </c>
      <c r="D62" s="68">
        <f>'[4]2025'!C62</f>
        <v>10861.35</v>
      </c>
      <c r="E62" s="68">
        <f>'[4]2025'!D62</f>
        <v>10750.19</v>
      </c>
      <c r="F62" s="12">
        <f>'[4]2025'!E62</f>
        <v>557</v>
      </c>
      <c r="G62" s="73">
        <f>'[4]2025'!F62</f>
        <v>10700</v>
      </c>
      <c r="H62" s="42">
        <f>'[4]2025'!G62</f>
        <v>9015.25</v>
      </c>
      <c r="I62" s="13">
        <f>'[4]2025'!H62</f>
        <v>8960.7900000000009</v>
      </c>
      <c r="J62" s="14">
        <f>'[4]2025'!I62</f>
        <v>457</v>
      </c>
      <c r="K62" s="15">
        <f>'[4]2025'!J62</f>
        <v>92</v>
      </c>
      <c r="L62" s="15">
        <f>'[4]2025'!K62</f>
        <v>116.55</v>
      </c>
      <c r="M62" s="15">
        <f>'[4]2025'!L62</f>
        <v>31.53</v>
      </c>
      <c r="N62" s="16">
        <f t="shared" si="3"/>
        <v>3.518662975027871E-3</v>
      </c>
      <c r="O62" s="17">
        <f t="shared" si="0"/>
        <v>-0.16645287199575073</v>
      </c>
      <c r="P62" s="17">
        <f t="shared" si="0"/>
        <v>-0.17953321364452424</v>
      </c>
      <c r="Q62" s="18">
        <f t="shared" si="1"/>
        <v>97.399891304347832</v>
      </c>
      <c r="R62" s="18">
        <f t="shared" si="2"/>
        <v>76.8836550836551</v>
      </c>
      <c r="S62" s="34"/>
      <c r="T62" s="29" t="s">
        <v>8</v>
      </c>
      <c r="U62" s="1738"/>
    </row>
    <row r="63" spans="1:21">
      <c r="A63" s="10" t="s">
        <v>14</v>
      </c>
      <c r="B63" s="19">
        <f>CHAMNORD!B63</f>
        <v>46080</v>
      </c>
      <c r="C63" s="75">
        <f>IF(H63=0,"",'[4]2025-2026'!C62)</f>
        <v>10861.35</v>
      </c>
      <c r="D63" s="68">
        <f>'[4]2025'!C63</f>
        <v>15461.04</v>
      </c>
      <c r="E63" s="68">
        <f>'[4]2025'!D63</f>
        <v>15320.6</v>
      </c>
      <c r="F63" s="12">
        <f>'[4]2025'!E63</f>
        <v>792</v>
      </c>
      <c r="G63" s="73">
        <f>'[4]2025'!F63</f>
        <v>15300</v>
      </c>
      <c r="H63" s="42">
        <f>'[4]2025'!G63</f>
        <v>13913.06</v>
      </c>
      <c r="I63" s="13">
        <f>'[4]2025'!H63</f>
        <v>13765.83</v>
      </c>
      <c r="J63" s="14">
        <f>'[4]2025'!I63</f>
        <v>673</v>
      </c>
      <c r="K63" s="15">
        <f>'[4]2025'!J63</f>
        <v>142.54</v>
      </c>
      <c r="L63" s="15">
        <f>'[4]2025'!K63</f>
        <v>169.59</v>
      </c>
      <c r="M63" s="15">
        <f>'[4]2025'!L63</f>
        <v>62.84</v>
      </c>
      <c r="N63" s="16">
        <f t="shared" si="3"/>
        <v>4.5649263429811352E-3</v>
      </c>
      <c r="O63" s="17">
        <f t="shared" si="0"/>
        <v>-0.10148231792488548</v>
      </c>
      <c r="P63" s="17">
        <f t="shared" si="0"/>
        <v>-0.15025252525252525</v>
      </c>
      <c r="Q63" s="18">
        <f t="shared" si="1"/>
        <v>96.575206959449986</v>
      </c>
      <c r="R63" s="18">
        <f t="shared" si="2"/>
        <v>81.17123651158677</v>
      </c>
      <c r="S63" s="36" t="s">
        <v>40</v>
      </c>
      <c r="T63" s="48">
        <f>SUM(I59:I65)/SUM(L59:L65)</f>
        <v>83.441668602126654</v>
      </c>
      <c r="U63" s="1738"/>
    </row>
    <row r="64" spans="1:21">
      <c r="A64" s="10" t="s">
        <v>15</v>
      </c>
      <c r="B64" s="19">
        <f>CHAMNORD!B64</f>
        <v>46081</v>
      </c>
      <c r="C64" s="75">
        <f>IF(H64=0,"",'[4]2025-2026'!C63)</f>
        <v>15461.04</v>
      </c>
      <c r="D64" s="68">
        <f>'[4]2025'!C64</f>
        <v>18076.560000000001</v>
      </c>
      <c r="E64" s="68">
        <f>'[4]2025'!D64</f>
        <v>17909.349999999999</v>
      </c>
      <c r="F64" s="12">
        <f>'[4]2025'!E64</f>
        <v>795</v>
      </c>
      <c r="G64" s="73">
        <f>'[4]2025'!F64</f>
        <v>18100</v>
      </c>
      <c r="H64" s="42">
        <f>'[4]2025'!G64</f>
        <v>17769.41</v>
      </c>
      <c r="I64" s="13">
        <f>'[4]2025'!H64</f>
        <v>17567.27</v>
      </c>
      <c r="J64" s="14">
        <f>'[4]2025'!I64</f>
        <v>775</v>
      </c>
      <c r="K64" s="15">
        <f>'[4]2025'!J64</f>
        <v>184.35999999999999</v>
      </c>
      <c r="L64" s="15">
        <f>'[4]2025'!K64</f>
        <v>209.2</v>
      </c>
      <c r="M64" s="15">
        <f>'[4]2025'!L64</f>
        <v>39.75</v>
      </c>
      <c r="N64" s="16">
        <f t="shared" si="3"/>
        <v>2.2627306348681382E-3</v>
      </c>
      <c r="O64" s="17">
        <f t="shared" si="0"/>
        <v>-1.9100637376565768E-2</v>
      </c>
      <c r="P64" s="17">
        <f t="shared" si="0"/>
        <v>-2.5157232704402517E-2</v>
      </c>
      <c r="Q64" s="18">
        <f t="shared" si="1"/>
        <v>95.287860707311793</v>
      </c>
      <c r="R64" s="18">
        <f t="shared" si="2"/>
        <v>83.973565965583177</v>
      </c>
      <c r="S64" s="36">
        <f>SUM(J59:J65)</f>
        <v>3951</v>
      </c>
      <c r="T64" s="30" t="s">
        <v>3</v>
      </c>
      <c r="U64" s="1738"/>
    </row>
    <row r="65" spans="1:21" ht="18" thickBot="1">
      <c r="A65" s="10" t="s">
        <v>16</v>
      </c>
      <c r="B65" s="19">
        <f>CHAMNORD!B65</f>
        <v>46082</v>
      </c>
      <c r="C65" s="75">
        <f>IF(H65=0,"",'[4]2025-2026'!C64)</f>
        <v>18076.560000000001</v>
      </c>
      <c r="D65" s="68">
        <f>'[4]2025'!C65</f>
        <v>15432.28</v>
      </c>
      <c r="E65" s="68">
        <f>'[4]2025'!D65</f>
        <v>15328.18</v>
      </c>
      <c r="F65" s="12">
        <f>'[4]2025'!E65</f>
        <v>696</v>
      </c>
      <c r="G65" s="73">
        <f>'[4]2025'!F65</f>
        <v>15600</v>
      </c>
      <c r="H65" s="42">
        <f>'[4]2025'!G65</f>
        <v>17345.88</v>
      </c>
      <c r="I65" s="13">
        <f>'[4]2025'!H65</f>
        <v>17199.490000000002</v>
      </c>
      <c r="J65" s="14">
        <f>'[4]2025'!I65</f>
        <v>761</v>
      </c>
      <c r="K65" s="15">
        <f>'[4]2025'!J65</f>
        <v>144.70000000000002</v>
      </c>
      <c r="L65" s="15">
        <f>'[4]2025'!K65</f>
        <v>152.9</v>
      </c>
      <c r="M65" s="15">
        <f>'[4]2025'!L65</f>
        <v>40.67</v>
      </c>
      <c r="N65" s="16">
        <f t="shared" si="3"/>
        <v>2.3646049970086321E-3</v>
      </c>
      <c r="O65" s="17">
        <f t="shared" si="0"/>
        <v>0.12208298702129028</v>
      </c>
      <c r="P65" s="17">
        <f t="shared" si="0"/>
        <v>9.3390804597701146E-2</v>
      </c>
      <c r="Q65" s="18">
        <f t="shared" si="1"/>
        <v>118.86309606081548</v>
      </c>
      <c r="R65" s="18">
        <f t="shared" si="2"/>
        <v>112.4884892086331</v>
      </c>
      <c r="S65" s="37">
        <f>(S64-SUM(F59:F65))/SUM(F59:F65)</f>
        <v>-8.9631336405529949E-2</v>
      </c>
      <c r="T65" s="47">
        <f>SUM(M59:M65)/SUM(I59:I65)</f>
        <v>3.2830114925975515E-3</v>
      </c>
      <c r="U65" s="1739"/>
    </row>
    <row r="66" spans="1:21" ht="17" customHeight="1" thickTop="1">
      <c r="A66" s="10" t="s">
        <v>9</v>
      </c>
      <c r="B66" s="19">
        <f>CHAMNORD!B66</f>
        <v>46083</v>
      </c>
      <c r="C66" s="75">
        <f>IF(H66=0,"",'[4]2025-2026'!C65)</f>
        <v>15432.28</v>
      </c>
      <c r="D66" s="68">
        <f>'[4]2025'!C66</f>
        <v>8928.11</v>
      </c>
      <c r="E66" s="68">
        <f>'[4]2025'!D66</f>
        <v>8856.3799999999992</v>
      </c>
      <c r="F66" s="12">
        <f>'[4]2025'!E66</f>
        <v>457</v>
      </c>
      <c r="G66" s="73">
        <f>'[4]2025'!F66</f>
        <v>9000</v>
      </c>
      <c r="H66" s="42">
        <f>'[4]2025'!G66</f>
        <v>6953.95</v>
      </c>
      <c r="I66" s="13">
        <f>'[4]2025'!H66</f>
        <v>6889.46</v>
      </c>
      <c r="J66" s="14">
        <f>'[4]2025'!I66</f>
        <v>380</v>
      </c>
      <c r="K66" s="15">
        <f>'[4]2025'!J66</f>
        <v>94.72</v>
      </c>
      <c r="L66" s="15">
        <f>'[4]2025'!K66</f>
        <v>108.15</v>
      </c>
      <c r="M66" s="15">
        <f>'[4]2025'!L66</f>
        <v>7.62</v>
      </c>
      <c r="N66" s="16">
        <f t="shared" si="3"/>
        <v>1.1060373381948658E-3</v>
      </c>
      <c r="O66" s="17">
        <f t="shared" si="0"/>
        <v>-0.22209074136385287</v>
      </c>
      <c r="P66" s="17">
        <f t="shared" si="0"/>
        <v>-0.16849015317286653</v>
      </c>
      <c r="Q66" s="18">
        <f t="shared" si="1"/>
        <v>72.735008445945951</v>
      </c>
      <c r="R66" s="18">
        <f t="shared" si="2"/>
        <v>63.702820157189088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19">
        <f>CHAMNORD!B67</f>
        <v>46084</v>
      </c>
      <c r="C67" s="75">
        <f>IF(H67=0,"",'[4]2025-2026'!C66)</f>
        <v>8928.11</v>
      </c>
      <c r="D67" s="68">
        <f>'[4]2025'!C67</f>
        <v>9141.99</v>
      </c>
      <c r="E67" s="68">
        <f>'[4]2025'!D67</f>
        <v>9077.7000000000007</v>
      </c>
      <c r="F67" s="12">
        <f>'[4]2025'!E67</f>
        <v>482</v>
      </c>
      <c r="G67" s="73">
        <f>'[4]2025'!F67</f>
        <v>9200</v>
      </c>
      <c r="H67" s="42">
        <f>'[4]2025'!G67</f>
        <v>9402.09</v>
      </c>
      <c r="I67" s="13">
        <f>'[4]2025'!H67</f>
        <v>9311.39</v>
      </c>
      <c r="J67" s="14">
        <f>'[4]2025'!I67</f>
        <v>456</v>
      </c>
      <c r="K67" s="15">
        <f>'[4]2025'!J67</f>
        <v>107.31</v>
      </c>
      <c r="L67" s="15">
        <f>'[4]2025'!K67</f>
        <v>115.58</v>
      </c>
      <c r="M67" s="15">
        <f>'[4]2025'!L67</f>
        <v>13.74</v>
      </c>
      <c r="N67" s="16">
        <f t="shared" si="3"/>
        <v>1.4756121266534857E-3</v>
      </c>
      <c r="O67" s="17">
        <f t="shared" si="0"/>
        <v>2.5743305022197106E-2</v>
      </c>
      <c r="P67" s="17">
        <f t="shared" si="0"/>
        <v>-5.3941908713692949E-2</v>
      </c>
      <c r="Q67" s="18">
        <f t="shared" si="1"/>
        <v>86.77094399403596</v>
      </c>
      <c r="R67" s="18">
        <f t="shared" si="2"/>
        <v>80.562294514621897</v>
      </c>
      <c r="S67" s="34">
        <f>SUM(I66:I72)</f>
        <v>81535.33</v>
      </c>
      <c r="T67" s="45" t="s">
        <v>41</v>
      </c>
      <c r="U67" s="1738"/>
    </row>
    <row r="68" spans="1:21">
      <c r="A68" s="10" t="s">
        <v>12</v>
      </c>
      <c r="B68" s="19">
        <f>CHAMNORD!B68</f>
        <v>46085</v>
      </c>
      <c r="C68" s="75">
        <f>IF(H68=0,"",'[4]2025-2026'!C67)</f>
        <v>9141.99</v>
      </c>
      <c r="D68" s="68">
        <f>'[4]2025'!C68</f>
        <v>11470.58</v>
      </c>
      <c r="E68" s="68">
        <f>'[4]2025'!D68</f>
        <v>11365.61</v>
      </c>
      <c r="F68" s="12">
        <f>'[4]2025'!E68</f>
        <v>584</v>
      </c>
      <c r="G68" s="73">
        <f>'[4]2025'!F68</f>
        <v>11600</v>
      </c>
      <c r="H68" s="42">
        <f>'[4]2025'!G68</f>
        <v>10274.549999999999</v>
      </c>
      <c r="I68" s="13">
        <f>'[4]2025'!H68</f>
        <v>10169.450000000001</v>
      </c>
      <c r="J68" s="14">
        <f>'[4]2025'!I68</f>
        <v>498</v>
      </c>
      <c r="K68" s="15">
        <f>'[4]2025'!J68</f>
        <v>106.92</v>
      </c>
      <c r="L68" s="15">
        <f>'[4]2025'!K68</f>
        <v>115.12</v>
      </c>
      <c r="M68" s="15">
        <f>'[4]2025'!L68</f>
        <v>36.28</v>
      </c>
      <c r="N68" s="16">
        <f t="shared" ref="N68:N131" si="4">IF(M68=0,"",M68/I68)</f>
        <v>3.5675479008205947E-3</v>
      </c>
      <c r="O68" s="17">
        <f t="shared" ref="O68:P131" si="5">IF(I68=0,"",(I68-E68)/E68)</f>
        <v>-0.10524380125659774</v>
      </c>
      <c r="P68" s="17">
        <f t="shared" si="5"/>
        <v>-0.14726027397260275</v>
      </c>
      <c r="Q68" s="18">
        <f t="shared" ref="Q68:Q131" si="6">IF(I68=0,"",I68/K68)</f>
        <v>95.112701084923316</v>
      </c>
      <c r="R68" s="18">
        <f t="shared" ref="R68:R131" si="7">I68/L68</f>
        <v>88.337821403752613</v>
      </c>
      <c r="S68" s="35">
        <f>(S67-SUM(E66:E72))/SUM(E66:E72)</f>
        <v>-6.820716515905445E-2</v>
      </c>
      <c r="T68" s="48">
        <f>SUM(I66:I72)/SUM(K66:K72)</f>
        <v>94.378333642003881</v>
      </c>
      <c r="U68" s="1738"/>
    </row>
    <row r="69" spans="1:21">
      <c r="A69" s="10" t="s">
        <v>13</v>
      </c>
      <c r="B69" s="19">
        <f>CHAMNORD!B69</f>
        <v>46086</v>
      </c>
      <c r="C69" s="75">
        <f>IF(H69=0,"",'[4]2025-2026'!C68)</f>
        <v>11470.58</v>
      </c>
      <c r="D69" s="68">
        <f>'[4]2025'!C69</f>
        <v>10758.29</v>
      </c>
      <c r="E69" s="68">
        <f>'[4]2025'!D69</f>
        <v>10666</v>
      </c>
      <c r="F69" s="12">
        <f>'[4]2025'!E69</f>
        <v>574</v>
      </c>
      <c r="G69" s="73">
        <f>'[4]2025'!F69</f>
        <v>10900</v>
      </c>
      <c r="H69" s="42">
        <f>'[4]2025'!G69</f>
        <v>9019.4</v>
      </c>
      <c r="I69" s="13">
        <f>'[4]2025'!H69</f>
        <v>8920</v>
      </c>
      <c r="J69" s="14">
        <f>'[4]2025'!I69</f>
        <v>465</v>
      </c>
      <c r="K69" s="15">
        <f>'[4]2025'!J69</f>
        <v>102.38000000000001</v>
      </c>
      <c r="L69" s="15">
        <f>'[4]2025'!K69</f>
        <v>110.48</v>
      </c>
      <c r="M69" s="15">
        <f>'[4]2025'!L69</f>
        <v>19.7</v>
      </c>
      <c r="N69" s="16">
        <f t="shared" si="4"/>
        <v>2.2085201793721971E-3</v>
      </c>
      <c r="O69" s="17">
        <f t="shared" si="5"/>
        <v>-0.16369773110819427</v>
      </c>
      <c r="P69" s="17">
        <f t="shared" si="5"/>
        <v>-0.18989547038327526</v>
      </c>
      <c r="Q69" s="18">
        <f t="shared" si="6"/>
        <v>87.126391873412771</v>
      </c>
      <c r="R69" s="18">
        <f t="shared" si="7"/>
        <v>80.73859522085445</v>
      </c>
      <c r="S69" s="34"/>
      <c r="T69" s="29" t="s">
        <v>8</v>
      </c>
      <c r="U69" s="1738"/>
    </row>
    <row r="70" spans="1:21">
      <c r="A70" s="10" t="s">
        <v>14</v>
      </c>
      <c r="B70" s="19">
        <f>CHAMNORD!B70</f>
        <v>46087</v>
      </c>
      <c r="C70" s="75">
        <f>IF(H70=0,"",'[4]2025-2026'!C69)</f>
        <v>10758.29</v>
      </c>
      <c r="D70" s="68">
        <f>'[4]2025'!C70</f>
        <v>14330.06</v>
      </c>
      <c r="E70" s="68">
        <f>'[4]2025'!D70</f>
        <v>14204.33</v>
      </c>
      <c r="F70" s="12">
        <f>'[4]2025'!E70</f>
        <v>735</v>
      </c>
      <c r="G70" s="73">
        <f>'[4]2025'!F70</f>
        <v>14500</v>
      </c>
      <c r="H70" s="42">
        <f>'[4]2025'!G70</f>
        <v>14256.31</v>
      </c>
      <c r="I70" s="13">
        <f>'[4]2025'!H70</f>
        <v>14137.32</v>
      </c>
      <c r="J70" s="14">
        <f>'[4]2025'!I70</f>
        <v>683</v>
      </c>
      <c r="K70" s="15">
        <f>'[4]2025'!J70</f>
        <v>139.86000000000001</v>
      </c>
      <c r="L70" s="15">
        <f>'[4]2025'!K70</f>
        <v>156.46</v>
      </c>
      <c r="M70" s="15">
        <f>'[4]2025'!L70</f>
        <v>14.27</v>
      </c>
      <c r="N70" s="16">
        <f t="shared" si="4"/>
        <v>1.0093850885457781E-3</v>
      </c>
      <c r="O70" s="17">
        <f t="shared" si="5"/>
        <v>-4.717575556186052E-3</v>
      </c>
      <c r="P70" s="17">
        <f t="shared" si="5"/>
        <v>-7.0748299319727898E-2</v>
      </c>
      <c r="Q70" s="18">
        <f t="shared" si="6"/>
        <v>101.08193908193907</v>
      </c>
      <c r="R70" s="18">
        <f t="shared" si="7"/>
        <v>90.357407644126283</v>
      </c>
      <c r="S70" s="36" t="s">
        <v>40</v>
      </c>
      <c r="T70" s="48">
        <f>SUM(I66:I72)/SUM(L66:L72)</f>
        <v>85.605890072969714</v>
      </c>
      <c r="U70" s="1738"/>
    </row>
    <row r="71" spans="1:21">
      <c r="A71" s="10" t="s">
        <v>15</v>
      </c>
      <c r="B71" s="19">
        <f>CHAMNORD!B71</f>
        <v>46088</v>
      </c>
      <c r="C71" s="75">
        <f>IF(H71=0,"",'[4]2025-2026'!C70)</f>
        <v>14330.06</v>
      </c>
      <c r="D71" s="68">
        <f>'[4]2025'!C71</f>
        <v>16908.990000000002</v>
      </c>
      <c r="E71" s="68">
        <f>'[4]2025'!D71</f>
        <v>16773.78</v>
      </c>
      <c r="F71" s="12">
        <f>'[4]2025'!E71</f>
        <v>831</v>
      </c>
      <c r="G71" s="73">
        <f>'[4]2025'!F71</f>
        <v>16900</v>
      </c>
      <c r="H71" s="42">
        <f>'[4]2025'!G71</f>
        <v>15754.31</v>
      </c>
      <c r="I71" s="13">
        <f>'[4]2025'!H71</f>
        <v>15616.6</v>
      </c>
      <c r="J71" s="14">
        <f>'[4]2025'!I71</f>
        <v>723</v>
      </c>
      <c r="K71" s="15">
        <f>'[4]2025'!J71</f>
        <v>172.59000000000003</v>
      </c>
      <c r="L71" s="15">
        <f>'[4]2025'!K71</f>
        <v>189.11</v>
      </c>
      <c r="M71" s="15">
        <f>'[4]2025'!L71</f>
        <v>29.36</v>
      </c>
      <c r="N71" s="16">
        <f t="shared" si="4"/>
        <v>1.8800507152645261E-3</v>
      </c>
      <c r="O71" s="17">
        <f t="shared" si="5"/>
        <v>-6.8987431574755273E-2</v>
      </c>
      <c r="P71" s="17">
        <f t="shared" si="5"/>
        <v>-0.1299638989169675</v>
      </c>
      <c r="Q71" s="18">
        <f t="shared" si="6"/>
        <v>90.483805550727141</v>
      </c>
      <c r="R71" s="18">
        <f t="shared" si="7"/>
        <v>82.579451113108775</v>
      </c>
      <c r="S71" s="36">
        <f>SUM(J66:J72)</f>
        <v>3935</v>
      </c>
      <c r="T71" s="30" t="s">
        <v>3</v>
      </c>
      <c r="U71" s="1738"/>
    </row>
    <row r="72" spans="1:21" ht="18" thickBot="1">
      <c r="A72" s="10" t="s">
        <v>16</v>
      </c>
      <c r="B72" s="19">
        <f>CHAMNORD!B72</f>
        <v>46089</v>
      </c>
      <c r="C72" s="75">
        <f>IF(H72=0,"",'[4]2025-2026'!C71)</f>
        <v>16908.990000000002</v>
      </c>
      <c r="D72" s="68">
        <f>'[4]2025'!C72</f>
        <v>16673.650000000001</v>
      </c>
      <c r="E72" s="68">
        <f>'[4]2025'!D72</f>
        <v>16559.91</v>
      </c>
      <c r="F72" s="12">
        <f>'[4]2025'!E72</f>
        <v>735</v>
      </c>
      <c r="G72" s="73">
        <f>'[4]2025'!F72</f>
        <v>16900</v>
      </c>
      <c r="H72" s="42">
        <f>'[4]2025'!G72</f>
        <v>16622.060000000001</v>
      </c>
      <c r="I72" s="13">
        <f>'[4]2025'!H72</f>
        <v>16491.11</v>
      </c>
      <c r="J72" s="14">
        <f>'[4]2025'!I72</f>
        <v>730</v>
      </c>
      <c r="K72" s="15">
        <f>'[4]2025'!J72</f>
        <v>140.14000000000001</v>
      </c>
      <c r="L72" s="15">
        <f>'[4]2025'!K72</f>
        <v>157.55000000000001</v>
      </c>
      <c r="M72" s="15">
        <f>'[4]2025'!L72</f>
        <v>47.66</v>
      </c>
      <c r="N72" s="16">
        <f t="shared" si="4"/>
        <v>2.8900419680664307E-3</v>
      </c>
      <c r="O72" s="17">
        <f t="shared" si="5"/>
        <v>-4.1546119513934119E-3</v>
      </c>
      <c r="P72" s="17">
        <f t="shared" si="5"/>
        <v>-6.8027210884353739E-3</v>
      </c>
      <c r="Q72" s="18">
        <f t="shared" si="6"/>
        <v>117.6759668902526</v>
      </c>
      <c r="R72" s="18">
        <f t="shared" si="7"/>
        <v>104.67223103776578</v>
      </c>
      <c r="S72" s="37">
        <f>(S71-SUM(F66:F72))/SUM(F66:F72)</f>
        <v>-0.10527512505684403</v>
      </c>
      <c r="T72" s="47">
        <f>SUM(M66:M72)/SUM(I66:I72)</f>
        <v>2.0681832035266182E-3</v>
      </c>
      <c r="U72" s="1739"/>
    </row>
    <row r="73" spans="1:21" ht="17" customHeight="1" thickTop="1">
      <c r="A73" s="10" t="s">
        <v>9</v>
      </c>
      <c r="B73" s="19">
        <f>CHAMNORD!B73</f>
        <v>46090</v>
      </c>
      <c r="C73" s="75">
        <f>IF(H73=0,"",'[4]2025-2026'!C72)</f>
        <v>16673.650000000001</v>
      </c>
      <c r="D73" s="68">
        <f>'[4]2025'!C73</f>
        <v>8147.45</v>
      </c>
      <c r="E73" s="68">
        <f>'[4]2025'!D73</f>
        <v>8101.26</v>
      </c>
      <c r="F73" s="12">
        <f>'[4]2025'!E73</f>
        <v>465</v>
      </c>
      <c r="G73" s="73">
        <f>'[4]2025'!F73</f>
        <v>8300</v>
      </c>
      <c r="H73" s="42">
        <f>'[4]2025'!G73</f>
        <v>7024.84</v>
      </c>
      <c r="I73" s="13">
        <f>'[4]2025'!H73</f>
        <v>6975.38</v>
      </c>
      <c r="J73" s="14">
        <f>'[4]2025'!I73</f>
        <v>385</v>
      </c>
      <c r="K73" s="15">
        <f>'[4]2025'!J73</f>
        <v>95.929999999999993</v>
      </c>
      <c r="L73" s="15">
        <f>'[4]2025'!K73</f>
        <v>104.1</v>
      </c>
      <c r="M73" s="15">
        <f>'[4]2025'!L73</f>
        <v>239.57</v>
      </c>
      <c r="N73" s="16">
        <f t="shared" si="4"/>
        <v>3.4345082275087521E-2</v>
      </c>
      <c r="O73" s="17">
        <f t="shared" si="5"/>
        <v>-0.13897591238893703</v>
      </c>
      <c r="P73" s="17">
        <f t="shared" si="5"/>
        <v>-0.17204301075268819</v>
      </c>
      <c r="Q73" s="18">
        <f t="shared" si="6"/>
        <v>72.713228395705215</v>
      </c>
      <c r="R73" s="18">
        <f t="shared" si="7"/>
        <v>67.006532180595585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19">
        <f>CHAMNORD!B74</f>
        <v>46091</v>
      </c>
      <c r="C74" s="75">
        <f>IF(H74=0,"",'[4]2025-2026'!C73)</f>
        <v>8147.45</v>
      </c>
      <c r="D74" s="68">
        <f>'[4]2025'!C74</f>
        <v>7260.62</v>
      </c>
      <c r="E74" s="68">
        <f>'[4]2025'!D74</f>
        <v>7194.26</v>
      </c>
      <c r="F74" s="12">
        <f>'[4]2025'!E74</f>
        <v>418</v>
      </c>
      <c r="G74" s="73">
        <f>'[4]2025'!F74</f>
        <v>7300</v>
      </c>
      <c r="H74" s="42">
        <f>'[4]2025'!G74</f>
        <v>8121.23</v>
      </c>
      <c r="I74" s="13">
        <f>'[4]2025'!H74</f>
        <v>8026.77</v>
      </c>
      <c r="J74" s="14">
        <f>'[4]2025'!I74</f>
        <v>377</v>
      </c>
      <c r="K74" s="15">
        <f>'[4]2025'!J74</f>
        <v>102.51999999999998</v>
      </c>
      <c r="L74" s="15">
        <f>'[4]2025'!K74</f>
        <v>118.57</v>
      </c>
      <c r="M74" s="15">
        <f>'[4]2025'!L74</f>
        <v>26.78</v>
      </c>
      <c r="N74" s="16">
        <f t="shared" si="4"/>
        <v>3.336335786374843E-3</v>
      </c>
      <c r="O74" s="17">
        <f t="shared" si="5"/>
        <v>0.11571864236210537</v>
      </c>
      <c r="P74" s="17">
        <f t="shared" si="5"/>
        <v>-9.8086124401913874E-2</v>
      </c>
      <c r="Q74" s="18">
        <f t="shared" si="6"/>
        <v>78.294674209910283</v>
      </c>
      <c r="R74" s="18">
        <f t="shared" si="7"/>
        <v>67.696466222484617</v>
      </c>
      <c r="S74" s="34">
        <f>SUM(I73:I79)</f>
        <v>79040.290000000008</v>
      </c>
      <c r="T74" s="45" t="s">
        <v>41</v>
      </c>
      <c r="U74" s="1738"/>
    </row>
    <row r="75" spans="1:21">
      <c r="A75" s="10" t="s">
        <v>12</v>
      </c>
      <c r="B75" s="19">
        <f>CHAMNORD!B75</f>
        <v>46092</v>
      </c>
      <c r="C75" s="75">
        <f>IF(H75=0,"",'[4]2025-2026'!C74)</f>
        <v>7260.62</v>
      </c>
      <c r="D75" s="68">
        <f>'[4]2025'!C75</f>
        <v>9597.98</v>
      </c>
      <c r="E75" s="68">
        <f>'[4]2025'!D75</f>
        <v>9522.89</v>
      </c>
      <c r="F75" s="12">
        <f>'[4]2025'!E75</f>
        <v>520</v>
      </c>
      <c r="G75" s="73">
        <f>'[4]2025'!F75</f>
        <v>9700</v>
      </c>
      <c r="H75" s="42">
        <f>'[4]2025'!G75</f>
        <v>9912.2000000000007</v>
      </c>
      <c r="I75" s="13">
        <f>'[4]2025'!H75</f>
        <v>9806.39</v>
      </c>
      <c r="J75" s="14">
        <f>'[4]2025'!I75</f>
        <v>488</v>
      </c>
      <c r="K75" s="15">
        <f>'[4]2025'!J75</f>
        <v>109.77</v>
      </c>
      <c r="L75" s="15">
        <f>'[4]2025'!K75</f>
        <v>126.07</v>
      </c>
      <c r="M75" s="15">
        <f>'[4]2025'!L75</f>
        <v>-196.01</v>
      </c>
      <c r="N75" s="16">
        <f t="shared" si="4"/>
        <v>-1.9987987424526253E-2</v>
      </c>
      <c r="O75" s="17">
        <f t="shared" si="5"/>
        <v>2.9770374329641528E-2</v>
      </c>
      <c r="P75" s="17">
        <f t="shared" si="5"/>
        <v>-6.1538461538461542E-2</v>
      </c>
      <c r="Q75" s="18">
        <f t="shared" si="6"/>
        <v>89.335793021772801</v>
      </c>
      <c r="R75" s="18">
        <f t="shared" si="7"/>
        <v>77.78527802014753</v>
      </c>
      <c r="S75" s="35">
        <f>(S74-SUM(E73:E79))/SUM(E73:E79)</f>
        <v>4.9905669562796552E-2</v>
      </c>
      <c r="T75" s="48">
        <f>SUM(I73:I79)/SUM(K73:K79)</f>
        <v>96.668815126461539</v>
      </c>
      <c r="U75" s="1738"/>
    </row>
    <row r="76" spans="1:21">
      <c r="A76" s="10" t="s">
        <v>13</v>
      </c>
      <c r="B76" s="19">
        <f>CHAMNORD!B76</f>
        <v>46093</v>
      </c>
      <c r="C76" s="75">
        <f>IF(H76=0,"",'[4]2025-2026'!C75)</f>
        <v>9597.98</v>
      </c>
      <c r="D76" s="68">
        <f>'[4]2025'!C76</f>
        <v>8356.7900000000009</v>
      </c>
      <c r="E76" s="68">
        <f>'[4]2025'!D76</f>
        <v>8297.5400000000009</v>
      </c>
      <c r="F76" s="12">
        <f>'[4]2025'!E76</f>
        <v>452</v>
      </c>
      <c r="G76" s="73">
        <f>'[4]2025'!F76</f>
        <v>8500</v>
      </c>
      <c r="H76" s="42">
        <f>'[4]2025'!G76</f>
        <v>8435.08</v>
      </c>
      <c r="I76" s="13">
        <f>'[4]2025'!H76</f>
        <v>8367.7000000000007</v>
      </c>
      <c r="J76" s="14">
        <f>'[4]2025'!I76</f>
        <v>429</v>
      </c>
      <c r="K76" s="15">
        <f>'[4]2025'!J76</f>
        <v>88.02</v>
      </c>
      <c r="L76" s="15">
        <f>'[4]2025'!K76</f>
        <v>104.43</v>
      </c>
      <c r="M76" s="15">
        <f>'[4]2025'!L76</f>
        <v>55.39</v>
      </c>
      <c r="N76" s="16">
        <f t="shared" si="4"/>
        <v>6.6195011771454518E-3</v>
      </c>
      <c r="O76" s="17">
        <f t="shared" si="5"/>
        <v>8.4555181415214443E-3</v>
      </c>
      <c r="P76" s="17">
        <f t="shared" si="5"/>
        <v>-5.0884955752212392E-2</v>
      </c>
      <c r="Q76" s="18">
        <f t="shared" si="6"/>
        <v>95.065894114973887</v>
      </c>
      <c r="R76" s="18">
        <f t="shared" si="7"/>
        <v>80.127358038877716</v>
      </c>
      <c r="S76" s="34"/>
      <c r="T76" s="29" t="s">
        <v>8</v>
      </c>
      <c r="U76" s="1738"/>
    </row>
    <row r="77" spans="1:21">
      <c r="A77" s="10" t="s">
        <v>14</v>
      </c>
      <c r="B77" s="19">
        <f>CHAMNORD!B77</f>
        <v>46094</v>
      </c>
      <c r="C77" s="75">
        <f>IF(H77=0,"",'[4]2025-2026'!C76)</f>
        <v>8356.7900000000009</v>
      </c>
      <c r="D77" s="68">
        <f>'[4]2025'!C77</f>
        <v>12597.82</v>
      </c>
      <c r="E77" s="68">
        <f>'[4]2025'!D77</f>
        <v>12513.91</v>
      </c>
      <c r="F77" s="12">
        <f>'[4]2025'!E77</f>
        <v>661</v>
      </c>
      <c r="G77" s="73">
        <f>'[4]2025'!F77</f>
        <v>12800</v>
      </c>
      <c r="H77" s="42">
        <f>'[4]2025'!G77</f>
        <v>15283.9</v>
      </c>
      <c r="I77" s="13">
        <f>'[4]2025'!H77</f>
        <v>15188.19</v>
      </c>
      <c r="J77" s="14">
        <f>'[4]2025'!I77</f>
        <v>694</v>
      </c>
      <c r="K77" s="15">
        <f>'[4]2025'!J77</f>
        <v>131.55000000000001</v>
      </c>
      <c r="L77" s="15">
        <f>'[4]2025'!K77</f>
        <v>148.18</v>
      </c>
      <c r="M77" s="15">
        <f>'[4]2025'!L77</f>
        <v>80.05</v>
      </c>
      <c r="N77" s="16">
        <f t="shared" si="4"/>
        <v>5.2705424411993787E-3</v>
      </c>
      <c r="O77" s="17">
        <f t="shared" si="5"/>
        <v>0.213704589532768</v>
      </c>
      <c r="P77" s="17">
        <f t="shared" si="5"/>
        <v>4.9924357034795766E-2</v>
      </c>
      <c r="Q77" s="18">
        <f t="shared" si="6"/>
        <v>115.45564424173318</v>
      </c>
      <c r="R77" s="18">
        <f t="shared" si="7"/>
        <v>102.49824537724389</v>
      </c>
      <c r="S77" s="36" t="s">
        <v>40</v>
      </c>
      <c r="T77" s="48">
        <f>SUM(I73:I79)/SUM(L73:L79)</f>
        <v>83.946991662683885</v>
      </c>
      <c r="U77" s="1738"/>
    </row>
    <row r="78" spans="1:21">
      <c r="A78" s="10" t="s">
        <v>15</v>
      </c>
      <c r="B78" s="19">
        <f>CHAMNORD!B78</f>
        <v>46095</v>
      </c>
      <c r="C78" s="75">
        <f>IF(H78=0,"",'[4]2025-2026'!C77)</f>
        <v>12597.82</v>
      </c>
      <c r="D78" s="68">
        <f>'[4]2025'!C78</f>
        <v>15596.46</v>
      </c>
      <c r="E78" s="68">
        <f>'[4]2025'!D78</f>
        <v>15464.47</v>
      </c>
      <c r="F78" s="12">
        <f>'[4]2025'!E78</f>
        <v>713</v>
      </c>
      <c r="G78" s="73">
        <f>'[4]2025'!F78</f>
        <v>16700</v>
      </c>
      <c r="H78" s="42">
        <f>'[4]2025'!G78</f>
        <v>14898.63</v>
      </c>
      <c r="I78" s="13">
        <f>'[4]2025'!H78</f>
        <v>14741.55</v>
      </c>
      <c r="J78" s="14">
        <f>'[4]2025'!I78</f>
        <v>723</v>
      </c>
      <c r="K78" s="15">
        <f>'[4]2025'!J78</f>
        <v>168.24</v>
      </c>
      <c r="L78" s="15">
        <f>'[4]2025'!K78</f>
        <v>194.18</v>
      </c>
      <c r="M78" s="15">
        <f>'[4]2025'!L78</f>
        <v>51.24</v>
      </c>
      <c r="N78" s="16">
        <f t="shared" si="4"/>
        <v>3.4758895774189284E-3</v>
      </c>
      <c r="O78" s="17">
        <f t="shared" si="5"/>
        <v>-4.6747156546587121E-2</v>
      </c>
      <c r="P78" s="17">
        <f t="shared" si="5"/>
        <v>1.4025245441795231E-2</v>
      </c>
      <c r="Q78" s="18">
        <f t="shared" si="6"/>
        <v>87.622146932952916</v>
      </c>
      <c r="R78" s="18">
        <f t="shared" si="7"/>
        <v>75.916932742815931</v>
      </c>
      <c r="S78" s="36">
        <f>SUM(J73:J79)</f>
        <v>3800</v>
      </c>
      <c r="T78" s="30" t="s">
        <v>3</v>
      </c>
      <c r="U78" s="1738"/>
    </row>
    <row r="79" spans="1:21" ht="18" thickBot="1">
      <c r="A79" s="10" t="s">
        <v>16</v>
      </c>
      <c r="B79" s="19">
        <f>CHAMNORD!B79</f>
        <v>46096</v>
      </c>
      <c r="C79" s="75">
        <f>IF(H79=0,"",'[4]2025-2026'!C78)</f>
        <v>15596.46</v>
      </c>
      <c r="D79" s="68">
        <f>'[4]2025'!C79</f>
        <v>14293.87</v>
      </c>
      <c r="E79" s="68">
        <f>'[4]2025'!D79</f>
        <v>14188.9</v>
      </c>
      <c r="F79" s="12">
        <f>'[4]2025'!E79</f>
        <v>681</v>
      </c>
      <c r="G79" s="73">
        <f>'[4]2025'!F79</f>
        <v>14500</v>
      </c>
      <c r="H79" s="42">
        <f>'[4]2025'!G79</f>
        <v>16093.56</v>
      </c>
      <c r="I79" s="13">
        <f>'[4]2025'!H79</f>
        <v>15934.31</v>
      </c>
      <c r="J79" s="14">
        <f>'[4]2025'!I79</f>
        <v>704</v>
      </c>
      <c r="K79" s="15">
        <f>'[4]2025'!J79</f>
        <v>121.61</v>
      </c>
      <c r="L79" s="15">
        <f>'[4]2025'!K79</f>
        <v>146.02000000000001</v>
      </c>
      <c r="M79" s="15">
        <f>'[4]2025'!L79</f>
        <v>41.84</v>
      </c>
      <c r="N79" s="16">
        <f t="shared" si="4"/>
        <v>2.6257804699419056E-3</v>
      </c>
      <c r="O79" s="17">
        <f t="shared" si="5"/>
        <v>0.12301235472799159</v>
      </c>
      <c r="P79" s="17">
        <f t="shared" si="5"/>
        <v>3.3773861967694566E-2</v>
      </c>
      <c r="Q79" s="18">
        <f t="shared" si="6"/>
        <v>131.02795822711948</v>
      </c>
      <c r="R79" s="18">
        <f t="shared" si="7"/>
        <v>109.12416107382549</v>
      </c>
      <c r="S79" s="37">
        <f>(S78-SUM(F73:F79))/SUM(F73:F79)</f>
        <v>-2.8132992327365727E-2</v>
      </c>
      <c r="T79" s="47">
        <f>SUM(M73:M79)/SUM(I73:I79)</f>
        <v>3.7811096087830647E-3</v>
      </c>
      <c r="U79" s="1739"/>
    </row>
    <row r="80" spans="1:21" ht="17" customHeight="1" thickTop="1">
      <c r="A80" s="10" t="s">
        <v>9</v>
      </c>
      <c r="B80" s="19">
        <f>CHAMNORD!B80</f>
        <v>46097</v>
      </c>
      <c r="C80" s="75">
        <f>IF(H80=0,"",'[4]2025-2026'!C79)</f>
        <v>14293.87</v>
      </c>
      <c r="D80" s="68">
        <f>'[4]2025'!C80</f>
        <v>6669.79</v>
      </c>
      <c r="E80" s="68">
        <f>'[4]2025'!D80</f>
        <v>6637.93</v>
      </c>
      <c r="F80" s="12">
        <f>'[4]2025'!E80</f>
        <v>377</v>
      </c>
      <c r="G80" s="73">
        <f>'[4]2025'!F80</f>
        <v>6800</v>
      </c>
      <c r="H80" s="42">
        <f>'[4]2025'!G80</f>
        <v>6750.09</v>
      </c>
      <c r="I80" s="13">
        <f>'[4]2025'!H80</f>
        <v>6700.07</v>
      </c>
      <c r="J80" s="14">
        <f>'[4]2025'!I80</f>
        <v>386</v>
      </c>
      <c r="K80" s="15">
        <f>'[4]2025'!J80</f>
        <v>79.919999999999987</v>
      </c>
      <c r="L80" s="15">
        <f>'[4]2025'!K80</f>
        <v>96.44</v>
      </c>
      <c r="M80" s="15">
        <f>'[4]2025'!L80</f>
        <v>41.99</v>
      </c>
      <c r="N80" s="16">
        <f t="shared" si="4"/>
        <v>6.2670987019538609E-3</v>
      </c>
      <c r="O80" s="17">
        <f t="shared" si="5"/>
        <v>9.3613521082625776E-3</v>
      </c>
      <c r="P80" s="17">
        <f t="shared" si="5"/>
        <v>2.3872679045092837E-2</v>
      </c>
      <c r="Q80" s="18">
        <f t="shared" si="6"/>
        <v>83.834709709709713</v>
      </c>
      <c r="R80" s="18">
        <f t="shared" si="7"/>
        <v>69.473973454997932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19">
        <f>CHAMNORD!B81</f>
        <v>46098</v>
      </c>
      <c r="C81" s="75">
        <f>IF(H81=0,"",'[4]2025-2026'!C80)</f>
        <v>6669.79</v>
      </c>
      <c r="D81" s="68">
        <f>'[4]2025'!C81</f>
        <v>8221.08</v>
      </c>
      <c r="E81" s="68">
        <f>'[4]2025'!D81</f>
        <v>8146.31</v>
      </c>
      <c r="F81" s="12">
        <f>'[4]2025'!E81</f>
        <v>466</v>
      </c>
      <c r="G81" s="73">
        <f>'[4]2025'!F81</f>
        <v>8300</v>
      </c>
      <c r="H81" s="42">
        <f>'[4]2025'!G81</f>
        <v>8075.43</v>
      </c>
      <c r="I81" s="13">
        <f>'[4]2025'!H81</f>
        <v>7979.87</v>
      </c>
      <c r="J81" s="14">
        <f>'[4]2025'!I81</f>
        <v>429</v>
      </c>
      <c r="K81" s="15">
        <f>'[4]2025'!J81</f>
        <v>94.74</v>
      </c>
      <c r="L81" s="15">
        <f>'[4]2025'!K81</f>
        <v>111.35</v>
      </c>
      <c r="M81" s="15">
        <f>'[4]2025'!L81</f>
        <v>45.33</v>
      </c>
      <c r="N81" s="16">
        <f t="shared" si="4"/>
        <v>5.6805436680046166E-3</v>
      </c>
      <c r="O81" s="17">
        <f t="shared" si="5"/>
        <v>-2.0431336396478959E-2</v>
      </c>
      <c r="P81" s="17">
        <f t="shared" si="5"/>
        <v>-7.9399141630901282E-2</v>
      </c>
      <c r="Q81" s="18">
        <f t="shared" si="6"/>
        <v>84.22915347266202</v>
      </c>
      <c r="R81" s="18">
        <f t="shared" si="7"/>
        <v>71.664750785810512</v>
      </c>
      <c r="S81" s="34">
        <f>SUM(I80:I86)</f>
        <v>76451.489999999991</v>
      </c>
      <c r="T81" s="45" t="s">
        <v>41</v>
      </c>
      <c r="U81" s="1738"/>
    </row>
    <row r="82" spans="1:21">
      <c r="A82" s="10" t="s">
        <v>12</v>
      </c>
      <c r="B82" s="19">
        <f>CHAMNORD!B82</f>
        <v>46099</v>
      </c>
      <c r="C82" s="75">
        <f>IF(H82=0,"",'[4]2025-2026'!C81)</f>
        <v>8221.08</v>
      </c>
      <c r="D82" s="68">
        <f>'[4]2025'!C82</f>
        <v>10278.83</v>
      </c>
      <c r="E82" s="68">
        <f>'[4]2025'!D82</f>
        <v>10204.61</v>
      </c>
      <c r="F82" s="12">
        <f>'[4]2025'!E82</f>
        <v>584</v>
      </c>
      <c r="G82" s="73">
        <f>'[4]2025'!F82</f>
        <v>10400</v>
      </c>
      <c r="H82" s="42">
        <f>'[4]2025'!G82</f>
        <v>9837.65</v>
      </c>
      <c r="I82" s="13">
        <f>'[4]2025'!H82</f>
        <v>9747.4599999999991</v>
      </c>
      <c r="J82" s="14">
        <f>'[4]2025'!I82</f>
        <v>508</v>
      </c>
      <c r="K82" s="15">
        <f>'[4]2025'!J82</f>
        <v>103.31</v>
      </c>
      <c r="L82" s="15">
        <f>'[4]2025'!K82</f>
        <v>120.12</v>
      </c>
      <c r="M82" s="15">
        <f>'[4]2025'!L82</f>
        <v>55.97</v>
      </c>
      <c r="N82" s="16">
        <f t="shared" si="4"/>
        <v>5.7420086873913824E-3</v>
      </c>
      <c r="O82" s="17">
        <f t="shared" si="5"/>
        <v>-4.4798380339866141E-2</v>
      </c>
      <c r="P82" s="17">
        <f t="shared" si="5"/>
        <v>-0.13013698630136986</v>
      </c>
      <c r="Q82" s="18">
        <f t="shared" si="6"/>
        <v>94.351563256219137</v>
      </c>
      <c r="R82" s="18">
        <f t="shared" si="7"/>
        <v>81.147685647685634</v>
      </c>
      <c r="S82" s="35">
        <f>(S81-SUM(E80:E86))/SUM(E80:E86)</f>
        <v>1.7540350112239776E-2</v>
      </c>
      <c r="T82" s="48">
        <f>SUM(I80:I86)/SUM(K80:K86)</f>
        <v>98.1166211065337</v>
      </c>
      <c r="U82" s="1738"/>
    </row>
    <row r="83" spans="1:21">
      <c r="A83" s="10" t="s">
        <v>13</v>
      </c>
      <c r="B83" s="19">
        <f>CHAMNORD!B83</f>
        <v>46100</v>
      </c>
      <c r="C83" s="75">
        <f>IF(H83=0,"",'[4]2025-2026'!C82)</f>
        <v>10278.83</v>
      </c>
      <c r="D83" s="68">
        <f>'[4]2025'!C83</f>
        <v>8050.53</v>
      </c>
      <c r="E83" s="68">
        <f>'[4]2025'!D83</f>
        <v>7998.48</v>
      </c>
      <c r="F83" s="12">
        <f>'[4]2025'!E83</f>
        <v>459</v>
      </c>
      <c r="G83" s="73">
        <f>'[4]2025'!F83</f>
        <v>8200</v>
      </c>
      <c r="H83" s="42">
        <f>'[4]2025'!G83</f>
        <v>7763.69</v>
      </c>
      <c r="I83" s="13">
        <f>'[4]2025'!H83</f>
        <v>7692.4</v>
      </c>
      <c r="J83" s="14">
        <f>'[4]2025'!I83</f>
        <v>399</v>
      </c>
      <c r="K83" s="15">
        <f>'[4]2025'!J83</f>
        <v>88.699999999999989</v>
      </c>
      <c r="L83" s="15">
        <f>'[4]2025'!K83</f>
        <v>105.14</v>
      </c>
      <c r="M83" s="15">
        <f>'[4]2025'!L83</f>
        <v>65.39</v>
      </c>
      <c r="N83" s="16">
        <f t="shared" si="4"/>
        <v>8.5005979928240872E-3</v>
      </c>
      <c r="O83" s="17">
        <f t="shared" si="5"/>
        <v>-3.8267270781448467E-2</v>
      </c>
      <c r="P83" s="17">
        <f t="shared" si="5"/>
        <v>-0.13071895424836602</v>
      </c>
      <c r="Q83" s="18">
        <f t="shared" si="6"/>
        <v>86.723788049605417</v>
      </c>
      <c r="R83" s="18">
        <f t="shared" si="7"/>
        <v>73.163401179379875</v>
      </c>
      <c r="S83" s="34"/>
      <c r="T83" s="29" t="s">
        <v>8</v>
      </c>
      <c r="U83" s="1738"/>
    </row>
    <row r="84" spans="1:21">
      <c r="A84" s="10" t="s">
        <v>14</v>
      </c>
      <c r="B84" s="19">
        <f>CHAMNORD!B84</f>
        <v>46101</v>
      </c>
      <c r="C84" s="75">
        <f>IF(H84=0,"",'[4]2025-2026'!C83)</f>
        <v>8050.53</v>
      </c>
      <c r="D84" s="68">
        <f>'[4]2025'!C84</f>
        <v>13179.36</v>
      </c>
      <c r="E84" s="68">
        <f>'[4]2025'!D84</f>
        <v>13091.52</v>
      </c>
      <c r="F84" s="12">
        <f>'[4]2025'!E84</f>
        <v>647</v>
      </c>
      <c r="G84" s="73">
        <f>'[4]2025'!F84</f>
        <v>13300</v>
      </c>
      <c r="H84" s="42">
        <f>'[4]2025'!G84</f>
        <v>16043.04</v>
      </c>
      <c r="I84" s="13">
        <f>'[4]2025'!H84</f>
        <v>15914.24</v>
      </c>
      <c r="J84" s="14">
        <f>'[4]2025'!I84</f>
        <v>776</v>
      </c>
      <c r="K84" s="15">
        <f>'[4]2025'!J84</f>
        <v>134.15999999999997</v>
      </c>
      <c r="L84" s="15">
        <f>'[4]2025'!K84</f>
        <v>159.16999999999999</v>
      </c>
      <c r="M84" s="15">
        <f>'[4]2025'!L84</f>
        <v>23.47</v>
      </c>
      <c r="N84" s="16">
        <f t="shared" si="4"/>
        <v>1.4747798198343118E-3</v>
      </c>
      <c r="O84" s="17">
        <f t="shared" si="5"/>
        <v>0.21561438243993053</v>
      </c>
      <c r="P84" s="17">
        <f t="shared" si="5"/>
        <v>0.19938176197836166</v>
      </c>
      <c r="Q84" s="18">
        <f t="shared" si="6"/>
        <v>118.62134764460349</v>
      </c>
      <c r="R84" s="18">
        <f t="shared" si="7"/>
        <v>99.98266004900421</v>
      </c>
      <c r="S84" s="36" t="s">
        <v>40</v>
      </c>
      <c r="T84" s="48">
        <f>SUM(I80:I86)/SUM(L80:L86)</f>
        <v>84.586138986313799</v>
      </c>
      <c r="U84" s="1738"/>
    </row>
    <row r="85" spans="1:21">
      <c r="A85" s="10" t="s">
        <v>15</v>
      </c>
      <c r="B85" s="19">
        <f>CHAMNORD!B85</f>
        <v>46102</v>
      </c>
      <c r="C85" s="75">
        <f>IF(H85=0,"",'[4]2025-2026'!C84)</f>
        <v>13179.36</v>
      </c>
      <c r="D85" s="68">
        <f>'[4]2025'!C85</f>
        <v>13973.63</v>
      </c>
      <c r="E85" s="68">
        <f>'[4]2025'!D85</f>
        <v>13857.85</v>
      </c>
      <c r="F85" s="12">
        <f>'[4]2025'!E85</f>
        <v>697</v>
      </c>
      <c r="G85" s="73">
        <f>'[4]2025'!F85</f>
        <v>14100</v>
      </c>
      <c r="H85" s="42">
        <f>'[4]2025'!G85</f>
        <v>13087.15</v>
      </c>
      <c r="I85" s="13">
        <f>'[4]2025'!H85</f>
        <v>12986.96</v>
      </c>
      <c r="J85" s="14">
        <f>'[4]2025'!I85</f>
        <v>649</v>
      </c>
      <c r="K85" s="15">
        <f>'[4]2025'!J85</f>
        <v>139.57000000000002</v>
      </c>
      <c r="L85" s="15">
        <f>'[4]2025'!K85</f>
        <v>156.19</v>
      </c>
      <c r="M85" s="15">
        <f>'[4]2025'!L85</f>
        <v>39.72</v>
      </c>
      <c r="N85" s="16">
        <f t="shared" si="4"/>
        <v>3.0584524784861124E-3</v>
      </c>
      <c r="O85" s="17">
        <f t="shared" si="5"/>
        <v>-6.2844524944345712E-2</v>
      </c>
      <c r="P85" s="17">
        <f t="shared" si="5"/>
        <v>-6.886657101865136E-2</v>
      </c>
      <c r="Q85" s="18">
        <f t="shared" si="6"/>
        <v>93.049795801389962</v>
      </c>
      <c r="R85" s="18">
        <f t="shared" si="7"/>
        <v>83.148473013637229</v>
      </c>
      <c r="S85" s="36">
        <f>SUM(J80:J86)</f>
        <v>3814</v>
      </c>
      <c r="T85" s="30" t="s">
        <v>3</v>
      </c>
      <c r="U85" s="1738"/>
    </row>
    <row r="86" spans="1:21" ht="18" thickBot="1">
      <c r="A86" s="10" t="s">
        <v>16</v>
      </c>
      <c r="B86" s="19">
        <f>CHAMNORD!B86</f>
        <v>46103</v>
      </c>
      <c r="C86" s="75">
        <f>IF(H86=0,"",'[4]2025-2026'!C85)</f>
        <v>13973.63</v>
      </c>
      <c r="D86" s="68">
        <f>'[4]2025'!C86</f>
        <v>15301.68</v>
      </c>
      <c r="E86" s="68">
        <f>'[4]2025'!D86</f>
        <v>15196.92</v>
      </c>
      <c r="F86" s="12">
        <f>'[4]2025'!E86</f>
        <v>695</v>
      </c>
      <c r="G86" s="73">
        <f>'[4]2025'!F86</f>
        <v>15500</v>
      </c>
      <c r="H86" s="42">
        <f>'[4]2025'!G86</f>
        <v>15565.11</v>
      </c>
      <c r="I86" s="13">
        <f>'[4]2025'!H86</f>
        <v>15430.49</v>
      </c>
      <c r="J86" s="14">
        <f>'[4]2025'!I86</f>
        <v>667</v>
      </c>
      <c r="K86" s="15">
        <f>'[4]2025'!J86</f>
        <v>138.79</v>
      </c>
      <c r="L86" s="15">
        <f>'[4]2025'!K86</f>
        <v>155.41999999999999</v>
      </c>
      <c r="M86" s="15">
        <f>'[4]2025'!L86</f>
        <v>45.56</v>
      </c>
      <c r="N86" s="16">
        <f t="shared" si="4"/>
        <v>2.9525958022071888E-3</v>
      </c>
      <c r="O86" s="17">
        <f t="shared" si="5"/>
        <v>1.5369561726981501E-2</v>
      </c>
      <c r="P86" s="17">
        <f t="shared" si="5"/>
        <v>-4.0287769784172658E-2</v>
      </c>
      <c r="Q86" s="18">
        <f t="shared" si="6"/>
        <v>111.17868722530442</v>
      </c>
      <c r="R86" s="18">
        <f t="shared" si="7"/>
        <v>99.282524771586679</v>
      </c>
      <c r="S86" s="37">
        <f>(S85-SUM(F80:F86))/SUM(F80:F86)</f>
        <v>-2.8280254777070062E-2</v>
      </c>
      <c r="T86" s="47">
        <f>SUM(M80:M86)/SUM(I80:I86)</f>
        <v>4.1520446494895001E-3</v>
      </c>
      <c r="U86" s="1739"/>
    </row>
    <row r="87" spans="1:21" ht="17" customHeight="1" thickTop="1">
      <c r="A87" s="10" t="s">
        <v>9</v>
      </c>
      <c r="B87" s="19">
        <f>CHAMNORD!B87</f>
        <v>46104</v>
      </c>
      <c r="C87" s="75">
        <f>IF(H87=0,"",'[4]2025-2026'!C86)</f>
        <v>15301.68</v>
      </c>
      <c r="D87" s="68">
        <f>'[4]2025'!C87</f>
        <v>7142.67</v>
      </c>
      <c r="E87" s="68">
        <f>'[4]2025'!D87</f>
        <v>7108.22</v>
      </c>
      <c r="F87" s="12">
        <f>'[4]2025'!E87</f>
        <v>400</v>
      </c>
      <c r="G87" s="73">
        <f>'[4]2025'!F87</f>
        <v>7200</v>
      </c>
      <c r="H87" s="42">
        <f>'[4]2025'!G87</f>
        <v>6753.36</v>
      </c>
      <c r="I87" s="13">
        <f>'[4]2025'!H87</f>
        <v>6694.81</v>
      </c>
      <c r="J87" s="14">
        <f>'[4]2025'!I87</f>
        <v>369</v>
      </c>
      <c r="K87" s="15">
        <f>'[4]2025'!J87</f>
        <v>92.89</v>
      </c>
      <c r="L87" s="15">
        <f>'[4]2025'!K87</f>
        <v>100.47</v>
      </c>
      <c r="M87" s="15">
        <f>'[4]2025'!L87</f>
        <v>35.090000000000003</v>
      </c>
      <c r="N87" s="16">
        <f t="shared" si="4"/>
        <v>5.2413735415941607E-3</v>
      </c>
      <c r="O87" s="17">
        <f t="shared" si="5"/>
        <v>-5.8159426691914408E-2</v>
      </c>
      <c r="P87" s="17">
        <f t="shared" si="5"/>
        <v>-7.7499999999999999E-2</v>
      </c>
      <c r="Q87" s="18">
        <f t="shared" si="6"/>
        <v>72.072451286467867</v>
      </c>
      <c r="R87" s="18">
        <f t="shared" si="7"/>
        <v>66.634915895292139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19">
        <f>CHAMNORD!B88</f>
        <v>46105</v>
      </c>
      <c r="C88" s="75">
        <f>IF(H88=0,"",'[4]2025-2026'!C87)</f>
        <v>7142.67</v>
      </c>
      <c r="D88" s="68">
        <f>'[4]2025'!C88</f>
        <v>8932.3799999999992</v>
      </c>
      <c r="E88" s="68">
        <f>'[4]2025'!D88</f>
        <v>8787.0300000000007</v>
      </c>
      <c r="F88" s="12">
        <f>'[4]2025'!E88</f>
        <v>478</v>
      </c>
      <c r="G88" s="73">
        <f>'[4]2025'!F88</f>
        <v>8900</v>
      </c>
      <c r="H88" s="42">
        <f>'[4]2025'!G88</f>
        <v>8147.8</v>
      </c>
      <c r="I88" s="13">
        <f>'[4]2025'!H88</f>
        <v>8022.38</v>
      </c>
      <c r="J88" s="14">
        <f>'[4]2025'!I88</f>
        <v>419</v>
      </c>
      <c r="K88" s="15">
        <f>'[4]2025'!J88</f>
        <v>99.69</v>
      </c>
      <c r="L88" s="15">
        <f>'[4]2025'!K88</f>
        <v>108.2</v>
      </c>
      <c r="M88" s="15">
        <f>'[4]2025'!L88</f>
        <v>14.33</v>
      </c>
      <c r="N88" s="16">
        <f t="shared" si="4"/>
        <v>1.7862529573518084E-3</v>
      </c>
      <c r="O88" s="17">
        <f t="shared" si="5"/>
        <v>-8.7020301512570286E-2</v>
      </c>
      <c r="P88" s="17">
        <f t="shared" si="5"/>
        <v>-0.12343096234309624</v>
      </c>
      <c r="Q88" s="18">
        <f t="shared" si="6"/>
        <v>80.473267128097106</v>
      </c>
      <c r="R88" s="18">
        <f t="shared" si="7"/>
        <v>74.143992606284655</v>
      </c>
      <c r="S88" s="34">
        <f>SUM(I87:I93)</f>
        <v>78538.180000000008</v>
      </c>
      <c r="T88" s="45" t="s">
        <v>41</v>
      </c>
      <c r="U88" s="1738"/>
    </row>
    <row r="89" spans="1:21">
      <c r="A89" s="10" t="s">
        <v>12</v>
      </c>
      <c r="B89" s="19">
        <f>CHAMNORD!B89</f>
        <v>46106</v>
      </c>
      <c r="C89" s="75">
        <f>IF(H89=0,"",'[4]2025-2026'!C88)</f>
        <v>8932.3799999999992</v>
      </c>
      <c r="D89" s="68">
        <f>'[4]2025'!C89</f>
        <v>11232.21</v>
      </c>
      <c r="E89" s="68">
        <f>'[4]2025'!D89</f>
        <v>10979.4</v>
      </c>
      <c r="F89" s="12">
        <f>'[4]2025'!E89</f>
        <v>580</v>
      </c>
      <c r="G89" s="73">
        <f>'[4]2025'!F89</f>
        <v>11100</v>
      </c>
      <c r="H89" s="42">
        <f>'[4]2025'!G89</f>
        <v>10731.97</v>
      </c>
      <c r="I89" s="13">
        <f>'[4]2025'!H89</f>
        <v>10572.11</v>
      </c>
      <c r="J89" s="14">
        <f>'[4]2025'!I89</f>
        <v>514</v>
      </c>
      <c r="K89" s="15">
        <f>'[4]2025'!J89</f>
        <v>110.49</v>
      </c>
      <c r="L89" s="15">
        <f>'[4]2025'!K89</f>
        <v>135.07</v>
      </c>
      <c r="M89" s="15">
        <f>'[4]2025'!L89</f>
        <v>47.19</v>
      </c>
      <c r="N89" s="16">
        <f t="shared" si="4"/>
        <v>4.4636311956648194E-3</v>
      </c>
      <c r="O89" s="17">
        <f t="shared" si="5"/>
        <v>-3.7095834016430684E-2</v>
      </c>
      <c r="P89" s="17">
        <f t="shared" si="5"/>
        <v>-0.11379310344827587</v>
      </c>
      <c r="Q89" s="18">
        <f t="shared" si="6"/>
        <v>95.683862793012949</v>
      </c>
      <c r="R89" s="18">
        <f t="shared" si="7"/>
        <v>78.271340786258989</v>
      </c>
      <c r="S89" s="35">
        <f>(S88-SUM(E87:E93))/SUM(E87:E93)</f>
        <v>-7.9600574425053444E-2</v>
      </c>
      <c r="T89" s="48">
        <f>SUM(I87:I93)/SUM(K87:K93)</f>
        <v>93.232564489132116</v>
      </c>
      <c r="U89" s="1738"/>
    </row>
    <row r="90" spans="1:21">
      <c r="A90" s="10" t="s">
        <v>13</v>
      </c>
      <c r="B90" s="19">
        <f>CHAMNORD!B90</f>
        <v>46107</v>
      </c>
      <c r="C90" s="75">
        <f>IF(H90=0,"",'[4]2025-2026'!C89)</f>
        <v>11232.21</v>
      </c>
      <c r="D90" s="68">
        <f>'[4]2025'!C90</f>
        <v>10376.74</v>
      </c>
      <c r="E90" s="68">
        <f>'[4]2025'!D90</f>
        <v>10177.6</v>
      </c>
      <c r="F90" s="12">
        <f>'[4]2025'!E90</f>
        <v>557</v>
      </c>
      <c r="G90" s="73">
        <f>'[4]2025'!F90</f>
        <v>10300</v>
      </c>
      <c r="H90" s="42">
        <f>'[4]2025'!G90</f>
        <v>8620.11</v>
      </c>
      <c r="I90" s="13">
        <f>'[4]2025'!H90</f>
        <v>8500.69</v>
      </c>
      <c r="J90" s="14">
        <f>'[4]2025'!I90</f>
        <v>432</v>
      </c>
      <c r="K90" s="15">
        <f>'[4]2025'!J90</f>
        <v>94.65</v>
      </c>
      <c r="L90" s="15">
        <f>'[4]2025'!K90</f>
        <v>115.25</v>
      </c>
      <c r="M90" s="15">
        <f>'[4]2025'!L90</f>
        <v>52.24</v>
      </c>
      <c r="N90" s="16">
        <f t="shared" si="4"/>
        <v>6.1453834923988525E-3</v>
      </c>
      <c r="O90" s="17">
        <f t="shared" si="5"/>
        <v>-0.16476477755069954</v>
      </c>
      <c r="P90" s="17">
        <f t="shared" si="5"/>
        <v>-0.2244165170556553</v>
      </c>
      <c r="Q90" s="18">
        <f t="shared" si="6"/>
        <v>89.811833069202322</v>
      </c>
      <c r="R90" s="18">
        <f t="shared" si="7"/>
        <v>73.758698481561822</v>
      </c>
      <c r="S90" s="34"/>
      <c r="T90" s="29" t="s">
        <v>8</v>
      </c>
      <c r="U90" s="1738"/>
    </row>
    <row r="91" spans="1:21">
      <c r="A91" s="10" t="s">
        <v>14</v>
      </c>
      <c r="B91" s="19">
        <f>CHAMNORD!B91</f>
        <v>46108</v>
      </c>
      <c r="C91" s="75">
        <f>IF(H91=0,"",'[4]2025-2026'!C90)</f>
        <v>10376.74</v>
      </c>
      <c r="D91" s="68">
        <f>'[4]2025'!C91</f>
        <v>14819.52</v>
      </c>
      <c r="E91" s="68">
        <f>'[4]2025'!D91</f>
        <v>14545.73</v>
      </c>
      <c r="F91" s="12">
        <f>'[4]2025'!E91</f>
        <v>737</v>
      </c>
      <c r="G91" s="73">
        <f>'[4]2025'!F91</f>
        <v>14700</v>
      </c>
      <c r="H91" s="42">
        <f>'[4]2025'!G91</f>
        <v>14827.73</v>
      </c>
      <c r="I91" s="13">
        <f>'[4]2025'!H91</f>
        <v>14620.87</v>
      </c>
      <c r="J91" s="14">
        <f>'[4]2025'!I91</f>
        <v>695</v>
      </c>
      <c r="K91" s="15">
        <f>'[4]2025'!J91</f>
        <v>145.27000000000001</v>
      </c>
      <c r="L91" s="15">
        <f>'[4]2025'!K91</f>
        <v>153.59</v>
      </c>
      <c r="M91" s="15">
        <f>'[4]2025'!L91</f>
        <v>58.84</v>
      </c>
      <c r="N91" s="16">
        <f t="shared" si="4"/>
        <v>4.0243843218631999E-3</v>
      </c>
      <c r="O91" s="17">
        <f t="shared" si="5"/>
        <v>5.1657771730948699E-3</v>
      </c>
      <c r="P91" s="17">
        <f t="shared" si="5"/>
        <v>-5.698778833107191E-2</v>
      </c>
      <c r="Q91" s="18">
        <f t="shared" si="6"/>
        <v>100.64617608590899</v>
      </c>
      <c r="R91" s="18">
        <f t="shared" si="7"/>
        <v>95.194153265186543</v>
      </c>
      <c r="S91" s="36" t="s">
        <v>40</v>
      </c>
      <c r="T91" s="48">
        <f>SUM(I87:I93)/SUM(L87:L93)</f>
        <v>84.579708584167051</v>
      </c>
      <c r="U91" s="1738"/>
    </row>
    <row r="92" spans="1:21">
      <c r="A92" s="10" t="s">
        <v>15</v>
      </c>
      <c r="B92" s="19">
        <f>CHAMNORD!B92</f>
        <v>46109</v>
      </c>
      <c r="C92" s="75">
        <f>IF(H92=0,"",'[4]2025-2026'!C91)</f>
        <v>14819.52</v>
      </c>
      <c r="D92" s="68">
        <f>'[4]2025'!C92</f>
        <v>15531.33</v>
      </c>
      <c r="E92" s="68">
        <f>'[4]2025'!D92</f>
        <v>15269.27</v>
      </c>
      <c r="F92" s="12">
        <f>'[4]2025'!E92</f>
        <v>704</v>
      </c>
      <c r="G92" s="73">
        <f>'[4]2025'!F92</f>
        <v>15400</v>
      </c>
      <c r="H92" s="42">
        <f>'[4]2025'!G92</f>
        <v>13832.68</v>
      </c>
      <c r="I92" s="13">
        <f>'[4]2025'!H92</f>
        <v>13582.63</v>
      </c>
      <c r="J92" s="14">
        <f>'[4]2025'!I92</f>
        <v>642</v>
      </c>
      <c r="K92" s="15">
        <f>'[4]2025'!J92</f>
        <v>154.21</v>
      </c>
      <c r="L92" s="15">
        <f>'[4]2025'!K92</f>
        <v>162.52000000000001</v>
      </c>
      <c r="M92" s="15">
        <f>'[4]2025'!L92</f>
        <v>63.11</v>
      </c>
      <c r="N92" s="16">
        <f t="shared" si="4"/>
        <v>4.6463755546606216E-3</v>
      </c>
      <c r="O92" s="17">
        <f t="shared" si="5"/>
        <v>-0.11045976657692222</v>
      </c>
      <c r="P92" s="17">
        <f t="shared" si="5"/>
        <v>-8.8068181818181823E-2</v>
      </c>
      <c r="Q92" s="18">
        <f t="shared" si="6"/>
        <v>88.078788664807718</v>
      </c>
      <c r="R92" s="18">
        <f t="shared" si="7"/>
        <v>83.575129214865854</v>
      </c>
      <c r="S92" s="36">
        <f>SUM(J87:J93)</f>
        <v>3744</v>
      </c>
      <c r="T92" s="30" t="s">
        <v>3</v>
      </c>
      <c r="U92" s="1738"/>
    </row>
    <row r="93" spans="1:21" ht="18" thickBot="1">
      <c r="A93" s="10" t="s">
        <v>16</v>
      </c>
      <c r="B93" s="19">
        <f>CHAMNORD!B93</f>
        <v>46110</v>
      </c>
      <c r="C93" s="75">
        <f>IF(H93=0,"",'[4]2025-2026'!C92)</f>
        <v>15531.33</v>
      </c>
      <c r="D93" s="68">
        <f>'[4]2025'!C93</f>
        <v>18763.150000000001</v>
      </c>
      <c r="E93" s="68">
        <f>'[4]2025'!D93</f>
        <v>18463.29</v>
      </c>
      <c r="F93" s="12">
        <f>'[4]2025'!E93</f>
        <v>952</v>
      </c>
      <c r="G93" s="73">
        <f>'[4]2025'!F93</f>
        <v>18600</v>
      </c>
      <c r="H93" s="42">
        <f>'[4]2025'!G93</f>
        <v>16810.169999999998</v>
      </c>
      <c r="I93" s="13">
        <f>'[4]2025'!H93</f>
        <v>16544.689999999999</v>
      </c>
      <c r="J93" s="14">
        <f>'[4]2025'!I93</f>
        <v>673</v>
      </c>
      <c r="K93" s="15">
        <f>'[4]2025'!J93</f>
        <v>145.19</v>
      </c>
      <c r="L93" s="15">
        <f>'[4]2025'!K93</f>
        <v>153.47</v>
      </c>
      <c r="M93" s="15">
        <f>'[4]2025'!L93</f>
        <v>20.23</v>
      </c>
      <c r="N93" s="16">
        <f t="shared" si="4"/>
        <v>1.2227488094367438E-3</v>
      </c>
      <c r="O93" s="17">
        <f t="shared" si="5"/>
        <v>-0.10391430779671457</v>
      </c>
      <c r="P93" s="17">
        <f t="shared" si="5"/>
        <v>-0.29306722689075632</v>
      </c>
      <c r="Q93" s="18">
        <f t="shared" si="6"/>
        <v>113.9519939389765</v>
      </c>
      <c r="R93" s="18">
        <f t="shared" si="7"/>
        <v>107.80406594122628</v>
      </c>
      <c r="S93" s="37">
        <f>(S92-SUM(F87:F93))/SUM(F87:F93)</f>
        <v>-0.15063520871143377</v>
      </c>
      <c r="T93" s="47">
        <f>SUM(M87:M93)/SUM(I87:I93)</f>
        <v>3.7055862511710864E-3</v>
      </c>
      <c r="U93" s="1739"/>
    </row>
    <row r="94" spans="1:21" ht="17" customHeight="1" thickTop="1">
      <c r="A94" s="10" t="s">
        <v>9</v>
      </c>
      <c r="B94" s="19">
        <f>CHAMNORD!B94</f>
        <v>46111</v>
      </c>
      <c r="C94" s="75">
        <f>IF(H94=0,"",'[4]2025-2026'!C93)</f>
        <v>18763.150000000001</v>
      </c>
      <c r="D94" s="68">
        <f>'[4]2025'!C94</f>
        <v>8337.5300000000007</v>
      </c>
      <c r="E94" s="68">
        <f>'[4]2025'!D94</f>
        <v>8208.5300000000007</v>
      </c>
      <c r="F94" s="12">
        <f>'[4]2025'!E94</f>
        <v>444</v>
      </c>
      <c r="G94" s="73">
        <f>'[4]2025'!F94</f>
        <v>8300</v>
      </c>
      <c r="H94" s="42">
        <f>'[4]2025'!G94</f>
        <v>7080.29</v>
      </c>
      <c r="I94" s="13">
        <f>'[4]2025'!H94</f>
        <v>6954.07</v>
      </c>
      <c r="J94" s="14">
        <f>'[4]2025'!I94</f>
        <v>367</v>
      </c>
      <c r="K94" s="15">
        <f>'[4]2025'!J94</f>
        <v>99.070000000000007</v>
      </c>
      <c r="L94" s="15">
        <f>'[4]2025'!K94</f>
        <v>107.48</v>
      </c>
      <c r="M94" s="15">
        <f>'[4]2025'!L94</f>
        <v>55.14</v>
      </c>
      <c r="N94" s="16">
        <f t="shared" si="4"/>
        <v>7.9291695366885875E-3</v>
      </c>
      <c r="O94" s="17">
        <f t="shared" si="5"/>
        <v>-0.15282395264438345</v>
      </c>
      <c r="P94" s="17">
        <f t="shared" si="5"/>
        <v>-0.17342342342342343</v>
      </c>
      <c r="Q94" s="18">
        <f t="shared" si="6"/>
        <v>70.193499545775708</v>
      </c>
      <c r="R94" s="18">
        <f t="shared" si="7"/>
        <v>64.701060662448825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19">
        <f>CHAMNORD!B95</f>
        <v>46112</v>
      </c>
      <c r="C95" s="75">
        <f>IF(H95=0,"",'[4]2025-2026'!C94)</f>
        <v>8337.5300000000007</v>
      </c>
      <c r="D95" s="68">
        <f>'[4]2025'!C95</f>
        <v>9245.0300000000007</v>
      </c>
      <c r="E95" s="68">
        <f>'[4]2025'!D95</f>
        <v>9091.24</v>
      </c>
      <c r="F95" s="12">
        <f>'[4]2025'!E95</f>
        <v>495</v>
      </c>
      <c r="G95" s="73">
        <f>'[4]2025'!F95</f>
        <v>9200</v>
      </c>
      <c r="H95" s="42">
        <f>'[4]2025'!G95</f>
        <v>10008.42</v>
      </c>
      <c r="I95" s="13">
        <f>'[4]2025'!H95</f>
        <v>9816.99</v>
      </c>
      <c r="J95" s="14">
        <f>'[4]2025'!I95</f>
        <v>489</v>
      </c>
      <c r="K95" s="15">
        <f>'[4]2025'!J95</f>
        <v>101.75999999999999</v>
      </c>
      <c r="L95" s="15">
        <f>'[4]2025'!K95</f>
        <v>118.22</v>
      </c>
      <c r="M95" s="15">
        <f>'[4]2025'!L95</f>
        <v>556.19000000000005</v>
      </c>
      <c r="N95" s="16">
        <f t="shared" si="4"/>
        <v>5.6655858873239158E-2</v>
      </c>
      <c r="O95" s="17">
        <f t="shared" si="5"/>
        <v>7.9829594202771026E-2</v>
      </c>
      <c r="P95" s="17">
        <f t="shared" si="5"/>
        <v>-1.2121212121212121E-2</v>
      </c>
      <c r="Q95" s="18">
        <f t="shared" si="6"/>
        <v>96.471992924528308</v>
      </c>
      <c r="R95" s="18">
        <f t="shared" si="7"/>
        <v>83.040010150566744</v>
      </c>
      <c r="S95" s="34">
        <f>SUM(I94:I100)</f>
        <v>80716.989999999991</v>
      </c>
      <c r="T95" s="45" t="s">
        <v>41</v>
      </c>
      <c r="U95" s="1738"/>
    </row>
    <row r="96" spans="1:21">
      <c r="A96" s="10" t="s">
        <v>12</v>
      </c>
      <c r="B96" s="19">
        <f>CHAMNORD!B96</f>
        <v>46113</v>
      </c>
      <c r="C96" s="75">
        <f>IF(H96=0,"",'[4]2025-2026'!C95)</f>
        <v>9245.0300000000007</v>
      </c>
      <c r="D96" s="68">
        <f>'[4]2025'!C96</f>
        <v>12612.84</v>
      </c>
      <c r="E96" s="68">
        <f>'[4]2025'!D96</f>
        <v>12357.42</v>
      </c>
      <c r="F96" s="12">
        <f>'[4]2025'!E96</f>
        <v>638</v>
      </c>
      <c r="G96" s="73">
        <f>'[4]2025'!F96</f>
        <v>12300</v>
      </c>
      <c r="H96" s="42">
        <f>'[4]2025'!G96</f>
        <v>12805.07</v>
      </c>
      <c r="I96" s="13">
        <f>'[4]2025'!H96</f>
        <v>12543.57</v>
      </c>
      <c r="J96" s="14">
        <f>'[4]2025'!I96</f>
        <v>577</v>
      </c>
      <c r="K96" s="15">
        <f>'[4]2025'!J96</f>
        <v>126.36000000000001</v>
      </c>
      <c r="L96" s="15">
        <f>'[4]2025'!K96</f>
        <v>143.02000000000001</v>
      </c>
      <c r="M96" s="15">
        <f>'[4]2025'!L96</f>
        <v>-493.51</v>
      </c>
      <c r="N96" s="16">
        <f t="shared" si="4"/>
        <v>-3.934366372571764E-2</v>
      </c>
      <c r="O96" s="17">
        <f t="shared" si="5"/>
        <v>1.5063824002097496E-2</v>
      </c>
      <c r="P96" s="17">
        <f t="shared" si="5"/>
        <v>-9.561128526645768E-2</v>
      </c>
      <c r="Q96" s="18">
        <f t="shared" si="6"/>
        <v>99.268518518518505</v>
      </c>
      <c r="R96" s="18">
        <f t="shared" si="7"/>
        <v>87.70500629282617</v>
      </c>
      <c r="S96" s="35">
        <f>(S95-SUM(E94:E100))/SUM(E94:E100)</f>
        <v>-0.10930008371037599</v>
      </c>
      <c r="T96" s="48">
        <f>SUM(I94:I100)/SUM(K94:K100)</f>
        <v>89.717443980081796</v>
      </c>
      <c r="U96" s="1738"/>
    </row>
    <row r="97" spans="1:21">
      <c r="A97" s="10" t="s">
        <v>13</v>
      </c>
      <c r="B97" s="19">
        <f>CHAMNORD!B97</f>
        <v>46114</v>
      </c>
      <c r="C97" s="75">
        <f>IF(H97=0,"",'[4]2025-2026'!C96)</f>
        <v>12612.84</v>
      </c>
      <c r="D97" s="68">
        <f>'[4]2025'!C97</f>
        <v>9629.7000000000007</v>
      </c>
      <c r="E97" s="68">
        <f>'[4]2025'!D97</f>
        <v>9548.51</v>
      </c>
      <c r="F97" s="12">
        <f>'[4]2025'!E97</f>
        <v>520</v>
      </c>
      <c r="G97" s="73">
        <f>'[4]2025'!F97</f>
        <v>9500</v>
      </c>
      <c r="H97" s="42">
        <f>'[4]2025'!G97</f>
        <v>9896.4599999999991</v>
      </c>
      <c r="I97" s="13">
        <f>'[4]2025'!H97</f>
        <v>9730.33</v>
      </c>
      <c r="J97" s="14">
        <f>'[4]2025'!I97</f>
        <v>501</v>
      </c>
      <c r="K97" s="15">
        <f>'[4]2025'!J97</f>
        <v>103.42</v>
      </c>
      <c r="L97" s="15">
        <f>'[4]2025'!K97</f>
        <v>127.59</v>
      </c>
      <c r="M97" s="15">
        <f>'[4]2025'!L97</f>
        <v>35.69</v>
      </c>
      <c r="N97" s="16">
        <f t="shared" si="4"/>
        <v>3.6679125990588188E-3</v>
      </c>
      <c r="O97" s="17">
        <f t="shared" si="5"/>
        <v>1.9041714361717137E-2</v>
      </c>
      <c r="P97" s="17">
        <f t="shared" si="5"/>
        <v>-3.653846153846154E-2</v>
      </c>
      <c r="Q97" s="18">
        <f t="shared" si="6"/>
        <v>94.085573390059949</v>
      </c>
      <c r="R97" s="18">
        <f t="shared" si="7"/>
        <v>76.262481385688531</v>
      </c>
      <c r="S97" s="34"/>
      <c r="T97" s="29" t="s">
        <v>8</v>
      </c>
      <c r="U97" s="1738"/>
    </row>
    <row r="98" spans="1:21">
      <c r="A98" s="10" t="s">
        <v>14</v>
      </c>
      <c r="B98" s="19">
        <f>CHAMNORD!B98</f>
        <v>46115</v>
      </c>
      <c r="C98" s="75">
        <f>IF(H98=0,"",'[4]2025-2026'!C97)</f>
        <v>9629.7000000000007</v>
      </c>
      <c r="D98" s="68">
        <f>'[4]2025'!C98</f>
        <v>15812.59</v>
      </c>
      <c r="E98" s="68">
        <f>'[4]2025'!D98</f>
        <v>15664.36</v>
      </c>
      <c r="F98" s="12">
        <f>'[4]2025'!E98</f>
        <v>843</v>
      </c>
      <c r="G98" s="73">
        <f>'[4]2025'!F98</f>
        <v>15600</v>
      </c>
      <c r="H98" s="42">
        <f>'[4]2025'!G98</f>
        <v>14793.32</v>
      </c>
      <c r="I98" s="13">
        <f>'[4]2025'!H98</f>
        <v>14628.67</v>
      </c>
      <c r="J98" s="14">
        <f>'[4]2025'!I98</f>
        <v>700</v>
      </c>
      <c r="K98" s="15">
        <f>'[4]2025'!J98</f>
        <v>153.08999999999997</v>
      </c>
      <c r="L98" s="15">
        <f>'[4]2025'!K98</f>
        <v>178.04</v>
      </c>
      <c r="M98" s="15">
        <f>'[4]2025'!L98</f>
        <v>44.85</v>
      </c>
      <c r="N98" s="16">
        <f t="shared" si="4"/>
        <v>3.0658973098716424E-3</v>
      </c>
      <c r="O98" s="17">
        <f t="shared" si="5"/>
        <v>-6.6117607103003281E-2</v>
      </c>
      <c r="P98" s="17">
        <f t="shared" si="5"/>
        <v>-0.16963226571767498</v>
      </c>
      <c r="Q98" s="18">
        <f t="shared" si="6"/>
        <v>95.556012802926404</v>
      </c>
      <c r="R98" s="18">
        <f t="shared" si="7"/>
        <v>82.165075263985628</v>
      </c>
      <c r="S98" s="36" t="s">
        <v>40</v>
      </c>
      <c r="T98" s="48">
        <f>SUM(I94:I100)/SUM(L94:L100)</f>
        <v>78.900695978573239</v>
      </c>
      <c r="U98" s="1738"/>
    </row>
    <row r="99" spans="1:21">
      <c r="A99" s="10" t="s">
        <v>15</v>
      </c>
      <c r="B99" s="19">
        <f>CHAMNORD!B99</f>
        <v>46116</v>
      </c>
      <c r="C99" s="75">
        <f>IF(H99=0,"",'[4]2025-2026'!C98)</f>
        <v>15812.59</v>
      </c>
      <c r="D99" s="68">
        <f>'[4]2025'!C99</f>
        <v>17134.55</v>
      </c>
      <c r="E99" s="68">
        <f>'[4]2025'!D99</f>
        <v>16968.62</v>
      </c>
      <c r="F99" s="12">
        <f>'[4]2025'!E99</f>
        <v>840</v>
      </c>
      <c r="G99" s="73">
        <f>'[4]2025'!F99</f>
        <v>16900</v>
      </c>
      <c r="H99" s="42">
        <f>'[4]2025'!G99</f>
        <v>13582.04</v>
      </c>
      <c r="I99" s="13">
        <f>'[4]2025'!H99</f>
        <v>13353.8</v>
      </c>
      <c r="J99" s="14">
        <f>'[4]2025'!I99</f>
        <v>636</v>
      </c>
      <c r="K99" s="15">
        <f>'[4]2025'!J99</f>
        <v>157.84</v>
      </c>
      <c r="L99" s="15">
        <f>'[4]2025'!K99</f>
        <v>174.22</v>
      </c>
      <c r="M99" s="15">
        <f>'[4]2025'!L99</f>
        <v>26.2</v>
      </c>
      <c r="N99" s="16">
        <f t="shared" si="4"/>
        <v>1.9619883478859952E-3</v>
      </c>
      <c r="O99" s="17">
        <f t="shared" si="5"/>
        <v>-0.21302969834907021</v>
      </c>
      <c r="P99" s="17">
        <f t="shared" si="5"/>
        <v>-0.24285714285714285</v>
      </c>
      <c r="Q99" s="18">
        <f t="shared" si="6"/>
        <v>84.603395843892542</v>
      </c>
      <c r="R99" s="18">
        <f t="shared" si="7"/>
        <v>76.649064401331643</v>
      </c>
      <c r="S99" s="36">
        <f>SUM(J94:J100)</f>
        <v>3923</v>
      </c>
      <c r="T99" s="30" t="s">
        <v>3</v>
      </c>
      <c r="U99" s="1738"/>
    </row>
    <row r="100" spans="1:21" ht="18" thickBot="1">
      <c r="A100" s="10" t="s">
        <v>16</v>
      </c>
      <c r="B100" s="19">
        <f>CHAMNORD!B100</f>
        <v>46117</v>
      </c>
      <c r="C100" s="75">
        <f>IF(H100=0,"",'[4]2025-2026'!C99)</f>
        <v>17134.55</v>
      </c>
      <c r="D100" s="68">
        <f>'[4]2025'!C100</f>
        <v>18956.27</v>
      </c>
      <c r="E100" s="68">
        <f>'[4]2025'!D100</f>
        <v>18783.3</v>
      </c>
      <c r="F100" s="12">
        <f>'[4]2025'!E100</f>
        <v>930</v>
      </c>
      <c r="G100" s="73">
        <f>'[4]2025'!F100</f>
        <v>18800</v>
      </c>
      <c r="H100" s="42">
        <f>'[4]2025'!G100</f>
        <v>13914.96</v>
      </c>
      <c r="I100" s="13">
        <f>'[4]2025'!H100</f>
        <v>13689.56</v>
      </c>
      <c r="J100" s="14">
        <f>'[4]2025'!I100</f>
        <v>653</v>
      </c>
      <c r="K100" s="15">
        <f>'[4]2025'!J100</f>
        <v>158.13999999999999</v>
      </c>
      <c r="L100" s="15">
        <f>'[4]2025'!K100</f>
        <v>174.45</v>
      </c>
      <c r="M100" s="15">
        <f>'[4]2025'!L100</f>
        <v>51.21</v>
      </c>
      <c r="N100" s="16">
        <f t="shared" si="4"/>
        <v>3.7408068630401564E-3</v>
      </c>
      <c r="O100" s="17">
        <f t="shared" si="5"/>
        <v>-0.27118450964420521</v>
      </c>
      <c r="P100" s="17">
        <f t="shared" si="5"/>
        <v>-0.2978494623655914</v>
      </c>
      <c r="Q100" s="18">
        <f t="shared" si="6"/>
        <v>86.566080687997982</v>
      </c>
      <c r="R100" s="18">
        <f t="shared" si="7"/>
        <v>78.472685583261679</v>
      </c>
      <c r="S100" s="37">
        <f>(S99-SUM(F94:F100))/SUM(F94:F100)</f>
        <v>-0.16709129511677281</v>
      </c>
      <c r="T100" s="47">
        <f>SUM(M94:M100)/SUM(I94:I100)</f>
        <v>3.4165050009917377E-3</v>
      </c>
      <c r="U100" s="1739"/>
    </row>
    <row r="101" spans="1:21" ht="17" customHeight="1" thickTop="1">
      <c r="A101" s="10" t="s">
        <v>9</v>
      </c>
      <c r="B101" s="19">
        <f>CHAMNORD!B101</f>
        <v>46118</v>
      </c>
      <c r="C101" s="75">
        <f>IF(H101=0,"",'[4]2025-2026'!C100)</f>
        <v>18956.27</v>
      </c>
      <c r="D101" s="68">
        <f>'[4]2025'!C101</f>
        <v>8425.39</v>
      </c>
      <c r="E101" s="68">
        <f>'[4]2025'!D101</f>
        <v>8365.08</v>
      </c>
      <c r="F101" s="12">
        <f>'[4]2025'!E101</f>
        <v>464</v>
      </c>
      <c r="G101" s="73">
        <f>'[4]2025'!F101</f>
        <v>14400</v>
      </c>
      <c r="H101" s="42">
        <f>'[4]2025'!G101</f>
        <v>15610.76</v>
      </c>
      <c r="I101" s="13">
        <f>'[4]2025'!H101</f>
        <v>15338.32</v>
      </c>
      <c r="J101" s="14">
        <f>'[4]2025'!I101</f>
        <v>694</v>
      </c>
      <c r="K101" s="15">
        <f>'[4]2025'!J101</f>
        <v>126.44999999999999</v>
      </c>
      <c r="L101" s="15">
        <f>'[4]2025'!K101</f>
        <v>153.16999999999999</v>
      </c>
      <c r="M101" s="15">
        <f>'[4]2025'!L101</f>
        <v>25.57</v>
      </c>
      <c r="N101" s="16">
        <f t="shared" si="4"/>
        <v>1.6670665366220029E-3</v>
      </c>
      <c r="O101" s="17">
        <f t="shared" si="5"/>
        <v>0.83361306765745213</v>
      </c>
      <c r="P101" s="17">
        <f t="shared" si="5"/>
        <v>0.49568965517241381</v>
      </c>
      <c r="Q101" s="18">
        <f t="shared" si="6"/>
        <v>121.29948596283117</v>
      </c>
      <c r="R101" s="18">
        <f t="shared" si="7"/>
        <v>100.13919174773129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19">
        <f>CHAMNORD!B102</f>
        <v>46119</v>
      </c>
      <c r="C102" s="75">
        <f>IF(H102=0,"",'[4]2025-2026'!C101)</f>
        <v>8425.39</v>
      </c>
      <c r="D102" s="68">
        <f>'[4]2025'!C102</f>
        <v>8940.1</v>
      </c>
      <c r="E102" s="68">
        <f>'[4]2025'!D102</f>
        <v>8863.35</v>
      </c>
      <c r="F102" s="12">
        <f>'[4]2025'!E102</f>
        <v>486</v>
      </c>
      <c r="G102" s="73">
        <f>'[4]2025'!F102</f>
        <v>8800</v>
      </c>
      <c r="H102" s="42">
        <f>'[4]2025'!G102</f>
        <v>9471.52</v>
      </c>
      <c r="I102" s="13">
        <f>'[4]2025'!H102</f>
        <v>9313.51</v>
      </c>
      <c r="J102" s="14">
        <f>'[4]2025'!I102</f>
        <v>479</v>
      </c>
      <c r="K102" s="15">
        <f>'[4]2025'!J102</f>
        <v>104</v>
      </c>
      <c r="L102" s="15">
        <f>'[4]2025'!K102</f>
        <v>112.25</v>
      </c>
      <c r="M102" s="15">
        <f>'[4]2025'!L102</f>
        <v>26.61</v>
      </c>
      <c r="N102" s="16">
        <f t="shared" si="4"/>
        <v>2.8571397894027063E-3</v>
      </c>
      <c r="O102" s="17">
        <f t="shared" si="5"/>
        <v>5.0788922924176506E-2</v>
      </c>
      <c r="P102" s="17">
        <f t="shared" si="5"/>
        <v>-1.4403292181069959E-2</v>
      </c>
      <c r="Q102" s="18">
        <f t="shared" si="6"/>
        <v>89.552980769230771</v>
      </c>
      <c r="R102" s="18">
        <f t="shared" si="7"/>
        <v>82.971135857461022</v>
      </c>
      <c r="S102" s="34">
        <f>SUM(I101:I107)</f>
        <v>88526.28</v>
      </c>
      <c r="T102" s="45" t="s">
        <v>41</v>
      </c>
      <c r="U102" s="1738"/>
    </row>
    <row r="103" spans="1:21">
      <c r="A103" s="10" t="s">
        <v>12</v>
      </c>
      <c r="B103" s="19">
        <f>CHAMNORD!B103</f>
        <v>46120</v>
      </c>
      <c r="C103" s="75">
        <f>IF(H103=0,"",'[4]2025-2026'!C102)</f>
        <v>8940.1</v>
      </c>
      <c r="D103" s="68">
        <f>'[4]2025'!C103</f>
        <v>11814.13</v>
      </c>
      <c r="E103" s="68">
        <f>'[4]2025'!D103</f>
        <v>11693.93</v>
      </c>
      <c r="F103" s="12">
        <f>'[4]2025'!E103</f>
        <v>590</v>
      </c>
      <c r="G103" s="73">
        <f>'[4]2025'!F103</f>
        <v>11600</v>
      </c>
      <c r="H103" s="42">
        <f>'[4]2025'!G103</f>
        <v>11101.91</v>
      </c>
      <c r="I103" s="13">
        <f>'[4]2025'!H103</f>
        <v>10911.2</v>
      </c>
      <c r="J103" s="14">
        <f>'[4]2025'!I103</f>
        <v>564</v>
      </c>
      <c r="K103" s="15">
        <f>'[4]2025'!J103</f>
        <v>100.64999999999999</v>
      </c>
      <c r="L103" s="15">
        <f>'[4]2025'!K103</f>
        <v>117.2</v>
      </c>
      <c r="M103" s="15">
        <f>'[4]2025'!L103</f>
        <v>47.9</v>
      </c>
      <c r="N103" s="16">
        <f t="shared" si="4"/>
        <v>4.3899846029767575E-3</v>
      </c>
      <c r="O103" s="17">
        <f t="shared" si="5"/>
        <v>-6.6934725964667097E-2</v>
      </c>
      <c r="P103" s="17">
        <f t="shared" si="5"/>
        <v>-4.4067796610169491E-2</v>
      </c>
      <c r="Q103" s="18">
        <f t="shared" si="6"/>
        <v>108.40735221063092</v>
      </c>
      <c r="R103" s="18">
        <f t="shared" si="7"/>
        <v>93.098976109215016</v>
      </c>
      <c r="S103" s="35">
        <f>(S102-SUM(E101:E107))/SUM(E101:E107)</f>
        <v>1.2796343757958389E-2</v>
      </c>
      <c r="T103" s="48">
        <f>SUM(I101:I107)/SUM(K101:K107)</f>
        <v>106.06268420674287</v>
      </c>
      <c r="U103" s="1738"/>
    </row>
    <row r="104" spans="1:21">
      <c r="A104" s="10" t="s">
        <v>13</v>
      </c>
      <c r="B104" s="19">
        <f>CHAMNORD!B104</f>
        <v>46121</v>
      </c>
      <c r="C104" s="75">
        <f>IF(H104=0,"",'[4]2025-2026'!C103)</f>
        <v>11814.13</v>
      </c>
      <c r="D104" s="68">
        <f>'[4]2025'!C104</f>
        <v>9504.56</v>
      </c>
      <c r="E104" s="68">
        <f>'[4]2025'!D104</f>
        <v>9434.9599999999991</v>
      </c>
      <c r="F104" s="12">
        <f>'[4]2025'!E104</f>
        <v>526</v>
      </c>
      <c r="G104" s="73">
        <f>'[4]2025'!F104</f>
        <v>9300</v>
      </c>
      <c r="H104" s="42">
        <f>'[4]2025'!G104</f>
        <v>9827.42</v>
      </c>
      <c r="I104" s="13">
        <f>'[4]2025'!H104</f>
        <v>9680.3799999999992</v>
      </c>
      <c r="J104" s="14">
        <f>'[4]2025'!I104</f>
        <v>500</v>
      </c>
      <c r="K104" s="15">
        <f>'[4]2025'!J104</f>
        <v>89.73</v>
      </c>
      <c r="L104" s="15">
        <f>'[4]2025'!K104</f>
        <v>106.26</v>
      </c>
      <c r="M104" s="15">
        <f>'[4]2025'!L104</f>
        <v>23.47</v>
      </c>
      <c r="N104" s="16">
        <f t="shared" si="4"/>
        <v>2.4244916005363428E-3</v>
      </c>
      <c r="O104" s="17">
        <f t="shared" si="5"/>
        <v>2.6011768995311067E-2</v>
      </c>
      <c r="P104" s="17">
        <f t="shared" si="5"/>
        <v>-4.9429657794676805E-2</v>
      </c>
      <c r="Q104" s="18">
        <f t="shared" si="6"/>
        <v>107.88342806196366</v>
      </c>
      <c r="R104" s="18">
        <f t="shared" si="7"/>
        <v>91.100884622623738</v>
      </c>
      <c r="S104" s="34"/>
      <c r="T104" s="29" t="s">
        <v>8</v>
      </c>
      <c r="U104" s="1738"/>
    </row>
    <row r="105" spans="1:21">
      <c r="A105" s="10" t="s">
        <v>14</v>
      </c>
      <c r="B105" s="19">
        <f>CHAMNORD!B105</f>
        <v>46122</v>
      </c>
      <c r="C105" s="75">
        <f>IF(H105=0,"",'[4]2025-2026'!C104)</f>
        <v>9504.56</v>
      </c>
      <c r="D105" s="68">
        <f>'[4]2025'!C105</f>
        <v>14256.37</v>
      </c>
      <c r="E105" s="68">
        <f>'[4]2025'!D105</f>
        <v>14151.47</v>
      </c>
      <c r="F105" s="12">
        <f>'[4]2025'!E105</f>
        <v>719</v>
      </c>
      <c r="G105" s="73">
        <f>'[4]2025'!F105</f>
        <v>14000</v>
      </c>
      <c r="H105" s="42">
        <f>'[4]2025'!G105</f>
        <v>13629.52</v>
      </c>
      <c r="I105" s="13">
        <f>'[4]2025'!H105</f>
        <v>13391.16</v>
      </c>
      <c r="J105" s="14">
        <f>'[4]2025'!I105</f>
        <v>645</v>
      </c>
      <c r="K105" s="15">
        <f>'[4]2025'!J105</f>
        <v>135.66</v>
      </c>
      <c r="L105" s="15">
        <f>'[4]2025'!K105</f>
        <v>153.03</v>
      </c>
      <c r="M105" s="15">
        <f>'[4]2025'!L105</f>
        <v>39.39</v>
      </c>
      <c r="N105" s="16">
        <f t="shared" si="4"/>
        <v>2.9414927459607684E-3</v>
      </c>
      <c r="O105" s="17">
        <f t="shared" si="5"/>
        <v>-5.3726573988426611E-2</v>
      </c>
      <c r="P105" s="17">
        <f t="shared" si="5"/>
        <v>-0.10292072322670376</v>
      </c>
      <c r="Q105" s="18">
        <f t="shared" si="6"/>
        <v>98.711189739053523</v>
      </c>
      <c r="R105" s="18">
        <f t="shared" si="7"/>
        <v>87.506763379729463</v>
      </c>
      <c r="S105" s="36" t="s">
        <v>40</v>
      </c>
      <c r="T105" s="48">
        <f>SUM(I101:I107)/SUM(L101:L107)</f>
        <v>92.810408454248105</v>
      </c>
      <c r="U105" s="1738"/>
    </row>
    <row r="106" spans="1:21">
      <c r="A106" s="10" t="s">
        <v>15</v>
      </c>
      <c r="B106" s="19">
        <f>CHAMNORD!B106</f>
        <v>46123</v>
      </c>
      <c r="C106" s="75">
        <f>IF(H106=0,"",'[4]2025-2026'!C105)</f>
        <v>14256.37</v>
      </c>
      <c r="D106" s="68">
        <f>'[4]2025'!C106</f>
        <v>18112.419999999998</v>
      </c>
      <c r="E106" s="68">
        <f>'[4]2025'!D106</f>
        <v>17938.13</v>
      </c>
      <c r="F106" s="12">
        <f>'[4]2025'!E106</f>
        <v>875</v>
      </c>
      <c r="G106" s="73">
        <f>'[4]2025'!F106</f>
        <v>17700</v>
      </c>
      <c r="H106" s="42">
        <f>'[4]2025'!G106</f>
        <v>14129.19</v>
      </c>
      <c r="I106" s="13">
        <f>'[4]2025'!H106</f>
        <v>13874.02</v>
      </c>
      <c r="J106" s="14">
        <f>'[4]2025'!I106</f>
        <v>667</v>
      </c>
      <c r="K106" s="15">
        <f>'[4]2025'!J106</f>
        <v>138.06</v>
      </c>
      <c r="L106" s="15">
        <f>'[4]2025'!K106</f>
        <v>155.44</v>
      </c>
      <c r="M106" s="15">
        <f>'[4]2025'!L106</f>
        <v>28.22</v>
      </c>
      <c r="N106" s="16">
        <f t="shared" si="4"/>
        <v>2.0340175378152836E-3</v>
      </c>
      <c r="O106" s="17">
        <f t="shared" si="5"/>
        <v>-0.2265626350126797</v>
      </c>
      <c r="P106" s="17">
        <f t="shared" si="5"/>
        <v>-0.23771428571428571</v>
      </c>
      <c r="Q106" s="18">
        <f t="shared" si="6"/>
        <v>100.49268434014196</v>
      </c>
      <c r="R106" s="18">
        <f t="shared" si="7"/>
        <v>89.256433350488933</v>
      </c>
      <c r="S106" s="36">
        <f>SUM(J101:J107)</f>
        <v>4214</v>
      </c>
      <c r="T106" s="30" t="s">
        <v>3</v>
      </c>
      <c r="U106" s="1738"/>
    </row>
    <row r="107" spans="1:21" ht="18" thickBot="1">
      <c r="A107" s="10" t="s">
        <v>16</v>
      </c>
      <c r="B107" s="19">
        <f>CHAMNORD!B107</f>
        <v>46124</v>
      </c>
      <c r="C107" s="75">
        <f>IF(H107=0,"",'[4]2025-2026'!C106)</f>
        <v>18112.419999999998</v>
      </c>
      <c r="D107" s="68">
        <f>'[4]2025'!C107</f>
        <v>17092.7</v>
      </c>
      <c r="E107" s="68">
        <f>'[4]2025'!D107</f>
        <v>16960.86</v>
      </c>
      <c r="F107" s="12">
        <f>'[4]2025'!E107</f>
        <v>777</v>
      </c>
      <c r="G107" s="73">
        <f>'[4]2025'!F107</f>
        <v>16800</v>
      </c>
      <c r="H107" s="42">
        <f>'[4]2025'!G107</f>
        <v>16259.2</v>
      </c>
      <c r="I107" s="13">
        <f>'[4]2025'!H107</f>
        <v>16017.69</v>
      </c>
      <c r="J107" s="14">
        <f>'[4]2025'!I107</f>
        <v>665</v>
      </c>
      <c r="K107" s="15">
        <f>'[4]2025'!J107</f>
        <v>140.11000000000001</v>
      </c>
      <c r="L107" s="15">
        <f>'[4]2025'!K107</f>
        <v>156.49</v>
      </c>
      <c r="M107" s="15">
        <f>'[4]2025'!L107</f>
        <v>24.9</v>
      </c>
      <c r="N107" s="16">
        <f t="shared" si="4"/>
        <v>1.5545312713630989E-3</v>
      </c>
      <c r="O107" s="17">
        <f t="shared" si="5"/>
        <v>-5.5608618902579232E-2</v>
      </c>
      <c r="P107" s="17">
        <f t="shared" si="5"/>
        <v>-0.14414414414414414</v>
      </c>
      <c r="Q107" s="18">
        <f t="shared" si="6"/>
        <v>114.32224680608093</v>
      </c>
      <c r="R107" s="18">
        <f t="shared" si="7"/>
        <v>102.35599718831874</v>
      </c>
      <c r="S107" s="37">
        <f>(S106-SUM(F101:F107))/SUM(F101:F107)</f>
        <v>-5.0259184133423486E-2</v>
      </c>
      <c r="T107" s="47">
        <f>SUM(M101:M107)/SUM(I101:I107)</f>
        <v>2.4406311888401952E-3</v>
      </c>
      <c r="U107" s="1739"/>
    </row>
    <row r="108" spans="1:21" ht="17" customHeight="1" thickTop="1">
      <c r="A108" s="10" t="s">
        <v>9</v>
      </c>
      <c r="B108" s="19">
        <f>CHAMNORD!B108</f>
        <v>46125</v>
      </c>
      <c r="C108" s="75">
        <f>IF(H108=0,"",'[4]2025-2026'!C107)</f>
        <v>17092.7</v>
      </c>
      <c r="D108" s="68">
        <f>'[4]2025'!C108</f>
        <v>7476.57</v>
      </c>
      <c r="E108" s="68">
        <f>'[4]2025'!D108</f>
        <v>7414.85</v>
      </c>
      <c r="F108" s="12">
        <f>'[4]2025'!E108</f>
        <v>435</v>
      </c>
      <c r="G108" s="73">
        <f>'[4]2025'!F108</f>
        <v>7300</v>
      </c>
      <c r="H108" s="42">
        <f>'[4]2025'!G108</f>
        <v>8922.75</v>
      </c>
      <c r="I108" s="13">
        <f>'[4]2025'!H108</f>
        <v>8799.07</v>
      </c>
      <c r="J108" s="14">
        <f>'[4]2025'!I108</f>
        <v>450</v>
      </c>
      <c r="K108" s="15">
        <f>'[4]2025'!J108</f>
        <v>98.699999999999989</v>
      </c>
      <c r="L108" s="15">
        <f>'[4]2025'!K108</f>
        <v>107.02</v>
      </c>
      <c r="M108" s="15">
        <f>'[4]2025'!L108</f>
        <v>26.53</v>
      </c>
      <c r="N108" s="16">
        <f t="shared" si="4"/>
        <v>3.0150913676104409E-3</v>
      </c>
      <c r="O108" s="17">
        <f t="shared" si="5"/>
        <v>0.18668213112874829</v>
      </c>
      <c r="P108" s="17">
        <f t="shared" si="5"/>
        <v>3.4482758620689655E-2</v>
      </c>
      <c r="Q108" s="18">
        <f t="shared" si="6"/>
        <v>89.14964539007093</v>
      </c>
      <c r="R108" s="18">
        <f t="shared" si="7"/>
        <v>82.218931040926932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19">
        <f>CHAMNORD!B109</f>
        <v>46126</v>
      </c>
      <c r="C109" s="75">
        <f>IF(H109=0,"",'[4]2025-2026'!C108)</f>
        <v>7476.57</v>
      </c>
      <c r="D109" s="68">
        <f>'[4]2025'!C109</f>
        <v>8998.8700000000008</v>
      </c>
      <c r="E109" s="68">
        <f>'[4]2025'!D109</f>
        <v>8932.58</v>
      </c>
      <c r="F109" s="12">
        <f>'[4]2025'!E109</f>
        <v>477</v>
      </c>
      <c r="G109" s="73">
        <f>'[4]2025'!F109</f>
        <v>8700</v>
      </c>
      <c r="H109" s="42">
        <f>'[4]2025'!G109</f>
        <v>10154.84</v>
      </c>
      <c r="I109" s="13">
        <f>'[4]2025'!H109</f>
        <v>9986.99</v>
      </c>
      <c r="J109" s="14">
        <f>'[4]2025'!I109</f>
        <v>490</v>
      </c>
      <c r="K109" s="15">
        <f>'[4]2025'!J109</f>
        <v>96.16</v>
      </c>
      <c r="L109" s="15">
        <f>'[4]2025'!K109</f>
        <v>113.52</v>
      </c>
      <c r="M109" s="15">
        <f>'[4]2025'!L109</f>
        <v>22.08</v>
      </c>
      <c r="N109" s="16">
        <f t="shared" si="4"/>
        <v>2.2108763501315211E-3</v>
      </c>
      <c r="O109" s="17">
        <f t="shared" si="5"/>
        <v>0.11804092434660533</v>
      </c>
      <c r="P109" s="17">
        <f t="shared" si="5"/>
        <v>2.7253668763102725E-2</v>
      </c>
      <c r="Q109" s="18">
        <f t="shared" si="6"/>
        <v>103.85804908485856</v>
      </c>
      <c r="R109" s="18">
        <f t="shared" si="7"/>
        <v>87.975599013389711</v>
      </c>
      <c r="S109" s="34">
        <f>SUM(I108:I114)</f>
        <v>80031.069999999992</v>
      </c>
      <c r="T109" s="45" t="s">
        <v>41</v>
      </c>
      <c r="U109" s="1738"/>
    </row>
    <row r="110" spans="1:21">
      <c r="A110" s="10" t="s">
        <v>12</v>
      </c>
      <c r="B110" s="19">
        <f>CHAMNORD!B110</f>
        <v>46127</v>
      </c>
      <c r="C110" s="75">
        <f>IF(H110=0,"",'[4]2025-2026'!C109)</f>
        <v>8998.8700000000008</v>
      </c>
      <c r="D110" s="68">
        <f>'[4]2025'!C110</f>
        <v>11495.97</v>
      </c>
      <c r="E110" s="68">
        <f>'[4]2025'!D110</f>
        <v>11383.63</v>
      </c>
      <c r="F110" s="12">
        <f>'[4]2025'!E110</f>
        <v>591</v>
      </c>
      <c r="G110" s="73">
        <f>'[4]2025'!F110</f>
        <v>11100</v>
      </c>
      <c r="H110" s="42">
        <f>'[4]2025'!G110</f>
        <v>9779.06</v>
      </c>
      <c r="I110" s="13">
        <f>'[4]2025'!H110</f>
        <v>9630.65</v>
      </c>
      <c r="J110" s="14">
        <f>'[4]2025'!I110</f>
        <v>466</v>
      </c>
      <c r="K110" s="15">
        <f>'[4]2025'!J110</f>
        <v>96.960000000000008</v>
      </c>
      <c r="L110" s="15">
        <f>'[4]2025'!K110</f>
        <v>105.18</v>
      </c>
      <c r="M110" s="15">
        <f>'[4]2025'!L110</f>
        <v>33.76</v>
      </c>
      <c r="N110" s="16">
        <f t="shared" si="4"/>
        <v>3.5054747083530188E-3</v>
      </c>
      <c r="O110" s="17">
        <f t="shared" si="5"/>
        <v>-0.15399130154441068</v>
      </c>
      <c r="P110" s="17">
        <f t="shared" si="5"/>
        <v>-0.21150592216582065</v>
      </c>
      <c r="Q110" s="18">
        <f t="shared" si="6"/>
        <v>99.326010726072596</v>
      </c>
      <c r="R110" s="18">
        <f t="shared" si="7"/>
        <v>91.56351017303669</v>
      </c>
      <c r="S110" s="35">
        <f>(S109-SUM(E108:E114))/SUM(E108:E114)</f>
        <v>1.9326700602162589E-2</v>
      </c>
      <c r="T110" s="48">
        <f>SUM(I108:I114)/SUM(K108:K114)</f>
        <v>98.01771227293213</v>
      </c>
      <c r="U110" s="1738"/>
    </row>
    <row r="111" spans="1:21">
      <c r="A111" s="10" t="s">
        <v>13</v>
      </c>
      <c r="B111" s="19">
        <f>CHAMNORD!B111</f>
        <v>46128</v>
      </c>
      <c r="C111" s="75">
        <f>IF(H111=0,"",'[4]2025-2026'!C110)</f>
        <v>11495.97</v>
      </c>
      <c r="D111" s="68">
        <f>'[4]2025'!C111</f>
        <v>9042.5300000000007</v>
      </c>
      <c r="E111" s="68">
        <f>'[4]2025'!D111</f>
        <v>8974.9</v>
      </c>
      <c r="F111" s="12">
        <f>'[4]2025'!E111</f>
        <v>483</v>
      </c>
      <c r="G111" s="73">
        <f>'[4]2025'!F111</f>
        <v>8800</v>
      </c>
      <c r="H111" s="42">
        <f>'[4]2025'!G111</f>
        <v>10769.55</v>
      </c>
      <c r="I111" s="13">
        <f>'[4]2025'!H111</f>
        <v>10571.18</v>
      </c>
      <c r="J111" s="14">
        <f>'[4]2025'!I111</f>
        <v>516</v>
      </c>
      <c r="K111" s="15">
        <f>'[4]2025'!J111</f>
        <v>97.71</v>
      </c>
      <c r="L111" s="15">
        <f>'[4]2025'!K111</f>
        <v>115.05</v>
      </c>
      <c r="M111" s="15">
        <f>'[4]2025'!L111</f>
        <v>26.07</v>
      </c>
      <c r="N111" s="16">
        <f t="shared" si="4"/>
        <v>2.4661390686753987E-3</v>
      </c>
      <c r="O111" s="17">
        <f t="shared" si="5"/>
        <v>0.17786047755406753</v>
      </c>
      <c r="P111" s="17">
        <f t="shared" si="5"/>
        <v>6.8322981366459631E-2</v>
      </c>
      <c r="Q111" s="18">
        <f t="shared" si="6"/>
        <v>108.18933578958142</v>
      </c>
      <c r="R111" s="18">
        <f t="shared" si="7"/>
        <v>91.883355063016083</v>
      </c>
      <c r="S111" s="34"/>
      <c r="T111" s="29" t="s">
        <v>8</v>
      </c>
      <c r="U111" s="1738"/>
    </row>
    <row r="112" spans="1:21">
      <c r="A112" s="10" t="s">
        <v>14</v>
      </c>
      <c r="B112" s="19">
        <f>CHAMNORD!B112</f>
        <v>46129</v>
      </c>
      <c r="C112" s="75">
        <f>IF(H112=0,"",'[4]2025-2026'!C111)</f>
        <v>9042.5300000000007</v>
      </c>
      <c r="D112" s="68">
        <f>'[4]2025'!C112</f>
        <v>14830.3</v>
      </c>
      <c r="E112" s="68">
        <f>'[4]2025'!D112</f>
        <v>14701.58</v>
      </c>
      <c r="F112" s="12">
        <f>'[4]2025'!E112</f>
        <v>769</v>
      </c>
      <c r="G112" s="73">
        <f>'[4]2025'!F112</f>
        <v>14400</v>
      </c>
      <c r="H112" s="42">
        <f>'[4]2025'!G112</f>
        <v>13968.41</v>
      </c>
      <c r="I112" s="13">
        <f>'[4]2025'!H112</f>
        <v>13740.29</v>
      </c>
      <c r="J112" s="14">
        <f>'[4]2025'!I112</f>
        <v>618</v>
      </c>
      <c r="K112" s="15">
        <f>'[4]2025'!J112</f>
        <v>135.72999999999999</v>
      </c>
      <c r="L112" s="15">
        <f>'[4]2025'!K112</f>
        <v>153.37</v>
      </c>
      <c r="M112" s="15">
        <f>'[4]2025'!L112</f>
        <v>38.020000000000003</v>
      </c>
      <c r="N112" s="16">
        <f t="shared" si="4"/>
        <v>2.7670449459218111E-3</v>
      </c>
      <c r="O112" s="17">
        <f t="shared" si="5"/>
        <v>-6.5386849576712106E-2</v>
      </c>
      <c r="P112" s="17">
        <f t="shared" si="5"/>
        <v>-0.19635890767230169</v>
      </c>
      <c r="Q112" s="18">
        <f t="shared" si="6"/>
        <v>101.23252044500111</v>
      </c>
      <c r="R112" s="18">
        <f t="shared" si="7"/>
        <v>89.589163460911521</v>
      </c>
      <c r="S112" s="36" t="s">
        <v>40</v>
      </c>
      <c r="T112" s="48">
        <f>SUM(I108:I114)/SUM(L108:L114)</f>
        <v>87.12382020270195</v>
      </c>
      <c r="U112" s="1738"/>
    </row>
    <row r="113" spans="1:21">
      <c r="A113" s="10" t="s">
        <v>15</v>
      </c>
      <c r="B113" s="19">
        <f>CHAMNORD!B113</f>
        <v>46130</v>
      </c>
      <c r="C113" s="75">
        <f>IF(H113=0,"",'[4]2025-2026'!C112)</f>
        <v>14830.3</v>
      </c>
      <c r="D113" s="68">
        <f>'[4]2025'!C113</f>
        <v>14082.14</v>
      </c>
      <c r="E113" s="68">
        <f>'[4]2025'!D113</f>
        <v>13945.01</v>
      </c>
      <c r="F113" s="12">
        <f>'[4]2025'!E113</f>
        <v>676</v>
      </c>
      <c r="G113" s="73">
        <f>'[4]2025'!F113</f>
        <v>13600</v>
      </c>
      <c r="H113" s="42">
        <f>'[4]2025'!G113</f>
        <v>12371.73</v>
      </c>
      <c r="I113" s="13">
        <f>'[4]2025'!H113</f>
        <v>12201.63</v>
      </c>
      <c r="J113" s="14">
        <f>'[4]2025'!I113</f>
        <v>610</v>
      </c>
      <c r="K113" s="15">
        <f>'[4]2025'!J113</f>
        <v>154.39600000000002</v>
      </c>
      <c r="L113" s="15">
        <f>'[4]2025'!K113</f>
        <v>171.15</v>
      </c>
      <c r="M113" s="15">
        <f>'[4]2025'!L113</f>
        <v>40.68</v>
      </c>
      <c r="N113" s="16">
        <f t="shared" si="4"/>
        <v>3.3339807878127762E-3</v>
      </c>
      <c r="O113" s="17">
        <f t="shared" si="5"/>
        <v>-0.1250181964731471</v>
      </c>
      <c r="P113" s="17">
        <f t="shared" si="5"/>
        <v>-9.7633136094674555E-2</v>
      </c>
      <c r="Q113" s="18">
        <f t="shared" si="6"/>
        <v>79.028148397626865</v>
      </c>
      <c r="R113" s="18">
        <f t="shared" si="7"/>
        <v>71.292024539877289</v>
      </c>
      <c r="S113" s="36">
        <f>SUM(J108:J114)</f>
        <v>3823</v>
      </c>
      <c r="T113" s="30" t="s">
        <v>3</v>
      </c>
      <c r="U113" s="1738"/>
    </row>
    <row r="114" spans="1:21" ht="18" thickBot="1">
      <c r="A114" s="10" t="s">
        <v>16</v>
      </c>
      <c r="B114" s="19">
        <f>CHAMNORD!B114</f>
        <v>46131</v>
      </c>
      <c r="C114" s="75">
        <f>IF(H114=0,"",'[4]2025-2026'!C113)</f>
        <v>14082.14</v>
      </c>
      <c r="D114" s="68">
        <f>'[4]2025'!C114</f>
        <v>13280.75</v>
      </c>
      <c r="E114" s="68">
        <f>'[4]2025'!D114</f>
        <v>13161.11</v>
      </c>
      <c r="F114" s="12">
        <f>'[4]2025'!E114</f>
        <v>689</v>
      </c>
      <c r="G114" s="73">
        <f>'[4]2025'!F114</f>
        <v>14400</v>
      </c>
      <c r="H114" s="42">
        <f>'[4]2025'!G114</f>
        <v>15313.15</v>
      </c>
      <c r="I114" s="13">
        <f>'[4]2025'!H114</f>
        <v>15101.26</v>
      </c>
      <c r="J114" s="14">
        <f>'[4]2025'!I114</f>
        <v>673</v>
      </c>
      <c r="K114" s="15">
        <f>'[4]2025'!J114</f>
        <v>136.84</v>
      </c>
      <c r="L114" s="15">
        <f>'[4]2025'!K114</f>
        <v>153.30000000000001</v>
      </c>
      <c r="M114" s="15">
        <f>'[4]2025'!L114</f>
        <v>37.71</v>
      </c>
      <c r="N114" s="16">
        <f t="shared" si="4"/>
        <v>2.4971426225361328E-3</v>
      </c>
      <c r="O114" s="17">
        <f t="shared" si="5"/>
        <v>0.14741537757833492</v>
      </c>
      <c r="P114" s="17">
        <f t="shared" si="5"/>
        <v>-2.3222060957910014E-2</v>
      </c>
      <c r="Q114" s="18">
        <f t="shared" si="6"/>
        <v>110.35705933937444</v>
      </c>
      <c r="R114" s="18">
        <f t="shared" si="7"/>
        <v>98.507893020221786</v>
      </c>
      <c r="S114" s="37">
        <f>(S113-SUM(F108:F114))/SUM(F108:F114)</f>
        <v>-7.2087378640776703E-2</v>
      </c>
      <c r="T114" s="47">
        <f>SUM(M108:M114)/SUM(I108:I114)</f>
        <v>2.8095338472920585E-3</v>
      </c>
      <c r="U114" s="1739"/>
    </row>
    <row r="115" spans="1:21" ht="17" customHeight="1" thickTop="1">
      <c r="A115" s="10" t="s">
        <v>9</v>
      </c>
      <c r="B115" s="19">
        <f>CHAMNORD!B115</f>
        <v>46132</v>
      </c>
      <c r="C115" s="75">
        <f>IF(H115=0,"",'[4]2025-2026'!C114)</f>
        <v>13280.75</v>
      </c>
      <c r="D115" s="68">
        <f>'[4]2025'!C115</f>
        <v>14382.01</v>
      </c>
      <c r="E115" s="68">
        <f>'[4]2025'!D115</f>
        <v>14277.96</v>
      </c>
      <c r="F115" s="12">
        <f>'[4]2025'!E115</f>
        <v>709</v>
      </c>
      <c r="G115" s="73">
        <f>'[4]2025'!F115</f>
        <v>10400</v>
      </c>
      <c r="H115" s="42">
        <f>'[4]2025'!G115</f>
        <v>7671.37</v>
      </c>
      <c r="I115" s="13">
        <f>'[4]2025'!H115</f>
        <v>7559.77</v>
      </c>
      <c r="J115" s="14">
        <f>'[4]2025'!I115</f>
        <v>391</v>
      </c>
      <c r="K115" s="15">
        <f>'[4]2025'!J115</f>
        <v>96.8</v>
      </c>
      <c r="L115" s="15">
        <f>'[4]2025'!K115</f>
        <v>105.1</v>
      </c>
      <c r="M115" s="15">
        <f>'[4]2025'!L115</f>
        <v>50.9</v>
      </c>
      <c r="N115" s="16">
        <f t="shared" si="4"/>
        <v>6.7330090730273531E-3</v>
      </c>
      <c r="O115" s="17">
        <f t="shared" si="5"/>
        <v>-0.47052870297997745</v>
      </c>
      <c r="P115" s="17">
        <f t="shared" si="5"/>
        <v>-0.44851904090267986</v>
      </c>
      <c r="Q115" s="18">
        <f t="shared" si="6"/>
        <v>78.09679752066117</v>
      </c>
      <c r="R115" s="18">
        <f t="shared" si="7"/>
        <v>71.929305423406291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19">
        <f>CHAMNORD!B116</f>
        <v>46133</v>
      </c>
      <c r="C116" s="75">
        <f>IF(H116=0,"",'[4]2025-2026'!C115)</f>
        <v>14382.01</v>
      </c>
      <c r="D116" s="68">
        <f>'[4]2025'!C116</f>
        <v>10163.950000000001</v>
      </c>
      <c r="E116" s="68">
        <f>'[4]2025'!D116</f>
        <v>10065.629999999999</v>
      </c>
      <c r="F116" s="12">
        <f>'[4]2025'!E116</f>
        <v>549</v>
      </c>
      <c r="G116" s="73">
        <f>'[4]2025'!F116</f>
        <v>10000</v>
      </c>
      <c r="H116" s="42">
        <f>'[4]2025'!G116</f>
        <v>7309.44</v>
      </c>
      <c r="I116" s="13">
        <f>'[4]2025'!H116</f>
        <v>7216.33</v>
      </c>
      <c r="J116" s="14">
        <f>'[4]2025'!I116</f>
        <v>421</v>
      </c>
      <c r="K116" s="15">
        <f>'[4]2025'!J116</f>
        <v>104.81</v>
      </c>
      <c r="L116" s="15">
        <f>'[4]2025'!K116</f>
        <v>114.06</v>
      </c>
      <c r="M116" s="15">
        <f>'[4]2025'!L116</f>
        <v>27.9</v>
      </c>
      <c r="N116" s="16">
        <f t="shared" si="4"/>
        <v>3.8662311729092212E-3</v>
      </c>
      <c r="O116" s="17">
        <f t="shared" si="5"/>
        <v>-0.28307219716997339</v>
      </c>
      <c r="P116" s="17">
        <f t="shared" si="5"/>
        <v>-0.2331511839708561</v>
      </c>
      <c r="Q116" s="18">
        <f t="shared" si="6"/>
        <v>68.851540883503475</v>
      </c>
      <c r="R116" s="18">
        <f t="shared" si="7"/>
        <v>63.267841486936696</v>
      </c>
      <c r="S116" s="34">
        <f>SUM(I115:I121)</f>
        <v>73842.22</v>
      </c>
      <c r="T116" s="45" t="s">
        <v>41</v>
      </c>
      <c r="U116" s="1738"/>
    </row>
    <row r="117" spans="1:21">
      <c r="A117" s="10" t="s">
        <v>12</v>
      </c>
      <c r="B117" s="19">
        <f>CHAMNORD!B117</f>
        <v>46134</v>
      </c>
      <c r="C117" s="75">
        <f>IF(H117=0,"",'[4]2025-2026'!C116)</f>
        <v>10163.950000000001</v>
      </c>
      <c r="D117" s="68">
        <f>'[4]2025'!C117</f>
        <v>10332.4</v>
      </c>
      <c r="E117" s="68">
        <f>'[4]2025'!D117</f>
        <v>10229.780000000001</v>
      </c>
      <c r="F117" s="12">
        <f>'[4]2025'!E117</f>
        <v>551</v>
      </c>
      <c r="G117" s="73">
        <f>'[4]2025'!F117</f>
        <v>10200</v>
      </c>
      <c r="H117" s="42">
        <f>'[4]2025'!G117</f>
        <v>11657.2</v>
      </c>
      <c r="I117" s="13">
        <f>'[4]2025'!H117</f>
        <v>11461.34</v>
      </c>
      <c r="J117" s="14">
        <f>'[4]2025'!I117</f>
        <v>543</v>
      </c>
      <c r="K117" s="15">
        <f>'[4]2025'!J117</f>
        <v>125.52000000000002</v>
      </c>
      <c r="L117" s="15">
        <f>'[4]2025'!K117</f>
        <v>144.11000000000001</v>
      </c>
      <c r="M117" s="15">
        <f>'[4]2025'!L117</f>
        <v>56.67</v>
      </c>
      <c r="N117" s="16">
        <f t="shared" si="4"/>
        <v>4.94444803138202E-3</v>
      </c>
      <c r="O117" s="17">
        <f t="shared" si="5"/>
        <v>0.12038968579969456</v>
      </c>
      <c r="P117" s="17">
        <f t="shared" si="5"/>
        <v>-1.4519056261343012E-2</v>
      </c>
      <c r="Q117" s="18">
        <f t="shared" si="6"/>
        <v>91.310866794136373</v>
      </c>
      <c r="R117" s="18">
        <f t="shared" si="7"/>
        <v>79.531885365345914</v>
      </c>
      <c r="S117" s="35">
        <f>(S116-SUM(E115:E121))/SUM(E115:E121)</f>
        <v>-0.13235837033976836</v>
      </c>
      <c r="T117" s="48">
        <f>SUM(I115:I121)/SUM(K115:K121)</f>
        <v>85.207149615748534</v>
      </c>
      <c r="U117" s="1738"/>
    </row>
    <row r="118" spans="1:21">
      <c r="A118" s="10" t="s">
        <v>13</v>
      </c>
      <c r="B118" s="19">
        <f>CHAMNORD!B118</f>
        <v>46135</v>
      </c>
      <c r="C118" s="75">
        <f>IF(H118=0,"",'[4]2025-2026'!C117)</f>
        <v>10332.4</v>
      </c>
      <c r="D118" s="68">
        <f>'[4]2025'!C118</f>
        <v>9814.7900000000009</v>
      </c>
      <c r="E118" s="68">
        <f>'[4]2025'!D118</f>
        <v>9715.33</v>
      </c>
      <c r="F118" s="12">
        <f>'[4]2025'!E118</f>
        <v>514</v>
      </c>
      <c r="G118" s="73">
        <f>'[4]2025'!F118</f>
        <v>9700</v>
      </c>
      <c r="H118" s="42">
        <f>'[4]2025'!G118</f>
        <v>7816.38</v>
      </c>
      <c r="I118" s="13">
        <f>'[4]2025'!H118</f>
        <v>7726.97</v>
      </c>
      <c r="J118" s="14">
        <f>'[4]2025'!I118</f>
        <v>433</v>
      </c>
      <c r="K118" s="15">
        <f>'[4]2025'!J118</f>
        <v>96.02</v>
      </c>
      <c r="L118" s="15">
        <f>'[4]2025'!K118</f>
        <v>113.26</v>
      </c>
      <c r="M118" s="15">
        <f>'[4]2025'!L118</f>
        <v>39.94</v>
      </c>
      <c r="N118" s="16">
        <f t="shared" si="4"/>
        <v>5.1689083819401391E-3</v>
      </c>
      <c r="O118" s="17">
        <f t="shared" si="5"/>
        <v>-0.2046621164695383</v>
      </c>
      <c r="P118" s="17">
        <f t="shared" si="5"/>
        <v>-0.15758754863813229</v>
      </c>
      <c r="Q118" s="18">
        <f t="shared" si="6"/>
        <v>80.472505727973342</v>
      </c>
      <c r="R118" s="18">
        <f t="shared" si="7"/>
        <v>68.223291541585738</v>
      </c>
      <c r="S118" s="34"/>
      <c r="T118" s="29" t="s">
        <v>8</v>
      </c>
      <c r="U118" s="1738"/>
    </row>
    <row r="119" spans="1:21">
      <c r="A119" s="10" t="s">
        <v>14</v>
      </c>
      <c r="B119" s="19">
        <f>CHAMNORD!B119</f>
        <v>46136</v>
      </c>
      <c r="C119" s="75">
        <f>IF(H119=0,"",'[4]2025-2026'!C118)</f>
        <v>9814.7900000000009</v>
      </c>
      <c r="D119" s="68">
        <f>'[4]2025'!C119</f>
        <v>12959.84</v>
      </c>
      <c r="E119" s="68">
        <f>'[4]2025'!D119</f>
        <v>12835.57</v>
      </c>
      <c r="F119" s="12">
        <f>'[4]2025'!E119</f>
        <v>643</v>
      </c>
      <c r="G119" s="73">
        <f>'[4]2025'!F119</f>
        <v>12800</v>
      </c>
      <c r="H119" s="42">
        <f>'[4]2025'!G119</f>
        <v>12175.24</v>
      </c>
      <c r="I119" s="13">
        <f>'[4]2025'!H119</f>
        <v>12037.52</v>
      </c>
      <c r="J119" s="14">
        <f>'[4]2025'!I119</f>
        <v>610</v>
      </c>
      <c r="K119" s="15">
        <f>'[4]2025'!J119</f>
        <v>142.91</v>
      </c>
      <c r="L119" s="15">
        <f>'[4]2025'!K119</f>
        <v>151.34</v>
      </c>
      <c r="M119" s="15">
        <f>'[4]2025'!L119</f>
        <v>59.88</v>
      </c>
      <c r="N119" s="16">
        <f t="shared" si="4"/>
        <v>4.9744465637440267E-3</v>
      </c>
      <c r="O119" s="17">
        <f t="shared" si="5"/>
        <v>-6.2174878092675225E-2</v>
      </c>
      <c r="P119" s="17">
        <f t="shared" si="5"/>
        <v>-5.1321928460342149E-2</v>
      </c>
      <c r="Q119" s="18">
        <f t="shared" si="6"/>
        <v>84.231474354488839</v>
      </c>
      <c r="R119" s="18">
        <f t="shared" si="7"/>
        <v>79.539579754195856</v>
      </c>
      <c r="S119" s="36" t="s">
        <v>40</v>
      </c>
      <c r="T119" s="48">
        <f>SUM(I115:I121)/SUM(L115:L121)</f>
        <v>76.217146278023208</v>
      </c>
      <c r="U119" s="1738"/>
    </row>
    <row r="120" spans="1:21">
      <c r="A120" s="10" t="s">
        <v>15</v>
      </c>
      <c r="B120" s="19">
        <f>CHAMNORD!B120</f>
        <v>46137</v>
      </c>
      <c r="C120" s="75">
        <f>IF(H120=0,"",'[4]2025-2026'!C119)</f>
        <v>12959.84</v>
      </c>
      <c r="D120" s="68">
        <f>'[4]2025'!C120</f>
        <v>12293.48</v>
      </c>
      <c r="E120" s="68">
        <f>'[4]2025'!D120</f>
        <v>12170.56</v>
      </c>
      <c r="F120" s="12">
        <f>'[4]2025'!E120</f>
        <v>626</v>
      </c>
      <c r="G120" s="73">
        <f>'[4]2025'!F120</f>
        <v>12200</v>
      </c>
      <c r="H120" s="42">
        <f>'[4]2025'!G120</f>
        <v>13363.27</v>
      </c>
      <c r="I120" s="13">
        <f>'[4]2025'!H120</f>
        <v>13138.6</v>
      </c>
      <c r="J120" s="14">
        <f>'[4]2025'!I120</f>
        <v>666</v>
      </c>
      <c r="K120" s="15">
        <f>'[4]2025'!J120</f>
        <v>140.06</v>
      </c>
      <c r="L120" s="15">
        <f>'[4]2025'!K120</f>
        <v>164.5</v>
      </c>
      <c r="M120" s="15">
        <f>'[4]2025'!L120</f>
        <v>19.96</v>
      </c>
      <c r="N120" s="16">
        <f t="shared" si="4"/>
        <v>1.5191877368973864E-3</v>
      </c>
      <c r="O120" s="17">
        <f t="shared" si="5"/>
        <v>7.9539478873609834E-2</v>
      </c>
      <c r="P120" s="17">
        <f t="shared" si="5"/>
        <v>6.3897763578274758E-2</v>
      </c>
      <c r="Q120" s="18">
        <f t="shared" si="6"/>
        <v>93.806939882907329</v>
      </c>
      <c r="R120" s="18">
        <f t="shared" si="7"/>
        <v>79.869908814589664</v>
      </c>
      <c r="S120" s="36">
        <f>SUM(J115:J121)</f>
        <v>3777</v>
      </c>
      <c r="T120" s="30" t="s">
        <v>3</v>
      </c>
      <c r="U120" s="1738"/>
    </row>
    <row r="121" spans="1:21" ht="18" thickBot="1">
      <c r="A121" s="10" t="s">
        <v>16</v>
      </c>
      <c r="B121" s="19">
        <f>CHAMNORD!B121</f>
        <v>46138</v>
      </c>
      <c r="C121" s="75">
        <f>IF(H121=0,"",'[4]2025-2026'!C120)</f>
        <v>12293.48</v>
      </c>
      <c r="D121" s="68">
        <f>'[4]2025'!C121</f>
        <v>15940.29</v>
      </c>
      <c r="E121" s="68">
        <f>'[4]2025'!D121</f>
        <v>15811.99</v>
      </c>
      <c r="F121" s="12">
        <f>'[4]2025'!E121</f>
        <v>774</v>
      </c>
      <c r="G121" s="73">
        <f>'[4]2025'!F121</f>
        <v>15800</v>
      </c>
      <c r="H121" s="42">
        <f>'[4]2025'!G121</f>
        <v>14924.27</v>
      </c>
      <c r="I121" s="13">
        <f>'[4]2025'!H121</f>
        <v>14701.69</v>
      </c>
      <c r="J121" s="14">
        <f>'[4]2025'!I121</f>
        <v>713</v>
      </c>
      <c r="K121" s="15">
        <f>'[4]2025'!J121</f>
        <v>160.5</v>
      </c>
      <c r="L121" s="15">
        <f>'[4]2025'!K121</f>
        <v>176.47</v>
      </c>
      <c r="M121" s="15">
        <f>'[4]2025'!L121</f>
        <v>30.03</v>
      </c>
      <c r="N121" s="16">
        <f t="shared" si="4"/>
        <v>2.0426223107683538E-3</v>
      </c>
      <c r="O121" s="17">
        <f t="shared" si="5"/>
        <v>-7.0218865557086702E-2</v>
      </c>
      <c r="P121" s="17">
        <f t="shared" si="5"/>
        <v>-7.8811369509043924E-2</v>
      </c>
      <c r="Q121" s="18">
        <f t="shared" si="6"/>
        <v>91.599314641744556</v>
      </c>
      <c r="R121" s="18">
        <f t="shared" si="7"/>
        <v>83.309854366181227</v>
      </c>
      <c r="S121" s="37">
        <f>(S120-SUM(F115:F121))/SUM(F115:F121)</f>
        <v>-0.13490609253321117</v>
      </c>
      <c r="T121" s="47">
        <f>SUM(M115:M121)/SUM(I115:I121)</f>
        <v>3.8633724717377126E-3</v>
      </c>
      <c r="U121" s="1739"/>
    </row>
    <row r="122" spans="1:21" ht="17" customHeight="1" thickTop="1">
      <c r="A122" s="10" t="s">
        <v>9</v>
      </c>
      <c r="B122" s="19">
        <f>CHAMNORD!B122</f>
        <v>46139</v>
      </c>
      <c r="C122" s="75">
        <f>IF(H122=0,"",'[4]2025-2026'!C121)</f>
        <v>15940.29</v>
      </c>
      <c r="D122" s="68">
        <f>'[4]2025'!C122</f>
        <v>10369.85</v>
      </c>
      <c r="E122" s="68">
        <f>'[4]2025'!D122</f>
        <v>10285.36</v>
      </c>
      <c r="F122" s="12">
        <f>'[4]2025'!E122</f>
        <v>591</v>
      </c>
      <c r="G122" s="73">
        <f>'[4]2025'!F122</f>
        <v>10200</v>
      </c>
      <c r="H122" s="42">
        <f>'[4]2025'!G122</f>
        <v>7427.12</v>
      </c>
      <c r="I122" s="13">
        <f>'[4]2025'!H122</f>
        <v>7357.52</v>
      </c>
      <c r="J122" s="14">
        <f>'[4]2025'!I122</f>
        <v>419</v>
      </c>
      <c r="K122" s="15">
        <f>'[4]2025'!J122</f>
        <v>93.5</v>
      </c>
      <c r="L122" s="15">
        <f>'[4]2025'!K122</f>
        <v>110.08</v>
      </c>
      <c r="M122" s="15">
        <f>'[4]2025'!L122</f>
        <v>40.25</v>
      </c>
      <c r="N122" s="16">
        <f t="shared" si="4"/>
        <v>5.4705933521077754E-3</v>
      </c>
      <c r="O122" s="17">
        <f t="shared" si="5"/>
        <v>-0.28466091609822114</v>
      </c>
      <c r="P122" s="17">
        <f t="shared" si="5"/>
        <v>-0.29103214890016921</v>
      </c>
      <c r="Q122" s="18">
        <f t="shared" si="6"/>
        <v>78.690053475935827</v>
      </c>
      <c r="R122" s="18">
        <f t="shared" si="7"/>
        <v>66.837936046511629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19">
        <f>CHAMNORD!B123</f>
        <v>46140</v>
      </c>
      <c r="C123" s="75">
        <f>IF(H123=0,"",'[4]2025-2026'!C122)</f>
        <v>10369.85</v>
      </c>
      <c r="D123" s="68">
        <f>'[4]2025'!C123</f>
        <v>11630.7</v>
      </c>
      <c r="E123" s="68">
        <f>'[4]2025'!D123</f>
        <v>11536.32</v>
      </c>
      <c r="F123" s="12">
        <f>'[4]2025'!E123</f>
        <v>618</v>
      </c>
      <c r="G123" s="73">
        <f>'[4]2025'!F123</f>
        <v>11400</v>
      </c>
      <c r="H123" s="42">
        <f>'[4]2025'!G123</f>
        <v>8651.31</v>
      </c>
      <c r="I123" s="13">
        <f>'[4]2025'!H123</f>
        <v>8545.8700000000008</v>
      </c>
      <c r="J123" s="14">
        <f>'[4]2025'!I123</f>
        <v>437</v>
      </c>
      <c r="K123" s="15">
        <f>'[4]2025'!J123</f>
        <v>107.13000000000001</v>
      </c>
      <c r="L123" s="15">
        <f>'[4]2025'!K123</f>
        <v>116.18</v>
      </c>
      <c r="M123" s="15">
        <f>'[4]2025'!L123</f>
        <v>23.85</v>
      </c>
      <c r="N123" s="16">
        <f t="shared" si="4"/>
        <v>2.7908217653673643E-3</v>
      </c>
      <c r="O123" s="17">
        <f t="shared" si="5"/>
        <v>-0.25922044464785987</v>
      </c>
      <c r="P123" s="17">
        <f t="shared" si="5"/>
        <v>-0.29288025889967639</v>
      </c>
      <c r="Q123" s="18">
        <f t="shared" si="6"/>
        <v>79.771025856436111</v>
      </c>
      <c r="R123" s="18">
        <f t="shared" si="7"/>
        <v>73.557152694095379</v>
      </c>
      <c r="S123" s="34">
        <f>SUM(I122:I128)</f>
        <v>89025.86</v>
      </c>
      <c r="T123" s="45" t="s">
        <v>41</v>
      </c>
      <c r="U123" s="1738"/>
    </row>
    <row r="124" spans="1:21">
      <c r="A124" s="10" t="s">
        <v>12</v>
      </c>
      <c r="B124" s="19">
        <f>CHAMNORD!B124</f>
        <v>46141</v>
      </c>
      <c r="C124" s="75">
        <f>IF(H124=0,"",'[4]2025-2026'!C123)</f>
        <v>11630.7</v>
      </c>
      <c r="D124" s="68">
        <f>'[4]2025'!C124</f>
        <v>11964.86</v>
      </c>
      <c r="E124" s="68">
        <f>'[4]2025'!D124</f>
        <v>11855</v>
      </c>
      <c r="F124" s="12">
        <f>'[4]2025'!E124</f>
        <v>641</v>
      </c>
      <c r="G124" s="73">
        <f>'[4]2025'!F124</f>
        <v>11700</v>
      </c>
      <c r="H124" s="42">
        <f>'[4]2025'!G124</f>
        <v>10988.63</v>
      </c>
      <c r="I124" s="13">
        <f>'[4]2025'!H124</f>
        <v>10799.8</v>
      </c>
      <c r="J124" s="14">
        <f>'[4]2025'!I124</f>
        <v>548</v>
      </c>
      <c r="K124" s="15">
        <f>'[4]2025'!J124</f>
        <v>98.49</v>
      </c>
      <c r="L124" s="15">
        <f>'[4]2025'!K124</f>
        <v>107.52</v>
      </c>
      <c r="M124" s="15">
        <f>'[4]2025'!L124</f>
        <v>30.78</v>
      </c>
      <c r="N124" s="16">
        <f t="shared" si="4"/>
        <v>2.8500527787551624E-3</v>
      </c>
      <c r="O124" s="17">
        <f t="shared" si="5"/>
        <v>-8.9008857022353505E-2</v>
      </c>
      <c r="P124" s="17">
        <f t="shared" si="5"/>
        <v>-0.14508580343213728</v>
      </c>
      <c r="Q124" s="18">
        <f t="shared" si="6"/>
        <v>109.65377195654381</v>
      </c>
      <c r="R124" s="18">
        <f t="shared" si="7"/>
        <v>100.44456845238095</v>
      </c>
      <c r="S124" s="35">
        <f>(S123-SUM(E122:E128))/SUM(E122:E128)</f>
        <v>-4.9308407246821694E-2</v>
      </c>
      <c r="T124" s="48">
        <f>SUM(I122:I128)/SUM(K122:K128)</f>
        <v>105.80430700482518</v>
      </c>
      <c r="U124" s="1738"/>
    </row>
    <row r="125" spans="1:21">
      <c r="A125" s="10" t="s">
        <v>13</v>
      </c>
      <c r="B125" s="19">
        <f>CHAMNORD!B125</f>
        <v>46142</v>
      </c>
      <c r="C125" s="75">
        <f>IF(H125=0,"",'[4]2025-2026'!C124)</f>
        <v>11964.86</v>
      </c>
      <c r="D125" s="68">
        <f>'[4]2025'!C125</f>
        <v>17182.509999999998</v>
      </c>
      <c r="E125" s="68">
        <f>'[4]2025'!D125</f>
        <v>17023.87</v>
      </c>
      <c r="F125" s="12">
        <f>'[4]2025'!E125</f>
        <v>832</v>
      </c>
      <c r="G125" s="73">
        <f>'[4]2025'!F125</f>
        <v>17200</v>
      </c>
      <c r="H125" s="42">
        <f>'[4]2025'!G125</f>
        <v>13423.33</v>
      </c>
      <c r="I125" s="13">
        <f>'[4]2025'!H125</f>
        <v>13223.82</v>
      </c>
      <c r="J125" s="14">
        <f>'[4]2025'!I125</f>
        <v>676</v>
      </c>
      <c r="K125" s="15">
        <f>'[4]2025'!J125</f>
        <v>111.63999999999999</v>
      </c>
      <c r="L125" s="15">
        <f>'[4]2025'!K125</f>
        <v>129.13999999999999</v>
      </c>
      <c r="M125" s="15">
        <f>'[4]2025'!L125</f>
        <v>28.11</v>
      </c>
      <c r="N125" s="16">
        <f t="shared" si="4"/>
        <v>2.1257095151022928E-3</v>
      </c>
      <c r="O125" s="17">
        <f t="shared" si="5"/>
        <v>-0.22321892730618828</v>
      </c>
      <c r="P125" s="17">
        <f t="shared" si="5"/>
        <v>-0.1875</v>
      </c>
      <c r="Q125" s="18">
        <f t="shared" si="6"/>
        <v>118.45055535650306</v>
      </c>
      <c r="R125" s="18">
        <f t="shared" si="7"/>
        <v>102.39910175003872</v>
      </c>
      <c r="S125" s="34"/>
      <c r="T125" s="29" t="s">
        <v>8</v>
      </c>
      <c r="U125" s="1738"/>
    </row>
    <row r="126" spans="1:21">
      <c r="A126" s="10" t="s">
        <v>14</v>
      </c>
      <c r="B126" s="19">
        <f>CHAMNORD!B126</f>
        <v>46143</v>
      </c>
      <c r="C126" s="75">
        <f>IF(H126=0,"",'[4]2025-2026'!C125)</f>
        <v>17182.509999999998</v>
      </c>
      <c r="D126" s="68">
        <f>'[4]2025'!C126</f>
        <v>14699.17</v>
      </c>
      <c r="E126" s="68">
        <f>'[4]2025'!D126</f>
        <v>14564.72</v>
      </c>
      <c r="F126" s="12">
        <f>'[4]2025'!E126</f>
        <v>753</v>
      </c>
      <c r="G126" s="73">
        <f>'[4]2025'!F126</f>
        <v>15000</v>
      </c>
      <c r="H126" s="42">
        <f>'[4]2025'!G126</f>
        <v>19118.650000000001</v>
      </c>
      <c r="I126" s="13">
        <f>'[4]2025'!H126</f>
        <v>18808.830000000002</v>
      </c>
      <c r="J126" s="14">
        <f>'[4]2025'!I126</f>
        <v>882</v>
      </c>
      <c r="K126" s="15">
        <f>'[4]2025'!J126</f>
        <v>152.60000000000002</v>
      </c>
      <c r="L126" s="15">
        <f>'[4]2025'!K126</f>
        <v>169.05</v>
      </c>
      <c r="M126" s="15">
        <f>'[4]2025'!L126</f>
        <v>38.68</v>
      </c>
      <c r="N126" s="16">
        <f t="shared" si="4"/>
        <v>2.0564809188024983E-3</v>
      </c>
      <c r="O126" s="17">
        <f t="shared" si="5"/>
        <v>0.29139660769311065</v>
      </c>
      <c r="P126" s="17">
        <f t="shared" si="5"/>
        <v>0.17131474103585656</v>
      </c>
      <c r="Q126" s="18">
        <f t="shared" si="6"/>
        <v>123.25576671035385</v>
      </c>
      <c r="R126" s="18">
        <f t="shared" si="7"/>
        <v>111.26193433895297</v>
      </c>
      <c r="S126" s="36" t="s">
        <v>40</v>
      </c>
      <c r="T126" s="48">
        <f>SUM(I122:I128)/SUM(L122:L128)</f>
        <v>94.406061441554158</v>
      </c>
      <c r="U126" s="1738"/>
    </row>
    <row r="127" spans="1:21">
      <c r="A127" s="10" t="s">
        <v>15</v>
      </c>
      <c r="B127" s="19">
        <f>CHAMNORD!B127</f>
        <v>46144</v>
      </c>
      <c r="C127" s="75">
        <f>IF(H127=0,"",'[4]2025-2026'!C126)</f>
        <v>14699.17</v>
      </c>
      <c r="D127" s="68">
        <f>'[4]2025'!C127</f>
        <v>12558.41</v>
      </c>
      <c r="E127" s="68">
        <f>'[4]2025'!D127</f>
        <v>12437.39</v>
      </c>
      <c r="F127" s="12">
        <f>'[4]2025'!E127</f>
        <v>616</v>
      </c>
      <c r="G127" s="73">
        <f>'[4]2025'!F127</f>
        <v>12600</v>
      </c>
      <c r="H127" s="42">
        <f>'[4]2025'!G127</f>
        <v>13561.06</v>
      </c>
      <c r="I127" s="13">
        <f>'[4]2025'!H127</f>
        <v>13353.68</v>
      </c>
      <c r="J127" s="14">
        <f>'[4]2025'!I127</f>
        <v>648</v>
      </c>
      <c r="K127" s="15">
        <f>'[4]2025'!J127</f>
        <v>145.18</v>
      </c>
      <c r="L127" s="15">
        <f>'[4]2025'!K127</f>
        <v>161.58000000000001</v>
      </c>
      <c r="M127" s="15">
        <f>'[4]2025'!L127</f>
        <v>33.520000000000003</v>
      </c>
      <c r="N127" s="16">
        <f t="shared" si="4"/>
        <v>2.5101694813714276E-3</v>
      </c>
      <c r="O127" s="17">
        <f t="shared" si="5"/>
        <v>7.3672209362253729E-2</v>
      </c>
      <c r="P127" s="17">
        <f t="shared" si="5"/>
        <v>5.1948051948051951E-2</v>
      </c>
      <c r="Q127" s="18">
        <f t="shared" si="6"/>
        <v>91.980162556826002</v>
      </c>
      <c r="R127" s="18">
        <f t="shared" si="7"/>
        <v>82.64438668151999</v>
      </c>
      <c r="S127" s="36">
        <f>SUM(J122:J128)</f>
        <v>4327</v>
      </c>
      <c r="T127" s="30" t="s">
        <v>3</v>
      </c>
      <c r="U127" s="1738"/>
    </row>
    <row r="128" spans="1:21" ht="18" thickBot="1">
      <c r="A128" s="10" t="s">
        <v>16</v>
      </c>
      <c r="B128" s="19">
        <f>CHAMNORD!B128</f>
        <v>46145</v>
      </c>
      <c r="C128" s="75">
        <f>IF(H128=0,"",'[4]2025-2026'!C127)</f>
        <v>12558.41</v>
      </c>
      <c r="D128" s="68">
        <f>'[4]2025'!C128</f>
        <v>16048.57</v>
      </c>
      <c r="E128" s="68">
        <f>'[4]2025'!D128</f>
        <v>15940.6</v>
      </c>
      <c r="F128" s="12">
        <f>'[4]2025'!E128</f>
        <v>703</v>
      </c>
      <c r="G128" s="73">
        <f>'[4]2025'!F128</f>
        <v>16100</v>
      </c>
      <c r="H128" s="42">
        <f>'[4]2025'!G128</f>
        <v>17162.28</v>
      </c>
      <c r="I128" s="13">
        <f>'[4]2025'!H128</f>
        <v>16936.34</v>
      </c>
      <c r="J128" s="14">
        <f>'[4]2025'!I128</f>
        <v>717</v>
      </c>
      <c r="K128" s="15">
        <f>'[4]2025'!J128</f>
        <v>132.88000000000002</v>
      </c>
      <c r="L128" s="15">
        <f>'[4]2025'!K128</f>
        <v>149.46</v>
      </c>
      <c r="M128" s="15">
        <f>'[4]2025'!L128</f>
        <v>22.41</v>
      </c>
      <c r="N128" s="16">
        <f t="shared" si="4"/>
        <v>1.3231902524394291E-3</v>
      </c>
      <c r="O128" s="17">
        <f t="shared" si="5"/>
        <v>6.2465653739507909E-2</v>
      </c>
      <c r="P128" s="17">
        <f t="shared" si="5"/>
        <v>1.9914651493598862E-2</v>
      </c>
      <c r="Q128" s="18">
        <f t="shared" si="6"/>
        <v>127.45590006020467</v>
      </c>
      <c r="R128" s="18">
        <f t="shared" si="7"/>
        <v>113.31687408002141</v>
      </c>
      <c r="S128" s="37">
        <f>(S127-SUM(F122:F128))/SUM(F122:F128)</f>
        <v>-8.9819099705511149E-2</v>
      </c>
      <c r="T128" s="47">
        <f>SUM(M122:M128)/SUM(I122:I128)</f>
        <v>2.4442336193101644E-3</v>
      </c>
      <c r="U128" s="1739"/>
    </row>
    <row r="129" spans="1:23" ht="17" customHeight="1" thickTop="1">
      <c r="A129" s="10" t="s">
        <v>9</v>
      </c>
      <c r="B129" s="19">
        <f>CHAMNORD!B129</f>
        <v>46146</v>
      </c>
      <c r="C129" s="75">
        <f>IF(H129=0,"",'[4]2025-2026'!C128)</f>
        <v>16048.57</v>
      </c>
      <c r="D129" s="68">
        <f>'[4]2025'!C129</f>
        <v>7905.07</v>
      </c>
      <c r="E129" s="68">
        <f>'[4]2025'!D129</f>
        <v>7859.53</v>
      </c>
      <c r="F129" s="12">
        <f>'[4]2025'!E129</f>
        <v>433</v>
      </c>
      <c r="G129" s="73">
        <f>'[4]2025'!F129</f>
        <v>7900</v>
      </c>
      <c r="H129" s="42">
        <f>'[4]2025'!G129</f>
        <v>7567.12</v>
      </c>
      <c r="I129" s="13">
        <f>'[4]2025'!H129</f>
        <v>7494.9</v>
      </c>
      <c r="J129" s="14">
        <f>'[4]2025'!I129</f>
        <v>396</v>
      </c>
      <c r="K129" s="15">
        <f>'[4]2025'!J129</f>
        <v>95.73</v>
      </c>
      <c r="L129" s="15">
        <f>'[4]2025'!K129</f>
        <v>104.22</v>
      </c>
      <c r="M129" s="15">
        <f>'[4]2025'!L129</f>
        <v>20.02</v>
      </c>
      <c r="N129" s="16">
        <f t="shared" si="4"/>
        <v>2.6711497151396283E-3</v>
      </c>
      <c r="O129" s="17">
        <f t="shared" si="5"/>
        <v>-4.6393359399353414E-2</v>
      </c>
      <c r="P129" s="17">
        <f t="shared" si="5"/>
        <v>-8.5450346420323328E-2</v>
      </c>
      <c r="Q129" s="18">
        <f t="shared" si="6"/>
        <v>78.292071450955802</v>
      </c>
      <c r="R129" s="18">
        <f t="shared" si="7"/>
        <v>71.914219919401262</v>
      </c>
      <c r="S129" s="33" t="s">
        <v>39</v>
      </c>
      <c r="T129" s="31" t="s">
        <v>42</v>
      </c>
      <c r="U129" s="1737" t="s">
        <v>101</v>
      </c>
    </row>
    <row r="130" spans="1:23">
      <c r="A130" s="10" t="s">
        <v>11</v>
      </c>
      <c r="B130" s="19">
        <f>CHAMNORD!B130</f>
        <v>46147</v>
      </c>
      <c r="C130" s="75">
        <f>IF(H130=0,"",'[4]2025-2026'!C129)</f>
        <v>7905.07</v>
      </c>
      <c r="D130" s="68">
        <f>'[4]2025'!C130</f>
        <v>8776.9500000000007</v>
      </c>
      <c r="E130" s="68">
        <f>'[4]2025'!D130</f>
        <v>8711.92</v>
      </c>
      <c r="F130" s="12">
        <f>'[4]2025'!E130</f>
        <v>474</v>
      </c>
      <c r="G130" s="73">
        <f>'[4]2025'!F130</f>
        <v>8800</v>
      </c>
      <c r="H130" s="42">
        <f>'[4]2025'!G130</f>
        <v>10469.02</v>
      </c>
      <c r="I130" s="13">
        <f>'[4]2025'!H130</f>
        <v>10303.049999999999</v>
      </c>
      <c r="J130" s="14">
        <f>'[4]2025'!I130</f>
        <v>504</v>
      </c>
      <c r="K130" s="15">
        <f>'[4]2025'!J130</f>
        <v>105.14</v>
      </c>
      <c r="L130" s="15">
        <f>'[4]2025'!K130</f>
        <v>122.4</v>
      </c>
      <c r="M130" s="15">
        <f>'[4]2025'!L130</f>
        <v>31.85</v>
      </c>
      <c r="N130" s="16">
        <f t="shared" si="4"/>
        <v>3.0913176195398453E-3</v>
      </c>
      <c r="O130" s="17">
        <f t="shared" si="5"/>
        <v>0.182638270323878</v>
      </c>
      <c r="P130" s="17">
        <f t="shared" si="5"/>
        <v>6.3291139240506333E-2</v>
      </c>
      <c r="Q130" s="18">
        <f t="shared" si="6"/>
        <v>97.99362754422674</v>
      </c>
      <c r="R130" s="18">
        <f t="shared" si="7"/>
        <v>84.175245098039213</v>
      </c>
      <c r="S130" s="34">
        <f>SUM(I129:I135)</f>
        <v>80468.12</v>
      </c>
      <c r="T130" s="45" t="s">
        <v>41</v>
      </c>
      <c r="U130" s="1738"/>
    </row>
    <row r="131" spans="1:23">
      <c r="A131" s="10" t="s">
        <v>12</v>
      </c>
      <c r="B131" s="19">
        <f>CHAMNORD!B131</f>
        <v>46148</v>
      </c>
      <c r="C131" s="75">
        <f>IF(H131=0,"",'[4]2025-2026'!C130)</f>
        <v>8776.9500000000007</v>
      </c>
      <c r="D131" s="68">
        <f>'[4]2025'!C131</f>
        <v>13142.12</v>
      </c>
      <c r="E131" s="68">
        <f>'[4]2025'!D131</f>
        <v>13022.4</v>
      </c>
      <c r="F131" s="12">
        <f>'[4]2025'!E131</f>
        <v>659</v>
      </c>
      <c r="G131" s="73">
        <f>'[4]2025'!F131</f>
        <v>13100</v>
      </c>
      <c r="H131" s="42">
        <f>'[4]2025'!G131</f>
        <v>11067.07</v>
      </c>
      <c r="I131" s="13">
        <f>'[4]2025'!H131</f>
        <v>10920.03</v>
      </c>
      <c r="J131" s="14">
        <f>'[4]2025'!I131</f>
        <v>531</v>
      </c>
      <c r="K131" s="15">
        <f>'[4]2025'!J131</f>
        <v>99.01</v>
      </c>
      <c r="L131" s="15">
        <f>'[4]2025'!K131</f>
        <v>107.28</v>
      </c>
      <c r="M131" s="15">
        <f>'[4]2025'!L131</f>
        <v>20.96</v>
      </c>
      <c r="N131" s="16">
        <f t="shared" si="4"/>
        <v>1.9194086463132428E-3</v>
      </c>
      <c r="O131" s="17">
        <f t="shared" si="5"/>
        <v>-0.16144259122742344</v>
      </c>
      <c r="P131" s="17">
        <f t="shared" si="5"/>
        <v>-0.19423368740515934</v>
      </c>
      <c r="Q131" s="18">
        <f t="shared" si="6"/>
        <v>110.29219270780729</v>
      </c>
      <c r="R131" s="18">
        <f t="shared" si="7"/>
        <v>101.78998881431768</v>
      </c>
      <c r="S131" s="35">
        <f>(S130-SUM(E129:E135))/SUM(E129:E135)</f>
        <v>-5.4153698736859573E-2</v>
      </c>
      <c r="T131" s="48">
        <f>SUM(I129:I135)/SUM(K129:K135)</f>
        <v>99.637349710875284</v>
      </c>
      <c r="U131" s="1738"/>
    </row>
    <row r="132" spans="1:23">
      <c r="A132" s="10" t="s">
        <v>13</v>
      </c>
      <c r="B132" s="19">
        <f>CHAMNORD!B132</f>
        <v>46149</v>
      </c>
      <c r="C132" s="75">
        <f>IF(H132=0,"",'[4]2025-2026'!C131)</f>
        <v>13142.12</v>
      </c>
      <c r="D132" s="68">
        <f>'[4]2025'!C132</f>
        <v>13698.77</v>
      </c>
      <c r="E132" s="68">
        <f>'[4]2025'!D132</f>
        <v>13597.35</v>
      </c>
      <c r="F132" s="12">
        <f>'[4]2025'!E132</f>
        <v>672</v>
      </c>
      <c r="G132" s="73">
        <f>'[4]2025'!F132</f>
        <v>13700</v>
      </c>
      <c r="H132" s="42">
        <f>'[4]2025'!G132</f>
        <v>11434.17</v>
      </c>
      <c r="I132" s="13">
        <f>'[4]2025'!H132</f>
        <v>11324</v>
      </c>
      <c r="J132" s="14">
        <f>'[4]2025'!I132</f>
        <v>607</v>
      </c>
      <c r="K132" s="15">
        <f>'[4]2025'!J132</f>
        <v>103.89</v>
      </c>
      <c r="L132" s="15">
        <f>'[4]2025'!K132</f>
        <v>120.27</v>
      </c>
      <c r="M132" s="15">
        <f>'[4]2025'!L132</f>
        <v>33.450000000000003</v>
      </c>
      <c r="N132" s="16">
        <f t="shared" ref="N132:N195" si="8">IF(M132=0,"",M132/I132)</f>
        <v>2.9539032144118688E-3</v>
      </c>
      <c r="O132" s="17">
        <f t="shared" ref="O132:P195" si="9">IF(I132=0,"",(I132-E132)/E132)</f>
        <v>-0.16719066582826803</v>
      </c>
      <c r="P132" s="17">
        <f t="shared" si="9"/>
        <v>-9.6726190476190479E-2</v>
      </c>
      <c r="Q132" s="18">
        <f t="shared" ref="Q132:Q195" si="10">IF(I132=0,"",I132/K132)</f>
        <v>108.99990374434498</v>
      </c>
      <c r="R132" s="18">
        <f t="shared" ref="R132:R195" si="11">I132/L132</f>
        <v>94.154818325434448</v>
      </c>
      <c r="S132" s="34"/>
      <c r="T132" s="29" t="s">
        <v>8</v>
      </c>
      <c r="U132" s="1738"/>
    </row>
    <row r="133" spans="1:23">
      <c r="A133" s="10" t="s">
        <v>14</v>
      </c>
      <c r="B133" s="19">
        <f>CHAMNORD!B133</f>
        <v>46150</v>
      </c>
      <c r="C133" s="75">
        <f>IF(H133=0,"",'[4]2025-2026'!C132)</f>
        <v>13698.77</v>
      </c>
      <c r="D133" s="68">
        <f>'[4]2025'!C133</f>
        <v>13523.15</v>
      </c>
      <c r="E133" s="68">
        <f>'[4]2025'!D133</f>
        <v>13424.34</v>
      </c>
      <c r="F133" s="12">
        <f>'[4]2025'!E133</f>
        <v>676</v>
      </c>
      <c r="G133" s="73">
        <f>'[4]2025'!F133</f>
        <v>14000</v>
      </c>
      <c r="H133" s="42">
        <f>'[4]2025'!G133</f>
        <v>13520.72</v>
      </c>
      <c r="I133" s="13">
        <f>'[4]2025'!H133</f>
        <v>13297.96</v>
      </c>
      <c r="J133" s="14">
        <f>'[4]2025'!I133</f>
        <v>686</v>
      </c>
      <c r="K133" s="15">
        <f>'[4]2025'!J133</f>
        <v>133.73000000000002</v>
      </c>
      <c r="L133" s="15">
        <f>'[4]2025'!K133</f>
        <v>158.43</v>
      </c>
      <c r="M133" s="15">
        <f>'[4]2025'!L133</f>
        <v>33.01</v>
      </c>
      <c r="N133" s="16">
        <f t="shared" si="8"/>
        <v>2.4823356364434847E-3</v>
      </c>
      <c r="O133" s="17">
        <f t="shared" si="9"/>
        <v>-9.4142430838313855E-3</v>
      </c>
      <c r="P133" s="17">
        <f t="shared" si="9"/>
        <v>1.4792899408284023E-2</v>
      </c>
      <c r="Q133" s="18">
        <f t="shared" si="10"/>
        <v>99.438869363643136</v>
      </c>
      <c r="R133" s="18">
        <f t="shared" si="11"/>
        <v>83.935870731553365</v>
      </c>
      <c r="S133" s="36" t="s">
        <v>40</v>
      </c>
      <c r="T133" s="48">
        <f>SUM(I129:I135)/SUM(L129:L135)</f>
        <v>87.858802463204796</v>
      </c>
      <c r="U133" s="1738"/>
    </row>
    <row r="134" spans="1:23">
      <c r="A134" s="10" t="s">
        <v>15</v>
      </c>
      <c r="B134" s="19">
        <f>CHAMNORD!B134</f>
        <v>46151</v>
      </c>
      <c r="C134" s="75">
        <f>IF(H134=0,"",'[4]2025-2026'!C133)</f>
        <v>13523.15</v>
      </c>
      <c r="D134" s="68">
        <f>'[4]2025'!C134</f>
        <v>13172.04</v>
      </c>
      <c r="E134" s="68">
        <f>'[4]2025'!D134</f>
        <v>13045.73</v>
      </c>
      <c r="F134" s="12">
        <f>'[4]2025'!E134</f>
        <v>658</v>
      </c>
      <c r="G134" s="73">
        <f>'[4]2025'!F134</f>
        <v>13200</v>
      </c>
      <c r="H134" s="42">
        <f>'[4]2025'!G134</f>
        <v>12372.73</v>
      </c>
      <c r="I134" s="13">
        <f>'[4]2025'!H134</f>
        <v>12174.97</v>
      </c>
      <c r="J134" s="14">
        <f>'[4]2025'!I134</f>
        <v>619</v>
      </c>
      <c r="K134" s="15">
        <f>'[4]2025'!J134</f>
        <v>131.33000000000001</v>
      </c>
      <c r="L134" s="15">
        <f>'[4]2025'!K134</f>
        <v>148.05000000000001</v>
      </c>
      <c r="M134" s="15">
        <f>'[4]2025'!L134</f>
        <v>87.6</v>
      </c>
      <c r="N134" s="16">
        <f t="shared" si="8"/>
        <v>7.1950895977567087E-3</v>
      </c>
      <c r="O134" s="17">
        <f t="shared" si="9"/>
        <v>-6.6746743953768797E-2</v>
      </c>
      <c r="P134" s="17">
        <f t="shared" si="9"/>
        <v>-5.9270516717325229E-2</v>
      </c>
      <c r="Q134" s="18">
        <f t="shared" si="10"/>
        <v>92.7051701819843</v>
      </c>
      <c r="R134" s="18">
        <f t="shared" si="11"/>
        <v>82.23552853765618</v>
      </c>
      <c r="S134" s="36">
        <f>SUM(J129:J135)</f>
        <v>4049</v>
      </c>
      <c r="T134" s="30" t="s">
        <v>3</v>
      </c>
      <c r="U134" s="1738"/>
    </row>
    <row r="135" spans="1:23" ht="18" thickBot="1">
      <c r="A135" s="10" t="s">
        <v>16</v>
      </c>
      <c r="B135" s="19">
        <f>CHAMNORD!B135</f>
        <v>46152</v>
      </c>
      <c r="C135" s="75">
        <f>IF(H135=0,"",'[4]2025-2026'!C134)</f>
        <v>13172.04</v>
      </c>
      <c r="D135" s="68">
        <f>'[4]2025'!C135</f>
        <v>15527.88</v>
      </c>
      <c r="E135" s="68">
        <f>'[4]2025'!D135</f>
        <v>15413.99</v>
      </c>
      <c r="F135" s="12">
        <f>'[4]2025'!E135</f>
        <v>725</v>
      </c>
      <c r="G135" s="73">
        <f>'[4]2025'!F135</f>
        <v>16000</v>
      </c>
      <c r="H135" s="42">
        <f>'[4]2025'!G135</f>
        <v>15137.77</v>
      </c>
      <c r="I135" s="13">
        <f>'[4]2025'!H135</f>
        <v>14953.21</v>
      </c>
      <c r="J135" s="14">
        <f>'[4]2025'!I135</f>
        <v>706</v>
      </c>
      <c r="K135" s="15">
        <f>'[4]2025'!J135</f>
        <v>138.78</v>
      </c>
      <c r="L135" s="15">
        <f>'[4]2025'!K135</f>
        <v>155.22999999999999</v>
      </c>
      <c r="M135" s="15">
        <f>'[4]2025'!L135</f>
        <v>50.5</v>
      </c>
      <c r="N135" s="16">
        <f t="shared" si="8"/>
        <v>3.3772012832027371E-3</v>
      </c>
      <c r="O135" s="17">
        <f t="shared" si="9"/>
        <v>-2.9893622611666459E-2</v>
      </c>
      <c r="P135" s="17">
        <f t="shared" si="9"/>
        <v>-2.6206896551724139E-2</v>
      </c>
      <c r="Q135" s="18">
        <f t="shared" si="10"/>
        <v>107.74758610750828</v>
      </c>
      <c r="R135" s="18">
        <f t="shared" si="11"/>
        <v>96.329382207047601</v>
      </c>
      <c r="S135" s="37">
        <f>(S134-SUM(F129:F135))/SUM(F129:F135)</f>
        <v>-5.7714684663718874E-2</v>
      </c>
      <c r="T135" s="47">
        <f>SUM(M129:M135)/SUM(I129:I135)</f>
        <v>3.4472036876218807E-3</v>
      </c>
      <c r="U135" s="1739"/>
    </row>
    <row r="136" spans="1:23" ht="17" customHeight="1" thickTop="1">
      <c r="A136" s="10" t="s">
        <v>9</v>
      </c>
      <c r="B136" s="19">
        <f>CHAMNORD!B136</f>
        <v>46153</v>
      </c>
      <c r="C136" s="75">
        <f>IF(H136=0,"",'[4]2025-2026'!C135)</f>
        <v>15527.88</v>
      </c>
      <c r="D136" s="68">
        <f>'[4]2025'!C136</f>
        <v>7263.72</v>
      </c>
      <c r="E136" s="68">
        <f>'[4]2025'!D136</f>
        <v>7223.87</v>
      </c>
      <c r="F136" s="12">
        <f>'[4]2025'!E136</f>
        <v>406</v>
      </c>
      <c r="G136" s="73">
        <f>'[4]2025'!F136</f>
        <v>7300</v>
      </c>
      <c r="H136" s="42">
        <f>'[4]2025'!G136</f>
        <v>7415.39</v>
      </c>
      <c r="I136" s="13">
        <f>'[4]2025'!H136</f>
        <v>7343.74</v>
      </c>
      <c r="J136" s="14">
        <f>'[4]2025'!I136</f>
        <v>401</v>
      </c>
      <c r="K136" s="15">
        <f>'[4]2025'!J136</f>
        <v>95.089999999999989</v>
      </c>
      <c r="L136" s="15">
        <f>'[4]2025'!K136</f>
        <v>103.46</v>
      </c>
      <c r="M136" s="15">
        <f>'[4]2025'!L136</f>
        <v>32.15</v>
      </c>
      <c r="N136" s="16">
        <f t="shared" si="8"/>
        <v>4.3778783017917296E-3</v>
      </c>
      <c r="O136" s="17">
        <f t="shared" si="9"/>
        <v>1.659359872201464E-2</v>
      </c>
      <c r="P136" s="17">
        <f t="shared" si="9"/>
        <v>-1.2315270935960592E-2</v>
      </c>
      <c r="Q136" s="18">
        <f t="shared" si="10"/>
        <v>77.229361657377225</v>
      </c>
      <c r="R136" s="18">
        <f t="shared" si="11"/>
        <v>70.981442103228304</v>
      </c>
      <c r="S136" s="33" t="s">
        <v>39</v>
      </c>
      <c r="T136" s="31" t="s">
        <v>42</v>
      </c>
      <c r="U136" s="1737" t="s">
        <v>102</v>
      </c>
      <c r="W136" s="38" t="s">
        <v>430</v>
      </c>
    </row>
    <row r="137" spans="1:23">
      <c r="A137" s="10" t="s">
        <v>11</v>
      </c>
      <c r="B137" s="19">
        <f>CHAMNORD!B137</f>
        <v>46154</v>
      </c>
      <c r="C137" s="75">
        <f>IF(H137=0,"",'[4]2025-2026'!C136)</f>
        <v>7263.72</v>
      </c>
      <c r="D137" s="68">
        <f>'[4]2025'!C137</f>
        <v>9482.2900000000009</v>
      </c>
      <c r="E137" s="68">
        <f>'[4]2025'!D137</f>
        <v>9393.1299999999992</v>
      </c>
      <c r="F137" s="12">
        <f>'[4]2025'!E137</f>
        <v>505</v>
      </c>
      <c r="G137" s="73">
        <f>'[4]2025'!F137</f>
        <v>9500</v>
      </c>
      <c r="H137" s="42">
        <f>'[4]2025'!G137</f>
        <v>10526.9</v>
      </c>
      <c r="I137" s="13">
        <f>'[4]2025'!H137</f>
        <v>10423.299999999999</v>
      </c>
      <c r="J137" s="14">
        <f>'[4]2025'!I137</f>
        <v>519</v>
      </c>
      <c r="K137" s="15">
        <f>'[4]2025'!J137</f>
        <v>95.02</v>
      </c>
      <c r="L137" s="15">
        <f>'[4]2025'!K137</f>
        <v>113.07</v>
      </c>
      <c r="M137" s="15">
        <f>'[4]2025'!L137</f>
        <v>32.9</v>
      </c>
      <c r="N137" s="16">
        <f t="shared" si="8"/>
        <v>3.1563900108410965E-3</v>
      </c>
      <c r="O137" s="17">
        <f t="shared" si="9"/>
        <v>0.10967270760651669</v>
      </c>
      <c r="P137" s="17">
        <f t="shared" si="9"/>
        <v>2.7722772277227723E-2</v>
      </c>
      <c r="Q137" s="18">
        <f t="shared" si="10"/>
        <v>109.69585350452536</v>
      </c>
      <c r="R137" s="18">
        <f t="shared" si="11"/>
        <v>92.184487485628367</v>
      </c>
      <c r="S137" s="34">
        <f>SUM(I136:I142)</f>
        <v>84805.510000000009</v>
      </c>
      <c r="T137" s="45" t="s">
        <v>41</v>
      </c>
      <c r="U137" s="1738"/>
    </row>
    <row r="138" spans="1:23">
      <c r="A138" s="10" t="s">
        <v>12</v>
      </c>
      <c r="B138" s="19">
        <f>CHAMNORD!B138</f>
        <v>46155</v>
      </c>
      <c r="C138" s="75">
        <f>IF(H138=0,"",'[4]2025-2026'!C137)</f>
        <v>9482.2900000000009</v>
      </c>
      <c r="D138" s="68">
        <f>'[4]2025'!C138</f>
        <v>10397.16</v>
      </c>
      <c r="E138" s="68">
        <f>'[4]2025'!D138</f>
        <v>10305.91</v>
      </c>
      <c r="F138" s="12">
        <f>'[4]2025'!E138</f>
        <v>581</v>
      </c>
      <c r="G138" s="73">
        <f>'[4]2025'!F138</f>
        <v>10400</v>
      </c>
      <c r="H138" s="42">
        <f>'[4]2025'!G138</f>
        <v>13735.25</v>
      </c>
      <c r="I138" s="13">
        <f>'[4]2025'!H138</f>
        <v>13554.34</v>
      </c>
      <c r="J138" s="14">
        <f>'[4]2025'!I138</f>
        <v>626</v>
      </c>
      <c r="K138" s="15">
        <f>'[4]2025'!J138</f>
        <v>88.93</v>
      </c>
      <c r="L138" s="15">
        <f>'[4]2025'!K138</f>
        <v>112.56</v>
      </c>
      <c r="M138" s="15">
        <f>'[4]2025'!L138</f>
        <v>39.33</v>
      </c>
      <c r="N138" s="16">
        <f t="shared" si="8"/>
        <v>2.9016536400887096E-3</v>
      </c>
      <c r="O138" s="17">
        <f t="shared" si="9"/>
        <v>0.31520069552324836</v>
      </c>
      <c r="P138" s="17">
        <f t="shared" si="9"/>
        <v>7.7452667814113599E-2</v>
      </c>
      <c r="Q138" s="18">
        <f t="shared" si="10"/>
        <v>152.4158326773867</v>
      </c>
      <c r="R138" s="18">
        <f t="shared" si="11"/>
        <v>120.41879886282871</v>
      </c>
      <c r="S138" s="35">
        <f>(S137-SUM(E136:E142))/SUM(E136:E142)</f>
        <v>0.11607094328319638</v>
      </c>
      <c r="T138" s="48">
        <f>SUM(I136:I142)/SUM(K136:K142)</f>
        <v>108.18409235871924</v>
      </c>
      <c r="U138" s="1738"/>
    </row>
    <row r="139" spans="1:23">
      <c r="A139" s="10" t="s">
        <v>13</v>
      </c>
      <c r="B139" s="19">
        <f>CHAMNORD!B139</f>
        <v>46156</v>
      </c>
      <c r="C139" s="75">
        <f>IF(H139=0,"",'[4]2025-2026'!C138)</f>
        <v>10397.16</v>
      </c>
      <c r="D139" s="68">
        <f>'[4]2025'!C139</f>
        <v>8996.18</v>
      </c>
      <c r="E139" s="68">
        <f>'[4]2025'!D139</f>
        <v>8941.56</v>
      </c>
      <c r="F139" s="12">
        <f>'[4]2025'!E139</f>
        <v>514</v>
      </c>
      <c r="G139" s="73">
        <f>'[4]2025'!F139</f>
        <v>13900</v>
      </c>
      <c r="H139" s="42">
        <f>'[4]2025'!G139</f>
        <v>13862.81</v>
      </c>
      <c r="I139" s="13">
        <f>'[4]2025'!H139</f>
        <v>13702.28</v>
      </c>
      <c r="J139" s="14">
        <f>'[4]2025'!I139</f>
        <v>641</v>
      </c>
      <c r="K139" s="15">
        <f>'[4]2025'!J139</f>
        <v>122.72000000000001</v>
      </c>
      <c r="L139" s="15">
        <f>'[4]2025'!K139</f>
        <v>156.43</v>
      </c>
      <c r="M139" s="15">
        <f>'[4]2025'!L139</f>
        <v>32.35</v>
      </c>
      <c r="N139" s="16">
        <f t="shared" si="8"/>
        <v>2.3609209562204247E-3</v>
      </c>
      <c r="O139" s="17">
        <f t="shared" si="9"/>
        <v>0.53242610909058385</v>
      </c>
      <c r="P139" s="17">
        <f t="shared" si="9"/>
        <v>0.24708171206225682</v>
      </c>
      <c r="Q139" s="18">
        <f t="shared" si="10"/>
        <v>111.65482398956975</v>
      </c>
      <c r="R139" s="18">
        <f t="shared" si="11"/>
        <v>87.593684075944509</v>
      </c>
      <c r="S139" s="34"/>
      <c r="T139" s="29" t="s">
        <v>8</v>
      </c>
      <c r="U139" s="1738"/>
    </row>
    <row r="140" spans="1:23">
      <c r="A140" s="10" t="s">
        <v>14</v>
      </c>
      <c r="B140" s="19">
        <f>CHAMNORD!B140</f>
        <v>46157</v>
      </c>
      <c r="C140" s="75">
        <f>IF(H140=0,"",'[4]2025-2026'!C139)</f>
        <v>8996.18</v>
      </c>
      <c r="D140" s="68">
        <f>'[4]2025'!C140</f>
        <v>13664.73</v>
      </c>
      <c r="E140" s="68">
        <f>'[4]2025'!D140</f>
        <v>13554.89</v>
      </c>
      <c r="F140" s="12">
        <f>'[4]2025'!E140</f>
        <v>735</v>
      </c>
      <c r="G140" s="73">
        <f>'[4]2025'!F140</f>
        <v>13700</v>
      </c>
      <c r="H140" s="42">
        <f>'[4]2025'!G140</f>
        <v>12080.77</v>
      </c>
      <c r="I140" s="13">
        <f>'[4]2025'!H140</f>
        <v>11916.11</v>
      </c>
      <c r="J140" s="14">
        <f>'[4]2025'!I140</f>
        <v>584</v>
      </c>
      <c r="K140" s="15">
        <f>'[4]2025'!J140</f>
        <v>136.22</v>
      </c>
      <c r="L140" s="15">
        <f>'[4]2025'!K140</f>
        <v>144.5</v>
      </c>
      <c r="M140" s="15">
        <f>'[4]2025'!L140</f>
        <v>22.4</v>
      </c>
      <c r="N140" s="16">
        <f t="shared" si="8"/>
        <v>1.8798080917346346E-3</v>
      </c>
      <c r="O140" s="17">
        <f t="shared" si="9"/>
        <v>-0.12089954252671906</v>
      </c>
      <c r="P140" s="17">
        <f t="shared" si="9"/>
        <v>-0.20544217687074831</v>
      </c>
      <c r="Q140" s="18">
        <f t="shared" si="10"/>
        <v>87.4769490530025</v>
      </c>
      <c r="R140" s="18">
        <f t="shared" si="11"/>
        <v>82.464429065743943</v>
      </c>
      <c r="S140" s="36" t="s">
        <v>40</v>
      </c>
      <c r="T140" s="48">
        <f>SUM(I136:I142)/SUM(L136:L142)</f>
        <v>91.495673657862966</v>
      </c>
      <c r="U140" s="1738"/>
    </row>
    <row r="141" spans="1:23">
      <c r="A141" s="10" t="s">
        <v>15</v>
      </c>
      <c r="B141" s="19">
        <f>CHAMNORD!B141</f>
        <v>46158</v>
      </c>
      <c r="C141" s="75">
        <f>IF(H141=0,"",'[4]2025-2026'!C140)</f>
        <v>13664.73</v>
      </c>
      <c r="D141" s="68">
        <f>'[4]2025'!C141</f>
        <v>11725.17</v>
      </c>
      <c r="E141" s="68">
        <f>'[4]2025'!D141</f>
        <v>11606.76</v>
      </c>
      <c r="F141" s="12">
        <f>'[4]2025'!E141</f>
        <v>630</v>
      </c>
      <c r="G141" s="73">
        <f>'[4]2025'!F141</f>
        <v>11700</v>
      </c>
      <c r="H141" s="42">
        <f>'[4]2025'!G141</f>
        <v>11191.7</v>
      </c>
      <c r="I141" s="13">
        <f>'[4]2025'!H141</f>
        <v>11035.24</v>
      </c>
      <c r="J141" s="14">
        <f>'[4]2025'!I141</f>
        <v>529</v>
      </c>
      <c r="K141" s="15">
        <f>'[4]2025'!J141</f>
        <v>120.69999999999997</v>
      </c>
      <c r="L141" s="15">
        <f>'[4]2025'!K141</f>
        <v>145.54</v>
      </c>
      <c r="M141" s="15">
        <f>'[4]2025'!L141</f>
        <v>24.15</v>
      </c>
      <c r="N141" s="16">
        <f t="shared" si="8"/>
        <v>2.1884435680601419E-3</v>
      </c>
      <c r="O141" s="17">
        <f t="shared" si="9"/>
        <v>-4.9240270325224302E-2</v>
      </c>
      <c r="P141" s="17">
        <f t="shared" si="9"/>
        <v>-0.16031746031746033</v>
      </c>
      <c r="Q141" s="18">
        <f t="shared" si="10"/>
        <v>91.427009113504567</v>
      </c>
      <c r="R141" s="18">
        <f t="shared" si="11"/>
        <v>75.822729146626358</v>
      </c>
      <c r="S141" s="36">
        <f>SUM(J136:J142)</f>
        <v>4049</v>
      </c>
      <c r="T141" s="30" t="s">
        <v>3</v>
      </c>
      <c r="U141" s="1738"/>
    </row>
    <row r="142" spans="1:23" ht="18" thickBot="1">
      <c r="A142" s="10" t="s">
        <v>16</v>
      </c>
      <c r="B142" s="19">
        <f>CHAMNORD!B142</f>
        <v>46159</v>
      </c>
      <c r="C142" s="75">
        <f>IF(H142=0,"",'[4]2025-2026'!C141)</f>
        <v>11725.17</v>
      </c>
      <c r="D142" s="68">
        <f>'[4]2025'!C142</f>
        <v>15077.43</v>
      </c>
      <c r="E142" s="68">
        <f>'[4]2025'!D142</f>
        <v>14959.65</v>
      </c>
      <c r="F142" s="12">
        <f>'[4]2025'!E142</f>
        <v>670</v>
      </c>
      <c r="G142" s="73">
        <f>'[4]2025'!F142</f>
        <v>15100</v>
      </c>
      <c r="H142" s="42">
        <f>'[4]2025'!G142</f>
        <v>17050.939999999999</v>
      </c>
      <c r="I142" s="13">
        <f>'[4]2025'!H142</f>
        <v>16830.5</v>
      </c>
      <c r="J142" s="14">
        <f>'[4]2025'!I142</f>
        <v>749</v>
      </c>
      <c r="K142" s="15">
        <f>'[4]2025'!J142</f>
        <v>125.21999999999998</v>
      </c>
      <c r="L142" s="15">
        <f>'[4]2025'!K142</f>
        <v>151.32</v>
      </c>
      <c r="M142" s="15">
        <f>'[4]2025'!L142</f>
        <v>23.18</v>
      </c>
      <c r="N142" s="16">
        <f t="shared" si="8"/>
        <v>1.3772615192656189E-3</v>
      </c>
      <c r="O142" s="17">
        <f t="shared" si="9"/>
        <v>0.1250597440448139</v>
      </c>
      <c r="P142" s="17">
        <f t="shared" si="9"/>
        <v>0.11791044776119403</v>
      </c>
      <c r="Q142" s="18">
        <f t="shared" si="10"/>
        <v>134.40744290049514</v>
      </c>
      <c r="R142" s="18">
        <f t="shared" si="11"/>
        <v>111.22455722971188</v>
      </c>
      <c r="S142" s="37">
        <f>(S141-SUM(F136:F142))/SUM(F136:F142)</f>
        <v>1.9797079930710219E-3</v>
      </c>
      <c r="T142" s="47">
        <f>SUM(M136:M142)/SUM(I136:I142)</f>
        <v>2.4345116254828251E-3</v>
      </c>
      <c r="U142" s="1739"/>
    </row>
    <row r="143" spans="1:23" ht="17" customHeight="1" thickTop="1">
      <c r="A143" s="10" t="s">
        <v>9</v>
      </c>
      <c r="B143" s="19">
        <f>CHAMNORD!B143</f>
        <v>46160</v>
      </c>
      <c r="C143" s="75">
        <f>IF(H143=0,"",'[4]2025-2026'!C142)</f>
        <v>15077.43</v>
      </c>
      <c r="D143" s="68">
        <f>'[4]2025'!C143</f>
        <v>7476.21</v>
      </c>
      <c r="E143" s="68">
        <f>'[4]2025'!D143</f>
        <v>7423.52</v>
      </c>
      <c r="F143" s="12">
        <f>'[4]2025'!E143</f>
        <v>434</v>
      </c>
      <c r="G143" s="73">
        <f>'[4]2025'!F143</f>
        <v>7500</v>
      </c>
      <c r="H143" s="42">
        <f>'[4]2025'!G143</f>
        <v>8060.63</v>
      </c>
      <c r="I143" s="13">
        <f>'[4]2025'!H143</f>
        <v>7967.89</v>
      </c>
      <c r="J143" s="14">
        <f>'[4]2025'!I143</f>
        <v>437</v>
      </c>
      <c r="K143" s="15">
        <f>'[4]2025'!J143</f>
        <v>80.989999999999995</v>
      </c>
      <c r="L143" s="15">
        <f>'[4]2025'!K143</f>
        <v>97.53</v>
      </c>
      <c r="M143" s="15">
        <f>'[4]2025'!L143</f>
        <v>18.329999999999998</v>
      </c>
      <c r="N143" s="16">
        <f t="shared" si="8"/>
        <v>2.3004835659126816E-3</v>
      </c>
      <c r="O143" s="17">
        <f t="shared" si="9"/>
        <v>7.3330441623380802E-2</v>
      </c>
      <c r="P143" s="17">
        <f t="shared" si="9"/>
        <v>6.9124423963133645E-3</v>
      </c>
      <c r="Q143" s="18">
        <f t="shared" si="10"/>
        <v>98.381158167675025</v>
      </c>
      <c r="R143" s="18">
        <f t="shared" si="11"/>
        <v>81.696811237567928</v>
      </c>
      <c r="S143" s="33" t="s">
        <v>39</v>
      </c>
      <c r="T143" s="31" t="s">
        <v>42</v>
      </c>
      <c r="U143" s="1737" t="s">
        <v>103</v>
      </c>
    </row>
    <row r="144" spans="1:23">
      <c r="A144" s="10" t="s">
        <v>11</v>
      </c>
      <c r="B144" s="19">
        <f>CHAMNORD!B144</f>
        <v>46161</v>
      </c>
      <c r="C144" s="75">
        <f>IF(H144=0,"",'[4]2025-2026'!C143)</f>
        <v>7476.21</v>
      </c>
      <c r="D144" s="68">
        <f>'[4]2025'!C144</f>
        <v>8581.9500000000007</v>
      </c>
      <c r="E144" s="68">
        <f>'[4]2025'!D144</f>
        <v>8510.43</v>
      </c>
      <c r="F144" s="12">
        <f>'[4]2025'!E144</f>
        <v>478</v>
      </c>
      <c r="G144" s="73">
        <f>'[4]2025'!F144</f>
        <v>8600</v>
      </c>
      <c r="H144" s="42">
        <f>'[4]2025'!G144</f>
        <v>8120.04</v>
      </c>
      <c r="I144" s="13">
        <f>'[4]2025'!H144</f>
        <v>8049.95</v>
      </c>
      <c r="J144" s="14">
        <f>'[4]2025'!I144</f>
        <v>462</v>
      </c>
      <c r="K144" s="15">
        <f>'[4]2025'!J144</f>
        <v>92.64</v>
      </c>
      <c r="L144" s="15">
        <f>'[4]2025'!K144</f>
        <v>109.22</v>
      </c>
      <c r="M144" s="15">
        <f>'[4]2025'!L144</f>
        <v>20.22</v>
      </c>
      <c r="N144" s="16">
        <f t="shared" si="8"/>
        <v>2.5118168435828794E-3</v>
      </c>
      <c r="O144" s="17">
        <f t="shared" si="9"/>
        <v>-5.4107724286551966E-2</v>
      </c>
      <c r="P144" s="17">
        <f t="shared" si="9"/>
        <v>-3.3472803347280332E-2</v>
      </c>
      <c r="Q144" s="18">
        <f t="shared" si="10"/>
        <v>86.894969775474948</v>
      </c>
      <c r="R144" s="18">
        <f t="shared" si="11"/>
        <v>73.703991942867603</v>
      </c>
      <c r="S144" s="34">
        <f>SUM(I143:I149)</f>
        <v>69858.03</v>
      </c>
      <c r="T144" s="45" t="s">
        <v>41</v>
      </c>
      <c r="U144" s="1738"/>
    </row>
    <row r="145" spans="1:21">
      <c r="A145" s="10" t="s">
        <v>12</v>
      </c>
      <c r="B145" s="19">
        <f>CHAMNORD!B145</f>
        <v>46162</v>
      </c>
      <c r="C145" s="75">
        <f>IF(H145=0,"",'[4]2025-2026'!C144)</f>
        <v>8581.9500000000007</v>
      </c>
      <c r="D145" s="68">
        <f>'[4]2025'!C145</f>
        <v>10387.26</v>
      </c>
      <c r="E145" s="68">
        <f>'[4]2025'!D145</f>
        <v>10296.84</v>
      </c>
      <c r="F145" s="12">
        <f>'[4]2025'!E145</f>
        <v>572</v>
      </c>
      <c r="G145" s="73">
        <f>'[4]2025'!F145</f>
        <v>10400</v>
      </c>
      <c r="H145" s="42">
        <f>'[4]2025'!G145</f>
        <v>9822.08</v>
      </c>
      <c r="I145" s="13">
        <f>'[4]2025'!H145</f>
        <v>9731.06</v>
      </c>
      <c r="J145" s="14">
        <f>'[4]2025'!I145</f>
        <v>543</v>
      </c>
      <c r="K145" s="15">
        <f>'[4]2025'!J145</f>
        <v>98.820000000000007</v>
      </c>
      <c r="L145" s="15">
        <f>'[4]2025'!K145</f>
        <v>115.03</v>
      </c>
      <c r="M145" s="15">
        <f>'[4]2025'!L145</f>
        <v>26.57</v>
      </c>
      <c r="N145" s="16">
        <f t="shared" si="8"/>
        <v>2.7304322447914207E-3</v>
      </c>
      <c r="O145" s="17">
        <f t="shared" si="9"/>
        <v>-5.4946954599663651E-2</v>
      </c>
      <c r="P145" s="17">
        <f t="shared" si="9"/>
        <v>-5.0699300699300696E-2</v>
      </c>
      <c r="Q145" s="18">
        <f t="shared" si="10"/>
        <v>98.472576401538134</v>
      </c>
      <c r="R145" s="18">
        <f t="shared" si="11"/>
        <v>84.595844562288093</v>
      </c>
      <c r="S145" s="35">
        <f>(S144-SUM(E143:E149))/SUM(E143:E149)</f>
        <v>-6.2237958526015637E-2</v>
      </c>
      <c r="T145" s="48">
        <f>SUM(I143:I149)/SUM(K143:K149)</f>
        <v>90.956239258371966</v>
      </c>
      <c r="U145" s="1738"/>
    </row>
    <row r="146" spans="1:21">
      <c r="A146" s="10" t="s">
        <v>13</v>
      </c>
      <c r="B146" s="19">
        <f>CHAMNORD!B146</f>
        <v>46163</v>
      </c>
      <c r="C146" s="75">
        <f>IF(H146=0,"",'[4]2025-2026'!C145)</f>
        <v>10387.26</v>
      </c>
      <c r="D146" s="68">
        <f>'[4]2025'!C146</f>
        <v>9217.65</v>
      </c>
      <c r="E146" s="68">
        <f>'[4]2025'!D146</f>
        <v>9152.01</v>
      </c>
      <c r="F146" s="12">
        <f>'[4]2025'!E146</f>
        <v>509</v>
      </c>
      <c r="G146" s="73">
        <f>'[4]2025'!F146</f>
        <v>9200</v>
      </c>
      <c r="H146" s="42">
        <f>'[4]2025'!G146</f>
        <v>7776.92</v>
      </c>
      <c r="I146" s="13">
        <f>'[4]2025'!H146</f>
        <v>7737.86</v>
      </c>
      <c r="J146" s="14">
        <f>'[4]2025'!I146</f>
        <v>439</v>
      </c>
      <c r="K146" s="15">
        <f>'[4]2025'!J146</f>
        <v>90.42</v>
      </c>
      <c r="L146" s="15">
        <f>'[4]2025'!K146</f>
        <v>115.18</v>
      </c>
      <c r="M146" s="15">
        <f>'[4]2025'!L146</f>
        <v>29.06</v>
      </c>
      <c r="N146" s="16">
        <f t="shared" si="8"/>
        <v>3.7555603228799695E-3</v>
      </c>
      <c r="O146" s="17">
        <f t="shared" si="9"/>
        <v>-0.15451796927669448</v>
      </c>
      <c r="P146" s="17">
        <f t="shared" si="9"/>
        <v>-0.13752455795677801</v>
      </c>
      <c r="Q146" s="18">
        <f t="shared" si="10"/>
        <v>85.57686352576863</v>
      </c>
      <c r="R146" s="18">
        <f t="shared" si="11"/>
        <v>67.180586907449197</v>
      </c>
      <c r="S146" s="34"/>
      <c r="T146" s="29" t="s">
        <v>8</v>
      </c>
      <c r="U146" s="1738"/>
    </row>
    <row r="147" spans="1:21">
      <c r="A147" s="10" t="s">
        <v>14</v>
      </c>
      <c r="B147" s="19">
        <f>CHAMNORD!B147</f>
        <v>46164</v>
      </c>
      <c r="C147" s="75">
        <f>IF(H147=0,"",'[4]2025-2026'!C146)</f>
        <v>9217.65</v>
      </c>
      <c r="D147" s="68">
        <f>'[4]2025'!C147</f>
        <v>12285.93</v>
      </c>
      <c r="E147" s="68">
        <f>'[4]2025'!D147</f>
        <v>12189.64</v>
      </c>
      <c r="F147" s="12">
        <f>'[4]2025'!E147</f>
        <v>651</v>
      </c>
      <c r="G147" s="73">
        <f>'[4]2025'!F147</f>
        <v>12300</v>
      </c>
      <c r="H147" s="42">
        <f>'[4]2025'!G147</f>
        <v>12099.68</v>
      </c>
      <c r="I147" s="13">
        <f>'[4]2025'!H147</f>
        <v>11952.89</v>
      </c>
      <c r="J147" s="14">
        <f>'[4]2025'!I147</f>
        <v>647</v>
      </c>
      <c r="K147" s="15">
        <f>'[4]2025'!J147</f>
        <v>149.24</v>
      </c>
      <c r="L147" s="15">
        <f>'[4]2025'!K147</f>
        <v>157.55000000000001</v>
      </c>
      <c r="M147" s="15">
        <f>'[4]2025'!L147</f>
        <v>47.31</v>
      </c>
      <c r="N147" s="16">
        <f t="shared" si="8"/>
        <v>3.9580385998699901E-3</v>
      </c>
      <c r="O147" s="17">
        <f t="shared" si="9"/>
        <v>-1.9422230681135785E-2</v>
      </c>
      <c r="P147" s="17">
        <f t="shared" si="9"/>
        <v>-6.1443932411674347E-3</v>
      </c>
      <c r="Q147" s="18">
        <f t="shared" si="10"/>
        <v>80.091731439292403</v>
      </c>
      <c r="R147" s="18">
        <f t="shared" si="11"/>
        <v>75.867280228498885</v>
      </c>
      <c r="S147" s="36" t="s">
        <v>40</v>
      </c>
      <c r="T147" s="48">
        <f>SUM(I143:I149)/SUM(L143:L149)</f>
        <v>78.161081710059634</v>
      </c>
      <c r="U147" s="1738"/>
    </row>
    <row r="148" spans="1:21">
      <c r="A148" s="10" t="s">
        <v>15</v>
      </c>
      <c r="B148" s="19">
        <f>CHAMNORD!B148</f>
        <v>46165</v>
      </c>
      <c r="C148" s="75">
        <f>IF(H148=0,"",'[4]2025-2026'!C147)</f>
        <v>12285.93</v>
      </c>
      <c r="D148" s="68">
        <f>'[4]2025'!C148</f>
        <v>13905.22</v>
      </c>
      <c r="E148" s="68">
        <f>'[4]2025'!D148</f>
        <v>13767.94</v>
      </c>
      <c r="F148" s="12">
        <f>'[4]2025'!E148</f>
        <v>712</v>
      </c>
      <c r="G148" s="73">
        <f>'[4]2025'!F148</f>
        <v>13900</v>
      </c>
      <c r="H148" s="42">
        <f>'[4]2025'!G148</f>
        <v>11738.38</v>
      </c>
      <c r="I148" s="13">
        <f>'[4]2025'!H148</f>
        <v>11589.05</v>
      </c>
      <c r="J148" s="14">
        <f>'[4]2025'!I148</f>
        <v>578</v>
      </c>
      <c r="K148" s="15">
        <f>'[4]2025'!J148</f>
        <v>132.54</v>
      </c>
      <c r="L148" s="15">
        <f>'[4]2025'!K148</f>
        <v>159.26</v>
      </c>
      <c r="M148" s="15">
        <f>'[4]2025'!L148</f>
        <v>35.33</v>
      </c>
      <c r="N148" s="16">
        <f t="shared" si="8"/>
        <v>3.0485673976728034E-3</v>
      </c>
      <c r="O148" s="17">
        <f t="shared" si="9"/>
        <v>-0.15825824342639502</v>
      </c>
      <c r="P148" s="17">
        <f t="shared" si="9"/>
        <v>-0.18820224719101122</v>
      </c>
      <c r="Q148" s="18">
        <f t="shared" si="10"/>
        <v>87.438131884714053</v>
      </c>
      <c r="R148" s="18">
        <f t="shared" si="11"/>
        <v>72.768115032023104</v>
      </c>
      <c r="S148" s="36">
        <f>SUM(J143:J149)</f>
        <v>3750</v>
      </c>
      <c r="T148" s="30" t="s">
        <v>3</v>
      </c>
      <c r="U148" s="1738"/>
    </row>
    <row r="149" spans="1:21" ht="18" thickBot="1">
      <c r="A149" s="10" t="s">
        <v>16</v>
      </c>
      <c r="B149" s="19">
        <f>CHAMNORD!B149</f>
        <v>46166</v>
      </c>
      <c r="C149" s="75">
        <f>IF(H149=0,"",'[4]2025-2026'!C148)</f>
        <v>13905.22</v>
      </c>
      <c r="D149" s="68">
        <f>'[4]2025'!C149</f>
        <v>13260.14</v>
      </c>
      <c r="E149" s="68">
        <f>'[4]2025'!D149</f>
        <v>13154.03</v>
      </c>
      <c r="F149" s="12">
        <f>'[4]2025'!E149</f>
        <v>646</v>
      </c>
      <c r="G149" s="73">
        <f>'[4]2025'!F149</f>
        <v>13300</v>
      </c>
      <c r="H149" s="42">
        <f>'[4]2025'!G149</f>
        <v>13023.67</v>
      </c>
      <c r="I149" s="13">
        <f>'[4]2025'!H149</f>
        <v>12829.33</v>
      </c>
      <c r="J149" s="14">
        <f>'[4]2025'!I149</f>
        <v>644</v>
      </c>
      <c r="K149" s="15">
        <f>'[4]2025'!J149</f>
        <v>123.39000000000001</v>
      </c>
      <c r="L149" s="15">
        <f>'[4]2025'!K149</f>
        <v>140</v>
      </c>
      <c r="M149" s="15">
        <f>'[4]2025'!L149</f>
        <v>25.93</v>
      </c>
      <c r="N149" s="16">
        <f t="shared" si="8"/>
        <v>2.0211499743166632E-3</v>
      </c>
      <c r="O149" s="17">
        <f t="shared" si="9"/>
        <v>-2.4684450316747091E-2</v>
      </c>
      <c r="P149" s="17">
        <f t="shared" si="9"/>
        <v>-3.0959752321981426E-3</v>
      </c>
      <c r="Q149" s="18">
        <f t="shared" si="10"/>
        <v>103.97382283815543</v>
      </c>
      <c r="R149" s="18">
        <f t="shared" si="11"/>
        <v>91.638071428571422</v>
      </c>
      <c r="S149" s="37">
        <f>(S148-SUM(F143:F149))/SUM(F143:F149)</f>
        <v>-6.296851574212893E-2</v>
      </c>
      <c r="T149" s="47">
        <f>SUM(M143:M149)/SUM(I143:I149)</f>
        <v>2.9023148806228863E-3</v>
      </c>
      <c r="U149" s="1739"/>
    </row>
    <row r="150" spans="1:21" ht="17" customHeight="1" thickTop="1">
      <c r="A150" s="10" t="s">
        <v>9</v>
      </c>
      <c r="B150" s="19">
        <f>CHAMNORD!B150</f>
        <v>46167</v>
      </c>
      <c r="C150" s="75">
        <f>IF(H150=0,"",'[4]2025-2026'!C149)</f>
        <v>13260.14</v>
      </c>
      <c r="D150" s="68">
        <f>'[4]2025'!C150</f>
        <v>8239.2999999999993</v>
      </c>
      <c r="E150" s="68">
        <f>'[4]2025'!D150</f>
        <v>8156.33</v>
      </c>
      <c r="F150" s="12">
        <f>'[4]2025'!E150</f>
        <v>458</v>
      </c>
      <c r="G150" s="73">
        <f>'[4]2025'!F150</f>
        <v>12300</v>
      </c>
      <c r="H150" s="42">
        <f>'[4]2025'!G150</f>
        <v>14547.63</v>
      </c>
      <c r="I150" s="13">
        <f>'[4]2025'!H150</f>
        <v>14411.6</v>
      </c>
      <c r="J150" s="14">
        <f>'[4]2025'!I150</f>
        <v>684</v>
      </c>
      <c r="K150" s="15">
        <f>'[4]2025'!J150</f>
        <v>118.98</v>
      </c>
      <c r="L150" s="15">
        <f>'[4]2025'!K150</f>
        <v>135.44</v>
      </c>
      <c r="M150" s="15">
        <f>'[4]2025'!L150</f>
        <v>20.61</v>
      </c>
      <c r="N150" s="16">
        <f t="shared" si="8"/>
        <v>1.4300979766299368E-3</v>
      </c>
      <c r="O150" s="17">
        <f t="shared" si="9"/>
        <v>0.76692213287103395</v>
      </c>
      <c r="P150" s="17">
        <f t="shared" si="9"/>
        <v>0.49344978165938863</v>
      </c>
      <c r="Q150" s="18">
        <f t="shared" si="10"/>
        <v>121.12623970415196</v>
      </c>
      <c r="R150" s="18">
        <f t="shared" si="11"/>
        <v>106.40578854105139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19">
        <f>CHAMNORD!B151</f>
        <v>46168</v>
      </c>
      <c r="C151" s="75">
        <f>IF(H151=0,"",'[4]2025-2026'!C150)</f>
        <v>8239.2999999999993</v>
      </c>
      <c r="D151" s="68">
        <f>'[4]2025'!C151</f>
        <v>8646.66</v>
      </c>
      <c r="E151" s="68">
        <f>'[4]2025'!D151</f>
        <v>8595.91</v>
      </c>
      <c r="F151" s="12">
        <f>'[4]2025'!E151</f>
        <v>492</v>
      </c>
      <c r="G151" s="73">
        <f>'[4]2025'!F151</f>
        <v>8700</v>
      </c>
      <c r="H151" s="42">
        <f>'[4]2025'!G151</f>
        <v>5512.35</v>
      </c>
      <c r="I151" s="13">
        <f>'[4]2025'!H151</f>
        <v>5465.48</v>
      </c>
      <c r="J151" s="14">
        <f>'[4]2025'!I151</f>
        <v>308</v>
      </c>
      <c r="K151" s="15">
        <f>'[4]2025'!J151</f>
        <v>91.390000000000015</v>
      </c>
      <c r="L151" s="15">
        <f>'[4]2025'!K151</f>
        <v>108.12</v>
      </c>
      <c r="M151" s="15">
        <f>'[4]2025'!L151</f>
        <v>35.159999999999997</v>
      </c>
      <c r="N151" s="16">
        <f t="shared" si="8"/>
        <v>6.4331037713064544E-3</v>
      </c>
      <c r="O151" s="17">
        <f t="shared" si="9"/>
        <v>-0.36417668402763642</v>
      </c>
      <c r="P151" s="17">
        <f t="shared" si="9"/>
        <v>-0.37398373983739835</v>
      </c>
      <c r="Q151" s="18">
        <f t="shared" si="10"/>
        <v>59.803917277601471</v>
      </c>
      <c r="R151" s="18">
        <f t="shared" si="11"/>
        <v>50.550129485756564</v>
      </c>
      <c r="S151" s="34">
        <f>SUM(I150:I156)</f>
        <v>82390.67</v>
      </c>
      <c r="T151" s="45" t="s">
        <v>41</v>
      </c>
      <c r="U151" s="1738"/>
    </row>
    <row r="152" spans="1:21">
      <c r="A152" s="10" t="s">
        <v>12</v>
      </c>
      <c r="B152" s="19">
        <f>CHAMNORD!B152</f>
        <v>46169</v>
      </c>
      <c r="C152" s="75">
        <f>IF(H152=0,"",'[4]2025-2026'!C151)</f>
        <v>8646.66</v>
      </c>
      <c r="D152" s="68">
        <f>'[4]2025'!C152</f>
        <v>16238.48</v>
      </c>
      <c r="E152" s="68">
        <f>'[4]2025'!D152</f>
        <v>16082.44</v>
      </c>
      <c r="F152" s="12">
        <f>'[4]2025'!E152</f>
        <v>802</v>
      </c>
      <c r="G152" s="73">
        <f>'[4]2025'!F152</f>
        <v>10400</v>
      </c>
      <c r="H152" s="42">
        <f>'[4]2025'!G152</f>
        <v>11269.29</v>
      </c>
      <c r="I152" s="13">
        <f>'[4]2025'!H152</f>
        <v>11153.1</v>
      </c>
      <c r="J152" s="14">
        <f>'[4]2025'!I152</f>
        <v>570</v>
      </c>
      <c r="K152" s="15">
        <f>'[4]2025'!J152</f>
        <v>104.16</v>
      </c>
      <c r="L152" s="15">
        <f>'[4]2025'!K152</f>
        <v>112.34</v>
      </c>
      <c r="M152" s="15">
        <f>'[4]2025'!L152</f>
        <v>34.82</v>
      </c>
      <c r="N152" s="16">
        <f t="shared" si="8"/>
        <v>3.1220019546135155E-3</v>
      </c>
      <c r="O152" s="17">
        <f t="shared" si="9"/>
        <v>-0.30650448563775151</v>
      </c>
      <c r="P152" s="17">
        <f t="shared" si="9"/>
        <v>-0.2892768079800499</v>
      </c>
      <c r="Q152" s="18">
        <f t="shared" si="10"/>
        <v>107.07661290322581</v>
      </c>
      <c r="R152" s="18">
        <f t="shared" si="11"/>
        <v>99.279864696457182</v>
      </c>
      <c r="S152" s="35">
        <f>(S151-SUM(E150:E156))/SUM(E150:E156)</f>
        <v>-7.8803529923715518E-2</v>
      </c>
      <c r="T152" s="48">
        <f>SUM(I150:I156)/SUM(K150:K156)</f>
        <v>103.63475931120365</v>
      </c>
      <c r="U152" s="1738"/>
    </row>
    <row r="153" spans="1:21">
      <c r="A153" s="10" t="s">
        <v>13</v>
      </c>
      <c r="B153" s="19">
        <f>CHAMNORD!B153</f>
        <v>46170</v>
      </c>
      <c r="C153" s="75">
        <f>IF(H153=0,"",'[4]2025-2026'!C152)</f>
        <v>16238.48</v>
      </c>
      <c r="D153" s="68">
        <f>'[4]2025'!C153</f>
        <v>13943.92</v>
      </c>
      <c r="E153" s="68">
        <f>'[4]2025'!D153</f>
        <v>13840.44</v>
      </c>
      <c r="F153" s="12">
        <f>'[4]2025'!E153</f>
        <v>685</v>
      </c>
      <c r="G153" s="73">
        <f>'[4]2025'!F153</f>
        <v>9400</v>
      </c>
      <c r="H153" s="42">
        <f>'[4]2025'!G153</f>
        <v>10019.33</v>
      </c>
      <c r="I153" s="13">
        <f>'[4]2025'!H153</f>
        <v>9924.24</v>
      </c>
      <c r="J153" s="14">
        <f>'[4]2025'!I153</f>
        <v>552</v>
      </c>
      <c r="K153" s="15">
        <f>'[4]2025'!J153</f>
        <v>100.75</v>
      </c>
      <c r="L153" s="15">
        <f>'[4]2025'!K153</f>
        <v>109.07</v>
      </c>
      <c r="M153" s="15">
        <f>'[4]2025'!L153</f>
        <v>32.17</v>
      </c>
      <c r="N153" s="16">
        <f t="shared" si="8"/>
        <v>3.2415580437393696E-3</v>
      </c>
      <c r="O153" s="17">
        <f t="shared" si="9"/>
        <v>-0.28295343211632007</v>
      </c>
      <c r="P153" s="17">
        <f t="shared" si="9"/>
        <v>-0.19416058394160585</v>
      </c>
      <c r="Q153" s="18">
        <f t="shared" si="10"/>
        <v>98.503622828784117</v>
      </c>
      <c r="R153" s="18">
        <f t="shared" si="11"/>
        <v>90.989639680938851</v>
      </c>
      <c r="S153" s="34"/>
      <c r="T153" s="29" t="s">
        <v>8</v>
      </c>
      <c r="U153" s="1738"/>
    </row>
    <row r="154" spans="1:21">
      <c r="A154" s="10" t="s">
        <v>14</v>
      </c>
      <c r="B154" s="19">
        <f>CHAMNORD!B154</f>
        <v>46171</v>
      </c>
      <c r="C154" s="75">
        <f>IF(H154=0,"",'[4]2025-2026'!C153)</f>
        <v>13943.92</v>
      </c>
      <c r="D154" s="68">
        <f>'[4]2025'!C154</f>
        <v>11689.97</v>
      </c>
      <c r="E154" s="68">
        <f>'[4]2025'!D154</f>
        <v>11571.93</v>
      </c>
      <c r="F154" s="12">
        <f>'[4]2025'!E154</f>
        <v>623</v>
      </c>
      <c r="G154" s="73">
        <f>'[4]2025'!F154</f>
        <v>11700</v>
      </c>
      <c r="H154" s="42">
        <f>'[4]2025'!G154</f>
        <v>13055.4</v>
      </c>
      <c r="I154" s="13">
        <f>'[4]2025'!H154</f>
        <v>12904.36</v>
      </c>
      <c r="J154" s="14">
        <f>'[4]2025'!I154</f>
        <v>655</v>
      </c>
      <c r="K154" s="15">
        <f>'[4]2025'!J154</f>
        <v>127.79999999999998</v>
      </c>
      <c r="L154" s="15">
        <f>'[4]2025'!K154</f>
        <v>146.29</v>
      </c>
      <c r="M154" s="15">
        <f>'[4]2025'!L154</f>
        <v>32.200000000000003</v>
      </c>
      <c r="N154" s="16">
        <f t="shared" si="8"/>
        <v>2.4952806648295615E-3</v>
      </c>
      <c r="O154" s="17">
        <f t="shared" si="9"/>
        <v>0.11514328206271558</v>
      </c>
      <c r="P154" s="17">
        <f t="shared" si="9"/>
        <v>5.1364365971107544E-2</v>
      </c>
      <c r="Q154" s="18">
        <f t="shared" si="10"/>
        <v>100.97308294209705</v>
      </c>
      <c r="R154" s="18">
        <f t="shared" si="11"/>
        <v>88.210814136304606</v>
      </c>
      <c r="S154" s="36" t="s">
        <v>40</v>
      </c>
      <c r="T154" s="48">
        <f>SUM(I150:I156)/SUM(L150:L156)</f>
        <v>90.89879744042365</v>
      </c>
      <c r="U154" s="1738"/>
    </row>
    <row r="155" spans="1:21">
      <c r="A155" s="10" t="s">
        <v>15</v>
      </c>
      <c r="B155" s="19">
        <f>CHAMNORD!B155</f>
        <v>46172</v>
      </c>
      <c r="C155" s="75">
        <f>IF(H155=0,"",'[4]2025-2026'!C154)</f>
        <v>11689.97</v>
      </c>
      <c r="D155" s="68">
        <f>'[4]2025'!C155</f>
        <v>12265.48</v>
      </c>
      <c r="E155" s="68">
        <f>'[4]2025'!D155</f>
        <v>12156.18</v>
      </c>
      <c r="F155" s="12">
        <f>'[4]2025'!E155</f>
        <v>598</v>
      </c>
      <c r="G155" s="73">
        <f>'[4]2025'!F155</f>
        <v>12300</v>
      </c>
      <c r="H155" s="42">
        <f>'[4]2025'!G155</f>
        <v>12484.89</v>
      </c>
      <c r="I155" s="13">
        <f>'[4]2025'!H155</f>
        <v>12357.16</v>
      </c>
      <c r="J155" s="14">
        <f>'[4]2025'!I155</f>
        <v>628</v>
      </c>
      <c r="K155" s="15">
        <f>'[4]2025'!J155</f>
        <v>123.78000000000002</v>
      </c>
      <c r="L155" s="15">
        <f>'[4]2025'!K155</f>
        <v>149.13</v>
      </c>
      <c r="M155" s="15">
        <f>'[4]2025'!L155</f>
        <v>100.93</v>
      </c>
      <c r="N155" s="16">
        <f t="shared" si="8"/>
        <v>8.1677343337789587E-3</v>
      </c>
      <c r="O155" s="17">
        <f t="shared" si="9"/>
        <v>1.6533154329731837E-2</v>
      </c>
      <c r="P155" s="17">
        <f t="shared" si="9"/>
        <v>5.016722408026756E-2</v>
      </c>
      <c r="Q155" s="18">
        <f t="shared" si="10"/>
        <v>99.83163677492324</v>
      </c>
      <c r="R155" s="18">
        <f t="shared" si="11"/>
        <v>82.861664319721044</v>
      </c>
      <c r="S155" s="36">
        <f>SUM(J150:J156)</f>
        <v>4112</v>
      </c>
      <c r="T155" s="30" t="s">
        <v>3</v>
      </c>
      <c r="U155" s="1738"/>
    </row>
    <row r="156" spans="1:21" ht="18" thickBot="1">
      <c r="A156" s="10" t="s">
        <v>16</v>
      </c>
      <c r="B156" s="19">
        <f>CHAMNORD!B156</f>
        <v>46173</v>
      </c>
      <c r="C156" s="75">
        <f>IF(H156=0,"",'[4]2025-2026'!C155)</f>
        <v>12265.48</v>
      </c>
      <c r="D156" s="68">
        <f>'[4]2025'!C156</f>
        <v>19257.310000000001</v>
      </c>
      <c r="E156" s="68">
        <f>'[4]2025'!D156</f>
        <v>19035.53</v>
      </c>
      <c r="F156" s="12">
        <f>'[4]2025'!E156</f>
        <v>889</v>
      </c>
      <c r="G156" s="73">
        <f>'[4]2025'!F156</f>
        <v>18800</v>
      </c>
      <c r="H156" s="42">
        <f>'[4]2025'!G156</f>
        <v>16340.11</v>
      </c>
      <c r="I156" s="13">
        <f>'[4]2025'!H156</f>
        <v>16174.73</v>
      </c>
      <c r="J156" s="14">
        <f>'[4]2025'!I156</f>
        <v>715</v>
      </c>
      <c r="K156" s="15">
        <f>'[4]2025'!J156</f>
        <v>128.14999999999998</v>
      </c>
      <c r="L156" s="15">
        <f>'[4]2025'!K156</f>
        <v>146.01</v>
      </c>
      <c r="M156" s="15">
        <f>'[4]2025'!L156</f>
        <v>57.07</v>
      </c>
      <c r="N156" s="16">
        <f t="shared" si="8"/>
        <v>3.528343286101221E-3</v>
      </c>
      <c r="O156" s="17">
        <f t="shared" si="9"/>
        <v>-0.15028738364521499</v>
      </c>
      <c r="P156" s="17">
        <f t="shared" si="9"/>
        <v>-0.19572553430821146</v>
      </c>
      <c r="Q156" s="18">
        <f t="shared" si="10"/>
        <v>126.21716738197426</v>
      </c>
      <c r="R156" s="18">
        <f t="shared" si="11"/>
        <v>110.77823436750909</v>
      </c>
      <c r="S156" s="37">
        <f>(S155-SUM(F150:F156))/SUM(F150:F156)</f>
        <v>-9.5667473059159888E-2</v>
      </c>
      <c r="T156" s="47">
        <f>SUM(M150:M156)/SUM(I150:I156)</f>
        <v>3.7984883482559376E-3</v>
      </c>
      <c r="U156" s="1739"/>
    </row>
    <row r="157" spans="1:21" ht="17" customHeight="1" thickTop="1">
      <c r="A157" s="10" t="s">
        <v>9</v>
      </c>
      <c r="B157" s="19">
        <f>CHAMNORD!B157</f>
        <v>46174</v>
      </c>
      <c r="C157" s="75">
        <f>IF(H157=0,"",'[4]2025-2026'!C156)</f>
        <v>19257.310000000001</v>
      </c>
      <c r="D157" s="68">
        <f>'[4]2025'!C157</f>
        <v>8388.1</v>
      </c>
      <c r="E157" s="68">
        <f>'[4]2025'!D157</f>
        <v>8336.76</v>
      </c>
      <c r="F157" s="12">
        <f>'[4]2025'!E157</f>
        <v>484</v>
      </c>
      <c r="G157" s="73">
        <f>'[4]2025'!F157</f>
        <v>8600</v>
      </c>
      <c r="H157" s="42">
        <f>'[4]2025'!G157</f>
        <v>8448.14</v>
      </c>
      <c r="I157" s="13">
        <f>'[4]2025'!H157</f>
        <v>8366.26</v>
      </c>
      <c r="J157" s="14">
        <f>'[4]2025'!I157</f>
        <v>490</v>
      </c>
      <c r="K157" s="15">
        <f>'[4]2025'!J157</f>
        <v>105.64</v>
      </c>
      <c r="L157" s="15">
        <f>'[4]2025'!K157</f>
        <v>122.3</v>
      </c>
      <c r="M157" s="15">
        <f>'[4]2025'!L157</f>
        <v>68.407686017988553</v>
      </c>
      <c r="N157" s="16">
        <f t="shared" si="8"/>
        <v>8.1766148814390836E-3</v>
      </c>
      <c r="O157" s="17">
        <f t="shared" si="9"/>
        <v>3.53854495031643E-3</v>
      </c>
      <c r="P157" s="17">
        <f t="shared" si="9"/>
        <v>1.2396694214876033E-2</v>
      </c>
      <c r="Q157" s="18">
        <f t="shared" si="10"/>
        <v>79.195948504354419</v>
      </c>
      <c r="R157" s="18">
        <f t="shared" si="11"/>
        <v>68.407686017988553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19">
        <f>CHAMNORD!B158</f>
        <v>46175</v>
      </c>
      <c r="C158" s="75">
        <f>IF(H158=0,"",'[4]2025-2026'!C157)</f>
        <v>8388.1</v>
      </c>
      <c r="D158" s="68">
        <f>'[4]2025'!C158</f>
        <v>10704.51</v>
      </c>
      <c r="E158" s="68">
        <f>'[4]2025'!D158</f>
        <v>10601.05</v>
      </c>
      <c r="F158" s="12">
        <f>'[4]2025'!E158</f>
        <v>554</v>
      </c>
      <c r="G158" s="73">
        <f>'[4]2025'!F158</f>
        <v>10900</v>
      </c>
      <c r="H158" s="42">
        <f>'[4]2025'!G158</f>
        <v>9737.2900000000009</v>
      </c>
      <c r="I158" s="13">
        <f>'[4]2025'!H158</f>
        <v>9602.7900000000009</v>
      </c>
      <c r="J158" s="14">
        <f>'[4]2025'!I158</f>
        <v>485</v>
      </c>
      <c r="K158" s="15">
        <f>'[4]2025'!J158</f>
        <v>134.19</v>
      </c>
      <c r="L158" s="15">
        <f>'[4]2025'!K158</f>
        <v>142.47</v>
      </c>
      <c r="M158" s="15">
        <f>'[4]2025'!L158</f>
        <v>67.402189934723111</v>
      </c>
      <c r="N158" s="16">
        <f t="shared" si="8"/>
        <v>7.0190215483961543E-3</v>
      </c>
      <c r="O158" s="17">
        <f t="shared" si="9"/>
        <v>-9.4166143919705916E-2</v>
      </c>
      <c r="P158" s="17">
        <f t="shared" si="9"/>
        <v>-0.12454873646209386</v>
      </c>
      <c r="Q158" s="18">
        <f t="shared" si="10"/>
        <v>71.561144645651694</v>
      </c>
      <c r="R158" s="18">
        <f t="shared" si="11"/>
        <v>67.402189934723111</v>
      </c>
      <c r="S158" s="34">
        <f>SUM(I157:I163)</f>
        <v>85294.92</v>
      </c>
      <c r="T158" s="45" t="s">
        <v>41</v>
      </c>
      <c r="U158" s="1738"/>
    </row>
    <row r="159" spans="1:21">
      <c r="A159" s="10" t="s">
        <v>12</v>
      </c>
      <c r="B159" s="19">
        <f>CHAMNORD!B159</f>
        <v>46176</v>
      </c>
      <c r="C159" s="75">
        <f>IF(H159=0,"",'[4]2025-2026'!C158)</f>
        <v>10704.51</v>
      </c>
      <c r="D159" s="68">
        <f>'[4]2025'!C159</f>
        <v>11375.97</v>
      </c>
      <c r="E159" s="68">
        <f>'[4]2025'!D159</f>
        <v>11277.23</v>
      </c>
      <c r="F159" s="12">
        <f>'[4]2025'!E159</f>
        <v>575</v>
      </c>
      <c r="G159" s="73">
        <f>'[4]2025'!F159</f>
        <v>11600</v>
      </c>
      <c r="H159" s="42">
        <f>'[4]2025'!G159</f>
        <v>11479.84</v>
      </c>
      <c r="I159" s="13">
        <f>'[4]2025'!H159</f>
        <v>11262.88</v>
      </c>
      <c r="J159" s="14">
        <f>'[4]2025'!I159</f>
        <v>588</v>
      </c>
      <c r="K159" s="15">
        <f>'[4]2025'!J159</f>
        <v>131.79</v>
      </c>
      <c r="L159" s="15">
        <f>'[4]2025'!K159</f>
        <v>156.26</v>
      </c>
      <c r="M159" s="15">
        <f>'[4]2025'!L159</f>
        <v>72.077819019582748</v>
      </c>
      <c r="N159" s="16">
        <f t="shared" si="8"/>
        <v>6.3995904262127232E-3</v>
      </c>
      <c r="O159" s="17">
        <f t="shared" si="9"/>
        <v>-1.2724755990611493E-3</v>
      </c>
      <c r="P159" s="17">
        <f t="shared" si="9"/>
        <v>2.2608695652173914E-2</v>
      </c>
      <c r="Q159" s="18">
        <f t="shared" si="10"/>
        <v>85.460808862584415</v>
      </c>
      <c r="R159" s="18">
        <f t="shared" si="11"/>
        <v>72.077819019582748</v>
      </c>
      <c r="S159" s="35">
        <f>(S158-SUM(E157:E163))/SUM(E157:E163)</f>
        <v>-6.0608253284790435E-2</v>
      </c>
      <c r="T159" s="48">
        <f>SUM(I157:I163)/SUM(K157:K163)</f>
        <v>89.220627615062753</v>
      </c>
      <c r="U159" s="1738"/>
    </row>
    <row r="160" spans="1:21">
      <c r="A160" s="10" t="s">
        <v>13</v>
      </c>
      <c r="B160" s="19">
        <f>CHAMNORD!B160</f>
        <v>46177</v>
      </c>
      <c r="C160" s="75">
        <f>IF(H160=0,"",'[4]2025-2026'!C159)</f>
        <v>11375.97</v>
      </c>
      <c r="D160" s="68">
        <f>'[4]2025'!C160</f>
        <v>10480.299999999999</v>
      </c>
      <c r="E160" s="68">
        <f>'[4]2025'!D160</f>
        <v>10395.74</v>
      </c>
      <c r="F160" s="12">
        <f>'[4]2025'!E160</f>
        <v>559</v>
      </c>
      <c r="G160" s="73">
        <f>'[4]2025'!F160</f>
        <v>10700</v>
      </c>
      <c r="H160" s="42">
        <f>'[4]2025'!G160</f>
        <v>10296.549999999999</v>
      </c>
      <c r="I160" s="13">
        <f>'[4]2025'!H160</f>
        <v>10152.459999999999</v>
      </c>
      <c r="J160" s="14">
        <f>'[4]2025'!I160</f>
        <v>523</v>
      </c>
      <c r="K160" s="15">
        <f>'[4]2025'!J160</f>
        <v>119.69999999999999</v>
      </c>
      <c r="L160" s="15">
        <f>'[4]2025'!K160</f>
        <v>136.29</v>
      </c>
      <c r="M160" s="15">
        <f>'[4]2025'!L160</f>
        <v>74.491598796683547</v>
      </c>
      <c r="N160" s="16">
        <f t="shared" si="8"/>
        <v>7.3372954728886941E-3</v>
      </c>
      <c r="O160" s="17">
        <f t="shared" si="9"/>
        <v>-2.3401893467901339E-2</v>
      </c>
      <c r="P160" s="17">
        <f t="shared" si="9"/>
        <v>-6.4400715563506267E-2</v>
      </c>
      <c r="Q160" s="18">
        <f t="shared" si="10"/>
        <v>84.815873015873024</v>
      </c>
      <c r="R160" s="18">
        <f t="shared" si="11"/>
        <v>74.491598796683547</v>
      </c>
      <c r="S160" s="34"/>
      <c r="T160" s="29" t="s">
        <v>8</v>
      </c>
      <c r="U160" s="1738"/>
    </row>
    <row r="161" spans="1:21">
      <c r="A161" s="10" t="s">
        <v>14</v>
      </c>
      <c r="B161" s="19">
        <f>CHAMNORD!B161</f>
        <v>46178</v>
      </c>
      <c r="C161" s="75">
        <f>IF(H161=0,"",'[4]2025-2026'!C160)</f>
        <v>10480.299999999999</v>
      </c>
      <c r="D161" s="68">
        <f>'[4]2025'!C161</f>
        <v>16360.49</v>
      </c>
      <c r="E161" s="68">
        <f>'[4]2025'!D161</f>
        <v>16229.02</v>
      </c>
      <c r="F161" s="12">
        <f>'[4]2025'!E161</f>
        <v>809</v>
      </c>
      <c r="G161" s="73">
        <f>'[4]2025'!F161</f>
        <v>16700</v>
      </c>
      <c r="H161" s="42">
        <f>'[4]2025'!G161</f>
        <v>15876.99</v>
      </c>
      <c r="I161" s="13">
        <f>'[4]2025'!H161</f>
        <v>15662.23</v>
      </c>
      <c r="J161" s="14">
        <f>'[4]2025'!I161</f>
        <v>792</v>
      </c>
      <c r="K161" s="15">
        <f>'[4]2025'!J161</f>
        <v>172.63</v>
      </c>
      <c r="L161" s="15">
        <f>'[4]2025'!K161</f>
        <v>184.38</v>
      </c>
      <c r="M161" s="15">
        <f>'[4]2025'!L161</f>
        <v>84.945384531944896</v>
      </c>
      <c r="N161" s="16">
        <f t="shared" si="8"/>
        <v>5.4235817333767224E-3</v>
      </c>
      <c r="O161" s="17">
        <f t="shared" si="9"/>
        <v>-3.492447479884804E-2</v>
      </c>
      <c r="P161" s="17">
        <f t="shared" si="9"/>
        <v>-2.1013597033374538E-2</v>
      </c>
      <c r="Q161" s="18">
        <f t="shared" si="10"/>
        <v>90.727162138678096</v>
      </c>
      <c r="R161" s="18">
        <f t="shared" si="11"/>
        <v>84.945384531944896</v>
      </c>
      <c r="S161" s="36" t="s">
        <v>40</v>
      </c>
      <c r="T161" s="48">
        <f>SUM(I157:I163)/SUM(L157:L163)</f>
        <v>79.253430958066602</v>
      </c>
      <c r="U161" s="1738"/>
    </row>
    <row r="162" spans="1:21">
      <c r="A162" s="10" t="s">
        <v>15</v>
      </c>
      <c r="B162" s="19">
        <f>CHAMNORD!B162</f>
        <v>46179</v>
      </c>
      <c r="C162" s="75">
        <f>IF(H162=0,"",'[4]2025-2026'!C161)</f>
        <v>16360.49</v>
      </c>
      <c r="D162" s="68">
        <f>'[4]2025'!C162</f>
        <v>16151.64</v>
      </c>
      <c r="E162" s="68">
        <f>'[4]2025'!D162</f>
        <v>16011.88</v>
      </c>
      <c r="F162" s="12">
        <f>'[4]2025'!E162</f>
        <v>748</v>
      </c>
      <c r="G162" s="73">
        <f>'[4]2025'!F162</f>
        <v>16500</v>
      </c>
      <c r="H162" s="42">
        <f>'[4]2025'!G162</f>
        <v>14704</v>
      </c>
      <c r="I162" s="13">
        <f>'[4]2025'!H162</f>
        <v>14450.02</v>
      </c>
      <c r="J162" s="14">
        <f>'[4]2025'!I162</f>
        <v>725</v>
      </c>
      <c r="K162" s="15">
        <f>'[4]2025'!J162</f>
        <v>145.25</v>
      </c>
      <c r="L162" s="15">
        <f>'[4]2025'!K162</f>
        <v>170.7</v>
      </c>
      <c r="M162" s="15">
        <f>'[4]2025'!L162</f>
        <v>84.651552431165797</v>
      </c>
      <c r="N162" s="16">
        <f t="shared" si="8"/>
        <v>5.8582308142940834E-3</v>
      </c>
      <c r="O162" s="17">
        <f t="shared" si="9"/>
        <v>-9.7543823710894595E-2</v>
      </c>
      <c r="P162" s="17">
        <f t="shared" si="9"/>
        <v>-3.074866310160428E-2</v>
      </c>
      <c r="Q162" s="18">
        <f t="shared" si="10"/>
        <v>99.483786574870919</v>
      </c>
      <c r="R162" s="18">
        <f t="shared" si="11"/>
        <v>84.651552431165797</v>
      </c>
      <c r="S162" s="36">
        <f>SUM(J157:J163)</f>
        <v>4342</v>
      </c>
      <c r="T162" s="30" t="s">
        <v>3</v>
      </c>
      <c r="U162" s="1738"/>
    </row>
    <row r="163" spans="1:21" ht="18" thickBot="1">
      <c r="A163" s="10" t="s">
        <v>16</v>
      </c>
      <c r="B163" s="19">
        <f>CHAMNORD!B163</f>
        <v>46180</v>
      </c>
      <c r="C163" s="75">
        <f>IF(H163=0,"",'[4]2025-2026'!C162)</f>
        <v>16151.64</v>
      </c>
      <c r="D163" s="68">
        <f>'[4]2025'!C163</f>
        <v>18099.21</v>
      </c>
      <c r="E163" s="68">
        <f>'[4]2025'!D163</f>
        <v>17946.349999999999</v>
      </c>
      <c r="F163" s="12">
        <f>'[4]2025'!E163</f>
        <v>860</v>
      </c>
      <c r="G163" s="73">
        <f>'[4]2025'!F163</f>
        <v>18500</v>
      </c>
      <c r="H163" s="185">
        <f>'[4]2025'!G163</f>
        <v>15951.4</v>
      </c>
      <c r="I163" s="13">
        <f>'[4]2025'!H163</f>
        <v>15798.28</v>
      </c>
      <c r="J163" s="14">
        <f>'[4]2025'!I163</f>
        <v>739</v>
      </c>
      <c r="K163" s="15">
        <f>'[4]2025'!J163</f>
        <v>146.80000000000001</v>
      </c>
      <c r="L163" s="15">
        <f>'[4]2025'!K163</f>
        <v>163.83000000000001</v>
      </c>
      <c r="M163" s="15">
        <f>'[4]2025'!L163</f>
        <v>96.430934505279865</v>
      </c>
      <c r="N163" s="16">
        <f t="shared" si="8"/>
        <v>6.1038881767686015E-3</v>
      </c>
      <c r="O163" s="17">
        <f t="shared" si="9"/>
        <v>-0.11969397676964943</v>
      </c>
      <c r="P163" s="17">
        <f t="shared" si="9"/>
        <v>-0.14069767441860465</v>
      </c>
      <c r="Q163" s="18">
        <f t="shared" si="10"/>
        <v>107.61771117166212</v>
      </c>
      <c r="R163" s="18">
        <f t="shared" si="11"/>
        <v>96.430934505279865</v>
      </c>
      <c r="S163" s="37">
        <f>(S162-SUM(F157:F163))/SUM(F157:F163)</f>
        <v>-5.3824362606232294E-2</v>
      </c>
      <c r="T163" s="47">
        <f>SUM(M157:M163)/SUM(I157:I163)</f>
        <v>6.4295407655856705E-3</v>
      </c>
      <c r="U163" s="1739"/>
    </row>
    <row r="164" spans="1:21" ht="17" customHeight="1" thickTop="1">
      <c r="A164" s="10" t="s">
        <v>9</v>
      </c>
      <c r="B164" s="19">
        <f>CHAMNORD!B164</f>
        <v>46181</v>
      </c>
      <c r="C164" s="75" t="str">
        <f>IF(H164=0,"",'[4]2025-2026'!C163)</f>
        <v/>
      </c>
      <c r="D164" s="68" t="str">
        <f>'[4]2025'!C164</f>
        <v/>
      </c>
      <c r="E164" s="68" t="str">
        <f>'[4]2025'!D164</f>
        <v/>
      </c>
      <c r="F164" s="12" t="str">
        <f>'[4]2025'!E164</f>
        <v/>
      </c>
      <c r="G164" s="73" t="str">
        <f>'[4]2025'!F164</f>
        <v/>
      </c>
      <c r="H164" s="42">
        <f>'[4]2025'!G164</f>
        <v>0</v>
      </c>
      <c r="I164" s="13">
        <f>'[4]2025'!H164</f>
        <v>0</v>
      </c>
      <c r="J164" s="14">
        <f>'[4]2025'!I164</f>
        <v>0</v>
      </c>
      <c r="K164" s="15">
        <f>'[4]2025'!J164</f>
        <v>0</v>
      </c>
      <c r="L164" s="15">
        <f>'[4]2025'!K164</f>
        <v>0</v>
      </c>
      <c r="M164" s="15" t="str">
        <f>'[4]2025'!L164</f>
        <v/>
      </c>
      <c r="N164" s="16" t="e">
        <f t="shared" si="8"/>
        <v>#VALUE!</v>
      </c>
      <c r="O164" s="17" t="str">
        <f t="shared" si="9"/>
        <v/>
      </c>
      <c r="P164" s="17" t="str">
        <f t="shared" si="9"/>
        <v/>
      </c>
      <c r="Q164" s="18" t="str">
        <f t="shared" si="10"/>
        <v/>
      </c>
      <c r="R164" s="18" t="e">
        <f t="shared" si="11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19">
        <f>CHAMNORD!B165</f>
        <v>46182</v>
      </c>
      <c r="C165" s="75" t="str">
        <f>IF(H165=0,"",'[4]2025-2026'!C164)</f>
        <v/>
      </c>
      <c r="D165" s="68" t="str">
        <f>'[4]2025'!C165</f>
        <v/>
      </c>
      <c r="E165" s="68" t="str">
        <f>'[4]2025'!D165</f>
        <v/>
      </c>
      <c r="F165" s="12" t="str">
        <f>'[4]2025'!E165</f>
        <v/>
      </c>
      <c r="G165" s="73" t="str">
        <f>'[4]2025'!F165</f>
        <v/>
      </c>
      <c r="H165" s="42">
        <f>'[4]2025'!G165</f>
        <v>0</v>
      </c>
      <c r="I165" s="13">
        <f>'[4]2025'!H165</f>
        <v>0</v>
      </c>
      <c r="J165" s="14">
        <f>'[4]2025'!I165</f>
        <v>0</v>
      </c>
      <c r="K165" s="15">
        <f>'[4]2025'!J165</f>
        <v>0</v>
      </c>
      <c r="L165" s="15">
        <f>'[4]2025'!K165</f>
        <v>0</v>
      </c>
      <c r="M165" s="15" t="str">
        <f>'[4]2025'!L165</f>
        <v/>
      </c>
      <c r="N165" s="16" t="e">
        <f t="shared" si="8"/>
        <v>#VALUE!</v>
      </c>
      <c r="O165" s="17" t="str">
        <f t="shared" si="9"/>
        <v/>
      </c>
      <c r="P165" s="17" t="str">
        <f t="shared" si="9"/>
        <v/>
      </c>
      <c r="Q165" s="18" t="str">
        <f t="shared" si="10"/>
        <v/>
      </c>
      <c r="R165" s="18" t="e">
        <f t="shared" si="11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19">
        <f>CHAMNORD!B166</f>
        <v>46183</v>
      </c>
      <c r="C166" s="75" t="str">
        <f>IF(H166=0,"",'[4]2025-2026'!C165)</f>
        <v/>
      </c>
      <c r="D166" s="68" t="str">
        <f>'[4]2025'!C166</f>
        <v/>
      </c>
      <c r="E166" s="68" t="str">
        <f>'[4]2025'!D166</f>
        <v/>
      </c>
      <c r="F166" s="12" t="str">
        <f>'[4]2025'!E166</f>
        <v/>
      </c>
      <c r="G166" s="73" t="str">
        <f>'[4]2025'!F166</f>
        <v/>
      </c>
      <c r="H166" s="42">
        <f>'[4]2025'!G166</f>
        <v>0</v>
      </c>
      <c r="I166" s="13">
        <f>'[4]2025'!H166</f>
        <v>0</v>
      </c>
      <c r="J166" s="14">
        <f>'[4]2025'!I166</f>
        <v>0</v>
      </c>
      <c r="K166" s="15">
        <f>'[4]2025'!J166</f>
        <v>0</v>
      </c>
      <c r="L166" s="15">
        <f>'[4]2025'!K166</f>
        <v>0</v>
      </c>
      <c r="M166" s="15" t="str">
        <f>'[4]2025'!L166</f>
        <v/>
      </c>
      <c r="N166" s="16" t="e">
        <f t="shared" si="8"/>
        <v>#VALUE!</v>
      </c>
      <c r="O166" s="17" t="str">
        <f t="shared" si="9"/>
        <v/>
      </c>
      <c r="P166" s="17" t="str">
        <f t="shared" si="9"/>
        <v/>
      </c>
      <c r="Q166" s="18" t="str">
        <f t="shared" si="10"/>
        <v/>
      </c>
      <c r="R166" s="18" t="e">
        <f t="shared" si="11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19">
        <f>CHAMNORD!B167</f>
        <v>46184</v>
      </c>
      <c r="C167" s="75" t="str">
        <f>IF(H167=0,"",'[4]2025-2026'!C166)</f>
        <v/>
      </c>
      <c r="D167" s="68" t="str">
        <f>'[4]2025'!C167</f>
        <v/>
      </c>
      <c r="E167" s="68" t="str">
        <f>'[4]2025'!D167</f>
        <v/>
      </c>
      <c r="F167" s="12" t="str">
        <f>'[4]2025'!E167</f>
        <v/>
      </c>
      <c r="G167" s="73" t="str">
        <f>'[4]2025'!F167</f>
        <v/>
      </c>
      <c r="H167" s="42">
        <f>'[4]2025'!G167</f>
        <v>0</v>
      </c>
      <c r="I167" s="13">
        <f>'[4]2025'!H167</f>
        <v>0</v>
      </c>
      <c r="J167" s="14">
        <f>'[4]2025'!I167</f>
        <v>0</v>
      </c>
      <c r="K167" s="15">
        <f>'[4]2025'!J167</f>
        <v>0</v>
      </c>
      <c r="L167" s="15">
        <f>'[4]2025'!K167</f>
        <v>0</v>
      </c>
      <c r="M167" s="15" t="str">
        <f>'[4]2025'!L167</f>
        <v/>
      </c>
      <c r="N167" s="16" t="e">
        <f t="shared" si="8"/>
        <v>#VALUE!</v>
      </c>
      <c r="O167" s="17" t="str">
        <f t="shared" si="9"/>
        <v/>
      </c>
      <c r="P167" s="17" t="str">
        <f t="shared" si="9"/>
        <v/>
      </c>
      <c r="Q167" s="18" t="str">
        <f t="shared" si="10"/>
        <v/>
      </c>
      <c r="R167" s="18" t="e">
        <f t="shared" si="11"/>
        <v>#DIV/0!</v>
      </c>
      <c r="S167" s="34"/>
      <c r="T167" s="29" t="s">
        <v>8</v>
      </c>
      <c r="U167" s="1738"/>
    </row>
    <row r="168" spans="1:21">
      <c r="A168" s="10" t="s">
        <v>14</v>
      </c>
      <c r="B168" s="19">
        <f>CHAMNORD!B168</f>
        <v>46185</v>
      </c>
      <c r="C168" s="75" t="str">
        <f>IF(H168=0,"",'[4]2025-2026'!C167)</f>
        <v/>
      </c>
      <c r="D168" s="68" t="str">
        <f>'[4]2025'!C168</f>
        <v/>
      </c>
      <c r="E168" s="68" t="str">
        <f>'[4]2025'!D168</f>
        <v/>
      </c>
      <c r="F168" s="12" t="str">
        <f>'[4]2025'!E168</f>
        <v/>
      </c>
      <c r="G168" s="73" t="str">
        <f>'[4]2025'!F168</f>
        <v/>
      </c>
      <c r="H168" s="42">
        <f>'[4]2025'!G168</f>
        <v>0</v>
      </c>
      <c r="I168" s="13">
        <f>'[4]2025'!H168</f>
        <v>0</v>
      </c>
      <c r="J168" s="14">
        <f>'[4]2025'!I168</f>
        <v>0</v>
      </c>
      <c r="K168" s="15">
        <f>'[4]2025'!J168</f>
        <v>0</v>
      </c>
      <c r="L168" s="15">
        <f>'[4]2025'!K168</f>
        <v>0</v>
      </c>
      <c r="M168" s="15" t="str">
        <f>'[4]2025'!L168</f>
        <v/>
      </c>
      <c r="N168" s="16" t="e">
        <f t="shared" si="8"/>
        <v>#VALUE!</v>
      </c>
      <c r="O168" s="17" t="str">
        <f t="shared" si="9"/>
        <v/>
      </c>
      <c r="P168" s="17" t="str">
        <f t="shared" si="9"/>
        <v/>
      </c>
      <c r="Q168" s="18" t="str">
        <f t="shared" si="10"/>
        <v/>
      </c>
      <c r="R168" s="18" t="e">
        <f t="shared" si="11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19">
        <f>CHAMNORD!B169</f>
        <v>46186</v>
      </c>
      <c r="C169" s="75" t="str">
        <f>IF(H169=0,"",'[4]2025-2026'!C168)</f>
        <v/>
      </c>
      <c r="D169" s="68" t="str">
        <f>'[4]2025'!C169</f>
        <v/>
      </c>
      <c r="E169" s="68" t="str">
        <f>'[4]2025'!D169</f>
        <v/>
      </c>
      <c r="F169" s="12" t="str">
        <f>'[4]2025'!E169</f>
        <v/>
      </c>
      <c r="G169" s="73" t="str">
        <f>'[4]2025'!F169</f>
        <v/>
      </c>
      <c r="H169" s="42">
        <f>'[4]2025'!G169</f>
        <v>0</v>
      </c>
      <c r="I169" s="13">
        <f>'[4]2025'!H169</f>
        <v>0</v>
      </c>
      <c r="J169" s="14">
        <f>'[4]2025'!I169</f>
        <v>0</v>
      </c>
      <c r="K169" s="15">
        <f>'[4]2025'!J169</f>
        <v>0</v>
      </c>
      <c r="L169" s="15">
        <f>'[4]2025'!K169</f>
        <v>0</v>
      </c>
      <c r="M169" s="15" t="str">
        <f>'[4]2025'!L169</f>
        <v/>
      </c>
      <c r="N169" s="16" t="e">
        <f t="shared" si="8"/>
        <v>#VALUE!</v>
      </c>
      <c r="O169" s="17" t="str">
        <f t="shared" si="9"/>
        <v/>
      </c>
      <c r="P169" s="17" t="str">
        <f t="shared" si="9"/>
        <v/>
      </c>
      <c r="Q169" s="18" t="str">
        <f t="shared" si="10"/>
        <v/>
      </c>
      <c r="R169" s="18" t="e">
        <f t="shared" si="11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19">
        <f>CHAMNORD!B170</f>
        <v>46187</v>
      </c>
      <c r="C170" s="75" t="str">
        <f>IF(H170=0,"",'[4]2025-2026'!C169)</f>
        <v/>
      </c>
      <c r="D170" s="68" t="str">
        <f>'[4]2025'!C170</f>
        <v/>
      </c>
      <c r="E170" s="68" t="str">
        <f>'[4]2025'!D170</f>
        <v/>
      </c>
      <c r="F170" s="12" t="str">
        <f>'[4]2025'!E170</f>
        <v/>
      </c>
      <c r="G170" s="73" t="str">
        <f>'[4]2025'!F170</f>
        <v/>
      </c>
      <c r="H170" s="42">
        <f>'[4]2025'!G170</f>
        <v>0</v>
      </c>
      <c r="I170" s="13">
        <f>'[4]2025'!H170</f>
        <v>0</v>
      </c>
      <c r="J170" s="14">
        <f>'[4]2025'!I170</f>
        <v>0</v>
      </c>
      <c r="K170" s="15">
        <f>'[4]2025'!J170</f>
        <v>0</v>
      </c>
      <c r="L170" s="15">
        <f>'[4]2025'!K170</f>
        <v>0</v>
      </c>
      <c r="M170" s="15" t="str">
        <f>'[4]2025'!L170</f>
        <v/>
      </c>
      <c r="N170" s="16" t="e">
        <f t="shared" si="8"/>
        <v>#VALUE!</v>
      </c>
      <c r="O170" s="17" t="str">
        <f t="shared" si="9"/>
        <v/>
      </c>
      <c r="P170" s="17" t="str">
        <f t="shared" si="9"/>
        <v/>
      </c>
      <c r="Q170" s="18" t="str">
        <f t="shared" si="10"/>
        <v/>
      </c>
      <c r="R170" s="18" t="e">
        <f t="shared" si="11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19">
        <f>CHAMNORD!B171</f>
        <v>46188</v>
      </c>
      <c r="C171" s="75" t="str">
        <f>IF(H171=0,"",'[4]2025-2026'!C170)</f>
        <v/>
      </c>
      <c r="D171" s="68" t="str">
        <f>'[4]2025'!C171</f>
        <v/>
      </c>
      <c r="E171" s="68" t="str">
        <f>'[4]2025'!D171</f>
        <v/>
      </c>
      <c r="F171" s="12" t="str">
        <f>'[4]2025'!E171</f>
        <v/>
      </c>
      <c r="G171" s="73" t="str">
        <f>'[4]2025'!F171</f>
        <v/>
      </c>
      <c r="H171" s="42">
        <f>'[4]2025'!G171</f>
        <v>0</v>
      </c>
      <c r="I171" s="13">
        <f>'[4]2025'!H171</f>
        <v>0</v>
      </c>
      <c r="J171" s="14">
        <f>'[4]2025'!I171</f>
        <v>0</v>
      </c>
      <c r="K171" s="15">
        <f>'[4]2025'!J171</f>
        <v>0</v>
      </c>
      <c r="L171" s="15">
        <f>'[4]2025'!K171</f>
        <v>0</v>
      </c>
      <c r="M171" s="15" t="str">
        <f>'[4]2025'!L171</f>
        <v/>
      </c>
      <c r="N171" s="16" t="e">
        <f t="shared" si="8"/>
        <v>#VALUE!</v>
      </c>
      <c r="O171" s="17" t="str">
        <f t="shared" si="9"/>
        <v/>
      </c>
      <c r="P171" s="17" t="str">
        <f t="shared" si="9"/>
        <v/>
      </c>
      <c r="Q171" s="18" t="str">
        <f t="shared" si="10"/>
        <v/>
      </c>
      <c r="R171" s="18" t="e">
        <f t="shared" si="11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19">
        <f>CHAMNORD!B172</f>
        <v>46189</v>
      </c>
      <c r="C172" s="75" t="str">
        <f>IF(H172=0,"",'[4]2025-2026'!C171)</f>
        <v/>
      </c>
      <c r="D172" s="68" t="str">
        <f>'[4]2025'!C172</f>
        <v/>
      </c>
      <c r="E172" s="68" t="str">
        <f>'[4]2025'!D172</f>
        <v/>
      </c>
      <c r="F172" s="12" t="str">
        <f>'[4]2025'!E172</f>
        <v/>
      </c>
      <c r="G172" s="73" t="str">
        <f>'[4]2025'!F172</f>
        <v/>
      </c>
      <c r="H172" s="42">
        <f>'[4]2025'!G172</f>
        <v>0</v>
      </c>
      <c r="I172" s="13">
        <f>'[4]2025'!H172</f>
        <v>0</v>
      </c>
      <c r="J172" s="14">
        <f>'[4]2025'!I172</f>
        <v>0</v>
      </c>
      <c r="K172" s="15">
        <f>'[4]2025'!J172</f>
        <v>0</v>
      </c>
      <c r="L172" s="15">
        <f>'[4]2025'!K172</f>
        <v>0</v>
      </c>
      <c r="M172" s="15" t="str">
        <f>'[4]2025'!L172</f>
        <v/>
      </c>
      <c r="N172" s="16" t="e">
        <f t="shared" si="8"/>
        <v>#VALUE!</v>
      </c>
      <c r="O172" s="17" t="str">
        <f t="shared" si="9"/>
        <v/>
      </c>
      <c r="P172" s="17" t="str">
        <f t="shared" si="9"/>
        <v/>
      </c>
      <c r="Q172" s="18" t="str">
        <f t="shared" si="10"/>
        <v/>
      </c>
      <c r="R172" s="18" t="e">
        <f t="shared" si="11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19">
        <f>CHAMNORD!B173</f>
        <v>46190</v>
      </c>
      <c r="C173" s="75" t="str">
        <f>IF(H173=0,"",'[4]2025-2026'!C172)</f>
        <v/>
      </c>
      <c r="D173" s="68" t="str">
        <f>'[4]2025'!C173</f>
        <v/>
      </c>
      <c r="E173" s="68" t="str">
        <f>'[4]2025'!D173</f>
        <v/>
      </c>
      <c r="F173" s="12" t="str">
        <f>'[4]2025'!E173</f>
        <v/>
      </c>
      <c r="G173" s="73" t="str">
        <f>'[4]2025'!F173</f>
        <v/>
      </c>
      <c r="H173" s="42">
        <f>'[4]2025'!G173</f>
        <v>0</v>
      </c>
      <c r="I173" s="13">
        <f>'[4]2025'!H173</f>
        <v>0</v>
      </c>
      <c r="J173" s="14">
        <f>'[4]2025'!I173</f>
        <v>0</v>
      </c>
      <c r="K173" s="15">
        <f>'[4]2025'!J173</f>
        <v>0</v>
      </c>
      <c r="L173" s="15">
        <f>'[4]2025'!K173</f>
        <v>0</v>
      </c>
      <c r="M173" s="15" t="str">
        <f>'[4]2025'!L173</f>
        <v/>
      </c>
      <c r="N173" s="16" t="e">
        <f t="shared" si="8"/>
        <v>#VALUE!</v>
      </c>
      <c r="O173" s="17" t="str">
        <f t="shared" si="9"/>
        <v/>
      </c>
      <c r="P173" s="17" t="str">
        <f t="shared" si="9"/>
        <v/>
      </c>
      <c r="Q173" s="18" t="str">
        <f t="shared" si="10"/>
        <v/>
      </c>
      <c r="R173" s="18" t="e">
        <f t="shared" si="11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19">
        <f>CHAMNORD!B174</f>
        <v>46191</v>
      </c>
      <c r="C174" s="75" t="str">
        <f>IF(H174=0,"",'[4]2025-2026'!C173)</f>
        <v/>
      </c>
      <c r="D174" s="68" t="str">
        <f>'[4]2025'!C174</f>
        <v/>
      </c>
      <c r="E174" s="68" t="str">
        <f>'[4]2025'!D174</f>
        <v/>
      </c>
      <c r="F174" s="12" t="str">
        <f>'[4]2025'!E174</f>
        <v/>
      </c>
      <c r="G174" s="73" t="str">
        <f>'[4]2025'!F174</f>
        <v/>
      </c>
      <c r="H174" s="42">
        <f>'[4]2025'!G174</f>
        <v>0</v>
      </c>
      <c r="I174" s="13">
        <f>'[4]2025'!H174</f>
        <v>0</v>
      </c>
      <c r="J174" s="14">
        <f>'[4]2025'!I174</f>
        <v>0</v>
      </c>
      <c r="K174" s="15">
        <f>'[4]2025'!J174</f>
        <v>0</v>
      </c>
      <c r="L174" s="15">
        <f>'[4]2025'!K174</f>
        <v>0</v>
      </c>
      <c r="M174" s="15" t="str">
        <f>'[4]2025'!L174</f>
        <v/>
      </c>
      <c r="N174" s="16" t="e">
        <f t="shared" si="8"/>
        <v>#VALUE!</v>
      </c>
      <c r="O174" s="17" t="str">
        <f t="shared" si="9"/>
        <v/>
      </c>
      <c r="P174" s="17" t="str">
        <f t="shared" si="9"/>
        <v/>
      </c>
      <c r="Q174" s="18" t="str">
        <f t="shared" si="10"/>
        <v/>
      </c>
      <c r="R174" s="18" t="e">
        <f t="shared" si="11"/>
        <v>#DIV/0!</v>
      </c>
      <c r="S174" s="34"/>
      <c r="T174" s="29" t="s">
        <v>8</v>
      </c>
      <c r="U174" s="1738"/>
    </row>
    <row r="175" spans="1:21">
      <c r="A175" s="10" t="s">
        <v>14</v>
      </c>
      <c r="B175" s="19">
        <f>CHAMNORD!B175</f>
        <v>46192</v>
      </c>
      <c r="C175" s="75" t="str">
        <f>IF(H175=0,"",'[4]2025-2026'!C174)</f>
        <v/>
      </c>
      <c r="D175" s="68" t="str">
        <f>'[4]2025'!C175</f>
        <v/>
      </c>
      <c r="E175" s="68" t="str">
        <f>'[4]2025'!D175</f>
        <v/>
      </c>
      <c r="F175" s="12" t="str">
        <f>'[4]2025'!E175</f>
        <v/>
      </c>
      <c r="G175" s="73" t="str">
        <f>'[4]2025'!F175</f>
        <v/>
      </c>
      <c r="H175" s="42">
        <f>'[4]2025'!G175</f>
        <v>0</v>
      </c>
      <c r="I175" s="13">
        <f>'[4]2025'!H175</f>
        <v>0</v>
      </c>
      <c r="J175" s="14">
        <f>'[4]2025'!I175</f>
        <v>0</v>
      </c>
      <c r="K175" s="15">
        <f>'[4]2025'!J175</f>
        <v>0</v>
      </c>
      <c r="L175" s="15">
        <f>'[4]2025'!K175</f>
        <v>0</v>
      </c>
      <c r="M175" s="15" t="str">
        <f>'[4]2025'!L175</f>
        <v/>
      </c>
      <c r="N175" s="16" t="e">
        <f t="shared" si="8"/>
        <v>#VALUE!</v>
      </c>
      <c r="O175" s="17" t="str">
        <f t="shared" si="9"/>
        <v/>
      </c>
      <c r="P175" s="17" t="str">
        <f t="shared" si="9"/>
        <v/>
      </c>
      <c r="Q175" s="18" t="str">
        <f t="shared" si="10"/>
        <v/>
      </c>
      <c r="R175" s="18" t="e">
        <f t="shared" si="11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19">
        <f>CHAMNORD!B176</f>
        <v>46193</v>
      </c>
      <c r="C176" s="75" t="str">
        <f>IF(H176=0,"",'[4]2025-2026'!C175)</f>
        <v/>
      </c>
      <c r="D176" s="68" t="str">
        <f>'[4]2025'!C176</f>
        <v/>
      </c>
      <c r="E176" s="68" t="str">
        <f>'[4]2025'!D176</f>
        <v/>
      </c>
      <c r="F176" s="12" t="str">
        <f>'[4]2025'!E176</f>
        <v/>
      </c>
      <c r="G176" s="73" t="str">
        <f>'[4]2025'!F176</f>
        <v/>
      </c>
      <c r="H176" s="185">
        <f>'[4]2025'!G176</f>
        <v>0</v>
      </c>
      <c r="I176" s="13">
        <f>'[4]2025'!H176</f>
        <v>0</v>
      </c>
      <c r="J176" s="14">
        <f>'[4]2025'!I176</f>
        <v>0</v>
      </c>
      <c r="K176" s="15">
        <f>'[4]2025'!J176</f>
        <v>0</v>
      </c>
      <c r="L176" s="15">
        <f>'[4]2025'!K176</f>
        <v>0</v>
      </c>
      <c r="M176" s="15" t="str">
        <f>'[4]2025'!L176</f>
        <v/>
      </c>
      <c r="N176" s="16" t="e">
        <f t="shared" si="8"/>
        <v>#VALUE!</v>
      </c>
      <c r="O176" s="17" t="str">
        <f t="shared" si="9"/>
        <v/>
      </c>
      <c r="P176" s="17" t="str">
        <f t="shared" si="9"/>
        <v/>
      </c>
      <c r="Q176" s="18" t="str">
        <f t="shared" si="10"/>
        <v/>
      </c>
      <c r="R176" s="18" t="e">
        <f t="shared" si="11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19">
        <f>CHAMNORD!B177</f>
        <v>46194</v>
      </c>
      <c r="C177" s="75" t="str">
        <f>IF(H177=0,"",'[4]2025-2026'!C176)</f>
        <v/>
      </c>
      <c r="D177" s="68" t="str">
        <f>'[4]2025'!C177</f>
        <v/>
      </c>
      <c r="E177" s="68" t="str">
        <f>'[4]2025'!D177</f>
        <v/>
      </c>
      <c r="F177" s="12" t="str">
        <f>'[4]2025'!E177</f>
        <v/>
      </c>
      <c r="G177" s="73" t="str">
        <f>'[4]2025'!F177</f>
        <v/>
      </c>
      <c r="H177" s="42">
        <f>'[4]2025'!G177</f>
        <v>0</v>
      </c>
      <c r="I177" s="13">
        <f>'[4]2025'!H177</f>
        <v>0</v>
      </c>
      <c r="J177" s="14">
        <f>'[4]2025'!I177</f>
        <v>0</v>
      </c>
      <c r="K177" s="15">
        <f>'[4]2025'!J177</f>
        <v>0</v>
      </c>
      <c r="L177" s="15">
        <f>'[4]2025'!K177</f>
        <v>0</v>
      </c>
      <c r="M177" s="15" t="str">
        <f>'[4]2025'!L177</f>
        <v/>
      </c>
      <c r="N177" s="16" t="e">
        <f t="shared" si="8"/>
        <v>#VALUE!</v>
      </c>
      <c r="O177" s="17" t="str">
        <f t="shared" si="9"/>
        <v/>
      </c>
      <c r="P177" s="17" t="str">
        <f t="shared" si="9"/>
        <v/>
      </c>
      <c r="Q177" s="18" t="str">
        <f t="shared" si="10"/>
        <v/>
      </c>
      <c r="R177" s="18" t="e">
        <f t="shared" si="11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19">
        <f>CHAMNORD!B178</f>
        <v>46195</v>
      </c>
      <c r="C178" s="75" t="str">
        <f>IF(H178=0,"",'[4]2025-2026'!C177)</f>
        <v/>
      </c>
      <c r="D178" s="68" t="str">
        <f>'[4]2025'!C178</f>
        <v/>
      </c>
      <c r="E178" s="68" t="str">
        <f>'[4]2025'!D178</f>
        <v/>
      </c>
      <c r="F178" s="12" t="str">
        <f>'[4]2025'!E178</f>
        <v/>
      </c>
      <c r="G178" s="73" t="str">
        <f>'[4]2025'!F178</f>
        <v/>
      </c>
      <c r="H178" s="42">
        <f>'[4]2025'!G178</f>
        <v>0</v>
      </c>
      <c r="I178" s="13">
        <f>'[4]2025'!H178</f>
        <v>0</v>
      </c>
      <c r="J178" s="14">
        <f>'[4]2025'!I178</f>
        <v>0</v>
      </c>
      <c r="K178" s="15">
        <f>'[4]2025'!J178</f>
        <v>0</v>
      </c>
      <c r="L178" s="15">
        <f>'[4]2025'!K178</f>
        <v>0</v>
      </c>
      <c r="M178" s="15" t="str">
        <f>'[4]2025'!L178</f>
        <v/>
      </c>
      <c r="N178" s="16" t="e">
        <f t="shared" si="8"/>
        <v>#VALUE!</v>
      </c>
      <c r="O178" s="17" t="str">
        <f t="shared" si="9"/>
        <v/>
      </c>
      <c r="P178" s="17" t="str">
        <f t="shared" si="9"/>
        <v/>
      </c>
      <c r="Q178" s="18" t="str">
        <f t="shared" si="10"/>
        <v/>
      </c>
      <c r="R178" s="18" t="e">
        <f t="shared" si="11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19">
        <f>CHAMNORD!B179</f>
        <v>46196</v>
      </c>
      <c r="C179" s="75" t="str">
        <f>IF(H179=0,"",'[4]2025-2026'!C178)</f>
        <v/>
      </c>
      <c r="D179" s="68" t="str">
        <f>'[4]2025'!C179</f>
        <v/>
      </c>
      <c r="E179" s="68" t="str">
        <f>'[4]2025'!D179</f>
        <v/>
      </c>
      <c r="F179" s="12" t="str">
        <f>'[4]2025'!E179</f>
        <v/>
      </c>
      <c r="G179" s="73" t="str">
        <f>'[4]2025'!F179</f>
        <v/>
      </c>
      <c r="H179" s="42">
        <f>'[4]2025'!G179</f>
        <v>0</v>
      </c>
      <c r="I179" s="13">
        <f>'[4]2025'!H179</f>
        <v>0</v>
      </c>
      <c r="J179" s="14">
        <f>'[4]2025'!I179</f>
        <v>0</v>
      </c>
      <c r="K179" s="15">
        <f>'[4]2025'!J179</f>
        <v>0</v>
      </c>
      <c r="L179" s="15">
        <f>'[4]2025'!K179</f>
        <v>0</v>
      </c>
      <c r="M179" s="15" t="str">
        <f>'[4]2025'!L179</f>
        <v/>
      </c>
      <c r="N179" s="16" t="e">
        <f t="shared" si="8"/>
        <v>#VALUE!</v>
      </c>
      <c r="O179" s="17" t="str">
        <f t="shared" si="9"/>
        <v/>
      </c>
      <c r="P179" s="17" t="str">
        <f t="shared" si="9"/>
        <v/>
      </c>
      <c r="Q179" s="18" t="str">
        <f t="shared" si="10"/>
        <v/>
      </c>
      <c r="R179" s="18" t="e">
        <f t="shared" si="11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19">
        <f>CHAMNORD!B180</f>
        <v>46197</v>
      </c>
      <c r="C180" s="75" t="str">
        <f>IF(H180=0,"",'[4]2025-2026'!C179)</f>
        <v/>
      </c>
      <c r="D180" s="68" t="str">
        <f>'[4]2025'!C180</f>
        <v/>
      </c>
      <c r="E180" s="68" t="str">
        <f>'[4]2025'!D180</f>
        <v/>
      </c>
      <c r="F180" s="12" t="str">
        <f>'[4]2025'!E180</f>
        <v/>
      </c>
      <c r="G180" s="73" t="str">
        <f>'[4]2025'!F180</f>
        <v/>
      </c>
      <c r="H180" s="42">
        <f>'[4]2025'!G180</f>
        <v>0</v>
      </c>
      <c r="I180" s="13">
        <f>'[4]2025'!H180</f>
        <v>0</v>
      </c>
      <c r="J180" s="14">
        <f>'[4]2025'!I180</f>
        <v>0</v>
      </c>
      <c r="K180" s="15">
        <f>'[4]2025'!J180</f>
        <v>0</v>
      </c>
      <c r="L180" s="15">
        <f>'[4]2025'!K180</f>
        <v>0</v>
      </c>
      <c r="M180" s="15" t="str">
        <f>'[4]2025'!L180</f>
        <v/>
      </c>
      <c r="N180" s="16" t="e">
        <f t="shared" si="8"/>
        <v>#VALUE!</v>
      </c>
      <c r="O180" s="17" t="str">
        <f t="shared" si="9"/>
        <v/>
      </c>
      <c r="P180" s="17" t="str">
        <f t="shared" si="9"/>
        <v/>
      </c>
      <c r="Q180" s="18" t="str">
        <f t="shared" si="10"/>
        <v/>
      </c>
      <c r="R180" s="18" t="e">
        <f t="shared" si="11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19">
        <f>CHAMNORD!B181</f>
        <v>46198</v>
      </c>
      <c r="C181" s="75" t="str">
        <f>IF(H181=0,"",'[4]2025-2026'!C180)</f>
        <v/>
      </c>
      <c r="D181" s="68" t="str">
        <f>'[4]2025'!C181</f>
        <v/>
      </c>
      <c r="E181" s="68" t="str">
        <f>'[4]2025'!D181</f>
        <v/>
      </c>
      <c r="F181" s="12" t="str">
        <f>'[4]2025'!E181</f>
        <v/>
      </c>
      <c r="G181" s="73" t="str">
        <f>'[4]2025'!F181</f>
        <v/>
      </c>
      <c r="H181" s="42">
        <f>'[4]2025'!G181</f>
        <v>0</v>
      </c>
      <c r="I181" s="13">
        <f>'[4]2025'!H181</f>
        <v>0</v>
      </c>
      <c r="J181" s="14">
        <f>'[4]2025'!I181</f>
        <v>0</v>
      </c>
      <c r="K181" s="15">
        <f>'[4]2025'!J181</f>
        <v>0</v>
      </c>
      <c r="L181" s="15">
        <f>'[4]2025'!K181</f>
        <v>0</v>
      </c>
      <c r="M181" s="15" t="str">
        <f>'[4]2025'!L181</f>
        <v/>
      </c>
      <c r="N181" s="16" t="e">
        <f t="shared" si="8"/>
        <v>#VALUE!</v>
      </c>
      <c r="O181" s="17" t="str">
        <f t="shared" si="9"/>
        <v/>
      </c>
      <c r="P181" s="17" t="str">
        <f t="shared" si="9"/>
        <v/>
      </c>
      <c r="Q181" s="18" t="str">
        <f t="shared" si="10"/>
        <v/>
      </c>
      <c r="R181" s="18" t="e">
        <f t="shared" si="11"/>
        <v>#DIV/0!</v>
      </c>
      <c r="S181" s="34"/>
      <c r="T181" s="29" t="s">
        <v>8</v>
      </c>
      <c r="U181" s="1738"/>
    </row>
    <row r="182" spans="1:21">
      <c r="A182" s="10" t="s">
        <v>14</v>
      </c>
      <c r="B182" s="19">
        <f>CHAMNORD!B182</f>
        <v>46199</v>
      </c>
      <c r="C182" s="75" t="str">
        <f>IF(H182=0,"",'[4]2025-2026'!C181)</f>
        <v/>
      </c>
      <c r="D182" s="68" t="str">
        <f>'[4]2025'!C182</f>
        <v/>
      </c>
      <c r="E182" s="68" t="str">
        <f>'[4]2025'!D182</f>
        <v/>
      </c>
      <c r="F182" s="12" t="str">
        <f>'[4]2025'!E182</f>
        <v/>
      </c>
      <c r="G182" s="73" t="str">
        <f>'[4]2025'!F182</f>
        <v/>
      </c>
      <c r="H182" s="42">
        <f>'[4]2025'!G182</f>
        <v>0</v>
      </c>
      <c r="I182" s="13">
        <f>'[4]2025'!H182</f>
        <v>0</v>
      </c>
      <c r="J182" s="14">
        <f>'[4]2025'!I182</f>
        <v>0</v>
      </c>
      <c r="K182" s="15">
        <f>'[4]2025'!J182</f>
        <v>0</v>
      </c>
      <c r="L182" s="15">
        <f>'[4]2025'!K182</f>
        <v>0</v>
      </c>
      <c r="M182" s="15" t="str">
        <f>'[4]2025'!L182</f>
        <v/>
      </c>
      <c r="N182" s="16" t="e">
        <f t="shared" si="8"/>
        <v>#VALUE!</v>
      </c>
      <c r="O182" s="17" t="str">
        <f t="shared" si="9"/>
        <v/>
      </c>
      <c r="P182" s="17" t="str">
        <f t="shared" si="9"/>
        <v/>
      </c>
      <c r="Q182" s="18" t="str">
        <f t="shared" si="10"/>
        <v/>
      </c>
      <c r="R182" s="18" t="e">
        <f t="shared" si="11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19">
        <f>CHAMNORD!B183</f>
        <v>46200</v>
      </c>
      <c r="C183" s="75" t="str">
        <f>IF(H183=0,"",'[4]2025-2026'!C182)</f>
        <v/>
      </c>
      <c r="D183" s="68" t="str">
        <f>'[4]2025'!C183</f>
        <v/>
      </c>
      <c r="E183" s="68" t="str">
        <f>'[4]2025'!D183</f>
        <v/>
      </c>
      <c r="F183" s="12" t="str">
        <f>'[4]2025'!E183</f>
        <v/>
      </c>
      <c r="G183" s="73" t="str">
        <f>'[4]2025'!F183</f>
        <v/>
      </c>
      <c r="H183" s="42">
        <f>'[4]2025'!G183</f>
        <v>0</v>
      </c>
      <c r="I183" s="13">
        <f>'[4]2025'!H183</f>
        <v>0</v>
      </c>
      <c r="J183" s="14">
        <f>'[4]2025'!I183</f>
        <v>0</v>
      </c>
      <c r="K183" s="15">
        <f>'[4]2025'!J183</f>
        <v>0</v>
      </c>
      <c r="L183" s="15">
        <f>'[4]2025'!K183</f>
        <v>0</v>
      </c>
      <c r="M183" s="15" t="str">
        <f>'[4]2025'!L183</f>
        <v/>
      </c>
      <c r="N183" s="16" t="e">
        <f t="shared" si="8"/>
        <v>#VALUE!</v>
      </c>
      <c r="O183" s="17" t="str">
        <f t="shared" si="9"/>
        <v/>
      </c>
      <c r="P183" s="17" t="str">
        <f t="shared" si="9"/>
        <v/>
      </c>
      <c r="Q183" s="18" t="str">
        <f t="shared" si="10"/>
        <v/>
      </c>
      <c r="R183" s="18" t="e">
        <f t="shared" si="11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19">
        <f>CHAMNORD!B184</f>
        <v>46201</v>
      </c>
      <c r="C184" s="75" t="str">
        <f>IF(H184=0,"",'[4]2025-2026'!C183)</f>
        <v/>
      </c>
      <c r="D184" s="68" t="str">
        <f>'[4]2025'!C184</f>
        <v/>
      </c>
      <c r="E184" s="68" t="str">
        <f>'[4]2025'!D184</f>
        <v/>
      </c>
      <c r="F184" s="12" t="str">
        <f>'[4]2025'!E184</f>
        <v/>
      </c>
      <c r="G184" s="73" t="str">
        <f>'[4]2025'!F184</f>
        <v/>
      </c>
      <c r="H184" s="42">
        <f>'[4]2025'!G184</f>
        <v>0</v>
      </c>
      <c r="I184" s="13">
        <f>'[4]2025'!H184</f>
        <v>0</v>
      </c>
      <c r="J184" s="14">
        <f>'[4]2025'!I184</f>
        <v>0</v>
      </c>
      <c r="K184" s="15">
        <f>'[4]2025'!J184</f>
        <v>0</v>
      </c>
      <c r="L184" s="15">
        <f>'[4]2025'!K184</f>
        <v>0</v>
      </c>
      <c r="M184" s="15" t="str">
        <f>'[4]2025'!L184</f>
        <v/>
      </c>
      <c r="N184" s="16" t="e">
        <f t="shared" si="8"/>
        <v>#VALUE!</v>
      </c>
      <c r="O184" s="17" t="str">
        <f t="shared" si="9"/>
        <v/>
      </c>
      <c r="P184" s="17" t="str">
        <f t="shared" si="9"/>
        <v/>
      </c>
      <c r="Q184" s="18" t="str">
        <f t="shared" si="10"/>
        <v/>
      </c>
      <c r="R184" s="18" t="e">
        <f t="shared" si="11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19">
        <f>CHAMNORD!B185</f>
        <v>46202</v>
      </c>
      <c r="C185" s="75" t="str">
        <f>IF(H185=0,"",'[4]2025-2026'!C184)</f>
        <v/>
      </c>
      <c r="D185" s="68" t="str">
        <f>'[4]2025'!C185</f>
        <v/>
      </c>
      <c r="E185" s="68" t="str">
        <f>'[4]2025'!D185</f>
        <v/>
      </c>
      <c r="F185" s="12" t="str">
        <f>'[4]2025'!E185</f>
        <v/>
      </c>
      <c r="G185" s="73" t="str">
        <f>'[4]2025'!F185</f>
        <v/>
      </c>
      <c r="H185" s="42">
        <f>'[4]2025'!G185</f>
        <v>0</v>
      </c>
      <c r="I185" s="13">
        <f>'[4]2025'!H185</f>
        <v>0</v>
      </c>
      <c r="J185" s="14">
        <f>'[4]2025'!I185</f>
        <v>0</v>
      </c>
      <c r="K185" s="15">
        <f>'[4]2025'!J185</f>
        <v>0</v>
      </c>
      <c r="L185" s="15">
        <f>'[4]2025'!K185</f>
        <v>0</v>
      </c>
      <c r="M185" s="15" t="str">
        <f>'[4]2025'!L185</f>
        <v/>
      </c>
      <c r="N185" s="16" t="e">
        <f t="shared" si="8"/>
        <v>#VALUE!</v>
      </c>
      <c r="O185" s="17" t="str">
        <f t="shared" si="9"/>
        <v/>
      </c>
      <c r="P185" s="17" t="str">
        <f t="shared" si="9"/>
        <v/>
      </c>
      <c r="Q185" s="18" t="str">
        <f t="shared" si="10"/>
        <v/>
      </c>
      <c r="R185" s="18" t="e">
        <f t="shared" si="11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19">
        <f>CHAMNORD!B186</f>
        <v>46203</v>
      </c>
      <c r="C186" s="75" t="str">
        <f>IF(H186=0,"",'[4]2025-2026'!C185)</f>
        <v/>
      </c>
      <c r="D186" s="68" t="str">
        <f>'[4]2025'!C186</f>
        <v/>
      </c>
      <c r="E186" s="68" t="str">
        <f>'[4]2025'!D186</f>
        <v/>
      </c>
      <c r="F186" s="12" t="str">
        <f>'[4]2025'!E186</f>
        <v/>
      </c>
      <c r="G186" s="73" t="str">
        <f>'[4]2025'!F186</f>
        <v/>
      </c>
      <c r="H186" s="42">
        <f>'[4]2025'!G186</f>
        <v>0</v>
      </c>
      <c r="I186" s="13">
        <f>'[4]2025'!H186</f>
        <v>0</v>
      </c>
      <c r="J186" s="14">
        <f>'[4]2025'!I186</f>
        <v>0</v>
      </c>
      <c r="K186" s="15">
        <f>'[4]2025'!J186</f>
        <v>0</v>
      </c>
      <c r="L186" s="15">
        <f>'[4]2025'!K186</f>
        <v>0</v>
      </c>
      <c r="M186" s="15" t="str">
        <f>'[4]2025'!L186</f>
        <v/>
      </c>
      <c r="N186" s="16" t="e">
        <f t="shared" si="8"/>
        <v>#VALUE!</v>
      </c>
      <c r="O186" s="17" t="str">
        <f t="shared" si="9"/>
        <v/>
      </c>
      <c r="P186" s="17" t="str">
        <f t="shared" si="9"/>
        <v/>
      </c>
      <c r="Q186" s="18" t="str">
        <f t="shared" si="10"/>
        <v/>
      </c>
      <c r="R186" s="18" t="e">
        <f t="shared" si="11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19">
        <f>CHAMNORD!B187</f>
        <v>46204</v>
      </c>
      <c r="C187" s="75" t="str">
        <f>IF(H187=0,"",'[4]2025-2026'!C186)</f>
        <v/>
      </c>
      <c r="D187" s="68" t="str">
        <f>'[4]2025'!C187</f>
        <v/>
      </c>
      <c r="E187" s="68" t="str">
        <f>'[4]2025'!D187</f>
        <v/>
      </c>
      <c r="F187" s="12" t="str">
        <f>'[4]2025'!E187</f>
        <v/>
      </c>
      <c r="G187" s="73" t="str">
        <f>'[4]2025'!F187</f>
        <v/>
      </c>
      <c r="H187" s="42">
        <f>'[4]2025'!G187</f>
        <v>0</v>
      </c>
      <c r="I187" s="13">
        <f>'[4]2025'!H187</f>
        <v>0</v>
      </c>
      <c r="J187" s="14">
        <f>'[4]2025'!I187</f>
        <v>0</v>
      </c>
      <c r="K187" s="15">
        <f>'[4]2025'!J187</f>
        <v>0</v>
      </c>
      <c r="L187" s="15">
        <f>'[4]2025'!K187</f>
        <v>0</v>
      </c>
      <c r="M187" s="15">
        <f>'[4]2025'!L187</f>
        <v>0</v>
      </c>
      <c r="N187" s="16" t="str">
        <f t="shared" si="8"/>
        <v/>
      </c>
      <c r="O187" s="17" t="str">
        <f t="shared" si="9"/>
        <v/>
      </c>
      <c r="P187" s="17" t="str">
        <f t="shared" si="9"/>
        <v/>
      </c>
      <c r="Q187" s="18" t="str">
        <f t="shared" si="10"/>
        <v/>
      </c>
      <c r="R187" s="18" t="e">
        <f t="shared" si="11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19">
        <f>CHAMNORD!B188</f>
        <v>46205</v>
      </c>
      <c r="C188" s="75" t="str">
        <f>IF(H188=0,"",'[4]2025-2026'!C187)</f>
        <v/>
      </c>
      <c r="D188" s="68" t="str">
        <f>'[4]2025'!C188</f>
        <v/>
      </c>
      <c r="E188" s="68" t="str">
        <f>'[4]2025'!D188</f>
        <v/>
      </c>
      <c r="F188" s="12" t="str">
        <f>'[4]2025'!E188</f>
        <v/>
      </c>
      <c r="G188" s="73" t="str">
        <f>'[4]2025'!F188</f>
        <v/>
      </c>
      <c r="H188" s="42">
        <f>'[4]2025'!G188</f>
        <v>0</v>
      </c>
      <c r="I188" s="13">
        <f>'[4]2025'!H188</f>
        <v>0</v>
      </c>
      <c r="J188" s="14">
        <f>'[4]2025'!I188</f>
        <v>0</v>
      </c>
      <c r="K188" s="15">
        <f>'[4]2025'!J188</f>
        <v>0</v>
      </c>
      <c r="L188" s="15">
        <f>'[4]2025'!K188</f>
        <v>0</v>
      </c>
      <c r="M188" s="15">
        <f>'[4]2025'!L188</f>
        <v>0</v>
      </c>
      <c r="N188" s="16" t="str">
        <f t="shared" si="8"/>
        <v/>
      </c>
      <c r="O188" s="17" t="str">
        <f t="shared" si="9"/>
        <v/>
      </c>
      <c r="P188" s="17" t="str">
        <f t="shared" si="9"/>
        <v/>
      </c>
      <c r="Q188" s="18" t="str">
        <f t="shared" si="10"/>
        <v/>
      </c>
      <c r="R188" s="18" t="e">
        <f t="shared" si="11"/>
        <v>#DIV/0!</v>
      </c>
      <c r="S188" s="34"/>
      <c r="T188" s="29" t="s">
        <v>8</v>
      </c>
      <c r="U188" s="1738"/>
    </row>
    <row r="189" spans="1:21">
      <c r="A189" s="10" t="s">
        <v>14</v>
      </c>
      <c r="B189" s="19">
        <f>CHAMNORD!B189</f>
        <v>46206</v>
      </c>
      <c r="C189" s="75" t="str">
        <f>IF(H189=0,"",'[4]2025-2026'!C188)</f>
        <v/>
      </c>
      <c r="D189" s="68" t="str">
        <f>'[4]2025'!C189</f>
        <v/>
      </c>
      <c r="E189" s="68" t="str">
        <f>'[4]2025'!D189</f>
        <v/>
      </c>
      <c r="F189" s="12" t="str">
        <f>'[4]2025'!E189</f>
        <v/>
      </c>
      <c r="G189" s="73" t="str">
        <f>'[4]2025'!F189</f>
        <v/>
      </c>
      <c r="H189" s="42">
        <f>'[4]2025'!G189</f>
        <v>0</v>
      </c>
      <c r="I189" s="13">
        <f>'[4]2025'!H189</f>
        <v>0</v>
      </c>
      <c r="J189" s="14">
        <f>'[4]2025'!I189</f>
        <v>0</v>
      </c>
      <c r="K189" s="15">
        <f>'[4]2025'!J189</f>
        <v>0</v>
      </c>
      <c r="L189" s="15">
        <f>'[4]2025'!K189</f>
        <v>0</v>
      </c>
      <c r="M189" s="15">
        <f>'[4]2025'!L189</f>
        <v>0</v>
      </c>
      <c r="N189" s="16" t="str">
        <f t="shared" si="8"/>
        <v/>
      </c>
      <c r="O189" s="17" t="str">
        <f t="shared" si="9"/>
        <v/>
      </c>
      <c r="P189" s="17" t="str">
        <f t="shared" si="9"/>
        <v/>
      </c>
      <c r="Q189" s="18" t="str">
        <f t="shared" si="10"/>
        <v/>
      </c>
      <c r="R189" s="18" t="e">
        <f t="shared" si="11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19">
        <f>CHAMNORD!B190</f>
        <v>46207</v>
      </c>
      <c r="C190" s="75" t="str">
        <f>IF(H190=0,"",'[4]2025-2026'!C189)</f>
        <v/>
      </c>
      <c r="D190" s="68" t="str">
        <f>'[4]2025'!C190</f>
        <v/>
      </c>
      <c r="E190" s="68" t="str">
        <f>'[4]2025'!D190</f>
        <v/>
      </c>
      <c r="F190" s="12" t="str">
        <f>'[4]2025'!E190</f>
        <v/>
      </c>
      <c r="G190" s="73" t="str">
        <f>'[4]2025'!F190</f>
        <v/>
      </c>
      <c r="H190" s="42">
        <f>'[4]2025'!G190</f>
        <v>0</v>
      </c>
      <c r="I190" s="13">
        <f>'[4]2025'!H190</f>
        <v>0</v>
      </c>
      <c r="J190" s="14">
        <f>'[4]2025'!I190</f>
        <v>0</v>
      </c>
      <c r="K190" s="15">
        <f>'[4]2025'!J190</f>
        <v>0</v>
      </c>
      <c r="L190" s="15">
        <f>'[4]2025'!K190</f>
        <v>0</v>
      </c>
      <c r="M190" s="15">
        <f>'[4]2025'!L190</f>
        <v>0</v>
      </c>
      <c r="N190" s="16" t="str">
        <f t="shared" si="8"/>
        <v/>
      </c>
      <c r="O190" s="17" t="str">
        <f t="shared" si="9"/>
        <v/>
      </c>
      <c r="P190" s="17" t="str">
        <f t="shared" si="9"/>
        <v/>
      </c>
      <c r="Q190" s="18" t="str">
        <f t="shared" si="10"/>
        <v/>
      </c>
      <c r="R190" s="18" t="e">
        <f t="shared" si="11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19">
        <f>CHAMNORD!B191</f>
        <v>46208</v>
      </c>
      <c r="C191" s="75" t="str">
        <f>IF(H191=0,"",'[4]2025-2026'!C190)</f>
        <v/>
      </c>
      <c r="D191" s="68" t="str">
        <f>'[4]2025'!C191</f>
        <v/>
      </c>
      <c r="E191" s="68" t="str">
        <f>'[4]2025'!D191</f>
        <v/>
      </c>
      <c r="F191" s="12" t="str">
        <f>'[4]2025'!E191</f>
        <v/>
      </c>
      <c r="G191" s="73" t="str">
        <f>'[4]2025'!F191</f>
        <v/>
      </c>
      <c r="H191" s="42">
        <f>'[4]2025'!G191</f>
        <v>0</v>
      </c>
      <c r="I191" s="13">
        <f>'[4]2025'!H191</f>
        <v>0</v>
      </c>
      <c r="J191" s="14">
        <f>'[4]2025'!I191</f>
        <v>0</v>
      </c>
      <c r="K191" s="15">
        <f>'[4]2025'!J191</f>
        <v>0</v>
      </c>
      <c r="L191" s="15">
        <f>'[4]2025'!K191</f>
        <v>0</v>
      </c>
      <c r="M191" s="15">
        <f>'[4]2025'!L191</f>
        <v>0</v>
      </c>
      <c r="N191" s="16" t="str">
        <f t="shared" si="8"/>
        <v/>
      </c>
      <c r="O191" s="17" t="str">
        <f t="shared" si="9"/>
        <v/>
      </c>
      <c r="P191" s="17" t="str">
        <f t="shared" si="9"/>
        <v/>
      </c>
      <c r="Q191" s="18" t="str">
        <f t="shared" si="10"/>
        <v/>
      </c>
      <c r="R191" s="18" t="e">
        <f t="shared" si="11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19">
        <f>CHAMNORD!B192</f>
        <v>46209</v>
      </c>
      <c r="C192" s="75" t="str">
        <f>IF(H192=0,"",'[4]2025-2026'!C191)</f>
        <v/>
      </c>
      <c r="D192" s="68" t="str">
        <f>'[4]2025'!C192</f>
        <v/>
      </c>
      <c r="E192" s="68" t="str">
        <f>'[4]2025'!D192</f>
        <v/>
      </c>
      <c r="F192" s="12" t="str">
        <f>'[4]2025'!E192</f>
        <v/>
      </c>
      <c r="G192" s="73" t="str">
        <f>'[4]2025'!F192</f>
        <v/>
      </c>
      <c r="H192" s="42">
        <f>'[4]2025'!G192</f>
        <v>0</v>
      </c>
      <c r="I192" s="13">
        <f>'[4]2025'!H192</f>
        <v>0</v>
      </c>
      <c r="J192" s="14">
        <f>'[4]2025'!I192</f>
        <v>0</v>
      </c>
      <c r="K192" s="15">
        <f>'[4]2025'!J192</f>
        <v>0</v>
      </c>
      <c r="L192" s="15">
        <f>'[4]2025'!K192</f>
        <v>0</v>
      </c>
      <c r="M192" s="15">
        <f>'[4]2025'!L192</f>
        <v>0</v>
      </c>
      <c r="N192" s="16" t="str">
        <f t="shared" si="8"/>
        <v/>
      </c>
      <c r="O192" s="17" t="str">
        <f t="shared" si="9"/>
        <v/>
      </c>
      <c r="P192" s="17" t="str">
        <f t="shared" si="9"/>
        <v/>
      </c>
      <c r="Q192" s="18" t="str">
        <f t="shared" si="10"/>
        <v/>
      </c>
      <c r="R192" s="18" t="e">
        <f t="shared" si="11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19">
        <f>CHAMNORD!B193</f>
        <v>46210</v>
      </c>
      <c r="C193" s="75" t="str">
        <f>IF(H193=0,"",'[4]2025-2026'!C192)</f>
        <v/>
      </c>
      <c r="D193" s="68" t="str">
        <f>'[4]2025'!C193</f>
        <v/>
      </c>
      <c r="E193" s="68" t="str">
        <f>'[4]2025'!D193</f>
        <v/>
      </c>
      <c r="F193" s="12" t="str">
        <f>'[4]2025'!E193</f>
        <v/>
      </c>
      <c r="G193" s="73" t="str">
        <f>'[4]2025'!F193</f>
        <v/>
      </c>
      <c r="H193" s="42">
        <f>'[4]2025'!G193</f>
        <v>0</v>
      </c>
      <c r="I193" s="13">
        <f>'[4]2025'!H193</f>
        <v>0</v>
      </c>
      <c r="J193" s="14">
        <f>'[4]2025'!I193</f>
        <v>0</v>
      </c>
      <c r="K193" s="15">
        <f>'[4]2025'!J193</f>
        <v>0</v>
      </c>
      <c r="L193" s="15">
        <f>'[4]2025'!K193</f>
        <v>0</v>
      </c>
      <c r="M193" s="15">
        <f>'[4]2025'!L193</f>
        <v>0</v>
      </c>
      <c r="N193" s="16" t="str">
        <f t="shared" si="8"/>
        <v/>
      </c>
      <c r="O193" s="17" t="str">
        <f t="shared" si="9"/>
        <v/>
      </c>
      <c r="P193" s="17" t="str">
        <f t="shared" si="9"/>
        <v/>
      </c>
      <c r="Q193" s="18" t="str">
        <f t="shared" si="10"/>
        <v/>
      </c>
      <c r="R193" s="18" t="e">
        <f t="shared" si="11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19">
        <f>CHAMNORD!B194</f>
        <v>46211</v>
      </c>
      <c r="C194" s="75" t="str">
        <f>IF(H194=0,"",'[4]2025-2026'!C193)</f>
        <v/>
      </c>
      <c r="D194" s="68" t="str">
        <f>'[4]2025'!C194</f>
        <v/>
      </c>
      <c r="E194" s="68" t="str">
        <f>'[4]2025'!D194</f>
        <v/>
      </c>
      <c r="F194" s="12" t="str">
        <f>'[4]2025'!E194</f>
        <v/>
      </c>
      <c r="G194" s="73" t="str">
        <f>'[4]2025'!F194</f>
        <v/>
      </c>
      <c r="H194" s="42">
        <f>'[4]2025'!G194</f>
        <v>0</v>
      </c>
      <c r="I194" s="13">
        <f>'[4]2025'!H194</f>
        <v>0</v>
      </c>
      <c r="J194" s="14">
        <f>'[4]2025'!I194</f>
        <v>0</v>
      </c>
      <c r="K194" s="15">
        <f>'[4]2025'!J194</f>
        <v>0</v>
      </c>
      <c r="L194" s="15">
        <f>'[4]2025'!K194</f>
        <v>0</v>
      </c>
      <c r="M194" s="15">
        <f>'[4]2025'!L194</f>
        <v>0</v>
      </c>
      <c r="N194" s="16" t="str">
        <f t="shared" si="8"/>
        <v/>
      </c>
      <c r="O194" s="17" t="str">
        <f t="shared" si="9"/>
        <v/>
      </c>
      <c r="P194" s="17" t="str">
        <f t="shared" si="9"/>
        <v/>
      </c>
      <c r="Q194" s="18" t="str">
        <f t="shared" si="10"/>
        <v/>
      </c>
      <c r="R194" s="18" t="e">
        <f t="shared" si="11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19">
        <f>CHAMNORD!B195</f>
        <v>46212</v>
      </c>
      <c r="C195" s="75" t="str">
        <f>IF(H195=0,"",'[4]2025-2026'!C194)</f>
        <v/>
      </c>
      <c r="D195" s="68" t="str">
        <f>'[4]2025'!C195</f>
        <v/>
      </c>
      <c r="E195" s="68" t="str">
        <f>'[4]2025'!D195</f>
        <v/>
      </c>
      <c r="F195" s="12" t="str">
        <f>'[4]2025'!E195</f>
        <v/>
      </c>
      <c r="G195" s="73" t="str">
        <f>'[4]2025'!F195</f>
        <v/>
      </c>
      <c r="H195" s="42">
        <f>'[4]2025'!G195</f>
        <v>0</v>
      </c>
      <c r="I195" s="13">
        <f>'[4]2025'!H195</f>
        <v>0</v>
      </c>
      <c r="J195" s="14">
        <f>'[4]2025'!I195</f>
        <v>0</v>
      </c>
      <c r="K195" s="15">
        <f>'[4]2025'!J195</f>
        <v>0</v>
      </c>
      <c r="L195" s="15">
        <f>'[4]2025'!K195</f>
        <v>0</v>
      </c>
      <c r="M195" s="15">
        <f>'[4]2025'!L195</f>
        <v>0</v>
      </c>
      <c r="N195" s="16" t="str">
        <f t="shared" si="8"/>
        <v/>
      </c>
      <c r="O195" s="17" t="str">
        <f t="shared" si="9"/>
        <v/>
      </c>
      <c r="P195" s="17" t="str">
        <f t="shared" si="9"/>
        <v/>
      </c>
      <c r="Q195" s="18" t="str">
        <f t="shared" si="10"/>
        <v/>
      </c>
      <c r="R195" s="18" t="e">
        <f t="shared" si="11"/>
        <v>#DIV/0!</v>
      </c>
      <c r="S195" s="34"/>
      <c r="T195" s="29" t="s">
        <v>8</v>
      </c>
      <c r="U195" s="1738"/>
    </row>
    <row r="196" spans="1:21">
      <c r="A196" s="10" t="s">
        <v>14</v>
      </c>
      <c r="B196" s="19">
        <f>CHAMNORD!B196</f>
        <v>46213</v>
      </c>
      <c r="C196" s="75" t="str">
        <f>IF(H196=0,"",'[4]2025-2026'!C195)</f>
        <v/>
      </c>
      <c r="D196" s="68" t="str">
        <f>'[4]2025'!C196</f>
        <v/>
      </c>
      <c r="E196" s="68" t="str">
        <f>'[4]2025'!D196</f>
        <v/>
      </c>
      <c r="F196" s="12" t="str">
        <f>'[4]2025'!E196</f>
        <v/>
      </c>
      <c r="G196" s="73" t="str">
        <f>'[4]2025'!F196</f>
        <v/>
      </c>
      <c r="H196" s="42">
        <f>'[4]2025'!G196</f>
        <v>0</v>
      </c>
      <c r="I196" s="13">
        <f>'[4]2025'!H196</f>
        <v>0</v>
      </c>
      <c r="J196" s="14">
        <f>'[4]2025'!I196</f>
        <v>0</v>
      </c>
      <c r="K196" s="15">
        <f>'[4]2025'!J196</f>
        <v>0</v>
      </c>
      <c r="L196" s="15">
        <f>'[4]2025'!K196</f>
        <v>0</v>
      </c>
      <c r="M196" s="15">
        <f>'[4]2025'!L196</f>
        <v>0</v>
      </c>
      <c r="N196" s="16" t="str">
        <f t="shared" ref="N196:N259" si="12">IF(M196=0,"",M196/I196)</f>
        <v/>
      </c>
      <c r="O196" s="17" t="str">
        <f t="shared" ref="O196:P259" si="13">IF(I196=0,"",(I196-E196)/E196)</f>
        <v/>
      </c>
      <c r="P196" s="17" t="str">
        <f t="shared" si="13"/>
        <v/>
      </c>
      <c r="Q196" s="18" t="str">
        <f t="shared" ref="Q196:Q259" si="14">IF(I196=0,"",I196/K196)</f>
        <v/>
      </c>
      <c r="R196" s="18" t="e">
        <f t="shared" ref="R196:R259" si="15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19">
        <f>CHAMNORD!B197</f>
        <v>46214</v>
      </c>
      <c r="C197" s="75" t="str">
        <f>IF(H197=0,"",'[4]2025-2026'!C196)</f>
        <v/>
      </c>
      <c r="D197" s="68" t="str">
        <f>'[4]2025'!C197</f>
        <v/>
      </c>
      <c r="E197" s="68" t="str">
        <f>'[4]2025'!D197</f>
        <v/>
      </c>
      <c r="F197" s="12" t="str">
        <f>'[4]2025'!E197</f>
        <v/>
      </c>
      <c r="G197" s="73" t="str">
        <f>'[4]2025'!F197</f>
        <v/>
      </c>
      <c r="H197" s="42">
        <f>'[4]2025'!G197</f>
        <v>0</v>
      </c>
      <c r="I197" s="13">
        <f>'[4]2025'!H197</f>
        <v>0</v>
      </c>
      <c r="J197" s="14">
        <f>'[4]2025'!I197</f>
        <v>0</v>
      </c>
      <c r="K197" s="15">
        <f>'[4]2025'!J197</f>
        <v>0</v>
      </c>
      <c r="L197" s="15">
        <f>'[4]2025'!K197</f>
        <v>0</v>
      </c>
      <c r="M197" s="15">
        <f>'[4]2025'!L197</f>
        <v>0</v>
      </c>
      <c r="N197" s="16" t="str">
        <f t="shared" si="12"/>
        <v/>
      </c>
      <c r="O197" s="17" t="str">
        <f t="shared" si="13"/>
        <v/>
      </c>
      <c r="P197" s="17" t="str">
        <f t="shared" si="13"/>
        <v/>
      </c>
      <c r="Q197" s="18" t="str">
        <f t="shared" si="14"/>
        <v/>
      </c>
      <c r="R197" s="18" t="e">
        <f t="shared" si="15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19">
        <f>CHAMNORD!B198</f>
        <v>46215</v>
      </c>
      <c r="C198" s="75" t="str">
        <f>IF(H198=0,"",'[4]2025-2026'!C197)</f>
        <v/>
      </c>
      <c r="D198" s="68" t="str">
        <f>'[4]2025'!C198</f>
        <v/>
      </c>
      <c r="E198" s="68" t="str">
        <f>'[4]2025'!D198</f>
        <v/>
      </c>
      <c r="F198" s="12" t="str">
        <f>'[4]2025'!E198</f>
        <v/>
      </c>
      <c r="G198" s="73" t="str">
        <f>'[4]2025'!F198</f>
        <v/>
      </c>
      <c r="H198" s="42">
        <f>'[4]2025'!G198</f>
        <v>0</v>
      </c>
      <c r="I198" s="13">
        <f>'[4]2025'!H198</f>
        <v>0</v>
      </c>
      <c r="J198" s="14">
        <f>'[4]2025'!I198</f>
        <v>0</v>
      </c>
      <c r="K198" s="15">
        <f>'[4]2025'!J198</f>
        <v>0</v>
      </c>
      <c r="L198" s="15">
        <f>'[4]2025'!K198</f>
        <v>0</v>
      </c>
      <c r="M198" s="15">
        <f>'[4]2025'!L198</f>
        <v>0</v>
      </c>
      <c r="N198" s="16" t="str">
        <f t="shared" si="12"/>
        <v/>
      </c>
      <c r="O198" s="17" t="str">
        <f t="shared" si="13"/>
        <v/>
      </c>
      <c r="P198" s="17" t="str">
        <f t="shared" si="13"/>
        <v/>
      </c>
      <c r="Q198" s="18" t="str">
        <f t="shared" si="14"/>
        <v/>
      </c>
      <c r="R198" s="18" t="e">
        <f t="shared" si="15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19">
        <f>CHAMNORD!B199</f>
        <v>46216</v>
      </c>
      <c r="C199" s="75" t="str">
        <f>IF(H199=0,"",'[4]2025-2026'!C198)</f>
        <v/>
      </c>
      <c r="D199" s="68" t="str">
        <f>'[4]2025'!C199</f>
        <v/>
      </c>
      <c r="E199" s="68" t="str">
        <f>'[4]2025'!D199</f>
        <v/>
      </c>
      <c r="F199" s="12" t="str">
        <f>'[4]2025'!E199</f>
        <v/>
      </c>
      <c r="G199" s="73" t="str">
        <f>'[4]2025'!F199</f>
        <v/>
      </c>
      <c r="H199" s="42">
        <f>'[4]2025'!G199</f>
        <v>0</v>
      </c>
      <c r="I199" s="13">
        <f>'[4]2025'!H199</f>
        <v>0</v>
      </c>
      <c r="J199" s="14">
        <f>'[4]2025'!I199</f>
        <v>0</v>
      </c>
      <c r="K199" s="15">
        <f>'[4]2025'!J199</f>
        <v>0</v>
      </c>
      <c r="L199" s="15">
        <f>'[4]2025'!K199</f>
        <v>0</v>
      </c>
      <c r="M199" s="15">
        <f>'[4]2025'!L199</f>
        <v>0</v>
      </c>
      <c r="N199" s="16" t="str">
        <f t="shared" si="12"/>
        <v/>
      </c>
      <c r="O199" s="17" t="str">
        <f t="shared" si="13"/>
        <v/>
      </c>
      <c r="P199" s="17" t="str">
        <f t="shared" si="13"/>
        <v/>
      </c>
      <c r="Q199" s="18" t="str">
        <f t="shared" si="14"/>
        <v/>
      </c>
      <c r="R199" s="18" t="e">
        <f t="shared" si="15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19">
        <f>CHAMNORD!B200</f>
        <v>46217</v>
      </c>
      <c r="C200" s="75" t="str">
        <f>IF(H200=0,"",'[4]2025-2026'!C199)</f>
        <v/>
      </c>
      <c r="D200" s="68" t="str">
        <f>'[4]2025'!C200</f>
        <v/>
      </c>
      <c r="E200" s="68" t="str">
        <f>'[4]2025'!D200</f>
        <v/>
      </c>
      <c r="F200" s="12" t="str">
        <f>'[4]2025'!E200</f>
        <v/>
      </c>
      <c r="G200" s="73" t="str">
        <f>'[4]2025'!F200</f>
        <v/>
      </c>
      <c r="H200" s="42">
        <f>'[4]2025'!G200</f>
        <v>0</v>
      </c>
      <c r="I200" s="13">
        <f>'[4]2025'!H200</f>
        <v>0</v>
      </c>
      <c r="J200" s="14">
        <f>'[4]2025'!I200</f>
        <v>0</v>
      </c>
      <c r="K200" s="15">
        <f>'[4]2025'!J200</f>
        <v>0</v>
      </c>
      <c r="L200" s="15">
        <f>'[4]2025'!K200</f>
        <v>0</v>
      </c>
      <c r="M200" s="15">
        <f>'[4]2025'!L200</f>
        <v>0</v>
      </c>
      <c r="N200" s="16" t="str">
        <f t="shared" si="12"/>
        <v/>
      </c>
      <c r="O200" s="17" t="str">
        <f t="shared" si="13"/>
        <v/>
      </c>
      <c r="P200" s="17" t="str">
        <f t="shared" si="13"/>
        <v/>
      </c>
      <c r="Q200" s="18" t="str">
        <f t="shared" si="14"/>
        <v/>
      </c>
      <c r="R200" s="18" t="e">
        <f t="shared" si="15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19">
        <f>CHAMNORD!B201</f>
        <v>46218</v>
      </c>
      <c r="C201" s="75" t="str">
        <f>IF(H201=0,"",'[4]2025-2026'!C200)</f>
        <v/>
      </c>
      <c r="D201" s="68" t="str">
        <f>'[4]2025'!C201</f>
        <v/>
      </c>
      <c r="E201" s="68" t="str">
        <f>'[4]2025'!D201</f>
        <v/>
      </c>
      <c r="F201" s="12" t="str">
        <f>'[4]2025'!E201</f>
        <v/>
      </c>
      <c r="G201" s="73" t="str">
        <f>'[4]2025'!F201</f>
        <v/>
      </c>
      <c r="H201" s="42">
        <f>'[4]2025'!G201</f>
        <v>0</v>
      </c>
      <c r="I201" s="13">
        <f>'[4]2025'!H201</f>
        <v>0</v>
      </c>
      <c r="J201" s="14">
        <f>'[4]2025'!I201</f>
        <v>0</v>
      </c>
      <c r="K201" s="15">
        <f>'[4]2025'!J201</f>
        <v>0</v>
      </c>
      <c r="L201" s="15">
        <f>'[4]2025'!K201</f>
        <v>0</v>
      </c>
      <c r="M201" s="15">
        <f>'[4]2025'!L201</f>
        <v>0</v>
      </c>
      <c r="N201" s="16" t="str">
        <f t="shared" si="12"/>
        <v/>
      </c>
      <c r="O201" s="17" t="str">
        <f t="shared" si="13"/>
        <v/>
      </c>
      <c r="P201" s="17" t="str">
        <f t="shared" si="13"/>
        <v/>
      </c>
      <c r="Q201" s="18" t="str">
        <f t="shared" si="14"/>
        <v/>
      </c>
      <c r="R201" s="18" t="e">
        <f t="shared" si="15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19">
        <f>CHAMNORD!B202</f>
        <v>46219</v>
      </c>
      <c r="C202" s="75" t="str">
        <f>IF(H202=0,"",'[4]2025-2026'!C201)</f>
        <v/>
      </c>
      <c r="D202" s="68" t="str">
        <f>'[4]2025'!C202</f>
        <v/>
      </c>
      <c r="E202" s="68" t="str">
        <f>'[4]2025'!D202</f>
        <v/>
      </c>
      <c r="F202" s="12" t="str">
        <f>'[4]2025'!E202</f>
        <v/>
      </c>
      <c r="G202" s="73" t="str">
        <f>'[4]2025'!F202</f>
        <v/>
      </c>
      <c r="H202" s="42">
        <f>'[4]2025'!G202</f>
        <v>0</v>
      </c>
      <c r="I202" s="13">
        <f>'[4]2025'!H202</f>
        <v>0</v>
      </c>
      <c r="J202" s="14">
        <f>'[4]2025'!I202</f>
        <v>0</v>
      </c>
      <c r="K202" s="15">
        <f>'[4]2025'!J202</f>
        <v>0</v>
      </c>
      <c r="L202" s="15">
        <f>'[4]2025'!K202</f>
        <v>0</v>
      </c>
      <c r="M202" s="15">
        <f>'[4]2025'!L202</f>
        <v>0</v>
      </c>
      <c r="N202" s="16" t="str">
        <f t="shared" si="12"/>
        <v/>
      </c>
      <c r="O202" s="17" t="str">
        <f t="shared" si="13"/>
        <v/>
      </c>
      <c r="P202" s="17" t="str">
        <f t="shared" si="13"/>
        <v/>
      </c>
      <c r="Q202" s="18" t="str">
        <f t="shared" si="14"/>
        <v/>
      </c>
      <c r="R202" s="18" t="e">
        <f t="shared" si="15"/>
        <v>#DIV/0!</v>
      </c>
      <c r="S202" s="34"/>
      <c r="T202" s="29" t="s">
        <v>8</v>
      </c>
      <c r="U202" s="1738"/>
    </row>
    <row r="203" spans="1:21">
      <c r="A203" s="10" t="s">
        <v>14</v>
      </c>
      <c r="B203" s="19">
        <f>CHAMNORD!B203</f>
        <v>46220</v>
      </c>
      <c r="C203" s="75" t="str">
        <f>IF(H203=0,"",'[4]2025-2026'!C202)</f>
        <v/>
      </c>
      <c r="D203" s="68" t="str">
        <f>'[4]2025'!C203</f>
        <v/>
      </c>
      <c r="E203" s="68" t="str">
        <f>'[4]2025'!D203</f>
        <v/>
      </c>
      <c r="F203" s="12" t="str">
        <f>'[4]2025'!E203</f>
        <v/>
      </c>
      <c r="G203" s="73" t="str">
        <f>'[4]2025'!F203</f>
        <v/>
      </c>
      <c r="H203" s="42">
        <f>'[4]2025'!G203</f>
        <v>0</v>
      </c>
      <c r="I203" s="13">
        <f>'[4]2025'!H203</f>
        <v>0</v>
      </c>
      <c r="J203" s="14">
        <f>'[4]2025'!I203</f>
        <v>0</v>
      </c>
      <c r="K203" s="15">
        <f>'[4]2025'!J203</f>
        <v>0</v>
      </c>
      <c r="L203" s="15">
        <f>'[4]2025'!K203</f>
        <v>0</v>
      </c>
      <c r="M203" s="15">
        <f>'[4]2025'!L203</f>
        <v>0</v>
      </c>
      <c r="N203" s="16" t="str">
        <f t="shared" si="12"/>
        <v/>
      </c>
      <c r="O203" s="17" t="str">
        <f t="shared" si="13"/>
        <v/>
      </c>
      <c r="P203" s="17" t="str">
        <f t="shared" si="13"/>
        <v/>
      </c>
      <c r="Q203" s="18" t="str">
        <f t="shared" si="14"/>
        <v/>
      </c>
      <c r="R203" s="18" t="e">
        <f t="shared" si="15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19">
        <f>CHAMNORD!B204</f>
        <v>46221</v>
      </c>
      <c r="C204" s="75" t="str">
        <f>IF(H204=0,"",'[4]2025-2026'!C203)</f>
        <v/>
      </c>
      <c r="D204" s="68" t="str">
        <f>'[4]2025'!C204</f>
        <v/>
      </c>
      <c r="E204" s="68" t="str">
        <f>'[4]2025'!D204</f>
        <v/>
      </c>
      <c r="F204" s="12" t="str">
        <f>'[4]2025'!E204</f>
        <v/>
      </c>
      <c r="G204" s="73" t="str">
        <f>'[4]2025'!F204</f>
        <v/>
      </c>
      <c r="H204" s="42">
        <f>'[4]2025'!G204</f>
        <v>0</v>
      </c>
      <c r="I204" s="13">
        <f>'[4]2025'!H204</f>
        <v>0</v>
      </c>
      <c r="J204" s="14">
        <f>'[4]2025'!I204</f>
        <v>0</v>
      </c>
      <c r="K204" s="15">
        <f>'[4]2025'!J204</f>
        <v>0</v>
      </c>
      <c r="L204" s="15">
        <f>'[4]2025'!K204</f>
        <v>0</v>
      </c>
      <c r="M204" s="15">
        <f>'[4]2025'!L204</f>
        <v>0</v>
      </c>
      <c r="N204" s="16" t="str">
        <f t="shared" si="12"/>
        <v/>
      </c>
      <c r="O204" s="17" t="str">
        <f t="shared" si="13"/>
        <v/>
      </c>
      <c r="P204" s="17" t="str">
        <f t="shared" si="13"/>
        <v/>
      </c>
      <c r="Q204" s="18" t="str">
        <f t="shared" si="14"/>
        <v/>
      </c>
      <c r="R204" s="18" t="e">
        <f t="shared" si="15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19">
        <f>CHAMNORD!B205</f>
        <v>46222</v>
      </c>
      <c r="C205" s="75" t="str">
        <f>IF(H205=0,"",'[4]2025-2026'!C204)</f>
        <v/>
      </c>
      <c r="D205" s="68" t="str">
        <f>'[4]2025'!C205</f>
        <v/>
      </c>
      <c r="E205" s="68" t="str">
        <f>'[4]2025'!D205</f>
        <v/>
      </c>
      <c r="F205" s="12" t="str">
        <f>'[4]2025'!E205</f>
        <v/>
      </c>
      <c r="G205" s="73" t="str">
        <f>'[4]2025'!F205</f>
        <v/>
      </c>
      <c r="H205" s="42">
        <f>'[4]2025'!G205</f>
        <v>0</v>
      </c>
      <c r="I205" s="13">
        <f>'[4]2025'!H205</f>
        <v>0</v>
      </c>
      <c r="J205" s="14">
        <f>'[4]2025'!I205</f>
        <v>0</v>
      </c>
      <c r="K205" s="15">
        <f>'[4]2025'!J205</f>
        <v>0</v>
      </c>
      <c r="L205" s="15">
        <f>'[4]2025'!K205</f>
        <v>0</v>
      </c>
      <c r="M205" s="15">
        <f>'[4]2025'!L205</f>
        <v>0</v>
      </c>
      <c r="N205" s="16" t="str">
        <f t="shared" si="12"/>
        <v/>
      </c>
      <c r="O205" s="17" t="str">
        <f t="shared" si="13"/>
        <v/>
      </c>
      <c r="P205" s="17" t="str">
        <f t="shared" si="13"/>
        <v/>
      </c>
      <c r="Q205" s="18" t="str">
        <f t="shared" si="14"/>
        <v/>
      </c>
      <c r="R205" s="18" t="e">
        <f t="shared" si="15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19">
        <f>CHAMNORD!B206</f>
        <v>46223</v>
      </c>
      <c r="C206" s="75" t="str">
        <f>IF(H206=0,"",'[4]2025-2026'!C205)</f>
        <v/>
      </c>
      <c r="D206" s="68" t="str">
        <f>'[4]2025'!C206</f>
        <v/>
      </c>
      <c r="E206" s="68" t="str">
        <f>'[4]2025'!D206</f>
        <v/>
      </c>
      <c r="F206" s="12" t="str">
        <f>'[4]2025'!E206</f>
        <v/>
      </c>
      <c r="G206" s="73" t="str">
        <f>'[4]2025'!F206</f>
        <v/>
      </c>
      <c r="H206" s="42">
        <f>'[4]2025'!G206</f>
        <v>0</v>
      </c>
      <c r="I206" s="13">
        <f>'[4]2025'!H206</f>
        <v>0</v>
      </c>
      <c r="J206" s="14">
        <f>'[4]2025'!I206</f>
        <v>0</v>
      </c>
      <c r="K206" s="15">
        <f>'[4]2025'!J206</f>
        <v>0</v>
      </c>
      <c r="L206" s="15">
        <f>'[4]2025'!K206</f>
        <v>0</v>
      </c>
      <c r="M206" s="15">
        <f>'[4]2025'!L206</f>
        <v>0</v>
      </c>
      <c r="N206" s="16" t="str">
        <f t="shared" si="12"/>
        <v/>
      </c>
      <c r="O206" s="17" t="str">
        <f t="shared" si="13"/>
        <v/>
      </c>
      <c r="P206" s="17" t="str">
        <f t="shared" si="13"/>
        <v/>
      </c>
      <c r="Q206" s="18" t="str">
        <f t="shared" si="14"/>
        <v/>
      </c>
      <c r="R206" s="18" t="e">
        <f t="shared" si="15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19">
        <f>CHAMNORD!B207</f>
        <v>46224</v>
      </c>
      <c r="C207" s="75" t="str">
        <f>IF(H207=0,"",'[4]2025-2026'!C206)</f>
        <v/>
      </c>
      <c r="D207" s="68" t="str">
        <f>'[4]2025'!C207</f>
        <v/>
      </c>
      <c r="E207" s="68" t="str">
        <f>'[4]2025'!D207</f>
        <v/>
      </c>
      <c r="F207" s="12" t="str">
        <f>'[4]2025'!E207</f>
        <v/>
      </c>
      <c r="G207" s="73" t="str">
        <f>'[4]2025'!F207</f>
        <v/>
      </c>
      <c r="H207" s="42">
        <f>'[4]2025'!G207</f>
        <v>0</v>
      </c>
      <c r="I207" s="13">
        <f>'[4]2025'!H207</f>
        <v>0</v>
      </c>
      <c r="J207" s="14">
        <f>'[4]2025'!I207</f>
        <v>0</v>
      </c>
      <c r="K207" s="15">
        <f>'[4]2025'!J207</f>
        <v>0</v>
      </c>
      <c r="L207" s="15">
        <f>'[4]2025'!K207</f>
        <v>0</v>
      </c>
      <c r="M207" s="15">
        <f>'[4]2025'!L207</f>
        <v>0</v>
      </c>
      <c r="N207" s="16" t="str">
        <f t="shared" si="12"/>
        <v/>
      </c>
      <c r="O207" s="17" t="str">
        <f t="shared" si="13"/>
        <v/>
      </c>
      <c r="P207" s="17" t="str">
        <f t="shared" si="13"/>
        <v/>
      </c>
      <c r="Q207" s="18" t="str">
        <f t="shared" si="14"/>
        <v/>
      </c>
      <c r="R207" s="18" t="e">
        <f t="shared" si="15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19">
        <f>CHAMNORD!B208</f>
        <v>46225</v>
      </c>
      <c r="C208" s="75" t="str">
        <f>IF(H208=0,"",'[4]2025-2026'!C207)</f>
        <v/>
      </c>
      <c r="D208" s="68" t="str">
        <f>'[4]2025'!C208</f>
        <v/>
      </c>
      <c r="E208" s="68" t="str">
        <f>'[4]2025'!D208</f>
        <v/>
      </c>
      <c r="F208" s="12" t="str">
        <f>'[4]2025'!E208</f>
        <v/>
      </c>
      <c r="G208" s="73" t="str">
        <f>'[4]2025'!F208</f>
        <v/>
      </c>
      <c r="H208" s="42">
        <f>'[4]2025'!G208</f>
        <v>0</v>
      </c>
      <c r="I208" s="13">
        <f>'[4]2025'!H208</f>
        <v>0</v>
      </c>
      <c r="J208" s="14">
        <f>'[4]2025'!I208</f>
        <v>0</v>
      </c>
      <c r="K208" s="15">
        <f>'[4]2025'!J208</f>
        <v>0</v>
      </c>
      <c r="L208" s="15">
        <f>'[4]2025'!K208</f>
        <v>0</v>
      </c>
      <c r="M208" s="15">
        <f>'[4]2025'!L208</f>
        <v>0</v>
      </c>
      <c r="N208" s="16" t="str">
        <f t="shared" si="12"/>
        <v/>
      </c>
      <c r="O208" s="17" t="str">
        <f t="shared" si="13"/>
        <v/>
      </c>
      <c r="P208" s="17" t="str">
        <f t="shared" si="13"/>
        <v/>
      </c>
      <c r="Q208" s="18" t="str">
        <f t="shared" si="14"/>
        <v/>
      </c>
      <c r="R208" s="18" t="e">
        <f t="shared" si="15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19">
        <f>CHAMNORD!B209</f>
        <v>46226</v>
      </c>
      <c r="C209" s="75" t="str">
        <f>IF(H209=0,"",'[4]2025-2026'!C208)</f>
        <v/>
      </c>
      <c r="D209" s="68" t="str">
        <f>'[4]2025'!C209</f>
        <v/>
      </c>
      <c r="E209" s="68" t="str">
        <f>'[4]2025'!D209</f>
        <v/>
      </c>
      <c r="F209" s="12" t="str">
        <f>'[4]2025'!E209</f>
        <v/>
      </c>
      <c r="G209" s="73" t="str">
        <f>'[4]2025'!F209</f>
        <v/>
      </c>
      <c r="H209" s="42">
        <f>'[4]2025'!G209</f>
        <v>0</v>
      </c>
      <c r="I209" s="13">
        <f>'[4]2025'!H209</f>
        <v>0</v>
      </c>
      <c r="J209" s="14">
        <f>'[4]2025'!I209</f>
        <v>0</v>
      </c>
      <c r="K209" s="15">
        <f>'[4]2025'!J209</f>
        <v>0</v>
      </c>
      <c r="L209" s="15">
        <f>'[4]2025'!K209</f>
        <v>0</v>
      </c>
      <c r="M209" s="15">
        <f>'[4]2025'!L209</f>
        <v>0</v>
      </c>
      <c r="N209" s="16" t="str">
        <f t="shared" si="12"/>
        <v/>
      </c>
      <c r="O209" s="17" t="str">
        <f t="shared" si="13"/>
        <v/>
      </c>
      <c r="P209" s="17" t="str">
        <f t="shared" si="13"/>
        <v/>
      </c>
      <c r="Q209" s="18" t="str">
        <f t="shared" si="14"/>
        <v/>
      </c>
      <c r="R209" s="18" t="e">
        <f t="shared" si="15"/>
        <v>#DIV/0!</v>
      </c>
      <c r="S209" s="34"/>
      <c r="T209" s="29" t="s">
        <v>8</v>
      </c>
      <c r="U209" s="1738"/>
    </row>
    <row r="210" spans="1:21">
      <c r="A210" s="10" t="s">
        <v>14</v>
      </c>
      <c r="B210" s="19">
        <f>CHAMNORD!B210</f>
        <v>46227</v>
      </c>
      <c r="C210" s="75" t="str">
        <f>IF(H210=0,"",'[4]2025-2026'!C209)</f>
        <v/>
      </c>
      <c r="D210" s="68" t="str">
        <f>'[4]2025'!C210</f>
        <v/>
      </c>
      <c r="E210" s="68" t="str">
        <f>'[4]2025'!D210</f>
        <v/>
      </c>
      <c r="F210" s="12" t="str">
        <f>'[4]2025'!E210</f>
        <v/>
      </c>
      <c r="G210" s="73" t="str">
        <f>'[4]2025'!F210</f>
        <v/>
      </c>
      <c r="H210" s="42">
        <f>'[4]2025'!G210</f>
        <v>0</v>
      </c>
      <c r="I210" s="13">
        <f>'[4]2025'!H210</f>
        <v>0</v>
      </c>
      <c r="J210" s="14">
        <f>'[4]2025'!I210</f>
        <v>0</v>
      </c>
      <c r="K210" s="15">
        <f>'[4]2025'!J210</f>
        <v>0</v>
      </c>
      <c r="L210" s="15">
        <f>'[4]2025'!K210</f>
        <v>0</v>
      </c>
      <c r="M210" s="15">
        <f>'[4]2025'!L210</f>
        <v>0</v>
      </c>
      <c r="N210" s="16" t="str">
        <f t="shared" si="12"/>
        <v/>
      </c>
      <c r="O210" s="17" t="str">
        <f t="shared" si="13"/>
        <v/>
      </c>
      <c r="P210" s="17" t="str">
        <f t="shared" si="13"/>
        <v/>
      </c>
      <c r="Q210" s="18" t="str">
        <f t="shared" si="14"/>
        <v/>
      </c>
      <c r="R210" s="18" t="e">
        <f t="shared" si="15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19">
        <f>CHAMNORD!B211</f>
        <v>46228</v>
      </c>
      <c r="C211" s="75" t="str">
        <f>IF(H211=0,"",'[4]2025-2026'!C210)</f>
        <v/>
      </c>
      <c r="D211" s="68" t="str">
        <f>'[4]2025'!C211</f>
        <v/>
      </c>
      <c r="E211" s="68" t="str">
        <f>'[4]2025'!D211</f>
        <v/>
      </c>
      <c r="F211" s="12" t="str">
        <f>'[4]2025'!E211</f>
        <v/>
      </c>
      <c r="G211" s="73" t="str">
        <f>'[4]2025'!F211</f>
        <v/>
      </c>
      <c r="H211" s="42">
        <f>'[4]2025'!G211</f>
        <v>0</v>
      </c>
      <c r="I211" s="13">
        <f>'[4]2025'!H211</f>
        <v>0</v>
      </c>
      <c r="J211" s="14">
        <f>'[4]2025'!I211</f>
        <v>0</v>
      </c>
      <c r="K211" s="15">
        <f>'[4]2025'!J211</f>
        <v>0</v>
      </c>
      <c r="L211" s="15">
        <f>'[4]2025'!K211</f>
        <v>0</v>
      </c>
      <c r="M211" s="15">
        <f>'[4]2025'!L211</f>
        <v>0</v>
      </c>
      <c r="N211" s="16" t="str">
        <f t="shared" si="12"/>
        <v/>
      </c>
      <c r="O211" s="17" t="str">
        <f t="shared" si="13"/>
        <v/>
      </c>
      <c r="P211" s="17" t="str">
        <f t="shared" si="13"/>
        <v/>
      </c>
      <c r="Q211" s="18" t="str">
        <f t="shared" si="14"/>
        <v/>
      </c>
      <c r="R211" s="18" t="e">
        <f t="shared" si="15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19">
        <f>CHAMNORD!B212</f>
        <v>46229</v>
      </c>
      <c r="C212" s="75" t="str">
        <f>IF(H212=0,"",'[4]2025-2026'!C211)</f>
        <v/>
      </c>
      <c r="D212" s="68" t="str">
        <f>'[4]2025'!C212</f>
        <v/>
      </c>
      <c r="E212" s="68" t="str">
        <f>'[4]2025'!D212</f>
        <v/>
      </c>
      <c r="F212" s="12" t="str">
        <f>'[4]2025'!E212</f>
        <v/>
      </c>
      <c r="G212" s="73" t="str">
        <f>'[4]2025'!F212</f>
        <v/>
      </c>
      <c r="H212" s="42">
        <f>'[4]2025'!G212</f>
        <v>0</v>
      </c>
      <c r="I212" s="13">
        <f>'[4]2025'!H212</f>
        <v>0</v>
      </c>
      <c r="J212" s="14">
        <f>'[4]2025'!I212</f>
        <v>0</v>
      </c>
      <c r="K212" s="15">
        <f>'[4]2025'!J212</f>
        <v>0</v>
      </c>
      <c r="L212" s="15">
        <f>'[4]2025'!K212</f>
        <v>0</v>
      </c>
      <c r="M212" s="15">
        <f>'[4]2025'!L212</f>
        <v>0</v>
      </c>
      <c r="N212" s="16" t="str">
        <f t="shared" si="12"/>
        <v/>
      </c>
      <c r="O212" s="17" t="str">
        <f t="shared" si="13"/>
        <v/>
      </c>
      <c r="P212" s="17" t="str">
        <f t="shared" si="13"/>
        <v/>
      </c>
      <c r="Q212" s="18" t="str">
        <f t="shared" si="14"/>
        <v/>
      </c>
      <c r="R212" s="18" t="e">
        <f t="shared" si="15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19">
        <f>CHAMNORD!B213</f>
        <v>46230</v>
      </c>
      <c r="C213" s="75" t="str">
        <f>IF(H213=0,"",'[4]2025-2026'!C212)</f>
        <v/>
      </c>
      <c r="D213" s="68" t="str">
        <f>'[4]2025'!C213</f>
        <v/>
      </c>
      <c r="E213" s="68" t="str">
        <f>'[4]2025'!D213</f>
        <v/>
      </c>
      <c r="F213" s="12" t="str">
        <f>'[4]2025'!E213</f>
        <v/>
      </c>
      <c r="G213" s="73" t="str">
        <f>'[4]2025'!F213</f>
        <v/>
      </c>
      <c r="H213" s="42">
        <f>'[4]2025'!G213</f>
        <v>0</v>
      </c>
      <c r="I213" s="13">
        <f>'[4]2025'!H213</f>
        <v>0</v>
      </c>
      <c r="J213" s="14">
        <f>'[4]2025'!I213</f>
        <v>0</v>
      </c>
      <c r="K213" s="15">
        <f>'[4]2025'!J213</f>
        <v>0</v>
      </c>
      <c r="L213" s="15">
        <f>'[4]2025'!K213</f>
        <v>0</v>
      </c>
      <c r="M213" s="15">
        <f>'[4]2025'!L213</f>
        <v>0</v>
      </c>
      <c r="N213" s="16" t="str">
        <f t="shared" si="12"/>
        <v/>
      </c>
      <c r="O213" s="17" t="str">
        <f t="shared" si="13"/>
        <v/>
      </c>
      <c r="P213" s="17" t="str">
        <f t="shared" si="13"/>
        <v/>
      </c>
      <c r="Q213" s="18" t="str">
        <f t="shared" si="14"/>
        <v/>
      </c>
      <c r="R213" s="18" t="e">
        <f t="shared" si="15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19">
        <f>CHAMNORD!B214</f>
        <v>46231</v>
      </c>
      <c r="C214" s="75" t="str">
        <f>IF(H214=0,"",'[4]2025-2026'!C213)</f>
        <v/>
      </c>
      <c r="D214" s="68" t="str">
        <f>'[4]2025'!C214</f>
        <v/>
      </c>
      <c r="E214" s="68" t="str">
        <f>'[4]2025'!D214</f>
        <v/>
      </c>
      <c r="F214" s="12" t="str">
        <f>'[4]2025'!E214</f>
        <v/>
      </c>
      <c r="G214" s="73" t="str">
        <f>'[4]2025'!F214</f>
        <v/>
      </c>
      <c r="H214" s="42">
        <f>'[4]2025'!G214</f>
        <v>0</v>
      </c>
      <c r="I214" s="13">
        <f>'[4]2025'!H214</f>
        <v>0</v>
      </c>
      <c r="J214" s="14">
        <f>'[4]2025'!I214</f>
        <v>0</v>
      </c>
      <c r="K214" s="15">
        <f>'[4]2025'!J214</f>
        <v>0</v>
      </c>
      <c r="L214" s="15">
        <f>'[4]2025'!K214</f>
        <v>0</v>
      </c>
      <c r="M214" s="15">
        <f>'[4]2025'!L214</f>
        <v>0</v>
      </c>
      <c r="N214" s="16" t="str">
        <f t="shared" si="12"/>
        <v/>
      </c>
      <c r="O214" s="17" t="str">
        <f t="shared" si="13"/>
        <v/>
      </c>
      <c r="P214" s="17" t="str">
        <f t="shared" si="13"/>
        <v/>
      </c>
      <c r="Q214" s="18" t="str">
        <f t="shared" si="14"/>
        <v/>
      </c>
      <c r="R214" s="18" t="e">
        <f t="shared" si="15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19">
        <f>CHAMNORD!B215</f>
        <v>46232</v>
      </c>
      <c r="C215" s="75" t="str">
        <f>IF(H215=0,"",'[4]2025-2026'!C214)</f>
        <v/>
      </c>
      <c r="D215" s="68" t="str">
        <f>'[4]2025'!C215</f>
        <v/>
      </c>
      <c r="E215" s="68" t="str">
        <f>'[4]2025'!D215</f>
        <v/>
      </c>
      <c r="F215" s="12" t="str">
        <f>'[4]2025'!E215</f>
        <v/>
      </c>
      <c r="G215" s="73" t="str">
        <f>'[4]2025'!F215</f>
        <v/>
      </c>
      <c r="H215" s="42">
        <f>'[4]2025'!G215</f>
        <v>0</v>
      </c>
      <c r="I215" s="13">
        <f>'[4]2025'!H215</f>
        <v>0</v>
      </c>
      <c r="J215" s="14">
        <f>'[4]2025'!I215</f>
        <v>0</v>
      </c>
      <c r="K215" s="15">
        <f>'[4]2025'!J215</f>
        <v>0</v>
      </c>
      <c r="L215" s="15">
        <f>'[4]2025'!K215</f>
        <v>0</v>
      </c>
      <c r="M215" s="15">
        <f>'[4]2025'!L215</f>
        <v>0</v>
      </c>
      <c r="N215" s="16" t="str">
        <f t="shared" si="12"/>
        <v/>
      </c>
      <c r="O215" s="17" t="str">
        <f t="shared" si="13"/>
        <v/>
      </c>
      <c r="P215" s="17" t="str">
        <f t="shared" si="13"/>
        <v/>
      </c>
      <c r="Q215" s="18" t="str">
        <f t="shared" si="14"/>
        <v/>
      </c>
      <c r="R215" s="18" t="e">
        <f t="shared" si="15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19">
        <f>CHAMNORD!B216</f>
        <v>46233</v>
      </c>
      <c r="C216" s="75" t="str">
        <f>IF(H216=0,"",'[4]2025-2026'!C215)</f>
        <v/>
      </c>
      <c r="D216" s="68" t="str">
        <f>'[4]2025'!C216</f>
        <v/>
      </c>
      <c r="E216" s="68" t="str">
        <f>'[4]2025'!D216</f>
        <v/>
      </c>
      <c r="F216" s="12" t="str">
        <f>'[4]2025'!E216</f>
        <v/>
      </c>
      <c r="G216" s="73" t="str">
        <f>'[4]2025'!F216</f>
        <v/>
      </c>
      <c r="H216" s="42">
        <f>'[4]2025'!G216</f>
        <v>0</v>
      </c>
      <c r="I216" s="13">
        <f>'[4]2025'!H216</f>
        <v>0</v>
      </c>
      <c r="J216" s="14">
        <f>'[4]2025'!I216</f>
        <v>0</v>
      </c>
      <c r="K216" s="15">
        <f>'[4]2025'!J216</f>
        <v>0</v>
      </c>
      <c r="L216" s="15">
        <f>'[4]2025'!K216</f>
        <v>0</v>
      </c>
      <c r="M216" s="15">
        <f>'[4]2025'!L216</f>
        <v>0</v>
      </c>
      <c r="N216" s="16" t="str">
        <f t="shared" si="12"/>
        <v/>
      </c>
      <c r="O216" s="17" t="str">
        <f t="shared" si="13"/>
        <v/>
      </c>
      <c r="P216" s="17" t="str">
        <f t="shared" si="13"/>
        <v/>
      </c>
      <c r="Q216" s="18" t="str">
        <f t="shared" si="14"/>
        <v/>
      </c>
      <c r="R216" s="18" t="e">
        <f t="shared" si="15"/>
        <v>#DIV/0!</v>
      </c>
      <c r="S216" s="34"/>
      <c r="T216" s="29" t="s">
        <v>8</v>
      </c>
      <c r="U216" s="1738"/>
    </row>
    <row r="217" spans="1:21">
      <c r="A217" s="10" t="s">
        <v>14</v>
      </c>
      <c r="B217" s="19">
        <f>CHAMNORD!B217</f>
        <v>46234</v>
      </c>
      <c r="C217" s="75" t="str">
        <f>IF(H217=0,"",'[4]2025-2026'!C216)</f>
        <v/>
      </c>
      <c r="D217" s="68" t="str">
        <f>'[4]2025'!C217</f>
        <v/>
      </c>
      <c r="E217" s="68" t="str">
        <f>'[4]2025'!D217</f>
        <v/>
      </c>
      <c r="F217" s="12" t="str">
        <f>'[4]2025'!E217</f>
        <v/>
      </c>
      <c r="G217" s="73" t="str">
        <f>'[4]2025'!F217</f>
        <v/>
      </c>
      <c r="H217" s="42">
        <f>'[4]2025'!G217</f>
        <v>0</v>
      </c>
      <c r="I217" s="13">
        <f>'[4]2025'!H217</f>
        <v>0</v>
      </c>
      <c r="J217" s="14">
        <f>'[4]2025'!I217</f>
        <v>0</v>
      </c>
      <c r="K217" s="15">
        <f>'[4]2025'!J217</f>
        <v>0</v>
      </c>
      <c r="L217" s="15">
        <f>'[4]2025'!K217</f>
        <v>0</v>
      </c>
      <c r="M217" s="15">
        <f>'[4]2025'!L217</f>
        <v>0</v>
      </c>
      <c r="N217" s="16" t="str">
        <f t="shared" si="12"/>
        <v/>
      </c>
      <c r="O217" s="17" t="str">
        <f t="shared" si="13"/>
        <v/>
      </c>
      <c r="P217" s="17" t="str">
        <f t="shared" si="13"/>
        <v/>
      </c>
      <c r="Q217" s="18" t="str">
        <f t="shared" si="14"/>
        <v/>
      </c>
      <c r="R217" s="18" t="e">
        <f t="shared" si="15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19">
        <f>CHAMNORD!B218</f>
        <v>46235</v>
      </c>
      <c r="C218" s="75" t="str">
        <f>IF(H218=0,"",'[4]2025-2026'!C217)</f>
        <v/>
      </c>
      <c r="D218" s="68" t="str">
        <f>'[4]2025'!C218</f>
        <v/>
      </c>
      <c r="E218" s="68" t="str">
        <f>'[4]2025'!D218</f>
        <v/>
      </c>
      <c r="F218" s="12" t="str">
        <f>'[4]2025'!E218</f>
        <v/>
      </c>
      <c r="G218" s="73" t="str">
        <f>'[4]2025'!F218</f>
        <v/>
      </c>
      <c r="H218" s="42">
        <f>'[4]2025'!G218</f>
        <v>0</v>
      </c>
      <c r="I218" s="13">
        <f>'[4]2025'!H218</f>
        <v>0</v>
      </c>
      <c r="J218" s="14">
        <f>'[4]2025'!I218</f>
        <v>0</v>
      </c>
      <c r="K218" s="15">
        <f>'[4]2025'!J218</f>
        <v>0</v>
      </c>
      <c r="L218" s="15">
        <f>'[4]2025'!K218</f>
        <v>0</v>
      </c>
      <c r="M218" s="15">
        <f>'[4]2025'!L218</f>
        <v>0</v>
      </c>
      <c r="N218" s="16" t="str">
        <f t="shared" si="12"/>
        <v/>
      </c>
      <c r="O218" s="17" t="str">
        <f t="shared" si="13"/>
        <v/>
      </c>
      <c r="P218" s="17" t="str">
        <f t="shared" si="13"/>
        <v/>
      </c>
      <c r="Q218" s="18" t="str">
        <f t="shared" si="14"/>
        <v/>
      </c>
      <c r="R218" s="18" t="e">
        <f t="shared" si="15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19">
        <f>CHAMNORD!B219</f>
        <v>46236</v>
      </c>
      <c r="C219" s="75" t="str">
        <f>IF(H219=0,"",'[4]2025-2026'!C218)</f>
        <v/>
      </c>
      <c r="D219" s="68" t="str">
        <f>'[4]2025'!C219</f>
        <v/>
      </c>
      <c r="E219" s="68" t="str">
        <f>'[4]2025'!D219</f>
        <v/>
      </c>
      <c r="F219" s="12" t="str">
        <f>'[4]2025'!E219</f>
        <v/>
      </c>
      <c r="G219" s="73" t="str">
        <f>'[4]2025'!F219</f>
        <v/>
      </c>
      <c r="H219" s="42">
        <f>'[4]2025'!G219</f>
        <v>0</v>
      </c>
      <c r="I219" s="13">
        <f>'[4]2025'!H219</f>
        <v>0</v>
      </c>
      <c r="J219" s="14">
        <f>'[4]2025'!I219</f>
        <v>0</v>
      </c>
      <c r="K219" s="15">
        <f>'[4]2025'!J219</f>
        <v>0</v>
      </c>
      <c r="L219" s="15">
        <f>'[4]2025'!K219</f>
        <v>0</v>
      </c>
      <c r="M219" s="15">
        <f>'[4]2025'!L219</f>
        <v>0</v>
      </c>
      <c r="N219" s="16" t="str">
        <f t="shared" si="12"/>
        <v/>
      </c>
      <c r="O219" s="17" t="str">
        <f t="shared" si="13"/>
        <v/>
      </c>
      <c r="P219" s="17" t="str">
        <f t="shared" si="13"/>
        <v/>
      </c>
      <c r="Q219" s="18" t="str">
        <f t="shared" si="14"/>
        <v/>
      </c>
      <c r="R219" s="18" t="e">
        <f t="shared" si="15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19">
        <f>CHAMNORD!B220</f>
        <v>46237</v>
      </c>
      <c r="C220" s="75" t="str">
        <f>IF(H220=0,"",'[4]2025-2026'!C219)</f>
        <v/>
      </c>
      <c r="D220" s="68" t="str">
        <f>'[4]2025'!C220</f>
        <v/>
      </c>
      <c r="E220" s="68" t="str">
        <f>'[4]2025'!D220</f>
        <v/>
      </c>
      <c r="F220" s="12" t="str">
        <f>'[4]2025'!E220</f>
        <v/>
      </c>
      <c r="G220" s="73" t="str">
        <f>'[4]2025'!F220</f>
        <v/>
      </c>
      <c r="H220" s="42">
        <f>'[4]2025'!G220</f>
        <v>0</v>
      </c>
      <c r="I220" s="13">
        <f>'[4]2025'!H220</f>
        <v>0</v>
      </c>
      <c r="J220" s="14">
        <f>'[4]2025'!I220</f>
        <v>0</v>
      </c>
      <c r="K220" s="15">
        <f>'[4]2025'!J220</f>
        <v>0</v>
      </c>
      <c r="L220" s="15">
        <f>'[4]2025'!K220</f>
        <v>0</v>
      </c>
      <c r="M220" s="15">
        <f>'[4]2025'!L220</f>
        <v>0</v>
      </c>
      <c r="N220" s="16" t="str">
        <f t="shared" si="12"/>
        <v/>
      </c>
      <c r="O220" s="17" t="str">
        <f t="shared" si="13"/>
        <v/>
      </c>
      <c r="P220" s="17" t="str">
        <f t="shared" si="13"/>
        <v/>
      </c>
      <c r="Q220" s="18" t="str">
        <f t="shared" si="14"/>
        <v/>
      </c>
      <c r="R220" s="18" t="e">
        <f t="shared" si="15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19">
        <f>CHAMNORD!B221</f>
        <v>46238</v>
      </c>
      <c r="C221" s="75" t="str">
        <f>IF(H221=0,"",'[4]2025-2026'!C220)</f>
        <v/>
      </c>
      <c r="D221" s="68" t="str">
        <f>'[4]2025'!C221</f>
        <v/>
      </c>
      <c r="E221" s="68" t="str">
        <f>'[4]2025'!D221</f>
        <v/>
      </c>
      <c r="F221" s="12" t="str">
        <f>'[4]2025'!E221</f>
        <v/>
      </c>
      <c r="G221" s="73" t="str">
        <f>'[4]2025'!F221</f>
        <v/>
      </c>
      <c r="H221" s="42">
        <f>'[4]2025'!G221</f>
        <v>0</v>
      </c>
      <c r="I221" s="13">
        <f>'[4]2025'!H221</f>
        <v>0</v>
      </c>
      <c r="J221" s="14">
        <f>'[4]2025'!I221</f>
        <v>0</v>
      </c>
      <c r="K221" s="15">
        <f>'[4]2025'!J221</f>
        <v>0</v>
      </c>
      <c r="L221" s="15">
        <f>'[4]2025'!K221</f>
        <v>0</v>
      </c>
      <c r="M221" s="15">
        <f>'[4]2025'!L221</f>
        <v>0</v>
      </c>
      <c r="N221" s="16" t="str">
        <f t="shared" si="12"/>
        <v/>
      </c>
      <c r="O221" s="17" t="str">
        <f t="shared" si="13"/>
        <v/>
      </c>
      <c r="P221" s="17" t="str">
        <f t="shared" si="13"/>
        <v/>
      </c>
      <c r="Q221" s="18" t="str">
        <f t="shared" si="14"/>
        <v/>
      </c>
      <c r="R221" s="18" t="e">
        <f t="shared" si="15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19">
        <f>CHAMNORD!B222</f>
        <v>46239</v>
      </c>
      <c r="C222" s="75" t="str">
        <f>IF(H222=0,"",'[4]2025-2026'!C221)</f>
        <v/>
      </c>
      <c r="D222" s="68" t="str">
        <f>'[4]2025'!C222</f>
        <v/>
      </c>
      <c r="E222" s="68" t="str">
        <f>'[4]2025'!D222</f>
        <v/>
      </c>
      <c r="F222" s="12" t="str">
        <f>'[4]2025'!E222</f>
        <v/>
      </c>
      <c r="G222" s="73" t="str">
        <f>'[4]2025'!F222</f>
        <v/>
      </c>
      <c r="H222" s="42">
        <f>'[4]2025'!G222</f>
        <v>0</v>
      </c>
      <c r="I222" s="13">
        <f>'[4]2025'!H222</f>
        <v>0</v>
      </c>
      <c r="J222" s="14">
        <f>'[4]2025'!I222</f>
        <v>0</v>
      </c>
      <c r="K222" s="15">
        <f>'[4]2025'!J222</f>
        <v>0</v>
      </c>
      <c r="L222" s="15">
        <f>'[4]2025'!K222</f>
        <v>0</v>
      </c>
      <c r="M222" s="15">
        <f>'[4]2025'!L222</f>
        <v>0</v>
      </c>
      <c r="N222" s="16" t="str">
        <f t="shared" si="12"/>
        <v/>
      </c>
      <c r="O222" s="17" t="str">
        <f t="shared" si="13"/>
        <v/>
      </c>
      <c r="P222" s="17" t="str">
        <f t="shared" si="13"/>
        <v/>
      </c>
      <c r="Q222" s="18" t="str">
        <f t="shared" si="14"/>
        <v/>
      </c>
      <c r="R222" s="18" t="e">
        <f t="shared" si="15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19">
        <f>CHAMNORD!B223</f>
        <v>46240</v>
      </c>
      <c r="C223" s="75" t="str">
        <f>IF(H223=0,"",'[4]2025-2026'!C222)</f>
        <v/>
      </c>
      <c r="D223" s="68" t="str">
        <f>'[4]2025'!C223</f>
        <v/>
      </c>
      <c r="E223" s="68" t="str">
        <f>'[4]2025'!D223</f>
        <v/>
      </c>
      <c r="F223" s="12" t="str">
        <f>'[4]2025'!E223</f>
        <v/>
      </c>
      <c r="G223" s="73" t="str">
        <f>'[4]2025'!F223</f>
        <v/>
      </c>
      <c r="H223" s="42">
        <f>'[4]2025'!G223</f>
        <v>0</v>
      </c>
      <c r="I223" s="13">
        <f>'[4]2025'!H223</f>
        <v>0</v>
      </c>
      <c r="J223" s="14">
        <f>'[4]2025'!I223</f>
        <v>0</v>
      </c>
      <c r="K223" s="15">
        <f>'[4]2025'!J223</f>
        <v>0</v>
      </c>
      <c r="L223" s="15">
        <f>'[4]2025'!K223</f>
        <v>0</v>
      </c>
      <c r="M223" s="15">
        <f>'[4]2025'!L223</f>
        <v>0</v>
      </c>
      <c r="N223" s="16" t="str">
        <f t="shared" si="12"/>
        <v/>
      </c>
      <c r="O223" s="17" t="str">
        <f t="shared" si="13"/>
        <v/>
      </c>
      <c r="P223" s="17" t="str">
        <f t="shared" si="13"/>
        <v/>
      </c>
      <c r="Q223" s="18" t="str">
        <f t="shared" si="14"/>
        <v/>
      </c>
      <c r="R223" s="18" t="e">
        <f t="shared" si="15"/>
        <v>#DIV/0!</v>
      </c>
      <c r="S223" s="34"/>
      <c r="T223" s="29" t="s">
        <v>8</v>
      </c>
      <c r="U223" s="1738"/>
    </row>
    <row r="224" spans="1:21">
      <c r="A224" s="10" t="s">
        <v>14</v>
      </c>
      <c r="B224" s="19">
        <f>CHAMNORD!B224</f>
        <v>46241</v>
      </c>
      <c r="C224" s="75" t="str">
        <f>IF(H224=0,"",'[4]2025-2026'!C223)</f>
        <v/>
      </c>
      <c r="D224" s="68" t="str">
        <f>'[4]2025'!C224</f>
        <v/>
      </c>
      <c r="E224" s="68" t="str">
        <f>'[4]2025'!D224</f>
        <v/>
      </c>
      <c r="F224" s="12" t="str">
        <f>'[4]2025'!E224</f>
        <v/>
      </c>
      <c r="G224" s="73" t="str">
        <f>'[4]2025'!F224</f>
        <v/>
      </c>
      <c r="H224" s="42">
        <f>'[4]2025'!G224</f>
        <v>0</v>
      </c>
      <c r="I224" s="13">
        <f>'[4]2025'!H224</f>
        <v>0</v>
      </c>
      <c r="J224" s="14">
        <f>'[4]2025'!I224</f>
        <v>0</v>
      </c>
      <c r="K224" s="15">
        <f>'[4]2025'!J224</f>
        <v>0</v>
      </c>
      <c r="L224" s="15">
        <f>'[4]2025'!K224</f>
        <v>0</v>
      </c>
      <c r="M224" s="15">
        <f>'[4]2025'!L224</f>
        <v>0</v>
      </c>
      <c r="N224" s="16" t="str">
        <f t="shared" si="12"/>
        <v/>
      </c>
      <c r="O224" s="17" t="str">
        <f t="shared" si="13"/>
        <v/>
      </c>
      <c r="P224" s="17" t="str">
        <f t="shared" si="13"/>
        <v/>
      </c>
      <c r="Q224" s="18" t="str">
        <f t="shared" si="14"/>
        <v/>
      </c>
      <c r="R224" s="18" t="e">
        <f t="shared" si="15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19">
        <f>CHAMNORD!B225</f>
        <v>46242</v>
      </c>
      <c r="C225" s="75" t="str">
        <f>IF(H225=0,"",'[4]2025-2026'!C224)</f>
        <v/>
      </c>
      <c r="D225" s="68" t="str">
        <f>'[4]2025'!C225</f>
        <v/>
      </c>
      <c r="E225" s="68" t="str">
        <f>'[4]2025'!D225</f>
        <v/>
      </c>
      <c r="F225" s="12" t="str">
        <f>'[4]2025'!E225</f>
        <v/>
      </c>
      <c r="G225" s="73" t="str">
        <f>'[4]2025'!F225</f>
        <v/>
      </c>
      <c r="H225" s="42">
        <f>'[4]2025'!G225</f>
        <v>0</v>
      </c>
      <c r="I225" s="13">
        <f>'[4]2025'!H225</f>
        <v>0</v>
      </c>
      <c r="J225" s="14">
        <f>'[4]2025'!I225</f>
        <v>0</v>
      </c>
      <c r="K225" s="15">
        <f>'[4]2025'!J225</f>
        <v>0</v>
      </c>
      <c r="L225" s="15">
        <f>'[4]2025'!K225</f>
        <v>0</v>
      </c>
      <c r="M225" s="15">
        <f>'[4]2025'!L225</f>
        <v>0</v>
      </c>
      <c r="N225" s="16" t="str">
        <f t="shared" si="12"/>
        <v/>
      </c>
      <c r="O225" s="17" t="str">
        <f t="shared" si="13"/>
        <v/>
      </c>
      <c r="P225" s="17" t="str">
        <f t="shared" si="13"/>
        <v/>
      </c>
      <c r="Q225" s="18" t="str">
        <f t="shared" si="14"/>
        <v/>
      </c>
      <c r="R225" s="18" t="e">
        <f t="shared" si="15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19">
        <f>CHAMNORD!B226</f>
        <v>46243</v>
      </c>
      <c r="C226" s="75" t="str">
        <f>IF(H226=0,"",'[4]2025-2026'!C225)</f>
        <v/>
      </c>
      <c r="D226" s="68" t="str">
        <f>'[4]2025'!C226</f>
        <v/>
      </c>
      <c r="E226" s="68" t="str">
        <f>'[4]2025'!D226</f>
        <v/>
      </c>
      <c r="F226" s="12" t="str">
        <f>'[4]2025'!E226</f>
        <v/>
      </c>
      <c r="G226" s="73" t="str">
        <f>'[4]2025'!F226</f>
        <v/>
      </c>
      <c r="H226" s="42">
        <f>'[4]2025'!G226</f>
        <v>0</v>
      </c>
      <c r="I226" s="13">
        <f>'[4]2025'!H226</f>
        <v>0</v>
      </c>
      <c r="J226" s="14">
        <f>'[4]2025'!I226</f>
        <v>0</v>
      </c>
      <c r="K226" s="15">
        <f>'[4]2025'!J226</f>
        <v>0</v>
      </c>
      <c r="L226" s="15">
        <f>'[4]2025'!K226</f>
        <v>0</v>
      </c>
      <c r="M226" s="15">
        <f>'[4]2025'!L226</f>
        <v>0</v>
      </c>
      <c r="N226" s="16" t="str">
        <f t="shared" si="12"/>
        <v/>
      </c>
      <c r="O226" s="17" t="str">
        <f t="shared" si="13"/>
        <v/>
      </c>
      <c r="P226" s="17" t="str">
        <f t="shared" si="13"/>
        <v/>
      </c>
      <c r="Q226" s="18" t="str">
        <f t="shared" si="14"/>
        <v/>
      </c>
      <c r="R226" s="18" t="e">
        <f t="shared" si="15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19">
        <f>CHAMNORD!B227</f>
        <v>46244</v>
      </c>
      <c r="C227" s="75" t="str">
        <f>IF(H227=0,"",'[4]2025-2026'!C226)</f>
        <v/>
      </c>
      <c r="D227" s="68" t="str">
        <f>'[4]2025'!C227</f>
        <v/>
      </c>
      <c r="E227" s="68" t="str">
        <f>'[4]2025'!D227</f>
        <v/>
      </c>
      <c r="F227" s="12" t="str">
        <f>'[4]2025'!E227</f>
        <v/>
      </c>
      <c r="G227" s="73" t="str">
        <f>'[4]2025'!F227</f>
        <v/>
      </c>
      <c r="H227" s="42">
        <f>'[4]2025'!G227</f>
        <v>0</v>
      </c>
      <c r="I227" s="13">
        <f>'[4]2025'!H227</f>
        <v>0</v>
      </c>
      <c r="J227" s="14">
        <f>'[4]2025'!I227</f>
        <v>0</v>
      </c>
      <c r="K227" s="15">
        <f>'[4]2025'!J227</f>
        <v>0</v>
      </c>
      <c r="L227" s="15">
        <f>'[4]2025'!K227</f>
        <v>0</v>
      </c>
      <c r="M227" s="15">
        <f>'[4]2025'!L227</f>
        <v>0</v>
      </c>
      <c r="N227" s="16" t="str">
        <f t="shared" si="12"/>
        <v/>
      </c>
      <c r="O227" s="17" t="str">
        <f t="shared" si="13"/>
        <v/>
      </c>
      <c r="P227" s="17" t="str">
        <f t="shared" si="13"/>
        <v/>
      </c>
      <c r="Q227" s="18" t="str">
        <f t="shared" si="14"/>
        <v/>
      </c>
      <c r="R227" s="18" t="e">
        <f t="shared" si="15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19">
        <f>CHAMNORD!B228</f>
        <v>46245</v>
      </c>
      <c r="C228" s="75" t="str">
        <f>IF(H228=0,"",'[4]2025-2026'!C227)</f>
        <v/>
      </c>
      <c r="D228" s="68" t="str">
        <f>'[4]2025'!C228</f>
        <v/>
      </c>
      <c r="E228" s="68" t="str">
        <f>'[4]2025'!D228</f>
        <v/>
      </c>
      <c r="F228" s="12" t="str">
        <f>'[4]2025'!E228</f>
        <v/>
      </c>
      <c r="G228" s="73" t="str">
        <f>'[4]2025'!F228</f>
        <v/>
      </c>
      <c r="H228" s="42">
        <f>'[4]2025'!G228</f>
        <v>0</v>
      </c>
      <c r="I228" s="13">
        <f>'[4]2025'!H228</f>
        <v>0</v>
      </c>
      <c r="J228" s="14">
        <f>'[4]2025'!I228</f>
        <v>0</v>
      </c>
      <c r="K228" s="15">
        <f>'[4]2025'!J228</f>
        <v>0</v>
      </c>
      <c r="L228" s="15">
        <f>'[4]2025'!K228</f>
        <v>0</v>
      </c>
      <c r="M228" s="15">
        <f>'[4]2025'!L228</f>
        <v>0</v>
      </c>
      <c r="N228" s="16" t="str">
        <f t="shared" si="12"/>
        <v/>
      </c>
      <c r="O228" s="17" t="str">
        <f t="shared" si="13"/>
        <v/>
      </c>
      <c r="P228" s="17" t="str">
        <f t="shared" si="13"/>
        <v/>
      </c>
      <c r="Q228" s="18" t="str">
        <f t="shared" si="14"/>
        <v/>
      </c>
      <c r="R228" s="18" t="e">
        <f t="shared" si="15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19">
        <f>CHAMNORD!B229</f>
        <v>46246</v>
      </c>
      <c r="C229" s="75" t="str">
        <f>IF(H229=0,"",'[4]2025-2026'!C228)</f>
        <v/>
      </c>
      <c r="D229" s="68" t="str">
        <f>'[4]2025'!C229</f>
        <v/>
      </c>
      <c r="E229" s="68" t="str">
        <f>'[4]2025'!D229</f>
        <v/>
      </c>
      <c r="F229" s="12" t="str">
        <f>'[4]2025'!E229</f>
        <v/>
      </c>
      <c r="G229" s="73" t="str">
        <f>'[4]2025'!F229</f>
        <v/>
      </c>
      <c r="H229" s="42">
        <f>'[4]2025'!G229</f>
        <v>0</v>
      </c>
      <c r="I229" s="13">
        <f>'[4]2025'!H229</f>
        <v>0</v>
      </c>
      <c r="J229" s="14">
        <f>'[4]2025'!I229</f>
        <v>0</v>
      </c>
      <c r="K229" s="15">
        <f>'[4]2025'!J229</f>
        <v>0</v>
      </c>
      <c r="L229" s="15">
        <f>'[4]2025'!K229</f>
        <v>0</v>
      </c>
      <c r="M229" s="15">
        <f>'[4]2025'!L229</f>
        <v>0</v>
      </c>
      <c r="N229" s="16" t="str">
        <f t="shared" si="12"/>
        <v/>
      </c>
      <c r="O229" s="17" t="str">
        <f t="shared" si="13"/>
        <v/>
      </c>
      <c r="P229" s="17" t="str">
        <f t="shared" si="13"/>
        <v/>
      </c>
      <c r="Q229" s="18" t="str">
        <f t="shared" si="14"/>
        <v/>
      </c>
      <c r="R229" s="18" t="e">
        <f t="shared" si="15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19">
        <f>CHAMNORD!B230</f>
        <v>46247</v>
      </c>
      <c r="C230" s="75" t="str">
        <f>IF(H230=0,"",'[4]2025-2026'!C229)</f>
        <v/>
      </c>
      <c r="D230" s="68" t="str">
        <f>'[4]2025'!C230</f>
        <v/>
      </c>
      <c r="E230" s="68" t="str">
        <f>'[4]2025'!D230</f>
        <v/>
      </c>
      <c r="F230" s="12" t="str">
        <f>'[4]2025'!E230</f>
        <v/>
      </c>
      <c r="G230" s="73" t="str">
        <f>'[4]2025'!F230</f>
        <v/>
      </c>
      <c r="H230" s="42">
        <f>'[4]2025'!G230</f>
        <v>0</v>
      </c>
      <c r="I230" s="13">
        <f>'[4]2025'!H230</f>
        <v>0</v>
      </c>
      <c r="J230" s="14">
        <f>'[4]2025'!I230</f>
        <v>0</v>
      </c>
      <c r="K230" s="15">
        <f>'[4]2025'!J230</f>
        <v>0</v>
      </c>
      <c r="L230" s="15">
        <f>'[4]2025'!K230</f>
        <v>0</v>
      </c>
      <c r="M230" s="15">
        <f>'[4]2025'!L230</f>
        <v>0</v>
      </c>
      <c r="N230" s="16" t="str">
        <f t="shared" si="12"/>
        <v/>
      </c>
      <c r="O230" s="17" t="str">
        <f t="shared" si="13"/>
        <v/>
      </c>
      <c r="P230" s="17" t="str">
        <f t="shared" si="13"/>
        <v/>
      </c>
      <c r="Q230" s="18" t="str">
        <f t="shared" si="14"/>
        <v/>
      </c>
      <c r="R230" s="18" t="e">
        <f t="shared" si="15"/>
        <v>#DIV/0!</v>
      </c>
      <c r="S230" s="34"/>
      <c r="T230" s="29" t="s">
        <v>8</v>
      </c>
      <c r="U230" s="1738"/>
    </row>
    <row r="231" spans="1:21">
      <c r="A231" s="10" t="s">
        <v>14</v>
      </c>
      <c r="B231" s="19">
        <f>CHAMNORD!B231</f>
        <v>46248</v>
      </c>
      <c r="C231" s="75" t="str">
        <f>IF(H231=0,"",'[4]2025-2026'!C230)</f>
        <v/>
      </c>
      <c r="D231" s="68" t="str">
        <f>'[4]2025'!C231</f>
        <v/>
      </c>
      <c r="E231" s="68" t="str">
        <f>'[4]2025'!D231</f>
        <v/>
      </c>
      <c r="F231" s="12" t="str">
        <f>'[4]2025'!E231</f>
        <v/>
      </c>
      <c r="G231" s="73" t="str">
        <f>'[4]2025'!F231</f>
        <v/>
      </c>
      <c r="H231" s="42">
        <f>'[4]2025'!G231</f>
        <v>0</v>
      </c>
      <c r="I231" s="13">
        <f>'[4]2025'!H231</f>
        <v>0</v>
      </c>
      <c r="J231" s="14">
        <f>'[4]2025'!I231</f>
        <v>0</v>
      </c>
      <c r="K231" s="15">
        <f>'[4]2025'!J231</f>
        <v>0</v>
      </c>
      <c r="L231" s="15">
        <f>'[4]2025'!K231</f>
        <v>0</v>
      </c>
      <c r="M231" s="15">
        <f>'[4]2025'!L231</f>
        <v>0</v>
      </c>
      <c r="N231" s="16" t="str">
        <f t="shared" si="12"/>
        <v/>
      </c>
      <c r="O231" s="17" t="str">
        <f t="shared" si="13"/>
        <v/>
      </c>
      <c r="P231" s="17" t="str">
        <f t="shared" si="13"/>
        <v/>
      </c>
      <c r="Q231" s="18" t="str">
        <f t="shared" si="14"/>
        <v/>
      </c>
      <c r="R231" s="18" t="e">
        <f t="shared" si="15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19">
        <f>CHAMNORD!B232</f>
        <v>46249</v>
      </c>
      <c r="C232" s="75" t="str">
        <f>IF(H232=0,"",'[4]2025-2026'!C231)</f>
        <v/>
      </c>
      <c r="D232" s="68" t="str">
        <f>'[4]2025'!C232</f>
        <v/>
      </c>
      <c r="E232" s="68" t="str">
        <f>'[4]2025'!D232</f>
        <v/>
      </c>
      <c r="F232" s="12" t="str">
        <f>'[4]2025'!E232</f>
        <v/>
      </c>
      <c r="G232" s="73" t="str">
        <f>'[4]2025'!F232</f>
        <v/>
      </c>
      <c r="H232" s="42">
        <f>'[4]2025'!G232</f>
        <v>0</v>
      </c>
      <c r="I232" s="13">
        <f>'[4]2025'!H232</f>
        <v>0</v>
      </c>
      <c r="J232" s="14">
        <f>'[4]2025'!I232</f>
        <v>0</v>
      </c>
      <c r="K232" s="15">
        <f>'[4]2025'!J232</f>
        <v>0</v>
      </c>
      <c r="L232" s="15">
        <f>'[4]2025'!K232</f>
        <v>0</v>
      </c>
      <c r="M232" s="15">
        <f>'[4]2025'!L232</f>
        <v>0</v>
      </c>
      <c r="N232" s="16" t="str">
        <f t="shared" si="12"/>
        <v/>
      </c>
      <c r="O232" s="17" t="str">
        <f t="shared" si="13"/>
        <v/>
      </c>
      <c r="P232" s="17" t="str">
        <f t="shared" si="13"/>
        <v/>
      </c>
      <c r="Q232" s="18" t="str">
        <f t="shared" si="14"/>
        <v/>
      </c>
      <c r="R232" s="18" t="e">
        <f t="shared" si="15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19">
        <f>CHAMNORD!B233</f>
        <v>46250</v>
      </c>
      <c r="C233" s="75" t="str">
        <f>IF(H233=0,"",'[4]2025-2026'!C232)</f>
        <v/>
      </c>
      <c r="D233" s="68" t="str">
        <f>'[4]2025'!C233</f>
        <v/>
      </c>
      <c r="E233" s="68" t="str">
        <f>'[4]2025'!D233</f>
        <v/>
      </c>
      <c r="F233" s="12" t="str">
        <f>'[4]2025'!E233</f>
        <v/>
      </c>
      <c r="G233" s="73" t="str">
        <f>'[4]2025'!F233</f>
        <v/>
      </c>
      <c r="H233" s="42">
        <f>'[4]2025'!G233</f>
        <v>0</v>
      </c>
      <c r="I233" s="13">
        <f>'[4]2025'!H233</f>
        <v>0</v>
      </c>
      <c r="J233" s="14">
        <f>'[4]2025'!I233</f>
        <v>0</v>
      </c>
      <c r="K233" s="15">
        <f>'[4]2025'!J233</f>
        <v>0</v>
      </c>
      <c r="L233" s="15">
        <f>'[4]2025'!K233</f>
        <v>0</v>
      </c>
      <c r="M233" s="15">
        <f>'[4]2025'!L233</f>
        <v>0</v>
      </c>
      <c r="N233" s="16" t="str">
        <f t="shared" si="12"/>
        <v/>
      </c>
      <c r="O233" s="17" t="str">
        <f t="shared" si="13"/>
        <v/>
      </c>
      <c r="P233" s="17" t="str">
        <f t="shared" si="13"/>
        <v/>
      </c>
      <c r="Q233" s="18" t="str">
        <f t="shared" si="14"/>
        <v/>
      </c>
      <c r="R233" s="18" t="e">
        <f t="shared" si="15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19">
        <f>CHAMNORD!B234</f>
        <v>46251</v>
      </c>
      <c r="C234" s="75" t="str">
        <f>IF(H234=0,"",'[4]2025-2026'!C233)</f>
        <v/>
      </c>
      <c r="D234" s="68" t="str">
        <f>'[4]2025'!C234</f>
        <v/>
      </c>
      <c r="E234" s="68" t="str">
        <f>'[4]2025'!D234</f>
        <v/>
      </c>
      <c r="F234" s="12" t="str">
        <f>'[4]2025'!E234</f>
        <v/>
      </c>
      <c r="G234" s="73" t="str">
        <f>'[4]2025'!F234</f>
        <v/>
      </c>
      <c r="H234" s="42">
        <f>'[4]2025'!G234</f>
        <v>0</v>
      </c>
      <c r="I234" s="13">
        <f>'[4]2025'!H234</f>
        <v>0</v>
      </c>
      <c r="J234" s="14">
        <f>'[4]2025'!I234</f>
        <v>0</v>
      </c>
      <c r="K234" s="15">
        <f>'[4]2025'!J234</f>
        <v>0</v>
      </c>
      <c r="L234" s="15">
        <f>'[4]2025'!K234</f>
        <v>0</v>
      </c>
      <c r="M234" s="15">
        <f>'[4]2025'!L234</f>
        <v>0</v>
      </c>
      <c r="N234" s="16" t="str">
        <f t="shared" si="12"/>
        <v/>
      </c>
      <c r="O234" s="17" t="str">
        <f t="shared" si="13"/>
        <v/>
      </c>
      <c r="P234" s="17" t="str">
        <f t="shared" si="13"/>
        <v/>
      </c>
      <c r="Q234" s="18" t="str">
        <f t="shared" si="14"/>
        <v/>
      </c>
      <c r="R234" s="18" t="e">
        <f t="shared" si="15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19">
        <f>CHAMNORD!B235</f>
        <v>46252</v>
      </c>
      <c r="C235" s="75" t="str">
        <f>IF(H235=0,"",'[4]2025-2026'!C234)</f>
        <v/>
      </c>
      <c r="D235" s="68" t="str">
        <f>'[4]2025'!C235</f>
        <v/>
      </c>
      <c r="E235" s="68" t="str">
        <f>'[4]2025'!D235</f>
        <v/>
      </c>
      <c r="F235" s="12" t="str">
        <f>'[4]2025'!E235</f>
        <v/>
      </c>
      <c r="G235" s="73" t="str">
        <f>'[4]2025'!F235</f>
        <v/>
      </c>
      <c r="H235" s="42">
        <f>'[4]2025'!G235</f>
        <v>0</v>
      </c>
      <c r="I235" s="13">
        <f>'[4]2025'!H235</f>
        <v>0</v>
      </c>
      <c r="J235" s="14">
        <f>'[4]2025'!I235</f>
        <v>0</v>
      </c>
      <c r="K235" s="15">
        <f>'[4]2025'!J235</f>
        <v>0</v>
      </c>
      <c r="L235" s="15">
        <f>'[4]2025'!K235</f>
        <v>0</v>
      </c>
      <c r="M235" s="15">
        <f>'[4]2025'!L235</f>
        <v>0</v>
      </c>
      <c r="N235" s="16" t="str">
        <f t="shared" si="12"/>
        <v/>
      </c>
      <c r="O235" s="17" t="str">
        <f t="shared" si="13"/>
        <v/>
      </c>
      <c r="P235" s="17" t="str">
        <f t="shared" si="13"/>
        <v/>
      </c>
      <c r="Q235" s="18" t="str">
        <f t="shared" si="14"/>
        <v/>
      </c>
      <c r="R235" s="18" t="e">
        <f t="shared" si="15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19">
        <f>CHAMNORD!B236</f>
        <v>46253</v>
      </c>
      <c r="C236" s="75" t="str">
        <f>IF(H236=0,"",'[4]2025-2026'!C235)</f>
        <v/>
      </c>
      <c r="D236" s="68" t="str">
        <f>'[4]2025'!C236</f>
        <v/>
      </c>
      <c r="E236" s="68" t="str">
        <f>'[4]2025'!D236</f>
        <v/>
      </c>
      <c r="F236" s="12" t="str">
        <f>'[4]2025'!E236</f>
        <v/>
      </c>
      <c r="G236" s="73" t="str">
        <f>'[4]2025'!F236</f>
        <v/>
      </c>
      <c r="H236" s="42">
        <f>'[4]2025'!G236</f>
        <v>0</v>
      </c>
      <c r="I236" s="13">
        <f>'[4]2025'!H236</f>
        <v>0</v>
      </c>
      <c r="J236" s="14">
        <f>'[4]2025'!I236</f>
        <v>0</v>
      </c>
      <c r="K236" s="15">
        <f>'[4]2025'!J236</f>
        <v>0</v>
      </c>
      <c r="L236" s="15">
        <f>'[4]2025'!K236</f>
        <v>0</v>
      </c>
      <c r="M236" s="15">
        <f>'[4]2025'!L236</f>
        <v>0</v>
      </c>
      <c r="N236" s="16" t="str">
        <f t="shared" si="12"/>
        <v/>
      </c>
      <c r="O236" s="17" t="str">
        <f t="shared" si="13"/>
        <v/>
      </c>
      <c r="P236" s="17" t="str">
        <f t="shared" si="13"/>
        <v/>
      </c>
      <c r="Q236" s="18" t="str">
        <f t="shared" si="14"/>
        <v/>
      </c>
      <c r="R236" s="18" t="e">
        <f t="shared" si="15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19">
        <f>CHAMNORD!B237</f>
        <v>46254</v>
      </c>
      <c r="C237" s="75" t="str">
        <f>IF(H237=0,"",'[4]2025-2026'!C236)</f>
        <v/>
      </c>
      <c r="D237" s="68" t="str">
        <f>'[4]2025'!C237</f>
        <v/>
      </c>
      <c r="E237" s="68" t="str">
        <f>'[4]2025'!D237</f>
        <v/>
      </c>
      <c r="F237" s="12" t="str">
        <f>'[4]2025'!E237</f>
        <v/>
      </c>
      <c r="G237" s="73" t="str">
        <f>'[4]2025'!F237</f>
        <v/>
      </c>
      <c r="H237" s="42">
        <f>'[4]2025'!G237</f>
        <v>0</v>
      </c>
      <c r="I237" s="13">
        <f>'[4]2025'!H237</f>
        <v>0</v>
      </c>
      <c r="J237" s="14">
        <f>'[4]2025'!I237</f>
        <v>0</v>
      </c>
      <c r="K237" s="15">
        <f>'[4]2025'!J237</f>
        <v>0</v>
      </c>
      <c r="L237" s="15">
        <f>'[4]2025'!K237</f>
        <v>0</v>
      </c>
      <c r="M237" s="15">
        <f>'[4]2025'!L237</f>
        <v>0</v>
      </c>
      <c r="N237" s="16" t="str">
        <f t="shared" si="12"/>
        <v/>
      </c>
      <c r="O237" s="17" t="str">
        <f t="shared" si="13"/>
        <v/>
      </c>
      <c r="P237" s="17" t="str">
        <f t="shared" si="13"/>
        <v/>
      </c>
      <c r="Q237" s="18" t="str">
        <f t="shared" si="14"/>
        <v/>
      </c>
      <c r="R237" s="18" t="e">
        <f t="shared" si="15"/>
        <v>#DIV/0!</v>
      </c>
      <c r="S237" s="34"/>
      <c r="T237" s="29" t="s">
        <v>8</v>
      </c>
      <c r="U237" s="1738"/>
    </row>
    <row r="238" spans="1:21">
      <c r="A238" s="10" t="s">
        <v>14</v>
      </c>
      <c r="B238" s="19">
        <f>CHAMNORD!B238</f>
        <v>46255</v>
      </c>
      <c r="C238" s="75" t="str">
        <f>IF(H238=0,"",'[4]2025-2026'!C237)</f>
        <v/>
      </c>
      <c r="D238" s="68" t="str">
        <f>'[4]2025'!C238</f>
        <v/>
      </c>
      <c r="E238" s="68" t="str">
        <f>'[4]2025'!D238</f>
        <v/>
      </c>
      <c r="F238" s="12" t="str">
        <f>'[4]2025'!E238</f>
        <v/>
      </c>
      <c r="G238" s="73" t="str">
        <f>'[4]2025'!F238</f>
        <v/>
      </c>
      <c r="H238" s="42">
        <f>'[4]2025'!G238</f>
        <v>0</v>
      </c>
      <c r="I238" s="13">
        <f>'[4]2025'!H238</f>
        <v>0</v>
      </c>
      <c r="J238" s="14">
        <f>'[4]2025'!I238</f>
        <v>0</v>
      </c>
      <c r="K238" s="15">
        <f>'[4]2025'!J238</f>
        <v>0</v>
      </c>
      <c r="L238" s="15">
        <f>'[4]2025'!K238</f>
        <v>0</v>
      </c>
      <c r="M238" s="15">
        <f>'[4]2025'!L238</f>
        <v>0</v>
      </c>
      <c r="N238" s="16" t="str">
        <f t="shared" si="12"/>
        <v/>
      </c>
      <c r="O238" s="17" t="str">
        <f t="shared" si="13"/>
        <v/>
      </c>
      <c r="P238" s="17" t="str">
        <f t="shared" si="13"/>
        <v/>
      </c>
      <c r="Q238" s="18" t="str">
        <f t="shared" si="14"/>
        <v/>
      </c>
      <c r="R238" s="18" t="e">
        <f t="shared" si="15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19">
        <f>CHAMNORD!B239</f>
        <v>46256</v>
      </c>
      <c r="C239" s="75" t="str">
        <f>IF(H239=0,"",'[4]2025-2026'!C238)</f>
        <v/>
      </c>
      <c r="D239" s="68" t="str">
        <f>'[4]2025'!C239</f>
        <v/>
      </c>
      <c r="E239" s="68" t="str">
        <f>'[4]2025'!D239</f>
        <v/>
      </c>
      <c r="F239" s="12" t="str">
        <f>'[4]2025'!E239</f>
        <v/>
      </c>
      <c r="G239" s="73" t="str">
        <f>'[4]2025'!F239</f>
        <v/>
      </c>
      <c r="H239" s="42">
        <f>'[4]2025'!G239</f>
        <v>0</v>
      </c>
      <c r="I239" s="13">
        <f>'[4]2025'!H239</f>
        <v>0</v>
      </c>
      <c r="J239" s="14">
        <f>'[4]2025'!I239</f>
        <v>0</v>
      </c>
      <c r="K239" s="15">
        <f>'[4]2025'!J239</f>
        <v>0</v>
      </c>
      <c r="L239" s="15">
        <f>'[4]2025'!K239</f>
        <v>0</v>
      </c>
      <c r="M239" s="15">
        <f>'[4]2025'!L239</f>
        <v>0</v>
      </c>
      <c r="N239" s="16" t="str">
        <f t="shared" si="12"/>
        <v/>
      </c>
      <c r="O239" s="17" t="str">
        <f t="shared" si="13"/>
        <v/>
      </c>
      <c r="P239" s="17" t="str">
        <f t="shared" si="13"/>
        <v/>
      </c>
      <c r="Q239" s="18" t="str">
        <f t="shared" si="14"/>
        <v/>
      </c>
      <c r="R239" s="18" t="e">
        <f t="shared" si="15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19">
        <f>CHAMNORD!B240</f>
        <v>46257</v>
      </c>
      <c r="C240" s="75" t="str">
        <f>IF(H240=0,"",'[4]2025-2026'!C239)</f>
        <v/>
      </c>
      <c r="D240" s="68" t="str">
        <f>'[4]2025'!C240</f>
        <v/>
      </c>
      <c r="E240" s="68" t="str">
        <f>'[4]2025'!D240</f>
        <v/>
      </c>
      <c r="F240" s="12" t="str">
        <f>'[4]2025'!E240</f>
        <v/>
      </c>
      <c r="G240" s="73" t="str">
        <f>'[4]2025'!F240</f>
        <v/>
      </c>
      <c r="H240" s="42">
        <f>'[4]2025'!G240</f>
        <v>0</v>
      </c>
      <c r="I240" s="13">
        <f>'[4]2025'!H240</f>
        <v>0</v>
      </c>
      <c r="J240" s="14">
        <f>'[4]2025'!I240</f>
        <v>0</v>
      </c>
      <c r="K240" s="15">
        <f>'[4]2025'!J240</f>
        <v>0</v>
      </c>
      <c r="L240" s="15">
        <f>'[4]2025'!K240</f>
        <v>0</v>
      </c>
      <c r="M240" s="15">
        <f>'[4]2025'!L240</f>
        <v>0</v>
      </c>
      <c r="N240" s="16" t="str">
        <f t="shared" si="12"/>
        <v/>
      </c>
      <c r="O240" s="17" t="str">
        <f t="shared" si="13"/>
        <v/>
      </c>
      <c r="P240" s="17" t="str">
        <f t="shared" si="13"/>
        <v/>
      </c>
      <c r="Q240" s="18" t="str">
        <f t="shared" si="14"/>
        <v/>
      </c>
      <c r="R240" s="18" t="e">
        <f t="shared" si="15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19">
        <f>CHAMNORD!B241</f>
        <v>46258</v>
      </c>
      <c r="C241" s="75" t="str">
        <f>IF(H241=0,"",'[4]2025-2026'!C240)</f>
        <v/>
      </c>
      <c r="D241" s="68" t="str">
        <f>'[4]2025'!C241</f>
        <v/>
      </c>
      <c r="E241" s="68" t="str">
        <f>'[4]2025'!D241</f>
        <v/>
      </c>
      <c r="F241" s="12" t="str">
        <f>'[4]2025'!E241</f>
        <v/>
      </c>
      <c r="G241" s="73" t="str">
        <f>'[4]2025'!F241</f>
        <v/>
      </c>
      <c r="H241" s="42">
        <f>'[4]2025'!G241</f>
        <v>0</v>
      </c>
      <c r="I241" s="13">
        <f>'[4]2025'!H241</f>
        <v>0</v>
      </c>
      <c r="J241" s="14">
        <f>'[4]2025'!I241</f>
        <v>0</v>
      </c>
      <c r="K241" s="15">
        <f>'[4]2025'!J241</f>
        <v>0</v>
      </c>
      <c r="L241" s="15">
        <f>'[4]2025'!K241</f>
        <v>0</v>
      </c>
      <c r="M241" s="15">
        <f>'[4]2025'!L241</f>
        <v>0</v>
      </c>
      <c r="N241" s="16" t="str">
        <f t="shared" si="12"/>
        <v/>
      </c>
      <c r="O241" s="17" t="str">
        <f t="shared" si="13"/>
        <v/>
      </c>
      <c r="P241" s="17" t="str">
        <f t="shared" si="13"/>
        <v/>
      </c>
      <c r="Q241" s="18" t="str">
        <f t="shared" si="14"/>
        <v/>
      </c>
      <c r="R241" s="18" t="e">
        <f t="shared" si="15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19">
        <f>CHAMNORD!B242</f>
        <v>46259</v>
      </c>
      <c r="C242" s="75" t="str">
        <f>IF(H242=0,"",'[4]2025-2026'!C241)</f>
        <v/>
      </c>
      <c r="D242" s="68" t="str">
        <f>'[4]2025'!C242</f>
        <v/>
      </c>
      <c r="E242" s="68" t="str">
        <f>'[4]2025'!D242</f>
        <v/>
      </c>
      <c r="F242" s="12" t="str">
        <f>'[4]2025'!E242</f>
        <v/>
      </c>
      <c r="G242" s="73" t="str">
        <f>'[4]2025'!F242</f>
        <v/>
      </c>
      <c r="H242" s="42">
        <f>'[4]2025'!G242</f>
        <v>0</v>
      </c>
      <c r="I242" s="13">
        <f>'[4]2025'!H242</f>
        <v>0</v>
      </c>
      <c r="J242" s="14">
        <f>'[4]2025'!I242</f>
        <v>0</v>
      </c>
      <c r="K242" s="15">
        <f>'[4]2025'!J242</f>
        <v>0</v>
      </c>
      <c r="L242" s="15">
        <f>'[4]2025'!K242</f>
        <v>0</v>
      </c>
      <c r="M242" s="15">
        <f>'[4]2025'!L242</f>
        <v>0</v>
      </c>
      <c r="N242" s="16" t="str">
        <f t="shared" si="12"/>
        <v/>
      </c>
      <c r="O242" s="17" t="str">
        <f t="shared" si="13"/>
        <v/>
      </c>
      <c r="P242" s="17" t="str">
        <f t="shared" si="13"/>
        <v/>
      </c>
      <c r="Q242" s="18" t="str">
        <f t="shared" si="14"/>
        <v/>
      </c>
      <c r="R242" s="18" t="e">
        <f t="shared" si="15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19">
        <f>CHAMNORD!B243</f>
        <v>46260</v>
      </c>
      <c r="C243" s="75" t="str">
        <f>IF(H243=0,"",'[4]2025-2026'!C242)</f>
        <v/>
      </c>
      <c r="D243" s="68" t="str">
        <f>'[4]2025'!C243</f>
        <v/>
      </c>
      <c r="E243" s="68" t="str">
        <f>'[4]2025'!D243</f>
        <v/>
      </c>
      <c r="F243" s="12" t="str">
        <f>'[4]2025'!E243</f>
        <v/>
      </c>
      <c r="G243" s="73" t="str">
        <f>'[4]2025'!F243</f>
        <v/>
      </c>
      <c r="H243" s="42">
        <f>'[4]2025'!G243</f>
        <v>0</v>
      </c>
      <c r="I243" s="13">
        <f>'[4]2025'!H243</f>
        <v>0</v>
      </c>
      <c r="J243" s="14">
        <f>'[4]2025'!I243</f>
        <v>0</v>
      </c>
      <c r="K243" s="15">
        <f>'[4]2025'!J243</f>
        <v>0</v>
      </c>
      <c r="L243" s="15">
        <f>'[4]2025'!K243</f>
        <v>0</v>
      </c>
      <c r="M243" s="15">
        <f>'[4]2025'!L243</f>
        <v>0</v>
      </c>
      <c r="N243" s="16" t="str">
        <f t="shared" si="12"/>
        <v/>
      </c>
      <c r="O243" s="17" t="str">
        <f t="shared" si="13"/>
        <v/>
      </c>
      <c r="P243" s="17" t="str">
        <f t="shared" si="13"/>
        <v/>
      </c>
      <c r="Q243" s="18" t="str">
        <f t="shared" si="14"/>
        <v/>
      </c>
      <c r="R243" s="18" t="e">
        <f t="shared" si="15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19">
        <f>CHAMNORD!B244</f>
        <v>46261</v>
      </c>
      <c r="C244" s="75" t="str">
        <f>IF(H244=0,"",'[4]2025-2026'!C243)</f>
        <v/>
      </c>
      <c r="D244" s="68" t="str">
        <f>'[4]2025'!C244</f>
        <v/>
      </c>
      <c r="E244" s="68" t="str">
        <f>'[4]2025'!D244</f>
        <v/>
      </c>
      <c r="F244" s="12" t="str">
        <f>'[4]2025'!E244</f>
        <v/>
      </c>
      <c r="G244" s="73" t="str">
        <f>'[4]2025'!F244</f>
        <v/>
      </c>
      <c r="H244" s="42">
        <f>'[4]2025'!G244</f>
        <v>0</v>
      </c>
      <c r="I244" s="13">
        <f>'[4]2025'!H244</f>
        <v>0</v>
      </c>
      <c r="J244" s="14">
        <f>'[4]2025'!I244</f>
        <v>0</v>
      </c>
      <c r="K244" s="15">
        <f>'[4]2025'!J244</f>
        <v>0</v>
      </c>
      <c r="L244" s="15">
        <f>'[4]2025'!K244</f>
        <v>0</v>
      </c>
      <c r="M244" s="15">
        <f>'[4]2025'!L244</f>
        <v>0</v>
      </c>
      <c r="N244" s="16" t="str">
        <f t="shared" si="12"/>
        <v/>
      </c>
      <c r="O244" s="17" t="str">
        <f t="shared" si="13"/>
        <v/>
      </c>
      <c r="P244" s="17" t="str">
        <f t="shared" si="13"/>
        <v/>
      </c>
      <c r="Q244" s="18" t="str">
        <f t="shared" si="14"/>
        <v/>
      </c>
      <c r="R244" s="18" t="e">
        <f t="shared" si="15"/>
        <v>#DIV/0!</v>
      </c>
      <c r="S244" s="34"/>
      <c r="T244" s="29" t="s">
        <v>8</v>
      </c>
      <c r="U244" s="1738"/>
    </row>
    <row r="245" spans="1:21">
      <c r="A245" s="10" t="s">
        <v>14</v>
      </c>
      <c r="B245" s="19">
        <f>CHAMNORD!B245</f>
        <v>46262</v>
      </c>
      <c r="C245" s="75" t="str">
        <f>IF(H245=0,"",'[4]2025-2026'!C244)</f>
        <v/>
      </c>
      <c r="D245" s="68" t="str">
        <f>'[4]2025'!C245</f>
        <v/>
      </c>
      <c r="E245" s="68" t="str">
        <f>'[4]2025'!D245</f>
        <v/>
      </c>
      <c r="F245" s="12" t="str">
        <f>'[4]2025'!E245</f>
        <v/>
      </c>
      <c r="G245" s="73" t="str">
        <f>'[4]2025'!F245</f>
        <v/>
      </c>
      <c r="H245" s="42">
        <f>'[4]2025'!G245</f>
        <v>0</v>
      </c>
      <c r="I245" s="13">
        <f>'[4]2025'!H245</f>
        <v>0</v>
      </c>
      <c r="J245" s="14">
        <f>'[4]2025'!I245</f>
        <v>0</v>
      </c>
      <c r="K245" s="15">
        <f>'[4]2025'!J245</f>
        <v>0</v>
      </c>
      <c r="L245" s="15">
        <f>'[4]2025'!K245</f>
        <v>0</v>
      </c>
      <c r="M245" s="15">
        <f>'[4]2025'!L245</f>
        <v>0</v>
      </c>
      <c r="N245" s="16" t="str">
        <f t="shared" si="12"/>
        <v/>
      </c>
      <c r="O245" s="17" t="str">
        <f t="shared" si="13"/>
        <v/>
      </c>
      <c r="P245" s="17" t="str">
        <f t="shared" si="13"/>
        <v/>
      </c>
      <c r="Q245" s="18" t="str">
        <f t="shared" si="14"/>
        <v/>
      </c>
      <c r="R245" s="18" t="e">
        <f t="shared" si="15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19">
        <f>CHAMNORD!B246</f>
        <v>46263</v>
      </c>
      <c r="C246" s="75" t="str">
        <f>IF(H246=0,"",'[4]2025-2026'!C245)</f>
        <v/>
      </c>
      <c r="D246" s="68" t="str">
        <f>'[4]2025'!C246</f>
        <v/>
      </c>
      <c r="E246" s="68" t="str">
        <f>'[4]2025'!D246</f>
        <v/>
      </c>
      <c r="F246" s="12" t="str">
        <f>'[4]2025'!E246</f>
        <v/>
      </c>
      <c r="G246" s="73" t="str">
        <f>'[4]2025'!F246</f>
        <v/>
      </c>
      <c r="H246" s="42">
        <f>'[4]2025'!G246</f>
        <v>0</v>
      </c>
      <c r="I246" s="13">
        <f>'[4]2025'!H246</f>
        <v>0</v>
      </c>
      <c r="J246" s="14">
        <f>'[4]2025'!I246</f>
        <v>0</v>
      </c>
      <c r="K246" s="15">
        <f>'[4]2025'!J246</f>
        <v>0</v>
      </c>
      <c r="L246" s="15">
        <f>'[4]2025'!K246</f>
        <v>0</v>
      </c>
      <c r="M246" s="15">
        <f>'[4]2025'!L246</f>
        <v>0</v>
      </c>
      <c r="N246" s="16" t="str">
        <f t="shared" si="12"/>
        <v/>
      </c>
      <c r="O246" s="17" t="str">
        <f t="shared" si="13"/>
        <v/>
      </c>
      <c r="P246" s="17" t="str">
        <f t="shared" si="13"/>
        <v/>
      </c>
      <c r="Q246" s="18" t="str">
        <f t="shared" si="14"/>
        <v/>
      </c>
      <c r="R246" s="18" t="e">
        <f t="shared" si="15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19">
        <f>CHAMNORD!B247</f>
        <v>46264</v>
      </c>
      <c r="C247" s="75" t="str">
        <f>IF(H247=0,"",'[4]2025-2026'!C246)</f>
        <v/>
      </c>
      <c r="D247" s="68" t="str">
        <f>'[4]2025'!C247</f>
        <v/>
      </c>
      <c r="E247" s="68" t="str">
        <f>'[4]2025'!D247</f>
        <v/>
      </c>
      <c r="F247" s="12" t="str">
        <f>'[4]2025'!E247</f>
        <v/>
      </c>
      <c r="G247" s="73" t="str">
        <f>'[4]2025'!F247</f>
        <v/>
      </c>
      <c r="H247" s="42">
        <f>'[4]2025'!G247</f>
        <v>0</v>
      </c>
      <c r="I247" s="13">
        <f>'[4]2025'!H247</f>
        <v>0</v>
      </c>
      <c r="J247" s="14">
        <f>'[4]2025'!I247</f>
        <v>0</v>
      </c>
      <c r="K247" s="15">
        <f>'[4]2025'!J247</f>
        <v>0</v>
      </c>
      <c r="L247" s="15">
        <f>'[4]2025'!K247</f>
        <v>0</v>
      </c>
      <c r="M247" s="15">
        <f>'[4]2025'!L247</f>
        <v>0</v>
      </c>
      <c r="N247" s="16" t="str">
        <f t="shared" si="12"/>
        <v/>
      </c>
      <c r="O247" s="17" t="str">
        <f t="shared" si="13"/>
        <v/>
      </c>
      <c r="P247" s="17" t="str">
        <f t="shared" si="13"/>
        <v/>
      </c>
      <c r="Q247" s="18" t="str">
        <f t="shared" si="14"/>
        <v/>
      </c>
      <c r="R247" s="18" t="e">
        <f t="shared" si="15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19">
        <f>CHAMNORD!B248</f>
        <v>46265</v>
      </c>
      <c r="C248" s="75" t="str">
        <f>IF(H248=0,"",'[4]2025-2026'!C247)</f>
        <v/>
      </c>
      <c r="D248" s="68" t="str">
        <f>'[4]2025'!C248</f>
        <v/>
      </c>
      <c r="E248" s="68" t="str">
        <f>'[4]2025'!D248</f>
        <v/>
      </c>
      <c r="F248" s="12" t="str">
        <f>'[4]2025'!E248</f>
        <v/>
      </c>
      <c r="G248" s="73" t="str">
        <f>'[4]2025'!F248</f>
        <v/>
      </c>
      <c r="H248" s="42">
        <f>'[4]2025'!G248</f>
        <v>0</v>
      </c>
      <c r="I248" s="13">
        <f>'[4]2025'!H248</f>
        <v>0</v>
      </c>
      <c r="J248" s="14">
        <f>'[4]2025'!I248</f>
        <v>0</v>
      </c>
      <c r="K248" s="15">
        <f>'[4]2025'!J248</f>
        <v>0</v>
      </c>
      <c r="L248" s="15">
        <f>'[4]2025'!K248</f>
        <v>0</v>
      </c>
      <c r="M248" s="15">
        <f>'[4]2025'!L248</f>
        <v>0</v>
      </c>
      <c r="N248" s="16" t="str">
        <f t="shared" si="12"/>
        <v/>
      </c>
      <c r="O248" s="17" t="str">
        <f t="shared" si="13"/>
        <v/>
      </c>
      <c r="P248" s="17" t="str">
        <f t="shared" si="13"/>
        <v/>
      </c>
      <c r="Q248" s="18" t="str">
        <f t="shared" si="14"/>
        <v/>
      </c>
      <c r="R248" s="18" t="e">
        <f t="shared" si="15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19">
        <f>CHAMNORD!B249</f>
        <v>46266</v>
      </c>
      <c r="C249" s="75" t="str">
        <f>IF(H249=0,"",'[4]2025-2026'!C248)</f>
        <v/>
      </c>
      <c r="D249" s="68" t="str">
        <f>'[4]2025'!C249</f>
        <v/>
      </c>
      <c r="E249" s="68" t="str">
        <f>'[4]2025'!D249</f>
        <v/>
      </c>
      <c r="F249" s="12" t="str">
        <f>'[4]2025'!E249</f>
        <v/>
      </c>
      <c r="G249" s="73" t="str">
        <f>'[4]2025'!F249</f>
        <v/>
      </c>
      <c r="H249" s="42">
        <f>'[4]2025'!G249</f>
        <v>0</v>
      </c>
      <c r="I249" s="13">
        <f>'[4]2025'!H249</f>
        <v>0</v>
      </c>
      <c r="J249" s="14">
        <f>'[4]2025'!I249</f>
        <v>0</v>
      </c>
      <c r="K249" s="15">
        <f>'[4]2025'!J249</f>
        <v>0</v>
      </c>
      <c r="L249" s="15">
        <f>'[4]2025'!K249</f>
        <v>0</v>
      </c>
      <c r="M249" s="15">
        <f>'[4]2025'!L249</f>
        <v>0</v>
      </c>
      <c r="N249" s="16" t="str">
        <f t="shared" si="12"/>
        <v/>
      </c>
      <c r="O249" s="17" t="str">
        <f t="shared" si="13"/>
        <v/>
      </c>
      <c r="P249" s="17" t="str">
        <f t="shared" si="13"/>
        <v/>
      </c>
      <c r="Q249" s="18" t="str">
        <f t="shared" si="14"/>
        <v/>
      </c>
      <c r="R249" s="18" t="e">
        <f t="shared" si="15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19">
        <f>CHAMNORD!B250</f>
        <v>46267</v>
      </c>
      <c r="C250" s="75" t="str">
        <f>IF(H250=0,"",'[4]2025-2026'!C249)</f>
        <v/>
      </c>
      <c r="D250" s="68" t="str">
        <f>'[4]2025'!C250</f>
        <v/>
      </c>
      <c r="E250" s="68" t="str">
        <f>'[4]2025'!D250</f>
        <v/>
      </c>
      <c r="F250" s="12" t="str">
        <f>'[4]2025'!E250</f>
        <v/>
      </c>
      <c r="G250" s="73" t="str">
        <f>'[4]2025'!F250</f>
        <v/>
      </c>
      <c r="H250" s="42">
        <f>'[4]2025'!G250</f>
        <v>0</v>
      </c>
      <c r="I250" s="13">
        <f>'[4]2025'!H250</f>
        <v>0</v>
      </c>
      <c r="J250" s="14">
        <f>'[4]2025'!I250</f>
        <v>0</v>
      </c>
      <c r="K250" s="15">
        <f>'[4]2025'!J250</f>
        <v>0</v>
      </c>
      <c r="L250" s="15">
        <f>'[4]2025'!K250</f>
        <v>0</v>
      </c>
      <c r="M250" s="15">
        <f>'[4]2025'!L250</f>
        <v>0</v>
      </c>
      <c r="N250" s="16" t="str">
        <f t="shared" si="12"/>
        <v/>
      </c>
      <c r="O250" s="17" t="str">
        <f t="shared" si="13"/>
        <v/>
      </c>
      <c r="P250" s="17" t="str">
        <f t="shared" si="13"/>
        <v/>
      </c>
      <c r="Q250" s="18" t="str">
        <f t="shared" si="14"/>
        <v/>
      </c>
      <c r="R250" s="18" t="e">
        <f t="shared" si="15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19">
        <f>CHAMNORD!B251</f>
        <v>46268</v>
      </c>
      <c r="C251" s="75" t="str">
        <f>IF(H251=0,"",'[4]2025-2026'!C250)</f>
        <v/>
      </c>
      <c r="D251" s="68" t="str">
        <f>'[4]2025'!C251</f>
        <v/>
      </c>
      <c r="E251" s="68" t="str">
        <f>'[4]2025'!D251</f>
        <v/>
      </c>
      <c r="F251" s="12" t="str">
        <f>'[4]2025'!E251</f>
        <v/>
      </c>
      <c r="G251" s="73" t="str">
        <f>'[4]2025'!F251</f>
        <v/>
      </c>
      <c r="H251" s="42">
        <f>'[4]2025'!G251</f>
        <v>0</v>
      </c>
      <c r="I251" s="13">
        <f>'[4]2025'!H251</f>
        <v>0</v>
      </c>
      <c r="J251" s="14">
        <f>'[4]2025'!I251</f>
        <v>0</v>
      </c>
      <c r="K251" s="15">
        <f>'[4]2025'!J251</f>
        <v>0</v>
      </c>
      <c r="L251" s="15">
        <f>'[4]2025'!K251</f>
        <v>0</v>
      </c>
      <c r="M251" s="15">
        <f>'[4]2025'!L251</f>
        <v>0</v>
      </c>
      <c r="N251" s="16" t="str">
        <f t="shared" si="12"/>
        <v/>
      </c>
      <c r="O251" s="17" t="str">
        <f t="shared" si="13"/>
        <v/>
      </c>
      <c r="P251" s="17" t="str">
        <f t="shared" si="13"/>
        <v/>
      </c>
      <c r="Q251" s="18" t="str">
        <f t="shared" si="14"/>
        <v/>
      </c>
      <c r="R251" s="18" t="e">
        <f t="shared" si="15"/>
        <v>#DIV/0!</v>
      </c>
      <c r="S251" s="34"/>
      <c r="T251" s="29" t="s">
        <v>8</v>
      </c>
      <c r="U251" s="1738"/>
    </row>
    <row r="252" spans="1:21">
      <c r="A252" s="10" t="s">
        <v>14</v>
      </c>
      <c r="B252" s="19">
        <f>CHAMNORD!B252</f>
        <v>46269</v>
      </c>
      <c r="C252" s="75" t="str">
        <f>IF(H252=0,"",'[4]2025-2026'!C251)</f>
        <v/>
      </c>
      <c r="D252" s="68" t="str">
        <f>'[4]2025'!C252</f>
        <v/>
      </c>
      <c r="E252" s="68" t="str">
        <f>'[4]2025'!D252</f>
        <v/>
      </c>
      <c r="F252" s="12" t="str">
        <f>'[4]2025'!E252</f>
        <v/>
      </c>
      <c r="G252" s="73" t="str">
        <f>'[4]2025'!F252</f>
        <v/>
      </c>
      <c r="H252" s="42">
        <f>'[4]2025'!G252</f>
        <v>0</v>
      </c>
      <c r="I252" s="13">
        <f>'[4]2025'!H252</f>
        <v>0</v>
      </c>
      <c r="J252" s="14">
        <f>'[4]2025'!I252</f>
        <v>0</v>
      </c>
      <c r="K252" s="15">
        <f>'[4]2025'!J252</f>
        <v>0</v>
      </c>
      <c r="L252" s="15">
        <f>'[4]2025'!K252</f>
        <v>0</v>
      </c>
      <c r="M252" s="15">
        <f>'[4]2025'!L252</f>
        <v>0</v>
      </c>
      <c r="N252" s="16" t="str">
        <f t="shared" si="12"/>
        <v/>
      </c>
      <c r="O252" s="17" t="str">
        <f t="shared" si="13"/>
        <v/>
      </c>
      <c r="P252" s="17" t="str">
        <f t="shared" si="13"/>
        <v/>
      </c>
      <c r="Q252" s="18" t="str">
        <f t="shared" si="14"/>
        <v/>
      </c>
      <c r="R252" s="18" t="e">
        <f t="shared" si="15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19">
        <f>CHAMNORD!B253</f>
        <v>46270</v>
      </c>
      <c r="C253" s="75" t="str">
        <f>IF(H253=0,"",'[4]2025-2026'!C252)</f>
        <v/>
      </c>
      <c r="D253" s="68" t="str">
        <f>'[4]2025'!C253</f>
        <v/>
      </c>
      <c r="E253" s="68" t="str">
        <f>'[4]2025'!D253</f>
        <v/>
      </c>
      <c r="F253" s="12" t="str">
        <f>'[4]2025'!E253</f>
        <v/>
      </c>
      <c r="G253" s="73" t="str">
        <f>'[4]2025'!F253</f>
        <v/>
      </c>
      <c r="H253" s="42">
        <f>'[4]2025'!G253</f>
        <v>0</v>
      </c>
      <c r="I253" s="13">
        <f>'[4]2025'!H253</f>
        <v>0</v>
      </c>
      <c r="J253" s="14">
        <f>'[4]2025'!I253</f>
        <v>0</v>
      </c>
      <c r="K253" s="15">
        <f>'[4]2025'!J253</f>
        <v>0</v>
      </c>
      <c r="L253" s="15">
        <f>'[4]2025'!K253</f>
        <v>0</v>
      </c>
      <c r="M253" s="15">
        <f>'[4]2025'!L253</f>
        <v>0</v>
      </c>
      <c r="N253" s="16" t="str">
        <f t="shared" si="12"/>
        <v/>
      </c>
      <c r="O253" s="17" t="str">
        <f t="shared" si="13"/>
        <v/>
      </c>
      <c r="P253" s="17" t="str">
        <f t="shared" si="13"/>
        <v/>
      </c>
      <c r="Q253" s="18" t="str">
        <f t="shared" si="14"/>
        <v/>
      </c>
      <c r="R253" s="18" t="e">
        <f t="shared" si="15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19">
        <f>CHAMNORD!B254</f>
        <v>46271</v>
      </c>
      <c r="C254" s="75" t="str">
        <f>IF(H254=0,"",'[4]2025-2026'!C253)</f>
        <v/>
      </c>
      <c r="D254" s="68" t="str">
        <f>'[4]2025'!C254</f>
        <v/>
      </c>
      <c r="E254" s="68" t="str">
        <f>'[4]2025'!D254</f>
        <v/>
      </c>
      <c r="F254" s="12" t="str">
        <f>'[4]2025'!E254</f>
        <v/>
      </c>
      <c r="G254" s="73" t="str">
        <f>'[4]2025'!F254</f>
        <v/>
      </c>
      <c r="H254" s="42">
        <f>'[4]2025'!G254</f>
        <v>0</v>
      </c>
      <c r="I254" s="13">
        <f>'[4]2025'!H254</f>
        <v>0</v>
      </c>
      <c r="J254" s="14">
        <f>'[4]2025'!I254</f>
        <v>0</v>
      </c>
      <c r="K254" s="15">
        <f>'[4]2025'!J254</f>
        <v>0</v>
      </c>
      <c r="L254" s="15">
        <f>'[4]2025'!K254</f>
        <v>0</v>
      </c>
      <c r="M254" s="15">
        <f>'[4]2025'!L254</f>
        <v>0</v>
      </c>
      <c r="N254" s="16" t="str">
        <f t="shared" si="12"/>
        <v/>
      </c>
      <c r="O254" s="17" t="str">
        <f t="shared" si="13"/>
        <v/>
      </c>
      <c r="P254" s="17" t="str">
        <f t="shared" si="13"/>
        <v/>
      </c>
      <c r="Q254" s="18" t="str">
        <f t="shared" si="14"/>
        <v/>
      </c>
      <c r="R254" s="18" t="e">
        <f t="shared" si="15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19">
        <f>CHAMNORD!B255</f>
        <v>46272</v>
      </c>
      <c r="C255" s="75" t="str">
        <f>IF(H255=0,"",'[4]2025-2026'!C254)</f>
        <v/>
      </c>
      <c r="D255" s="68" t="str">
        <f>'[4]2025'!C255</f>
        <v/>
      </c>
      <c r="E255" s="68" t="str">
        <f>'[4]2025'!D255</f>
        <v/>
      </c>
      <c r="F255" s="12" t="str">
        <f>'[4]2025'!E255</f>
        <v/>
      </c>
      <c r="G255" s="73" t="str">
        <f>'[4]2025'!F255</f>
        <v/>
      </c>
      <c r="H255" s="42">
        <f>'[4]2025'!G255</f>
        <v>0</v>
      </c>
      <c r="I255" s="13">
        <f>'[4]2025'!H255</f>
        <v>0</v>
      </c>
      <c r="J255" s="14">
        <f>'[4]2025'!I255</f>
        <v>0</v>
      </c>
      <c r="K255" s="15">
        <f>'[4]2025'!J255</f>
        <v>0</v>
      </c>
      <c r="L255" s="15">
        <f>'[4]2025'!K255</f>
        <v>0</v>
      </c>
      <c r="M255" s="15">
        <f>'[4]2025'!L255</f>
        <v>0</v>
      </c>
      <c r="N255" s="16" t="str">
        <f t="shared" si="12"/>
        <v/>
      </c>
      <c r="O255" s="17" t="str">
        <f t="shared" si="13"/>
        <v/>
      </c>
      <c r="P255" s="17" t="str">
        <f t="shared" si="13"/>
        <v/>
      </c>
      <c r="Q255" s="18" t="str">
        <f t="shared" si="14"/>
        <v/>
      </c>
      <c r="R255" s="18" t="e">
        <f t="shared" si="15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19">
        <f>CHAMNORD!B256</f>
        <v>46273</v>
      </c>
      <c r="C256" s="75" t="str">
        <f>IF(H256=0,"",'[4]2025-2026'!C255)</f>
        <v/>
      </c>
      <c r="D256" s="68" t="str">
        <f>'[4]2025'!C256</f>
        <v/>
      </c>
      <c r="E256" s="68" t="str">
        <f>'[4]2025'!D256</f>
        <v/>
      </c>
      <c r="F256" s="12" t="str">
        <f>'[4]2025'!E256</f>
        <v/>
      </c>
      <c r="G256" s="73" t="str">
        <f>'[4]2025'!F256</f>
        <v/>
      </c>
      <c r="H256" s="42">
        <f>'[4]2025'!G256</f>
        <v>0</v>
      </c>
      <c r="I256" s="13">
        <f>'[4]2025'!H256</f>
        <v>0</v>
      </c>
      <c r="J256" s="14">
        <f>'[4]2025'!I256</f>
        <v>0</v>
      </c>
      <c r="K256" s="15">
        <f>'[4]2025'!J256</f>
        <v>0</v>
      </c>
      <c r="L256" s="15">
        <f>'[4]2025'!K256</f>
        <v>0</v>
      </c>
      <c r="M256" s="15">
        <f>'[4]2025'!L256</f>
        <v>0</v>
      </c>
      <c r="N256" s="16" t="str">
        <f t="shared" si="12"/>
        <v/>
      </c>
      <c r="O256" s="17" t="str">
        <f t="shared" si="13"/>
        <v/>
      </c>
      <c r="P256" s="17" t="str">
        <f t="shared" si="13"/>
        <v/>
      </c>
      <c r="Q256" s="18" t="str">
        <f t="shared" si="14"/>
        <v/>
      </c>
      <c r="R256" s="18" t="e">
        <f t="shared" si="15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19">
        <f>CHAMNORD!B257</f>
        <v>46274</v>
      </c>
      <c r="C257" s="75" t="str">
        <f>IF(H257=0,"",'[4]2025-2026'!C256)</f>
        <v/>
      </c>
      <c r="D257" s="68" t="str">
        <f>'[4]2025'!C257</f>
        <v/>
      </c>
      <c r="E257" s="68" t="str">
        <f>'[4]2025'!D257</f>
        <v/>
      </c>
      <c r="F257" s="12" t="str">
        <f>'[4]2025'!E257</f>
        <v/>
      </c>
      <c r="G257" s="73" t="str">
        <f>'[4]2025'!F257</f>
        <v/>
      </c>
      <c r="H257" s="42">
        <f>'[4]2025'!G257</f>
        <v>0</v>
      </c>
      <c r="I257" s="13">
        <f>'[4]2025'!H257</f>
        <v>0</v>
      </c>
      <c r="J257" s="14">
        <f>'[4]2025'!I257</f>
        <v>0</v>
      </c>
      <c r="K257" s="15">
        <f>'[4]2025'!J257</f>
        <v>0</v>
      </c>
      <c r="L257" s="15">
        <f>'[4]2025'!K257</f>
        <v>0</v>
      </c>
      <c r="M257" s="15">
        <f>'[4]2025'!L257</f>
        <v>0</v>
      </c>
      <c r="N257" s="16" t="str">
        <f t="shared" si="12"/>
        <v/>
      </c>
      <c r="O257" s="17" t="str">
        <f t="shared" si="13"/>
        <v/>
      </c>
      <c r="P257" s="17" t="str">
        <f t="shared" si="13"/>
        <v/>
      </c>
      <c r="Q257" s="18" t="str">
        <f t="shared" si="14"/>
        <v/>
      </c>
      <c r="R257" s="18" t="e">
        <f t="shared" si="15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19">
        <f>CHAMNORD!B258</f>
        <v>46275</v>
      </c>
      <c r="C258" s="75" t="str">
        <f>IF(H258=0,"",'[4]2025-2026'!C257)</f>
        <v/>
      </c>
      <c r="D258" s="68" t="str">
        <f>'[4]2025'!C258</f>
        <v/>
      </c>
      <c r="E258" s="68" t="str">
        <f>'[4]2025'!D258</f>
        <v/>
      </c>
      <c r="F258" s="12" t="str">
        <f>'[4]2025'!E258</f>
        <v/>
      </c>
      <c r="G258" s="73" t="str">
        <f>'[4]2025'!F258</f>
        <v/>
      </c>
      <c r="H258" s="42">
        <f>'[4]2025'!G258</f>
        <v>0</v>
      </c>
      <c r="I258" s="13">
        <f>'[4]2025'!H258</f>
        <v>0</v>
      </c>
      <c r="J258" s="14">
        <f>'[4]2025'!I258</f>
        <v>0</v>
      </c>
      <c r="K258" s="15">
        <f>'[4]2025'!J258</f>
        <v>0</v>
      </c>
      <c r="L258" s="15">
        <f>'[4]2025'!K258</f>
        <v>0</v>
      </c>
      <c r="M258" s="15">
        <f>'[4]2025'!L258</f>
        <v>0</v>
      </c>
      <c r="N258" s="16" t="str">
        <f t="shared" si="12"/>
        <v/>
      </c>
      <c r="O258" s="17" t="str">
        <f t="shared" si="13"/>
        <v/>
      </c>
      <c r="P258" s="17" t="str">
        <f t="shared" si="13"/>
        <v/>
      </c>
      <c r="Q258" s="18" t="str">
        <f t="shared" si="14"/>
        <v/>
      </c>
      <c r="R258" s="18" t="e">
        <f t="shared" si="15"/>
        <v>#DIV/0!</v>
      </c>
      <c r="S258" s="34"/>
      <c r="T258" s="29" t="s">
        <v>8</v>
      </c>
      <c r="U258" s="1738"/>
    </row>
    <row r="259" spans="1:21">
      <c r="A259" s="10" t="s">
        <v>14</v>
      </c>
      <c r="B259" s="19">
        <f>CHAMNORD!B259</f>
        <v>46276</v>
      </c>
      <c r="C259" s="75" t="str">
        <f>IF(H259=0,"",'[4]2025-2026'!C258)</f>
        <v/>
      </c>
      <c r="D259" s="68" t="str">
        <f>'[4]2025'!C259</f>
        <v/>
      </c>
      <c r="E259" s="68" t="str">
        <f>'[4]2025'!D259</f>
        <v/>
      </c>
      <c r="F259" s="12" t="str">
        <f>'[4]2025'!E259</f>
        <v/>
      </c>
      <c r="G259" s="73" t="str">
        <f>'[4]2025'!F259</f>
        <v/>
      </c>
      <c r="H259" s="42">
        <f>'[4]2025'!G259</f>
        <v>0</v>
      </c>
      <c r="I259" s="13">
        <f>'[4]2025'!H259</f>
        <v>0</v>
      </c>
      <c r="J259" s="14">
        <f>'[4]2025'!I259</f>
        <v>0</v>
      </c>
      <c r="K259" s="15">
        <f>'[4]2025'!J259</f>
        <v>0</v>
      </c>
      <c r="L259" s="15">
        <f>'[4]2025'!K259</f>
        <v>0</v>
      </c>
      <c r="M259" s="15">
        <f>'[4]2025'!L259</f>
        <v>0</v>
      </c>
      <c r="N259" s="16" t="str">
        <f t="shared" si="12"/>
        <v/>
      </c>
      <c r="O259" s="17" t="str">
        <f t="shared" si="13"/>
        <v/>
      </c>
      <c r="P259" s="17" t="str">
        <f t="shared" si="13"/>
        <v/>
      </c>
      <c r="Q259" s="18" t="str">
        <f t="shared" si="14"/>
        <v/>
      </c>
      <c r="R259" s="18" t="e">
        <f t="shared" si="15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19">
        <f>CHAMNORD!B260</f>
        <v>46277</v>
      </c>
      <c r="C260" s="75" t="str">
        <f>IF(H260=0,"",'[4]2025-2026'!C259)</f>
        <v/>
      </c>
      <c r="D260" s="68" t="str">
        <f>'[4]2025'!C260</f>
        <v/>
      </c>
      <c r="E260" s="68" t="str">
        <f>'[4]2025'!D260</f>
        <v/>
      </c>
      <c r="F260" s="12" t="str">
        <f>'[4]2025'!E260</f>
        <v/>
      </c>
      <c r="G260" s="73" t="str">
        <f>'[4]2025'!F260</f>
        <v/>
      </c>
      <c r="H260" s="42">
        <f>'[4]2025'!G260</f>
        <v>0</v>
      </c>
      <c r="I260" s="13">
        <f>'[4]2025'!H260</f>
        <v>0</v>
      </c>
      <c r="J260" s="14">
        <f>'[4]2025'!I260</f>
        <v>0</v>
      </c>
      <c r="K260" s="15">
        <f>'[4]2025'!J260</f>
        <v>0</v>
      </c>
      <c r="L260" s="15">
        <f>'[4]2025'!K260</f>
        <v>0</v>
      </c>
      <c r="M260" s="15">
        <f>'[4]2025'!L260</f>
        <v>0</v>
      </c>
      <c r="N260" s="16" t="str">
        <f t="shared" ref="N260:N323" si="16">IF(M260=0,"",M260/I260)</f>
        <v/>
      </c>
      <c r="O260" s="17" t="str">
        <f t="shared" ref="O260:P323" si="17">IF(I260=0,"",(I260-E260)/E260)</f>
        <v/>
      </c>
      <c r="P260" s="17" t="str">
        <f t="shared" si="17"/>
        <v/>
      </c>
      <c r="Q260" s="18" t="str">
        <f t="shared" ref="Q260:Q323" si="18">IF(I260=0,"",I260/K260)</f>
        <v/>
      </c>
      <c r="R260" s="18" t="e">
        <f t="shared" ref="R260:R323" si="19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19">
        <f>CHAMNORD!B261</f>
        <v>46278</v>
      </c>
      <c r="C261" s="75" t="str">
        <f>IF(H261=0,"",'[4]2025-2026'!C260)</f>
        <v/>
      </c>
      <c r="D261" s="68" t="str">
        <f>'[4]2025'!C261</f>
        <v/>
      </c>
      <c r="E261" s="68" t="str">
        <f>'[4]2025'!D261</f>
        <v/>
      </c>
      <c r="F261" s="12" t="str">
        <f>'[4]2025'!E261</f>
        <v/>
      </c>
      <c r="G261" s="73" t="str">
        <f>'[4]2025'!F261</f>
        <v/>
      </c>
      <c r="H261" s="42">
        <f>'[4]2025'!G261</f>
        <v>0</v>
      </c>
      <c r="I261" s="13">
        <f>'[4]2025'!H261</f>
        <v>0</v>
      </c>
      <c r="J261" s="14">
        <f>'[4]2025'!I261</f>
        <v>0</v>
      </c>
      <c r="K261" s="15">
        <f>'[4]2025'!J261</f>
        <v>0</v>
      </c>
      <c r="L261" s="15">
        <f>'[4]2025'!K261</f>
        <v>0</v>
      </c>
      <c r="M261" s="15">
        <f>'[4]2025'!L261</f>
        <v>0</v>
      </c>
      <c r="N261" s="16" t="str">
        <f t="shared" si="16"/>
        <v/>
      </c>
      <c r="O261" s="17" t="str">
        <f t="shared" si="17"/>
        <v/>
      </c>
      <c r="P261" s="17" t="str">
        <f t="shared" si="17"/>
        <v/>
      </c>
      <c r="Q261" s="18" t="str">
        <f t="shared" si="18"/>
        <v/>
      </c>
      <c r="R261" s="18" t="e">
        <f t="shared" si="19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19">
        <f>CHAMNORD!B262</f>
        <v>46279</v>
      </c>
      <c r="C262" s="75" t="str">
        <f>IF(H262=0,"",'[4]2025-2026'!C261)</f>
        <v/>
      </c>
      <c r="D262" s="68" t="str">
        <f>'[4]2025'!C262</f>
        <v/>
      </c>
      <c r="E262" s="68" t="str">
        <f>'[4]2025'!D262</f>
        <v/>
      </c>
      <c r="F262" s="12" t="str">
        <f>'[4]2025'!E262</f>
        <v/>
      </c>
      <c r="G262" s="73" t="str">
        <f>'[4]2025'!F262</f>
        <v/>
      </c>
      <c r="H262" s="42">
        <f>'[4]2025'!G262</f>
        <v>0</v>
      </c>
      <c r="I262" s="13">
        <f>'[4]2025'!H262</f>
        <v>0</v>
      </c>
      <c r="J262" s="14">
        <f>'[4]2025'!I262</f>
        <v>0</v>
      </c>
      <c r="K262" s="15">
        <f>'[4]2025'!J262</f>
        <v>0</v>
      </c>
      <c r="L262" s="15">
        <f>'[4]2025'!K262</f>
        <v>0</v>
      </c>
      <c r="M262" s="15">
        <f>'[4]2025'!L262</f>
        <v>0</v>
      </c>
      <c r="N262" s="16" t="str">
        <f t="shared" si="16"/>
        <v/>
      </c>
      <c r="O262" s="17" t="str">
        <f t="shared" si="17"/>
        <v/>
      </c>
      <c r="P262" s="17" t="str">
        <f t="shared" si="17"/>
        <v/>
      </c>
      <c r="Q262" s="18" t="str">
        <f t="shared" si="18"/>
        <v/>
      </c>
      <c r="R262" s="18" t="e">
        <f t="shared" si="19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19">
        <f>CHAMNORD!B263</f>
        <v>46280</v>
      </c>
      <c r="C263" s="75" t="str">
        <f>IF(H263=0,"",'[4]2025-2026'!C262)</f>
        <v/>
      </c>
      <c r="D263" s="68" t="str">
        <f>'[4]2025'!C263</f>
        <v/>
      </c>
      <c r="E263" s="68" t="str">
        <f>'[4]2025'!D263</f>
        <v/>
      </c>
      <c r="F263" s="12" t="str">
        <f>'[4]2025'!E263</f>
        <v/>
      </c>
      <c r="G263" s="73" t="str">
        <f>'[4]2025'!F263</f>
        <v/>
      </c>
      <c r="H263" s="42">
        <f>'[4]2025'!G263</f>
        <v>0</v>
      </c>
      <c r="I263" s="13">
        <f>'[4]2025'!H263</f>
        <v>0</v>
      </c>
      <c r="J263" s="14">
        <f>'[4]2025'!I263</f>
        <v>0</v>
      </c>
      <c r="K263" s="15">
        <f>'[4]2025'!J263</f>
        <v>0</v>
      </c>
      <c r="L263" s="15">
        <f>'[4]2025'!K263</f>
        <v>0</v>
      </c>
      <c r="M263" s="15">
        <f>'[4]2025'!L263</f>
        <v>0</v>
      </c>
      <c r="N263" s="16" t="str">
        <f t="shared" si="16"/>
        <v/>
      </c>
      <c r="O263" s="17" t="str">
        <f t="shared" si="17"/>
        <v/>
      </c>
      <c r="P263" s="17" t="str">
        <f t="shared" si="17"/>
        <v/>
      </c>
      <c r="Q263" s="18" t="str">
        <f t="shared" si="18"/>
        <v/>
      </c>
      <c r="R263" s="18" t="e">
        <f t="shared" si="19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19">
        <f>CHAMNORD!B264</f>
        <v>46281</v>
      </c>
      <c r="C264" s="75" t="str">
        <f>IF(H264=0,"",'[4]2025-2026'!C263)</f>
        <v/>
      </c>
      <c r="D264" s="68" t="str">
        <f>'[4]2025'!C264</f>
        <v/>
      </c>
      <c r="E264" s="68" t="str">
        <f>'[4]2025'!D264</f>
        <v/>
      </c>
      <c r="F264" s="12" t="str">
        <f>'[4]2025'!E264</f>
        <v/>
      </c>
      <c r="G264" s="73" t="str">
        <f>'[4]2025'!F264</f>
        <v/>
      </c>
      <c r="H264" s="42">
        <f>'[4]2025'!G264</f>
        <v>0</v>
      </c>
      <c r="I264" s="13">
        <f>'[4]2025'!H264</f>
        <v>0</v>
      </c>
      <c r="J264" s="14">
        <f>'[4]2025'!I264</f>
        <v>0</v>
      </c>
      <c r="K264" s="15">
        <f>'[4]2025'!J264</f>
        <v>0</v>
      </c>
      <c r="L264" s="15">
        <f>'[4]2025'!K264</f>
        <v>0</v>
      </c>
      <c r="M264" s="15">
        <f>'[4]2025'!L264</f>
        <v>0</v>
      </c>
      <c r="N264" s="16" t="str">
        <f t="shared" si="16"/>
        <v/>
      </c>
      <c r="O264" s="17" t="str">
        <f t="shared" si="17"/>
        <v/>
      </c>
      <c r="P264" s="17" t="str">
        <f t="shared" si="17"/>
        <v/>
      </c>
      <c r="Q264" s="18" t="str">
        <f t="shared" si="18"/>
        <v/>
      </c>
      <c r="R264" s="18" t="e">
        <f t="shared" si="19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19">
        <f>CHAMNORD!B265</f>
        <v>46282</v>
      </c>
      <c r="C265" s="75" t="str">
        <f>IF(H265=0,"",'[4]2025-2026'!C264)</f>
        <v/>
      </c>
      <c r="D265" s="68" t="str">
        <f>'[4]2025'!C265</f>
        <v/>
      </c>
      <c r="E265" s="68" t="str">
        <f>'[4]2025'!D265</f>
        <v/>
      </c>
      <c r="F265" s="12" t="str">
        <f>'[4]2025'!E265</f>
        <v/>
      </c>
      <c r="G265" s="73" t="str">
        <f>'[4]2025'!F265</f>
        <v/>
      </c>
      <c r="H265" s="42">
        <f>'[4]2025'!G265</f>
        <v>0</v>
      </c>
      <c r="I265" s="13">
        <f>'[4]2025'!H265</f>
        <v>0</v>
      </c>
      <c r="J265" s="14">
        <f>'[4]2025'!I265</f>
        <v>0</v>
      </c>
      <c r="K265" s="15">
        <f>'[4]2025'!J265</f>
        <v>0</v>
      </c>
      <c r="L265" s="15">
        <f>'[4]2025'!K265</f>
        <v>0</v>
      </c>
      <c r="M265" s="15">
        <f>'[4]2025'!L265</f>
        <v>0</v>
      </c>
      <c r="N265" s="16" t="str">
        <f t="shared" si="16"/>
        <v/>
      </c>
      <c r="O265" s="17" t="str">
        <f t="shared" si="17"/>
        <v/>
      </c>
      <c r="P265" s="17" t="str">
        <f t="shared" si="17"/>
        <v/>
      </c>
      <c r="Q265" s="18" t="str">
        <f t="shared" si="18"/>
        <v/>
      </c>
      <c r="R265" s="18" t="e">
        <f t="shared" si="19"/>
        <v>#DIV/0!</v>
      </c>
      <c r="S265" s="34"/>
      <c r="T265" s="29" t="s">
        <v>8</v>
      </c>
      <c r="U265" s="1738"/>
    </row>
    <row r="266" spans="1:21">
      <c r="A266" s="10" t="s">
        <v>14</v>
      </c>
      <c r="B266" s="19">
        <f>CHAMNORD!B266</f>
        <v>46283</v>
      </c>
      <c r="C266" s="75" t="str">
        <f>IF(H266=0,"",'[4]2025-2026'!C265)</f>
        <v/>
      </c>
      <c r="D266" s="68" t="str">
        <f>'[4]2025'!C266</f>
        <v/>
      </c>
      <c r="E266" s="68" t="str">
        <f>'[4]2025'!D266</f>
        <v/>
      </c>
      <c r="F266" s="12" t="str">
        <f>'[4]2025'!E266</f>
        <v/>
      </c>
      <c r="G266" s="73" t="str">
        <f>'[4]2025'!F266</f>
        <v/>
      </c>
      <c r="H266" s="42">
        <f>'[4]2025'!G266</f>
        <v>0</v>
      </c>
      <c r="I266" s="13">
        <f>'[4]2025'!H266</f>
        <v>0</v>
      </c>
      <c r="J266" s="14">
        <f>'[4]2025'!I266</f>
        <v>0</v>
      </c>
      <c r="K266" s="15">
        <f>'[4]2025'!J266</f>
        <v>0</v>
      </c>
      <c r="L266" s="15">
        <f>'[4]2025'!K266</f>
        <v>0</v>
      </c>
      <c r="M266" s="15">
        <f>'[4]2025'!L266</f>
        <v>0</v>
      </c>
      <c r="N266" s="16" t="str">
        <f t="shared" si="16"/>
        <v/>
      </c>
      <c r="O266" s="17" t="str">
        <f t="shared" si="17"/>
        <v/>
      </c>
      <c r="P266" s="17" t="str">
        <f t="shared" si="17"/>
        <v/>
      </c>
      <c r="Q266" s="18" t="str">
        <f t="shared" si="18"/>
        <v/>
      </c>
      <c r="R266" s="18" t="e">
        <f t="shared" si="19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19">
        <f>CHAMNORD!B267</f>
        <v>46284</v>
      </c>
      <c r="C267" s="75" t="str">
        <f>IF(H267=0,"",'[4]2025-2026'!C266)</f>
        <v/>
      </c>
      <c r="D267" s="68" t="str">
        <f>'[4]2025'!C267</f>
        <v/>
      </c>
      <c r="E267" s="68" t="str">
        <f>'[4]2025'!D267</f>
        <v/>
      </c>
      <c r="F267" s="12" t="str">
        <f>'[4]2025'!E267</f>
        <v/>
      </c>
      <c r="G267" s="73" t="str">
        <f>'[4]2025'!F267</f>
        <v/>
      </c>
      <c r="H267" s="42">
        <f>'[4]2025'!G267</f>
        <v>0</v>
      </c>
      <c r="I267" s="13">
        <f>'[4]2025'!H267</f>
        <v>0</v>
      </c>
      <c r="J267" s="14">
        <f>'[4]2025'!I267</f>
        <v>0</v>
      </c>
      <c r="K267" s="15">
        <f>'[4]2025'!J267</f>
        <v>0</v>
      </c>
      <c r="L267" s="15">
        <f>'[4]2025'!K267</f>
        <v>0</v>
      </c>
      <c r="M267" s="15">
        <f>'[4]2025'!L267</f>
        <v>0</v>
      </c>
      <c r="N267" s="16" t="str">
        <f t="shared" si="16"/>
        <v/>
      </c>
      <c r="O267" s="17" t="str">
        <f t="shared" si="17"/>
        <v/>
      </c>
      <c r="P267" s="17" t="str">
        <f t="shared" si="17"/>
        <v/>
      </c>
      <c r="Q267" s="18" t="str">
        <f t="shared" si="18"/>
        <v/>
      </c>
      <c r="R267" s="18" t="e">
        <f t="shared" si="19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19">
        <f>CHAMNORD!B268</f>
        <v>46285</v>
      </c>
      <c r="C268" s="75" t="str">
        <f>IF(H268=0,"",'[4]2025-2026'!C267)</f>
        <v/>
      </c>
      <c r="D268" s="68" t="str">
        <f>'[4]2025'!C268</f>
        <v/>
      </c>
      <c r="E268" s="68" t="str">
        <f>'[4]2025'!D268</f>
        <v/>
      </c>
      <c r="F268" s="12" t="str">
        <f>'[4]2025'!E268</f>
        <v/>
      </c>
      <c r="G268" s="73" t="str">
        <f>'[4]2025'!F268</f>
        <v/>
      </c>
      <c r="H268" s="42">
        <f>'[4]2025'!G268</f>
        <v>0</v>
      </c>
      <c r="I268" s="13">
        <f>'[4]2025'!H268</f>
        <v>0</v>
      </c>
      <c r="J268" s="14">
        <f>'[4]2025'!I268</f>
        <v>0</v>
      </c>
      <c r="K268" s="15">
        <f>'[4]2025'!J268</f>
        <v>0</v>
      </c>
      <c r="L268" s="15">
        <f>'[4]2025'!K268</f>
        <v>0</v>
      </c>
      <c r="M268" s="15">
        <f>'[4]2025'!L268</f>
        <v>0</v>
      </c>
      <c r="N268" s="16" t="str">
        <f t="shared" si="16"/>
        <v/>
      </c>
      <c r="O268" s="17" t="str">
        <f t="shared" si="17"/>
        <v/>
      </c>
      <c r="P268" s="17" t="str">
        <f t="shared" si="17"/>
        <v/>
      </c>
      <c r="Q268" s="18" t="str">
        <f t="shared" si="18"/>
        <v/>
      </c>
      <c r="R268" s="18" t="e">
        <f t="shared" si="19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19">
        <f>CHAMNORD!B269</f>
        <v>46286</v>
      </c>
      <c r="C269" s="75" t="str">
        <f>IF(H269=0,"",'[4]2025-2026'!C268)</f>
        <v/>
      </c>
      <c r="D269" s="68" t="str">
        <f>'[4]2025'!C269</f>
        <v/>
      </c>
      <c r="E269" s="68" t="str">
        <f>'[4]2025'!D269</f>
        <v/>
      </c>
      <c r="F269" s="12" t="str">
        <f>'[4]2025'!E269</f>
        <v/>
      </c>
      <c r="G269" s="73" t="str">
        <f>'[4]2025'!F269</f>
        <v/>
      </c>
      <c r="H269" s="42">
        <f>'[4]2025'!G269</f>
        <v>0</v>
      </c>
      <c r="I269" s="13">
        <f>'[4]2025'!H269</f>
        <v>0</v>
      </c>
      <c r="J269" s="14">
        <f>'[4]2025'!I269</f>
        <v>0</v>
      </c>
      <c r="K269" s="15">
        <f>'[4]2025'!J269</f>
        <v>0</v>
      </c>
      <c r="L269" s="15">
        <f>'[4]2025'!K269</f>
        <v>0</v>
      </c>
      <c r="M269" s="15">
        <f>'[4]2025'!L269</f>
        <v>0</v>
      </c>
      <c r="N269" s="16" t="str">
        <f t="shared" si="16"/>
        <v/>
      </c>
      <c r="O269" s="17" t="str">
        <f t="shared" si="17"/>
        <v/>
      </c>
      <c r="P269" s="17" t="str">
        <f t="shared" si="17"/>
        <v/>
      </c>
      <c r="Q269" s="18" t="str">
        <f t="shared" si="18"/>
        <v/>
      </c>
      <c r="R269" s="18" t="e">
        <f t="shared" si="19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19">
        <f>CHAMNORD!B270</f>
        <v>46287</v>
      </c>
      <c r="C270" s="75" t="str">
        <f>IF(H270=0,"",'[4]2025-2026'!C269)</f>
        <v/>
      </c>
      <c r="D270" s="68" t="str">
        <f>'[4]2025'!C270</f>
        <v/>
      </c>
      <c r="E270" s="68" t="str">
        <f>'[4]2025'!D270</f>
        <v/>
      </c>
      <c r="F270" s="12" t="str">
        <f>'[4]2025'!E270</f>
        <v/>
      </c>
      <c r="G270" s="73" t="str">
        <f>'[4]2025'!F270</f>
        <v/>
      </c>
      <c r="H270" s="42">
        <f>'[4]2025'!G270</f>
        <v>0</v>
      </c>
      <c r="I270" s="13">
        <f>'[4]2025'!H270</f>
        <v>0</v>
      </c>
      <c r="J270" s="14">
        <f>'[4]2025'!I270</f>
        <v>0</v>
      </c>
      <c r="K270" s="15">
        <f>'[4]2025'!J270</f>
        <v>0</v>
      </c>
      <c r="L270" s="15">
        <f>'[4]2025'!K270</f>
        <v>0</v>
      </c>
      <c r="M270" s="15">
        <f>'[4]2025'!L270</f>
        <v>0</v>
      </c>
      <c r="N270" s="16" t="str">
        <f t="shared" si="16"/>
        <v/>
      </c>
      <c r="O270" s="17" t="str">
        <f t="shared" si="17"/>
        <v/>
      </c>
      <c r="P270" s="17" t="str">
        <f t="shared" si="17"/>
        <v/>
      </c>
      <c r="Q270" s="18" t="str">
        <f t="shared" si="18"/>
        <v/>
      </c>
      <c r="R270" s="18" t="e">
        <f t="shared" si="19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19">
        <f>CHAMNORD!B271</f>
        <v>46288</v>
      </c>
      <c r="C271" s="75" t="str">
        <f>IF(H271=0,"",'[4]2025-2026'!C270)</f>
        <v/>
      </c>
      <c r="D271" s="68" t="str">
        <f>'[4]2025'!C271</f>
        <v/>
      </c>
      <c r="E271" s="68" t="str">
        <f>'[4]2025'!D271</f>
        <v/>
      </c>
      <c r="F271" s="12" t="str">
        <f>'[4]2025'!E271</f>
        <v/>
      </c>
      <c r="G271" s="73" t="str">
        <f>'[4]2025'!F271</f>
        <v/>
      </c>
      <c r="H271" s="42">
        <f>'[4]2025'!G271</f>
        <v>0</v>
      </c>
      <c r="I271" s="13">
        <f>'[4]2025'!H271</f>
        <v>0</v>
      </c>
      <c r="J271" s="14">
        <f>'[4]2025'!I271</f>
        <v>0</v>
      </c>
      <c r="K271" s="15">
        <f>'[4]2025'!J271</f>
        <v>0</v>
      </c>
      <c r="L271" s="15">
        <f>'[4]2025'!K271</f>
        <v>0</v>
      </c>
      <c r="M271" s="15">
        <f>'[4]2025'!L271</f>
        <v>0</v>
      </c>
      <c r="N271" s="16" t="str">
        <f t="shared" si="16"/>
        <v/>
      </c>
      <c r="O271" s="17" t="str">
        <f t="shared" si="17"/>
        <v/>
      </c>
      <c r="P271" s="17" t="str">
        <f t="shared" si="17"/>
        <v/>
      </c>
      <c r="Q271" s="18" t="str">
        <f t="shared" si="18"/>
        <v/>
      </c>
      <c r="R271" s="18" t="e">
        <f t="shared" si="19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19">
        <f>CHAMNORD!B272</f>
        <v>46289</v>
      </c>
      <c r="C272" s="75" t="str">
        <f>IF(H272=0,"",'[4]2025-2026'!C271)</f>
        <v/>
      </c>
      <c r="D272" s="68" t="str">
        <f>'[4]2025'!C272</f>
        <v/>
      </c>
      <c r="E272" s="68" t="str">
        <f>'[4]2025'!D272</f>
        <v/>
      </c>
      <c r="F272" s="12" t="str">
        <f>'[4]2025'!E272</f>
        <v/>
      </c>
      <c r="G272" s="73" t="str">
        <f>'[4]2025'!F272</f>
        <v/>
      </c>
      <c r="H272" s="42">
        <f>'[4]2025'!G272</f>
        <v>0</v>
      </c>
      <c r="I272" s="13">
        <f>'[4]2025'!H272</f>
        <v>0</v>
      </c>
      <c r="J272" s="14">
        <f>'[4]2025'!I272</f>
        <v>0</v>
      </c>
      <c r="K272" s="15">
        <f>'[4]2025'!J272</f>
        <v>0</v>
      </c>
      <c r="L272" s="15">
        <f>'[4]2025'!K272</f>
        <v>0</v>
      </c>
      <c r="M272" s="15">
        <f>'[4]2025'!L272</f>
        <v>0</v>
      </c>
      <c r="N272" s="16" t="str">
        <f t="shared" si="16"/>
        <v/>
      </c>
      <c r="O272" s="17" t="str">
        <f t="shared" si="17"/>
        <v/>
      </c>
      <c r="P272" s="17" t="str">
        <f t="shared" si="17"/>
        <v/>
      </c>
      <c r="Q272" s="18" t="str">
        <f t="shared" si="18"/>
        <v/>
      </c>
      <c r="R272" s="18" t="e">
        <f t="shared" si="19"/>
        <v>#DIV/0!</v>
      </c>
      <c r="S272" s="34"/>
      <c r="T272" s="29" t="s">
        <v>8</v>
      </c>
      <c r="U272" s="1738"/>
    </row>
    <row r="273" spans="1:22">
      <c r="A273" s="10" t="s">
        <v>14</v>
      </c>
      <c r="B273" s="19">
        <f>CHAMNORD!B273</f>
        <v>46290</v>
      </c>
      <c r="C273" s="75" t="str">
        <f>IF(H273=0,"",'[4]2025-2026'!C272)</f>
        <v/>
      </c>
      <c r="D273" s="68" t="str">
        <f>'[4]2025'!C273</f>
        <v/>
      </c>
      <c r="E273" s="68" t="str">
        <f>'[4]2025'!D273</f>
        <v/>
      </c>
      <c r="F273" s="12" t="str">
        <f>'[4]2025'!E273</f>
        <v/>
      </c>
      <c r="G273" s="73" t="str">
        <f>'[4]2025'!F273</f>
        <v/>
      </c>
      <c r="H273" s="42">
        <f>'[4]2025'!G273</f>
        <v>0</v>
      </c>
      <c r="I273" s="13">
        <f>'[4]2025'!H273</f>
        <v>0</v>
      </c>
      <c r="J273" s="14">
        <f>'[4]2025'!I273</f>
        <v>0</v>
      </c>
      <c r="K273" s="15">
        <f>'[4]2025'!J273</f>
        <v>0</v>
      </c>
      <c r="L273" s="15">
        <f>'[4]2025'!K273</f>
        <v>0</v>
      </c>
      <c r="M273" s="15">
        <f>'[4]2025'!L273</f>
        <v>0</v>
      </c>
      <c r="N273" s="16" t="str">
        <f t="shared" si="16"/>
        <v/>
      </c>
      <c r="O273" s="17" t="str">
        <f t="shared" si="17"/>
        <v/>
      </c>
      <c r="P273" s="17" t="str">
        <f t="shared" si="17"/>
        <v/>
      </c>
      <c r="Q273" s="18" t="str">
        <f t="shared" si="18"/>
        <v/>
      </c>
      <c r="R273" s="18" t="e">
        <f t="shared" si="19"/>
        <v>#DIV/0!</v>
      </c>
      <c r="S273" s="36" t="s">
        <v>40</v>
      </c>
      <c r="T273" s="48" t="e">
        <f>SUM(I269:I275)/SUM(L269:L275)</f>
        <v>#DIV/0!</v>
      </c>
      <c r="U273" s="1738"/>
    </row>
    <row r="274" spans="1:22">
      <c r="A274" s="10" t="s">
        <v>15</v>
      </c>
      <c r="B274" s="19">
        <f>CHAMNORD!B274</f>
        <v>46291</v>
      </c>
      <c r="C274" s="75" t="str">
        <f>IF(H274=0,"",'[4]2025-2026'!C273)</f>
        <v/>
      </c>
      <c r="D274" s="68" t="str">
        <f>'[4]2025'!C274</f>
        <v/>
      </c>
      <c r="E274" s="68" t="str">
        <f>'[4]2025'!D274</f>
        <v/>
      </c>
      <c r="F274" s="12" t="str">
        <f>'[4]2025'!E274</f>
        <v/>
      </c>
      <c r="G274" s="73" t="str">
        <f>'[4]2025'!F274</f>
        <v/>
      </c>
      <c r="H274" s="42">
        <f>'[4]2025'!G274</f>
        <v>0</v>
      </c>
      <c r="I274" s="13">
        <f>'[4]2025'!H274</f>
        <v>0</v>
      </c>
      <c r="J274" s="14">
        <f>'[4]2025'!I274</f>
        <v>0</v>
      </c>
      <c r="K274" s="15">
        <f>'[4]2025'!J274</f>
        <v>0</v>
      </c>
      <c r="L274" s="15">
        <f>'[4]2025'!K274</f>
        <v>0</v>
      </c>
      <c r="M274" s="15">
        <f>'[4]2025'!L274</f>
        <v>0</v>
      </c>
      <c r="N274" s="16" t="str">
        <f t="shared" si="16"/>
        <v/>
      </c>
      <c r="O274" s="17" t="str">
        <f t="shared" si="17"/>
        <v/>
      </c>
      <c r="P274" s="17" t="str">
        <f t="shared" si="17"/>
        <v/>
      </c>
      <c r="Q274" s="18" t="str">
        <f t="shared" si="18"/>
        <v/>
      </c>
      <c r="R274" s="18" t="e">
        <f t="shared" si="19"/>
        <v>#DIV/0!</v>
      </c>
      <c r="S274" s="36">
        <f>SUM(J269:J275)</f>
        <v>0</v>
      </c>
      <c r="T274" s="30" t="s">
        <v>3</v>
      </c>
      <c r="U274" s="1738"/>
    </row>
    <row r="275" spans="1:22" ht="18" thickBot="1">
      <c r="A275" s="10" t="s">
        <v>16</v>
      </c>
      <c r="B275" s="19">
        <f>CHAMNORD!B275</f>
        <v>46292</v>
      </c>
      <c r="C275" s="75" t="str">
        <f>IF(H275=0,"",'[4]2025-2026'!C274)</f>
        <v/>
      </c>
      <c r="D275" s="68" t="str">
        <f>'[4]2025'!C275</f>
        <v/>
      </c>
      <c r="E275" s="68" t="str">
        <f>'[4]2025'!D275</f>
        <v/>
      </c>
      <c r="F275" s="12" t="str">
        <f>'[4]2025'!E275</f>
        <v/>
      </c>
      <c r="G275" s="73" t="str">
        <f>'[4]2025'!F275</f>
        <v/>
      </c>
      <c r="H275" s="42">
        <f>'[4]2025'!G275</f>
        <v>0</v>
      </c>
      <c r="I275" s="13">
        <f>'[4]2025'!H275</f>
        <v>0</v>
      </c>
      <c r="J275" s="14">
        <f>'[4]2025'!I275</f>
        <v>0</v>
      </c>
      <c r="K275" s="15">
        <f>'[4]2025'!J275</f>
        <v>0</v>
      </c>
      <c r="L275" s="15">
        <f>'[4]2025'!K275</f>
        <v>0</v>
      </c>
      <c r="M275" s="15">
        <f>'[4]2025'!L275</f>
        <v>0</v>
      </c>
      <c r="N275" s="16" t="str">
        <f t="shared" si="16"/>
        <v/>
      </c>
      <c r="O275" s="17" t="str">
        <f t="shared" si="17"/>
        <v/>
      </c>
      <c r="P275" s="17" t="str">
        <f t="shared" si="17"/>
        <v/>
      </c>
      <c r="Q275" s="18" t="str">
        <f t="shared" si="18"/>
        <v/>
      </c>
      <c r="R275" s="18" t="e">
        <f t="shared" si="19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2" ht="17" customHeight="1" thickTop="1">
      <c r="A276" s="10" t="s">
        <v>9</v>
      </c>
      <c r="B276" s="19">
        <f>CHAMNORD!B276</f>
        <v>46293</v>
      </c>
      <c r="C276" s="75" t="str">
        <f>IF(H276=0,"",'[4]2025-2026'!C275)</f>
        <v/>
      </c>
      <c r="D276" s="68" t="str">
        <f>'[4]2025'!C276</f>
        <v/>
      </c>
      <c r="E276" s="68" t="str">
        <f>'[4]2025'!D276</f>
        <v/>
      </c>
      <c r="F276" s="12" t="str">
        <f>'[4]2025'!E276</f>
        <v/>
      </c>
      <c r="G276" s="73" t="str">
        <f>'[4]2025'!F276</f>
        <v/>
      </c>
      <c r="H276" s="42">
        <f>'[4]2025'!G276</f>
        <v>0</v>
      </c>
      <c r="I276" s="13">
        <f>'[4]2025'!H276</f>
        <v>0</v>
      </c>
      <c r="J276" s="14">
        <f>'[4]2025'!I276</f>
        <v>0</v>
      </c>
      <c r="K276" s="15">
        <f>'[4]2025'!J276</f>
        <v>0</v>
      </c>
      <c r="L276" s="15">
        <f>'[4]2025'!K276</f>
        <v>0</v>
      </c>
      <c r="M276" s="15">
        <f>'[4]2025'!L276</f>
        <v>0</v>
      </c>
      <c r="N276" s="16" t="str">
        <f t="shared" si="16"/>
        <v/>
      </c>
      <c r="O276" s="17" t="str">
        <f t="shared" si="17"/>
        <v/>
      </c>
      <c r="P276" s="17" t="str">
        <f t="shared" si="17"/>
        <v/>
      </c>
      <c r="Q276" s="18" t="str">
        <f t="shared" si="18"/>
        <v/>
      </c>
      <c r="R276" s="18" t="e">
        <f t="shared" si="19"/>
        <v>#DIV/0!</v>
      </c>
      <c r="S276" s="33" t="s">
        <v>39</v>
      </c>
      <c r="T276" s="31" t="s">
        <v>42</v>
      </c>
      <c r="U276" s="1737" t="s">
        <v>122</v>
      </c>
      <c r="V276" s="1742" t="s">
        <v>299</v>
      </c>
    </row>
    <row r="277" spans="1:22">
      <c r="A277" s="10" t="s">
        <v>11</v>
      </c>
      <c r="B277" s="19">
        <f>CHAMNORD!B277</f>
        <v>46294</v>
      </c>
      <c r="C277" s="75" t="str">
        <f>IF(H277=0,"",'[4]2025-2026'!C276)</f>
        <v/>
      </c>
      <c r="D277" s="68" t="str">
        <f>'[4]2025'!C277</f>
        <v/>
      </c>
      <c r="E277" s="68" t="str">
        <f>'[4]2025'!D277</f>
        <v/>
      </c>
      <c r="F277" s="12" t="str">
        <f>'[4]2025'!E277</f>
        <v/>
      </c>
      <c r="G277" s="73" t="str">
        <f>'[4]2025'!F277</f>
        <v/>
      </c>
      <c r="H277" s="42">
        <f>'[4]2025'!G277</f>
        <v>0</v>
      </c>
      <c r="I277" s="13">
        <f>'[4]2025'!H277</f>
        <v>0</v>
      </c>
      <c r="J277" s="14">
        <f>'[4]2025'!I277</f>
        <v>0</v>
      </c>
      <c r="K277" s="15">
        <f>'[4]2025'!J277</f>
        <v>0</v>
      </c>
      <c r="L277" s="15">
        <f>'[4]2025'!K277</f>
        <v>0</v>
      </c>
      <c r="M277" s="15">
        <f>'[4]2025'!L277</f>
        <v>0</v>
      </c>
      <c r="N277" s="16" t="str">
        <f t="shared" si="16"/>
        <v/>
      </c>
      <c r="O277" s="17" t="str">
        <f t="shared" si="17"/>
        <v/>
      </c>
      <c r="P277" s="17" t="str">
        <f t="shared" si="17"/>
        <v/>
      </c>
      <c r="Q277" s="18" t="str">
        <f t="shared" si="18"/>
        <v/>
      </c>
      <c r="R277" s="18" t="e">
        <f t="shared" si="19"/>
        <v>#DIV/0!</v>
      </c>
      <c r="S277" s="34">
        <f>SUM(I276:I282)</f>
        <v>0</v>
      </c>
      <c r="T277" s="45" t="s">
        <v>41</v>
      </c>
      <c r="U277" s="1738"/>
      <c r="V277" s="1742"/>
    </row>
    <row r="278" spans="1:22">
      <c r="A278" s="10" t="s">
        <v>12</v>
      </c>
      <c r="B278" s="19">
        <f>CHAMNORD!B278</f>
        <v>46295</v>
      </c>
      <c r="C278" s="75" t="str">
        <f>IF(H278=0,"",'[4]2025-2026'!C277)</f>
        <v/>
      </c>
      <c r="D278" s="68" t="str">
        <f>'[4]2025'!C278</f>
        <v/>
      </c>
      <c r="E278" s="68" t="str">
        <f>'[4]2025'!D278</f>
        <v/>
      </c>
      <c r="F278" s="12" t="str">
        <f>'[4]2025'!E278</f>
        <v/>
      </c>
      <c r="G278" s="73" t="str">
        <f>'[4]2025'!F278</f>
        <v/>
      </c>
      <c r="H278" s="42">
        <f>'[4]2025'!G278</f>
        <v>0</v>
      </c>
      <c r="I278" s="13">
        <f>'[4]2025'!H278</f>
        <v>0</v>
      </c>
      <c r="J278" s="14">
        <f>'[4]2025'!I278</f>
        <v>0</v>
      </c>
      <c r="K278" s="15">
        <f>'[4]2025'!J278</f>
        <v>0</v>
      </c>
      <c r="L278" s="15">
        <f>'[4]2025'!K278</f>
        <v>0</v>
      </c>
      <c r="M278" s="15">
        <f>'[4]2025'!L278</f>
        <v>0</v>
      </c>
      <c r="N278" s="16" t="str">
        <f t="shared" si="16"/>
        <v/>
      </c>
      <c r="O278" s="17" t="str">
        <f t="shared" si="17"/>
        <v/>
      </c>
      <c r="P278" s="17" t="str">
        <f t="shared" si="17"/>
        <v/>
      </c>
      <c r="Q278" s="18" t="str">
        <f t="shared" si="18"/>
        <v/>
      </c>
      <c r="R278" s="18" t="e">
        <f t="shared" si="19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  <c r="V278" s="1742"/>
    </row>
    <row r="279" spans="1:22">
      <c r="A279" s="10" t="s">
        <v>13</v>
      </c>
      <c r="B279" s="19">
        <f>CHAMNORD!B279</f>
        <v>46296</v>
      </c>
      <c r="C279" s="75" t="str">
        <f>IF(H279=0,"",'[4]2025-2026'!C278)</f>
        <v/>
      </c>
      <c r="D279" s="68" t="str">
        <f>'[4]2025'!C279</f>
        <v/>
      </c>
      <c r="E279" s="68" t="str">
        <f>'[4]2025'!D279</f>
        <v/>
      </c>
      <c r="F279" s="12" t="str">
        <f>'[4]2025'!E279</f>
        <v/>
      </c>
      <c r="G279" s="73" t="str">
        <f>'[4]2025'!F279</f>
        <v/>
      </c>
      <c r="H279" s="42">
        <f>'[4]2025'!G279</f>
        <v>0</v>
      </c>
      <c r="I279" s="13">
        <f>'[4]2025'!H279</f>
        <v>0</v>
      </c>
      <c r="J279" s="14">
        <f>'[4]2025'!I279</f>
        <v>0</v>
      </c>
      <c r="K279" s="15">
        <f>'[4]2025'!J279</f>
        <v>0</v>
      </c>
      <c r="L279" s="15">
        <f>'[4]2025'!K279</f>
        <v>0</v>
      </c>
      <c r="M279" s="15">
        <f>'[4]2025'!L279</f>
        <v>0</v>
      </c>
      <c r="N279" s="16" t="str">
        <f t="shared" si="16"/>
        <v/>
      </c>
      <c r="O279" s="17" t="str">
        <f t="shared" si="17"/>
        <v/>
      </c>
      <c r="P279" s="17" t="str">
        <f t="shared" si="17"/>
        <v/>
      </c>
      <c r="Q279" s="18" t="str">
        <f t="shared" si="18"/>
        <v/>
      </c>
      <c r="R279" s="18" t="e">
        <f t="shared" si="19"/>
        <v>#DIV/0!</v>
      </c>
      <c r="S279" s="34"/>
      <c r="T279" s="29" t="s">
        <v>8</v>
      </c>
      <c r="U279" s="1738"/>
      <c r="V279" s="1742"/>
    </row>
    <row r="280" spans="1:22">
      <c r="A280" s="10" t="s">
        <v>14</v>
      </c>
      <c r="B280" s="19">
        <f>CHAMNORD!B280</f>
        <v>46297</v>
      </c>
      <c r="C280" s="75" t="str">
        <f>IF(H280=0,"",'[4]2025-2026'!C279)</f>
        <v/>
      </c>
      <c r="D280" s="68" t="str">
        <f>'[4]2025'!C280</f>
        <v/>
      </c>
      <c r="E280" s="68" t="str">
        <f>'[4]2025'!D280</f>
        <v/>
      </c>
      <c r="F280" s="12" t="str">
        <f>'[4]2025'!E280</f>
        <v/>
      </c>
      <c r="G280" s="73" t="str">
        <f>'[4]2025'!F280</f>
        <v/>
      </c>
      <c r="H280" s="42">
        <f>'[4]2025'!G280</f>
        <v>0</v>
      </c>
      <c r="I280" s="13">
        <f>'[4]2025'!H280</f>
        <v>0</v>
      </c>
      <c r="J280" s="14">
        <f>'[4]2025'!I280</f>
        <v>0</v>
      </c>
      <c r="K280" s="15">
        <f>'[4]2025'!J280</f>
        <v>0</v>
      </c>
      <c r="L280" s="15">
        <f>'[4]2025'!K280</f>
        <v>0</v>
      </c>
      <c r="M280" s="15">
        <f>'[4]2025'!L280</f>
        <v>0</v>
      </c>
      <c r="N280" s="16" t="str">
        <f t="shared" si="16"/>
        <v/>
      </c>
      <c r="O280" s="17" t="str">
        <f t="shared" si="17"/>
        <v/>
      </c>
      <c r="P280" s="17" t="str">
        <f t="shared" si="17"/>
        <v/>
      </c>
      <c r="Q280" s="18" t="str">
        <f t="shared" si="18"/>
        <v/>
      </c>
      <c r="R280" s="18" t="e">
        <f t="shared" si="19"/>
        <v>#DIV/0!</v>
      </c>
      <c r="S280" s="36" t="s">
        <v>40</v>
      </c>
      <c r="T280" s="48" t="e">
        <f>SUM(I276:I282)/SUM(L276:L282)</f>
        <v>#DIV/0!</v>
      </c>
      <c r="U280" s="1738"/>
      <c r="V280" s="1742"/>
    </row>
    <row r="281" spans="1:22">
      <c r="A281" s="10" t="s">
        <v>15</v>
      </c>
      <c r="B281" s="19">
        <f>CHAMNORD!B281</f>
        <v>46298</v>
      </c>
      <c r="C281" s="75" t="str">
        <f>IF(H281=0,"",'[4]2025-2026'!C280)</f>
        <v/>
      </c>
      <c r="D281" s="68" t="str">
        <f>'[4]2025'!C281</f>
        <v/>
      </c>
      <c r="E281" s="68" t="str">
        <f>'[4]2025'!D281</f>
        <v/>
      </c>
      <c r="F281" s="12" t="str">
        <f>'[4]2025'!E281</f>
        <v/>
      </c>
      <c r="G281" s="73" t="str">
        <f>'[4]2025'!F281</f>
        <v/>
      </c>
      <c r="H281" s="42">
        <f>'[4]2025'!G281</f>
        <v>0</v>
      </c>
      <c r="I281" s="13">
        <f>'[4]2025'!H281</f>
        <v>0</v>
      </c>
      <c r="J281" s="14">
        <f>'[4]2025'!I281</f>
        <v>0</v>
      </c>
      <c r="K281" s="15">
        <f>'[4]2025'!J281</f>
        <v>0</v>
      </c>
      <c r="L281" s="15">
        <f>'[4]2025'!K281</f>
        <v>0</v>
      </c>
      <c r="M281" s="15">
        <f>'[4]2025'!L281</f>
        <v>0</v>
      </c>
      <c r="N281" s="16" t="str">
        <f t="shared" si="16"/>
        <v/>
      </c>
      <c r="O281" s="17" t="str">
        <f t="shared" si="17"/>
        <v/>
      </c>
      <c r="P281" s="17" t="str">
        <f t="shared" si="17"/>
        <v/>
      </c>
      <c r="Q281" s="18" t="str">
        <f t="shared" si="18"/>
        <v/>
      </c>
      <c r="R281" s="18" t="e">
        <f t="shared" si="19"/>
        <v>#DIV/0!</v>
      </c>
      <c r="S281" s="36">
        <f>SUM(J276:J282)</f>
        <v>0</v>
      </c>
      <c r="T281" s="30" t="s">
        <v>3</v>
      </c>
      <c r="U281" s="1738"/>
      <c r="V281" s="1742"/>
    </row>
    <row r="282" spans="1:22" ht="18" thickBot="1">
      <c r="A282" s="10" t="s">
        <v>16</v>
      </c>
      <c r="B282" s="19">
        <f>CHAMNORD!B282</f>
        <v>46299</v>
      </c>
      <c r="C282" s="75" t="str">
        <f>IF(H282=0,"",'[4]2025-2026'!C281)</f>
        <v/>
      </c>
      <c r="D282" s="68" t="str">
        <f>'[4]2025'!C282</f>
        <v/>
      </c>
      <c r="E282" s="68" t="str">
        <f>'[4]2025'!D282</f>
        <v/>
      </c>
      <c r="F282" s="12" t="str">
        <f>'[4]2025'!E282</f>
        <v/>
      </c>
      <c r="G282" s="73" t="str">
        <f>'[4]2025'!F282</f>
        <v/>
      </c>
      <c r="H282" s="42">
        <f>'[4]2025'!G282</f>
        <v>0</v>
      </c>
      <c r="I282" s="13">
        <f>'[4]2025'!H282</f>
        <v>0</v>
      </c>
      <c r="J282" s="14">
        <f>'[4]2025'!I282</f>
        <v>0</v>
      </c>
      <c r="K282" s="15">
        <f>'[4]2025'!J282</f>
        <v>0</v>
      </c>
      <c r="L282" s="15">
        <f>'[4]2025'!K282</f>
        <v>0</v>
      </c>
      <c r="M282" s="15">
        <f>'[4]2025'!L282</f>
        <v>0</v>
      </c>
      <c r="N282" s="16" t="str">
        <f t="shared" si="16"/>
        <v/>
      </c>
      <c r="O282" s="17" t="str">
        <f t="shared" si="17"/>
        <v/>
      </c>
      <c r="P282" s="17" t="str">
        <f t="shared" si="17"/>
        <v/>
      </c>
      <c r="Q282" s="18" t="str">
        <f t="shared" si="18"/>
        <v/>
      </c>
      <c r="R282" s="18" t="e">
        <f t="shared" si="19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  <c r="V282" s="1742"/>
    </row>
    <row r="283" spans="1:22" ht="17" customHeight="1" thickTop="1">
      <c r="A283" s="10" t="s">
        <v>9</v>
      </c>
      <c r="B283" s="19">
        <f>CHAMNORD!B283</f>
        <v>46300</v>
      </c>
      <c r="C283" s="75" t="str">
        <f>IF(H283=0,"",'[4]2025-2026'!C282)</f>
        <v/>
      </c>
      <c r="D283" s="68" t="str">
        <f>'[4]2025'!C283</f>
        <v/>
      </c>
      <c r="E283" s="68" t="str">
        <f>'[4]2025'!D283</f>
        <v/>
      </c>
      <c r="F283" s="12" t="str">
        <f>'[4]2025'!E283</f>
        <v/>
      </c>
      <c r="G283" s="73" t="str">
        <f>'[4]2025'!F283</f>
        <v/>
      </c>
      <c r="H283" s="42">
        <f>'[4]2025'!G283</f>
        <v>0</v>
      </c>
      <c r="I283" s="13">
        <f>'[4]2025'!H283</f>
        <v>0</v>
      </c>
      <c r="J283" s="14">
        <f>'[4]2025'!I283</f>
        <v>0</v>
      </c>
      <c r="K283" s="15">
        <f>'[4]2025'!J283</f>
        <v>0</v>
      </c>
      <c r="L283" s="15">
        <f>'[4]2025'!K283</f>
        <v>0</v>
      </c>
      <c r="M283" s="15">
        <f>'[4]2025'!L283</f>
        <v>0</v>
      </c>
      <c r="N283" s="16" t="str">
        <f t="shared" si="16"/>
        <v/>
      </c>
      <c r="O283" s="17" t="str">
        <f t="shared" si="17"/>
        <v/>
      </c>
      <c r="P283" s="17" t="str">
        <f t="shared" si="17"/>
        <v/>
      </c>
      <c r="Q283" s="18" t="str">
        <f t="shared" si="18"/>
        <v/>
      </c>
      <c r="R283" s="18" t="e">
        <f t="shared" si="19"/>
        <v>#DIV/0!</v>
      </c>
      <c r="S283" s="33" t="s">
        <v>39</v>
      </c>
      <c r="T283" s="31" t="s">
        <v>42</v>
      </c>
      <c r="U283" s="1737" t="s">
        <v>123</v>
      </c>
      <c r="V283" s="1742"/>
    </row>
    <row r="284" spans="1:22">
      <c r="A284" s="10" t="s">
        <v>11</v>
      </c>
      <c r="B284" s="19">
        <f>CHAMNORD!B284</f>
        <v>46301</v>
      </c>
      <c r="C284" s="75" t="str">
        <f>IF(H284=0,"",'[4]2025-2026'!C283)</f>
        <v/>
      </c>
      <c r="D284" s="68" t="str">
        <f>'[4]2025'!C284</f>
        <v/>
      </c>
      <c r="E284" s="68" t="str">
        <f>'[4]2025'!D284</f>
        <v/>
      </c>
      <c r="F284" s="12" t="str">
        <f>'[4]2025'!E284</f>
        <v/>
      </c>
      <c r="G284" s="73" t="str">
        <f>'[4]2025'!F284</f>
        <v/>
      </c>
      <c r="H284" s="42">
        <f>'[4]2025'!G284</f>
        <v>0</v>
      </c>
      <c r="I284" s="13">
        <f>'[4]2025'!H284</f>
        <v>0</v>
      </c>
      <c r="J284" s="14">
        <f>'[4]2025'!I284</f>
        <v>0</v>
      </c>
      <c r="K284" s="15">
        <f>'[4]2025'!J284</f>
        <v>0</v>
      </c>
      <c r="L284" s="15">
        <f>'[4]2025'!K284</f>
        <v>0</v>
      </c>
      <c r="M284" s="15">
        <f>'[4]2025'!L284</f>
        <v>0</v>
      </c>
      <c r="N284" s="16" t="str">
        <f t="shared" si="16"/>
        <v/>
      </c>
      <c r="O284" s="17" t="str">
        <f t="shared" si="17"/>
        <v/>
      </c>
      <c r="P284" s="17" t="str">
        <f t="shared" si="17"/>
        <v/>
      </c>
      <c r="Q284" s="18" t="str">
        <f t="shared" si="18"/>
        <v/>
      </c>
      <c r="R284" s="18" t="e">
        <f t="shared" si="19"/>
        <v>#DIV/0!</v>
      </c>
      <c r="S284" s="34">
        <f>SUM(I283:I289)</f>
        <v>0</v>
      </c>
      <c r="T284" s="45" t="s">
        <v>41</v>
      </c>
      <c r="U284" s="1738"/>
      <c r="V284" s="1742"/>
    </row>
    <row r="285" spans="1:22">
      <c r="A285" s="10" t="s">
        <v>12</v>
      </c>
      <c r="B285" s="19">
        <f>CHAMNORD!B285</f>
        <v>46302</v>
      </c>
      <c r="C285" s="75" t="str">
        <f>IF(H285=0,"",'[4]2025-2026'!C284)</f>
        <v/>
      </c>
      <c r="D285" s="68" t="str">
        <f>'[4]2025'!C285</f>
        <v/>
      </c>
      <c r="E285" s="68" t="str">
        <f>'[4]2025'!D285</f>
        <v/>
      </c>
      <c r="F285" s="12" t="str">
        <f>'[4]2025'!E285</f>
        <v/>
      </c>
      <c r="G285" s="73" t="str">
        <f>'[4]2025'!F285</f>
        <v/>
      </c>
      <c r="H285" s="42">
        <f>'[4]2025'!G285</f>
        <v>0</v>
      </c>
      <c r="I285" s="13">
        <f>'[4]2025'!H285</f>
        <v>0</v>
      </c>
      <c r="J285" s="14">
        <f>'[4]2025'!I285</f>
        <v>0</v>
      </c>
      <c r="K285" s="15">
        <f>'[4]2025'!J285</f>
        <v>0</v>
      </c>
      <c r="L285" s="15">
        <f>'[4]2025'!K285</f>
        <v>0</v>
      </c>
      <c r="M285" s="15">
        <f>'[4]2025'!L285</f>
        <v>0</v>
      </c>
      <c r="N285" s="16" t="str">
        <f t="shared" si="16"/>
        <v/>
      </c>
      <c r="O285" s="17" t="str">
        <f t="shared" si="17"/>
        <v/>
      </c>
      <c r="P285" s="17" t="str">
        <f t="shared" si="17"/>
        <v/>
      </c>
      <c r="Q285" s="18" t="str">
        <f t="shared" si="18"/>
        <v/>
      </c>
      <c r="R285" s="18" t="e">
        <f t="shared" si="19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  <c r="V285" s="1742"/>
    </row>
    <row r="286" spans="1:22">
      <c r="A286" s="10" t="s">
        <v>13</v>
      </c>
      <c r="B286" s="19">
        <f>CHAMNORD!B286</f>
        <v>46303</v>
      </c>
      <c r="C286" s="75" t="str">
        <f>IF(H286=0,"",'[4]2025-2026'!C285)</f>
        <v/>
      </c>
      <c r="D286" s="68" t="str">
        <f>'[4]2025'!C286</f>
        <v/>
      </c>
      <c r="E286" s="68" t="str">
        <f>'[4]2025'!D286</f>
        <v/>
      </c>
      <c r="F286" s="12" t="str">
        <f>'[4]2025'!E286</f>
        <v/>
      </c>
      <c r="G286" s="73" t="str">
        <f>'[4]2025'!F286</f>
        <v/>
      </c>
      <c r="H286" s="42">
        <f>'[4]2025'!G286</f>
        <v>0</v>
      </c>
      <c r="I286" s="13">
        <f>'[4]2025'!H286</f>
        <v>0</v>
      </c>
      <c r="J286" s="14">
        <f>'[4]2025'!I286</f>
        <v>0</v>
      </c>
      <c r="K286" s="15">
        <f>'[4]2025'!J286</f>
        <v>0</v>
      </c>
      <c r="L286" s="15">
        <f>'[4]2025'!K286</f>
        <v>0</v>
      </c>
      <c r="M286" s="15">
        <f>'[4]2025'!L286</f>
        <v>0</v>
      </c>
      <c r="N286" s="16" t="str">
        <f t="shared" si="16"/>
        <v/>
      </c>
      <c r="O286" s="17" t="str">
        <f t="shared" si="17"/>
        <v/>
      </c>
      <c r="P286" s="17" t="str">
        <f t="shared" si="17"/>
        <v/>
      </c>
      <c r="Q286" s="18" t="str">
        <f t="shared" si="18"/>
        <v/>
      </c>
      <c r="R286" s="18" t="e">
        <f t="shared" si="19"/>
        <v>#DIV/0!</v>
      </c>
      <c r="S286" s="34"/>
      <c r="T286" s="29" t="s">
        <v>8</v>
      </c>
      <c r="U286" s="1738"/>
      <c r="V286" s="1742"/>
    </row>
    <row r="287" spans="1:22">
      <c r="A287" s="10" t="s">
        <v>14</v>
      </c>
      <c r="B287" s="19">
        <f>CHAMNORD!B287</f>
        <v>46304</v>
      </c>
      <c r="C287" s="75" t="str">
        <f>IF(H287=0,"",'[4]2025-2026'!C286)</f>
        <v/>
      </c>
      <c r="D287" s="68" t="str">
        <f>'[4]2025'!C287</f>
        <v/>
      </c>
      <c r="E287" s="68" t="str">
        <f>'[4]2025'!D287</f>
        <v/>
      </c>
      <c r="F287" s="12" t="str">
        <f>'[4]2025'!E287</f>
        <v/>
      </c>
      <c r="G287" s="73" t="str">
        <f>'[4]2025'!F287</f>
        <v/>
      </c>
      <c r="H287" s="42">
        <f>'[4]2025'!G287</f>
        <v>0</v>
      </c>
      <c r="I287" s="13">
        <f>'[4]2025'!H287</f>
        <v>0</v>
      </c>
      <c r="J287" s="14">
        <f>'[4]2025'!I287</f>
        <v>0</v>
      </c>
      <c r="K287" s="15">
        <f>'[4]2025'!J287</f>
        <v>0</v>
      </c>
      <c r="L287" s="15">
        <f>'[4]2025'!K287</f>
        <v>0</v>
      </c>
      <c r="M287" s="15">
        <f>'[4]2025'!L287</f>
        <v>0</v>
      </c>
      <c r="N287" s="16" t="str">
        <f t="shared" si="16"/>
        <v/>
      </c>
      <c r="O287" s="17" t="str">
        <f t="shared" si="17"/>
        <v/>
      </c>
      <c r="P287" s="17" t="str">
        <f t="shared" si="17"/>
        <v/>
      </c>
      <c r="Q287" s="18" t="str">
        <f t="shared" si="18"/>
        <v/>
      </c>
      <c r="R287" s="18" t="e">
        <f t="shared" si="19"/>
        <v>#DIV/0!</v>
      </c>
      <c r="S287" s="36" t="s">
        <v>40</v>
      </c>
      <c r="T287" s="48" t="e">
        <f>SUM(I283:I289)/SUM(L283:L289)</f>
        <v>#DIV/0!</v>
      </c>
      <c r="U287" s="1738"/>
      <c r="V287" s="1742"/>
    </row>
    <row r="288" spans="1:22">
      <c r="A288" s="10" t="s">
        <v>15</v>
      </c>
      <c r="B288" s="19">
        <f>CHAMNORD!B288</f>
        <v>46305</v>
      </c>
      <c r="C288" s="75" t="str">
        <f>IF(H288=0,"",'[4]2025-2026'!C287)</f>
        <v/>
      </c>
      <c r="D288" s="68" t="str">
        <f>'[4]2025'!C288</f>
        <v/>
      </c>
      <c r="E288" s="68" t="str">
        <f>'[4]2025'!D288</f>
        <v/>
      </c>
      <c r="F288" s="12" t="str">
        <f>'[4]2025'!E288</f>
        <v/>
      </c>
      <c r="G288" s="73" t="str">
        <f>'[4]2025'!F288</f>
        <v/>
      </c>
      <c r="H288" s="42">
        <f>'[4]2025'!G288</f>
        <v>0</v>
      </c>
      <c r="I288" s="13">
        <f>'[4]2025'!H288</f>
        <v>0</v>
      </c>
      <c r="J288" s="14">
        <f>'[4]2025'!I288</f>
        <v>0</v>
      </c>
      <c r="K288" s="15">
        <f>'[4]2025'!J288</f>
        <v>0</v>
      </c>
      <c r="L288" s="15">
        <f>'[4]2025'!K288</f>
        <v>0</v>
      </c>
      <c r="M288" s="15">
        <f>'[4]2025'!L288</f>
        <v>0</v>
      </c>
      <c r="N288" s="16" t="str">
        <f t="shared" si="16"/>
        <v/>
      </c>
      <c r="O288" s="17" t="str">
        <f t="shared" si="17"/>
        <v/>
      </c>
      <c r="P288" s="17" t="str">
        <f t="shared" si="17"/>
        <v/>
      </c>
      <c r="Q288" s="18" t="str">
        <f t="shared" si="18"/>
        <v/>
      </c>
      <c r="R288" s="18" t="e">
        <f t="shared" si="19"/>
        <v>#DIV/0!</v>
      </c>
      <c r="S288" s="36">
        <f>SUM(J283:J289)</f>
        <v>0</v>
      </c>
      <c r="T288" s="30" t="s">
        <v>3</v>
      </c>
      <c r="U288" s="1738"/>
      <c r="V288" s="1742"/>
    </row>
    <row r="289" spans="1:22" ht="18" thickBot="1">
      <c r="A289" s="10" t="s">
        <v>16</v>
      </c>
      <c r="B289" s="19">
        <f>CHAMNORD!B289</f>
        <v>46306</v>
      </c>
      <c r="C289" s="75" t="str">
        <f>IF(H289=0,"",'[4]2025-2026'!C288)</f>
        <v/>
      </c>
      <c r="D289" s="68" t="str">
        <f>'[4]2025'!C289</f>
        <v/>
      </c>
      <c r="E289" s="68" t="str">
        <f>'[4]2025'!D289</f>
        <v/>
      </c>
      <c r="F289" s="12" t="str">
        <f>'[4]2025'!E289</f>
        <v/>
      </c>
      <c r="G289" s="73" t="str">
        <f>'[4]2025'!F289</f>
        <v/>
      </c>
      <c r="H289" s="42">
        <f>'[4]2025'!G289</f>
        <v>0</v>
      </c>
      <c r="I289" s="13">
        <f>'[4]2025'!H289</f>
        <v>0</v>
      </c>
      <c r="J289" s="14">
        <f>'[4]2025'!I289</f>
        <v>0</v>
      </c>
      <c r="K289" s="15">
        <f>'[4]2025'!J289</f>
        <v>0</v>
      </c>
      <c r="L289" s="15">
        <f>'[4]2025'!K289</f>
        <v>0</v>
      </c>
      <c r="M289" s="15">
        <f>'[4]2025'!L289</f>
        <v>0</v>
      </c>
      <c r="N289" s="16" t="str">
        <f t="shared" si="16"/>
        <v/>
      </c>
      <c r="O289" s="17" t="str">
        <f t="shared" si="17"/>
        <v/>
      </c>
      <c r="P289" s="17" t="str">
        <f t="shared" si="17"/>
        <v/>
      </c>
      <c r="Q289" s="18" t="str">
        <f t="shared" si="18"/>
        <v/>
      </c>
      <c r="R289" s="18" t="e">
        <f t="shared" si="19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  <c r="V289" s="1742"/>
    </row>
    <row r="290" spans="1:22" ht="17" customHeight="1" thickTop="1">
      <c r="A290" s="10" t="s">
        <v>9</v>
      </c>
      <c r="B290" s="19">
        <f>CHAMNORD!B290</f>
        <v>46307</v>
      </c>
      <c r="C290" s="75" t="str">
        <f>IF(H290=0,"",'[4]2025-2026'!C289)</f>
        <v/>
      </c>
      <c r="D290" s="68" t="str">
        <f>'[4]2025'!C290</f>
        <v/>
      </c>
      <c r="E290" s="68" t="str">
        <f>'[4]2025'!D290</f>
        <v/>
      </c>
      <c r="F290" s="12" t="str">
        <f>'[4]2025'!E290</f>
        <v/>
      </c>
      <c r="G290" s="73" t="str">
        <f>'[4]2025'!F290</f>
        <v/>
      </c>
      <c r="H290" s="42">
        <f>'[4]2025'!G290</f>
        <v>0</v>
      </c>
      <c r="I290" s="13">
        <f>'[4]2025'!H290</f>
        <v>0</v>
      </c>
      <c r="J290" s="14">
        <f>'[4]2025'!I290</f>
        <v>0</v>
      </c>
      <c r="K290" s="15">
        <f>'[4]2025'!J290</f>
        <v>0</v>
      </c>
      <c r="L290" s="15">
        <f>'[4]2025'!K290</f>
        <v>0</v>
      </c>
      <c r="M290" s="15">
        <f>'[4]2025'!L290</f>
        <v>0</v>
      </c>
      <c r="N290" s="16" t="str">
        <f t="shared" si="16"/>
        <v/>
      </c>
      <c r="O290" s="17" t="str">
        <f t="shared" si="17"/>
        <v/>
      </c>
      <c r="P290" s="17" t="str">
        <f t="shared" si="17"/>
        <v/>
      </c>
      <c r="Q290" s="18" t="str">
        <f t="shared" si="18"/>
        <v/>
      </c>
      <c r="R290" s="18" t="e">
        <f t="shared" si="19"/>
        <v>#DIV/0!</v>
      </c>
      <c r="S290" s="33" t="s">
        <v>39</v>
      </c>
      <c r="T290" s="31" t="s">
        <v>42</v>
      </c>
      <c r="U290" s="1737" t="s">
        <v>124</v>
      </c>
      <c r="V290" s="1742"/>
    </row>
    <row r="291" spans="1:22">
      <c r="A291" s="10" t="s">
        <v>11</v>
      </c>
      <c r="B291" s="19">
        <f>CHAMNORD!B291</f>
        <v>46308</v>
      </c>
      <c r="C291" s="75" t="str">
        <f>IF(H291=0,"",'[4]2025-2026'!C290)</f>
        <v/>
      </c>
      <c r="D291" s="68" t="str">
        <f>'[4]2025'!C291</f>
        <v/>
      </c>
      <c r="E291" s="68" t="str">
        <f>'[4]2025'!D291</f>
        <v/>
      </c>
      <c r="F291" s="12" t="str">
        <f>'[4]2025'!E291</f>
        <v/>
      </c>
      <c r="G291" s="73" t="str">
        <f>'[4]2025'!F291</f>
        <v/>
      </c>
      <c r="H291" s="42">
        <f>'[4]2025'!G291</f>
        <v>0</v>
      </c>
      <c r="I291" s="13">
        <f>'[4]2025'!H291</f>
        <v>0</v>
      </c>
      <c r="J291" s="14">
        <f>'[4]2025'!I291</f>
        <v>0</v>
      </c>
      <c r="K291" s="15">
        <f>'[4]2025'!J291</f>
        <v>0</v>
      </c>
      <c r="L291" s="15">
        <f>'[4]2025'!K291</f>
        <v>0</v>
      </c>
      <c r="M291" s="15">
        <f>'[4]2025'!L291</f>
        <v>0</v>
      </c>
      <c r="N291" s="16" t="str">
        <f t="shared" si="16"/>
        <v/>
      </c>
      <c r="O291" s="17" t="str">
        <f t="shared" si="17"/>
        <v/>
      </c>
      <c r="P291" s="17" t="str">
        <f t="shared" si="17"/>
        <v/>
      </c>
      <c r="Q291" s="18" t="str">
        <f t="shared" si="18"/>
        <v/>
      </c>
      <c r="R291" s="18" t="e">
        <f t="shared" si="19"/>
        <v>#DIV/0!</v>
      </c>
      <c r="S291" s="34">
        <f>SUM(I290:I296)</f>
        <v>0</v>
      </c>
      <c r="T291" s="45" t="s">
        <v>41</v>
      </c>
      <c r="U291" s="1738"/>
      <c r="V291" s="1742"/>
    </row>
    <row r="292" spans="1:22">
      <c r="A292" s="10" t="s">
        <v>12</v>
      </c>
      <c r="B292" s="19">
        <f>CHAMNORD!B292</f>
        <v>46309</v>
      </c>
      <c r="C292" s="75" t="str">
        <f>IF(H292=0,"",'[4]2025-2026'!C291)</f>
        <v/>
      </c>
      <c r="D292" s="68" t="str">
        <f>'[4]2025'!C292</f>
        <v/>
      </c>
      <c r="E292" s="68" t="str">
        <f>'[4]2025'!D292</f>
        <v/>
      </c>
      <c r="F292" s="12" t="str">
        <f>'[4]2025'!E292</f>
        <v/>
      </c>
      <c r="G292" s="73" t="str">
        <f>'[4]2025'!F292</f>
        <v/>
      </c>
      <c r="H292" s="42">
        <f>'[4]2025'!G292</f>
        <v>0</v>
      </c>
      <c r="I292" s="13">
        <f>'[4]2025'!H292</f>
        <v>0</v>
      </c>
      <c r="J292" s="14">
        <f>'[4]2025'!I292</f>
        <v>0</v>
      </c>
      <c r="K292" s="15">
        <f>'[4]2025'!J292</f>
        <v>0</v>
      </c>
      <c r="L292" s="15">
        <f>'[4]2025'!K292</f>
        <v>0</v>
      </c>
      <c r="M292" s="15">
        <f>'[4]2025'!L292</f>
        <v>0</v>
      </c>
      <c r="N292" s="16" t="str">
        <f t="shared" si="16"/>
        <v/>
      </c>
      <c r="O292" s="17" t="str">
        <f t="shared" si="17"/>
        <v/>
      </c>
      <c r="P292" s="17" t="str">
        <f t="shared" si="17"/>
        <v/>
      </c>
      <c r="Q292" s="18" t="str">
        <f t="shared" si="18"/>
        <v/>
      </c>
      <c r="R292" s="18" t="e">
        <f t="shared" si="19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  <c r="V292" s="1742"/>
    </row>
    <row r="293" spans="1:22">
      <c r="A293" s="10" t="s">
        <v>13</v>
      </c>
      <c r="B293" s="19">
        <f>CHAMNORD!B293</f>
        <v>46310</v>
      </c>
      <c r="C293" s="75" t="str">
        <f>IF(H293=0,"",'[4]2025-2026'!C292)</f>
        <v/>
      </c>
      <c r="D293" s="68" t="str">
        <f>'[4]2025'!C293</f>
        <v/>
      </c>
      <c r="E293" s="68" t="str">
        <f>'[4]2025'!D293</f>
        <v/>
      </c>
      <c r="F293" s="12" t="str">
        <f>'[4]2025'!E293</f>
        <v/>
      </c>
      <c r="G293" s="73" t="str">
        <f>'[4]2025'!F293</f>
        <v/>
      </c>
      <c r="H293" s="42">
        <f>'[4]2025'!G293</f>
        <v>0</v>
      </c>
      <c r="I293" s="13">
        <f>'[4]2025'!H293</f>
        <v>0</v>
      </c>
      <c r="J293" s="14">
        <f>'[4]2025'!I293</f>
        <v>0</v>
      </c>
      <c r="K293" s="15">
        <f>'[4]2025'!J293</f>
        <v>0</v>
      </c>
      <c r="L293" s="15">
        <f>'[4]2025'!K293</f>
        <v>0</v>
      </c>
      <c r="M293" s="15">
        <f>'[4]2025'!L293</f>
        <v>0</v>
      </c>
      <c r="N293" s="16" t="str">
        <f t="shared" si="16"/>
        <v/>
      </c>
      <c r="O293" s="17" t="str">
        <f t="shared" si="17"/>
        <v/>
      </c>
      <c r="P293" s="17" t="str">
        <f t="shared" si="17"/>
        <v/>
      </c>
      <c r="Q293" s="18" t="str">
        <f t="shared" si="18"/>
        <v/>
      </c>
      <c r="R293" s="18" t="e">
        <f t="shared" si="19"/>
        <v>#DIV/0!</v>
      </c>
      <c r="S293" s="34"/>
      <c r="T293" s="29" t="s">
        <v>8</v>
      </c>
      <c r="U293" s="1738"/>
      <c r="V293" s="1742"/>
    </row>
    <row r="294" spans="1:22">
      <c r="A294" s="10" t="s">
        <v>14</v>
      </c>
      <c r="B294" s="19">
        <f>CHAMNORD!B294</f>
        <v>46311</v>
      </c>
      <c r="C294" s="75" t="str">
        <f>IF(H294=0,"",'[4]2025-2026'!C293)</f>
        <v/>
      </c>
      <c r="D294" s="68" t="str">
        <f>'[4]2025'!C294</f>
        <v/>
      </c>
      <c r="E294" s="68" t="str">
        <f>'[4]2025'!D294</f>
        <v/>
      </c>
      <c r="F294" s="12" t="str">
        <f>'[4]2025'!E294</f>
        <v/>
      </c>
      <c r="G294" s="73" t="str">
        <f>'[4]2025'!F294</f>
        <v/>
      </c>
      <c r="H294" s="42">
        <f>'[4]2025'!G294</f>
        <v>0</v>
      </c>
      <c r="I294" s="13">
        <f>'[4]2025'!H294</f>
        <v>0</v>
      </c>
      <c r="J294" s="14">
        <f>'[4]2025'!I294</f>
        <v>0</v>
      </c>
      <c r="K294" s="15">
        <f>'[4]2025'!J294</f>
        <v>0</v>
      </c>
      <c r="L294" s="15">
        <f>'[4]2025'!K294</f>
        <v>0</v>
      </c>
      <c r="M294" s="15">
        <f>'[4]2025'!L294</f>
        <v>0</v>
      </c>
      <c r="N294" s="16" t="str">
        <f t="shared" si="16"/>
        <v/>
      </c>
      <c r="O294" s="17" t="str">
        <f t="shared" si="17"/>
        <v/>
      </c>
      <c r="P294" s="17" t="str">
        <f t="shared" si="17"/>
        <v/>
      </c>
      <c r="Q294" s="18" t="str">
        <f t="shared" si="18"/>
        <v/>
      </c>
      <c r="R294" s="18" t="e">
        <f t="shared" si="19"/>
        <v>#DIV/0!</v>
      </c>
      <c r="S294" s="36" t="s">
        <v>40</v>
      </c>
      <c r="T294" s="48" t="e">
        <f>SUM(I290:I296)/SUM(L290:L296)</f>
        <v>#DIV/0!</v>
      </c>
      <c r="U294" s="1738"/>
      <c r="V294" s="1742"/>
    </row>
    <row r="295" spans="1:22">
      <c r="A295" s="10" t="s">
        <v>15</v>
      </c>
      <c r="B295" s="19">
        <f>CHAMNORD!B295</f>
        <v>46312</v>
      </c>
      <c r="C295" s="75" t="str">
        <f>IF(H295=0,"",'[4]2025-2026'!C294)</f>
        <v/>
      </c>
      <c r="D295" s="68" t="str">
        <f>'[4]2025'!C295</f>
        <v/>
      </c>
      <c r="E295" s="68" t="str">
        <f>'[4]2025'!D295</f>
        <v/>
      </c>
      <c r="F295" s="12" t="str">
        <f>'[4]2025'!E295</f>
        <v/>
      </c>
      <c r="G295" s="73" t="str">
        <f>'[4]2025'!F295</f>
        <v/>
      </c>
      <c r="H295" s="42">
        <f>'[4]2025'!G295</f>
        <v>0</v>
      </c>
      <c r="I295" s="13">
        <f>'[4]2025'!H295</f>
        <v>0</v>
      </c>
      <c r="J295" s="14">
        <f>'[4]2025'!I295</f>
        <v>0</v>
      </c>
      <c r="K295" s="15">
        <f>'[4]2025'!J295</f>
        <v>0</v>
      </c>
      <c r="L295" s="15">
        <f>'[4]2025'!K295</f>
        <v>0</v>
      </c>
      <c r="M295" s="15">
        <f>'[4]2025'!L295</f>
        <v>0</v>
      </c>
      <c r="N295" s="16" t="str">
        <f t="shared" si="16"/>
        <v/>
      </c>
      <c r="O295" s="17" t="str">
        <f t="shared" si="17"/>
        <v/>
      </c>
      <c r="P295" s="17" t="str">
        <f t="shared" si="17"/>
        <v/>
      </c>
      <c r="Q295" s="18" t="str">
        <f t="shared" si="18"/>
        <v/>
      </c>
      <c r="R295" s="18" t="e">
        <f t="shared" si="19"/>
        <v>#DIV/0!</v>
      </c>
      <c r="S295" s="36">
        <f>SUM(J290:J296)</f>
        <v>0</v>
      </c>
      <c r="T295" s="30" t="s">
        <v>3</v>
      </c>
      <c r="U295" s="1738"/>
      <c r="V295" s="1742"/>
    </row>
    <row r="296" spans="1:22" ht="18" thickBot="1">
      <c r="A296" s="10" t="s">
        <v>16</v>
      </c>
      <c r="B296" s="19">
        <f>CHAMNORD!B296</f>
        <v>46313</v>
      </c>
      <c r="C296" s="75" t="str">
        <f>IF(H296=0,"",'[4]2025-2026'!C295)</f>
        <v/>
      </c>
      <c r="D296" s="68" t="str">
        <f>'[4]2025'!C296</f>
        <v/>
      </c>
      <c r="E296" s="68" t="str">
        <f>'[4]2025'!D296</f>
        <v/>
      </c>
      <c r="F296" s="12" t="str">
        <f>'[4]2025'!E296</f>
        <v/>
      </c>
      <c r="G296" s="73" t="str">
        <f>'[4]2025'!F296</f>
        <v/>
      </c>
      <c r="H296" s="42">
        <f>'[4]2025'!G296</f>
        <v>0</v>
      </c>
      <c r="I296" s="13">
        <f>'[4]2025'!H296</f>
        <v>0</v>
      </c>
      <c r="J296" s="14">
        <f>'[4]2025'!I296</f>
        <v>0</v>
      </c>
      <c r="K296" s="15">
        <f>'[4]2025'!J296</f>
        <v>0</v>
      </c>
      <c r="L296" s="15">
        <f>'[4]2025'!K296</f>
        <v>0</v>
      </c>
      <c r="M296" s="15">
        <f>'[4]2025'!L296</f>
        <v>0</v>
      </c>
      <c r="N296" s="16" t="str">
        <f t="shared" si="16"/>
        <v/>
      </c>
      <c r="O296" s="17" t="str">
        <f t="shared" si="17"/>
        <v/>
      </c>
      <c r="P296" s="17" t="str">
        <f t="shared" si="17"/>
        <v/>
      </c>
      <c r="Q296" s="18" t="str">
        <f t="shared" si="18"/>
        <v/>
      </c>
      <c r="R296" s="18" t="e">
        <f t="shared" si="19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  <c r="V296" s="1742"/>
    </row>
    <row r="297" spans="1:22" ht="17" customHeight="1" thickTop="1">
      <c r="A297" s="10" t="s">
        <v>9</v>
      </c>
      <c r="B297" s="19">
        <f>CHAMNORD!B297</f>
        <v>46314</v>
      </c>
      <c r="C297" s="75" t="str">
        <f>IF(H297=0,"",'[4]2025-2026'!C296)</f>
        <v/>
      </c>
      <c r="D297" s="68" t="str">
        <f>'[4]2025'!C297</f>
        <v/>
      </c>
      <c r="E297" s="68" t="str">
        <f>'[4]2025'!D297</f>
        <v/>
      </c>
      <c r="F297" s="12" t="str">
        <f>'[4]2025'!E297</f>
        <v/>
      </c>
      <c r="G297" s="73" t="str">
        <f>'[4]2025'!F297</f>
        <v/>
      </c>
      <c r="H297" s="42">
        <f>'[4]2025'!G297</f>
        <v>0</v>
      </c>
      <c r="I297" s="13">
        <f>'[4]2025'!H297</f>
        <v>0</v>
      </c>
      <c r="J297" s="14">
        <f>'[4]2025'!I297</f>
        <v>0</v>
      </c>
      <c r="K297" s="15">
        <f>'[4]2025'!J297</f>
        <v>0</v>
      </c>
      <c r="L297" s="15">
        <f>'[4]2025'!K297</f>
        <v>0</v>
      </c>
      <c r="M297" s="15">
        <f>'[4]2025'!L297</f>
        <v>0</v>
      </c>
      <c r="N297" s="16" t="str">
        <f t="shared" si="16"/>
        <v/>
      </c>
      <c r="O297" s="17" t="str">
        <f t="shared" si="17"/>
        <v/>
      </c>
      <c r="P297" s="17" t="str">
        <f t="shared" si="17"/>
        <v/>
      </c>
      <c r="Q297" s="18" t="str">
        <f t="shared" si="18"/>
        <v/>
      </c>
      <c r="R297" s="18" t="e">
        <f t="shared" si="19"/>
        <v>#DIV/0!</v>
      </c>
      <c r="S297" s="33" t="s">
        <v>39</v>
      </c>
      <c r="T297" s="31" t="s">
        <v>42</v>
      </c>
      <c r="U297" s="1737" t="s">
        <v>125</v>
      </c>
      <c r="V297" s="1742"/>
    </row>
    <row r="298" spans="1:22">
      <c r="A298" s="10" t="s">
        <v>11</v>
      </c>
      <c r="B298" s="19">
        <f>CHAMNORD!B298</f>
        <v>46315</v>
      </c>
      <c r="C298" s="75" t="str">
        <f>IF(H298=0,"",'[4]2025-2026'!C297)</f>
        <v/>
      </c>
      <c r="D298" s="68" t="str">
        <f>'[4]2025'!C298</f>
        <v/>
      </c>
      <c r="E298" s="68" t="str">
        <f>'[4]2025'!D298</f>
        <v/>
      </c>
      <c r="F298" s="12" t="str">
        <f>'[4]2025'!E298</f>
        <v/>
      </c>
      <c r="G298" s="73" t="str">
        <f>'[4]2025'!F298</f>
        <v/>
      </c>
      <c r="H298" s="42">
        <f>'[4]2025'!G298</f>
        <v>0</v>
      </c>
      <c r="I298" s="13">
        <f>'[4]2025'!H298</f>
        <v>0</v>
      </c>
      <c r="J298" s="14">
        <f>'[4]2025'!I298</f>
        <v>0</v>
      </c>
      <c r="K298" s="15">
        <f>'[4]2025'!J298</f>
        <v>0</v>
      </c>
      <c r="L298" s="15">
        <f>'[4]2025'!K298</f>
        <v>0</v>
      </c>
      <c r="M298" s="15">
        <f>'[4]2025'!L298</f>
        <v>0</v>
      </c>
      <c r="N298" s="16" t="str">
        <f t="shared" si="16"/>
        <v/>
      </c>
      <c r="O298" s="17" t="str">
        <f t="shared" si="17"/>
        <v/>
      </c>
      <c r="P298" s="17" t="str">
        <f t="shared" si="17"/>
        <v/>
      </c>
      <c r="Q298" s="18" t="str">
        <f t="shared" si="18"/>
        <v/>
      </c>
      <c r="R298" s="18" t="e">
        <f t="shared" si="19"/>
        <v>#DIV/0!</v>
      </c>
      <c r="S298" s="34">
        <f>SUM(I297:I303)</f>
        <v>0</v>
      </c>
      <c r="T298" s="45" t="s">
        <v>41</v>
      </c>
      <c r="U298" s="1738"/>
      <c r="V298" s="1742"/>
    </row>
    <row r="299" spans="1:22">
      <c r="A299" s="10" t="s">
        <v>12</v>
      </c>
      <c r="B299" s="19">
        <f>CHAMNORD!B299</f>
        <v>46316</v>
      </c>
      <c r="C299" s="75" t="str">
        <f>IF(H299=0,"",'[4]2025-2026'!C298)</f>
        <v/>
      </c>
      <c r="D299" s="68" t="str">
        <f>'[4]2025'!C299</f>
        <v/>
      </c>
      <c r="E299" s="68" t="str">
        <f>'[4]2025'!D299</f>
        <v/>
      </c>
      <c r="F299" s="12" t="str">
        <f>'[4]2025'!E299</f>
        <v/>
      </c>
      <c r="G299" s="73" t="str">
        <f>'[4]2025'!F299</f>
        <v/>
      </c>
      <c r="H299" s="42">
        <f>'[4]2025'!G299</f>
        <v>0</v>
      </c>
      <c r="I299" s="13">
        <f>'[4]2025'!H299</f>
        <v>0</v>
      </c>
      <c r="J299" s="14">
        <f>'[4]2025'!I299</f>
        <v>0</v>
      </c>
      <c r="K299" s="15">
        <f>'[4]2025'!J299</f>
        <v>0</v>
      </c>
      <c r="L299" s="15">
        <f>'[4]2025'!K299</f>
        <v>0</v>
      </c>
      <c r="M299" s="15">
        <f>'[4]2025'!L299</f>
        <v>0</v>
      </c>
      <c r="N299" s="16" t="str">
        <f t="shared" si="16"/>
        <v/>
      </c>
      <c r="O299" s="17" t="str">
        <f t="shared" si="17"/>
        <v/>
      </c>
      <c r="P299" s="17" t="str">
        <f t="shared" si="17"/>
        <v/>
      </c>
      <c r="Q299" s="18" t="str">
        <f t="shared" si="18"/>
        <v/>
      </c>
      <c r="R299" s="18" t="e">
        <f t="shared" si="19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  <c r="V299" s="1742"/>
    </row>
    <row r="300" spans="1:22">
      <c r="A300" s="10" t="s">
        <v>13</v>
      </c>
      <c r="B300" s="19">
        <f>CHAMNORD!B300</f>
        <v>46317</v>
      </c>
      <c r="C300" s="75" t="str">
        <f>IF(H300=0,"",'[4]2025-2026'!C299)</f>
        <v/>
      </c>
      <c r="D300" s="68" t="str">
        <f>'[4]2025'!C300</f>
        <v/>
      </c>
      <c r="E300" s="68" t="str">
        <f>'[4]2025'!D300</f>
        <v/>
      </c>
      <c r="F300" s="12" t="str">
        <f>'[4]2025'!E300</f>
        <v/>
      </c>
      <c r="G300" s="73" t="str">
        <f>'[4]2025'!F300</f>
        <v/>
      </c>
      <c r="H300" s="42">
        <f>'[4]2025'!G300</f>
        <v>0</v>
      </c>
      <c r="I300" s="13">
        <f>'[4]2025'!H300</f>
        <v>0</v>
      </c>
      <c r="J300" s="14">
        <f>'[4]2025'!I300</f>
        <v>0</v>
      </c>
      <c r="K300" s="15">
        <f>'[4]2025'!J300</f>
        <v>0</v>
      </c>
      <c r="L300" s="15">
        <f>'[4]2025'!K300</f>
        <v>0</v>
      </c>
      <c r="M300" s="15">
        <f>'[4]2025'!L300</f>
        <v>0</v>
      </c>
      <c r="N300" s="16" t="str">
        <f t="shared" si="16"/>
        <v/>
      </c>
      <c r="O300" s="17" t="str">
        <f t="shared" si="17"/>
        <v/>
      </c>
      <c r="P300" s="17" t="str">
        <f t="shared" si="17"/>
        <v/>
      </c>
      <c r="Q300" s="18" t="str">
        <f t="shared" si="18"/>
        <v/>
      </c>
      <c r="R300" s="18" t="e">
        <f t="shared" si="19"/>
        <v>#DIV/0!</v>
      </c>
      <c r="S300" s="34"/>
      <c r="T300" s="29" t="s">
        <v>8</v>
      </c>
      <c r="U300" s="1738"/>
      <c r="V300" s="1742"/>
    </row>
    <row r="301" spans="1:22">
      <c r="A301" s="10" t="s">
        <v>14</v>
      </c>
      <c r="B301" s="19">
        <f>CHAMNORD!B301</f>
        <v>46318</v>
      </c>
      <c r="C301" s="75" t="str">
        <f>IF(H301=0,"",'[4]2025-2026'!C300)</f>
        <v/>
      </c>
      <c r="D301" s="68" t="str">
        <f>'[4]2025'!C301</f>
        <v/>
      </c>
      <c r="E301" s="68" t="str">
        <f>'[4]2025'!D301</f>
        <v/>
      </c>
      <c r="F301" s="12" t="str">
        <f>'[4]2025'!E301</f>
        <v/>
      </c>
      <c r="G301" s="73" t="str">
        <f>'[4]2025'!F301</f>
        <v/>
      </c>
      <c r="H301" s="42">
        <f>'[4]2025'!G301</f>
        <v>0</v>
      </c>
      <c r="I301" s="13">
        <f>'[4]2025'!H301</f>
        <v>0</v>
      </c>
      <c r="J301" s="14">
        <f>'[4]2025'!I301</f>
        <v>0</v>
      </c>
      <c r="K301" s="15">
        <f>'[4]2025'!J301</f>
        <v>0</v>
      </c>
      <c r="L301" s="15">
        <f>'[4]2025'!K301</f>
        <v>0</v>
      </c>
      <c r="M301" s="15">
        <f>'[4]2025'!L301</f>
        <v>0</v>
      </c>
      <c r="N301" s="16" t="str">
        <f t="shared" si="16"/>
        <v/>
      </c>
      <c r="O301" s="17" t="str">
        <f t="shared" si="17"/>
        <v/>
      </c>
      <c r="P301" s="17" t="str">
        <f t="shared" si="17"/>
        <v/>
      </c>
      <c r="Q301" s="18" t="str">
        <f t="shared" si="18"/>
        <v/>
      </c>
      <c r="R301" s="18" t="e">
        <f t="shared" si="19"/>
        <v>#DIV/0!</v>
      </c>
      <c r="S301" s="36" t="s">
        <v>40</v>
      </c>
      <c r="T301" s="48" t="e">
        <f>SUM(I297:I303)/SUM(L297:L303)</f>
        <v>#DIV/0!</v>
      </c>
      <c r="U301" s="1738"/>
      <c r="V301" s="1742"/>
    </row>
    <row r="302" spans="1:22">
      <c r="A302" s="10" t="s">
        <v>15</v>
      </c>
      <c r="B302" s="19">
        <f>CHAMNORD!B302</f>
        <v>46319</v>
      </c>
      <c r="C302" s="75" t="str">
        <f>IF(H302=0,"",'[4]2025-2026'!C301)</f>
        <v/>
      </c>
      <c r="D302" s="68" t="str">
        <f>'[4]2025'!C302</f>
        <v/>
      </c>
      <c r="E302" s="68" t="str">
        <f>'[4]2025'!D302</f>
        <v/>
      </c>
      <c r="F302" s="12" t="str">
        <f>'[4]2025'!E302</f>
        <v/>
      </c>
      <c r="G302" s="73" t="str">
        <f>'[4]2025'!F302</f>
        <v/>
      </c>
      <c r="H302" s="42">
        <f>'[4]2025'!G302</f>
        <v>0</v>
      </c>
      <c r="I302" s="13">
        <f>'[4]2025'!H302</f>
        <v>0</v>
      </c>
      <c r="J302" s="14">
        <f>'[4]2025'!I302</f>
        <v>0</v>
      </c>
      <c r="K302" s="15">
        <f>'[4]2025'!J302</f>
        <v>0</v>
      </c>
      <c r="L302" s="15">
        <f>'[4]2025'!K302</f>
        <v>0</v>
      </c>
      <c r="M302" s="15">
        <f>'[4]2025'!L302</f>
        <v>0</v>
      </c>
      <c r="N302" s="16" t="str">
        <f t="shared" si="16"/>
        <v/>
      </c>
      <c r="O302" s="17" t="str">
        <f t="shared" si="17"/>
        <v/>
      </c>
      <c r="P302" s="17" t="str">
        <f t="shared" si="17"/>
        <v/>
      </c>
      <c r="Q302" s="18" t="str">
        <f t="shared" si="18"/>
        <v/>
      </c>
      <c r="R302" s="18" t="e">
        <f t="shared" si="19"/>
        <v>#DIV/0!</v>
      </c>
      <c r="S302" s="36">
        <f>SUM(J297:J303)</f>
        <v>0</v>
      </c>
      <c r="T302" s="30" t="s">
        <v>3</v>
      </c>
      <c r="U302" s="1738"/>
      <c r="V302" s="1742"/>
    </row>
    <row r="303" spans="1:22" ht="18" thickBot="1">
      <c r="A303" s="10" t="s">
        <v>16</v>
      </c>
      <c r="B303" s="19">
        <f>CHAMNORD!B303</f>
        <v>46320</v>
      </c>
      <c r="C303" s="75" t="str">
        <f>IF(H303=0,"",'[4]2025-2026'!C302)</f>
        <v/>
      </c>
      <c r="D303" s="68" t="str">
        <f>'[4]2025'!C303</f>
        <v/>
      </c>
      <c r="E303" s="68" t="str">
        <f>'[4]2025'!D303</f>
        <v/>
      </c>
      <c r="F303" s="12" t="str">
        <f>'[4]2025'!E303</f>
        <v/>
      </c>
      <c r="G303" s="73" t="str">
        <f>'[4]2025'!F303</f>
        <v/>
      </c>
      <c r="H303" s="42">
        <f>'[4]2025'!G303</f>
        <v>0</v>
      </c>
      <c r="I303" s="13">
        <f>'[4]2025'!H303</f>
        <v>0</v>
      </c>
      <c r="J303" s="14">
        <f>'[4]2025'!I303</f>
        <v>0</v>
      </c>
      <c r="K303" s="15">
        <f>'[4]2025'!J303</f>
        <v>0</v>
      </c>
      <c r="L303" s="15">
        <f>'[4]2025'!K303</f>
        <v>0</v>
      </c>
      <c r="M303" s="15">
        <f>'[4]2025'!L303</f>
        <v>0</v>
      </c>
      <c r="N303" s="16" t="str">
        <f t="shared" si="16"/>
        <v/>
      </c>
      <c r="O303" s="17" t="str">
        <f t="shared" si="17"/>
        <v/>
      </c>
      <c r="P303" s="17" t="str">
        <f t="shared" si="17"/>
        <v/>
      </c>
      <c r="Q303" s="18" t="str">
        <f t="shared" si="18"/>
        <v/>
      </c>
      <c r="R303" s="18" t="e">
        <f t="shared" si="19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  <c r="V303" s="1742"/>
    </row>
    <row r="304" spans="1:22" ht="17" customHeight="1" thickTop="1">
      <c r="A304" s="10" t="s">
        <v>9</v>
      </c>
      <c r="B304" s="19">
        <f>CHAMNORD!B304</f>
        <v>46321</v>
      </c>
      <c r="C304" s="75" t="str">
        <f>IF(H304=0,"",'[4]2025-2026'!C303)</f>
        <v/>
      </c>
      <c r="D304" s="68" t="str">
        <f>'[4]2025'!C304</f>
        <v/>
      </c>
      <c r="E304" s="68" t="str">
        <f>'[4]2025'!D304</f>
        <v/>
      </c>
      <c r="F304" s="12" t="str">
        <f>'[4]2025'!E304</f>
        <v/>
      </c>
      <c r="G304" s="73" t="str">
        <f>'[4]2025'!F304</f>
        <v/>
      </c>
      <c r="H304" s="42">
        <f>'[4]2025'!G304</f>
        <v>0</v>
      </c>
      <c r="I304" s="13">
        <f>'[4]2025'!H304</f>
        <v>0</v>
      </c>
      <c r="J304" s="14">
        <f>'[4]2025'!I304</f>
        <v>0</v>
      </c>
      <c r="K304" s="15">
        <f>'[4]2025'!J304</f>
        <v>0</v>
      </c>
      <c r="L304" s="15">
        <f>'[4]2025'!K304</f>
        <v>0</v>
      </c>
      <c r="M304" s="15">
        <f>'[4]2025'!L304</f>
        <v>0</v>
      </c>
      <c r="N304" s="16" t="str">
        <f t="shared" si="16"/>
        <v/>
      </c>
      <c r="O304" s="17" t="str">
        <f t="shared" si="17"/>
        <v/>
      </c>
      <c r="P304" s="17" t="str">
        <f t="shared" si="17"/>
        <v/>
      </c>
      <c r="Q304" s="18" t="str">
        <f t="shared" si="18"/>
        <v/>
      </c>
      <c r="R304" s="18" t="e">
        <f t="shared" si="19"/>
        <v>#DIV/0!</v>
      </c>
      <c r="S304" s="33" t="s">
        <v>39</v>
      </c>
      <c r="T304" s="31" t="s">
        <v>42</v>
      </c>
      <c r="U304" s="1737" t="s">
        <v>126</v>
      </c>
      <c r="V304" s="1742"/>
    </row>
    <row r="305" spans="1:22">
      <c r="A305" s="10" t="s">
        <v>11</v>
      </c>
      <c r="B305" s="19">
        <f>CHAMNORD!B305</f>
        <v>46322</v>
      </c>
      <c r="C305" s="75" t="str">
        <f>IF(H305=0,"",'[4]2025-2026'!C304)</f>
        <v/>
      </c>
      <c r="D305" s="68" t="str">
        <f>'[4]2025'!C305</f>
        <v/>
      </c>
      <c r="E305" s="68" t="str">
        <f>'[4]2025'!D305</f>
        <v/>
      </c>
      <c r="F305" s="12" t="str">
        <f>'[4]2025'!E305</f>
        <v/>
      </c>
      <c r="G305" s="73" t="str">
        <f>'[4]2025'!F305</f>
        <v/>
      </c>
      <c r="H305" s="42">
        <f>'[4]2025'!G305</f>
        <v>0</v>
      </c>
      <c r="I305" s="13">
        <f>'[4]2025'!H305</f>
        <v>0</v>
      </c>
      <c r="J305" s="14">
        <f>'[4]2025'!I305</f>
        <v>0</v>
      </c>
      <c r="K305" s="15">
        <f>'[4]2025'!J305</f>
        <v>0</v>
      </c>
      <c r="L305" s="15">
        <f>'[4]2025'!K305</f>
        <v>0</v>
      </c>
      <c r="M305" s="15">
        <f>'[4]2025'!L305</f>
        <v>0</v>
      </c>
      <c r="N305" s="16" t="str">
        <f t="shared" si="16"/>
        <v/>
      </c>
      <c r="O305" s="17" t="str">
        <f t="shared" si="17"/>
        <v/>
      </c>
      <c r="P305" s="17" t="str">
        <f t="shared" si="17"/>
        <v/>
      </c>
      <c r="Q305" s="18" t="str">
        <f t="shared" si="18"/>
        <v/>
      </c>
      <c r="R305" s="18" t="e">
        <f t="shared" si="19"/>
        <v>#DIV/0!</v>
      </c>
      <c r="S305" s="34">
        <f>SUM(I304:I310)</f>
        <v>0</v>
      </c>
      <c r="T305" s="45" t="s">
        <v>41</v>
      </c>
      <c r="U305" s="1738"/>
      <c r="V305" s="1742"/>
    </row>
    <row r="306" spans="1:22">
      <c r="A306" s="10" t="s">
        <v>12</v>
      </c>
      <c r="B306" s="19">
        <f>CHAMNORD!B306</f>
        <v>46323</v>
      </c>
      <c r="C306" s="75" t="str">
        <f>IF(H306=0,"",'[4]2025-2026'!C305)</f>
        <v/>
      </c>
      <c r="D306" s="68" t="str">
        <f>'[4]2025'!C306</f>
        <v/>
      </c>
      <c r="E306" s="68" t="str">
        <f>'[4]2025'!D306</f>
        <v/>
      </c>
      <c r="F306" s="12" t="str">
        <f>'[4]2025'!E306</f>
        <v/>
      </c>
      <c r="G306" s="73" t="str">
        <f>'[4]2025'!F306</f>
        <v/>
      </c>
      <c r="H306" s="42">
        <f>'[4]2025'!G306</f>
        <v>0</v>
      </c>
      <c r="I306" s="13">
        <f>'[4]2025'!H306</f>
        <v>0</v>
      </c>
      <c r="J306" s="14">
        <f>'[4]2025'!I306</f>
        <v>0</v>
      </c>
      <c r="K306" s="15">
        <f>'[4]2025'!J306</f>
        <v>0</v>
      </c>
      <c r="L306" s="15">
        <f>'[4]2025'!K306</f>
        <v>0</v>
      </c>
      <c r="M306" s="15">
        <f>'[4]2025'!L306</f>
        <v>0</v>
      </c>
      <c r="N306" s="16" t="str">
        <f t="shared" si="16"/>
        <v/>
      </c>
      <c r="O306" s="17" t="str">
        <f t="shared" si="17"/>
        <v/>
      </c>
      <c r="P306" s="17" t="str">
        <f t="shared" si="17"/>
        <v/>
      </c>
      <c r="Q306" s="18" t="str">
        <f t="shared" si="18"/>
        <v/>
      </c>
      <c r="R306" s="18" t="e">
        <f t="shared" si="19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  <c r="V306" s="1742"/>
    </row>
    <row r="307" spans="1:22">
      <c r="A307" s="10" t="s">
        <v>13</v>
      </c>
      <c r="B307" s="19">
        <f>CHAMNORD!B307</f>
        <v>46324</v>
      </c>
      <c r="C307" s="75" t="str">
        <f>IF(H307=0,"",'[4]2025-2026'!C306)</f>
        <v/>
      </c>
      <c r="D307" s="68" t="str">
        <f>'[4]2025'!C307</f>
        <v/>
      </c>
      <c r="E307" s="68" t="str">
        <f>'[4]2025'!D307</f>
        <v/>
      </c>
      <c r="F307" s="12" t="str">
        <f>'[4]2025'!E307</f>
        <v/>
      </c>
      <c r="G307" s="73" t="str">
        <f>'[4]2025'!F307</f>
        <v/>
      </c>
      <c r="H307" s="42">
        <f>'[4]2025'!G307</f>
        <v>0</v>
      </c>
      <c r="I307" s="13">
        <f>'[4]2025'!H307</f>
        <v>0</v>
      </c>
      <c r="J307" s="14">
        <f>'[4]2025'!I307</f>
        <v>0</v>
      </c>
      <c r="K307" s="15">
        <f>'[4]2025'!J307</f>
        <v>0</v>
      </c>
      <c r="L307" s="15">
        <f>'[4]2025'!K307</f>
        <v>0</v>
      </c>
      <c r="M307" s="15">
        <f>'[4]2025'!L307</f>
        <v>0</v>
      </c>
      <c r="N307" s="16" t="str">
        <f t="shared" si="16"/>
        <v/>
      </c>
      <c r="O307" s="17" t="str">
        <f t="shared" si="17"/>
        <v/>
      </c>
      <c r="P307" s="17" t="str">
        <f t="shared" si="17"/>
        <v/>
      </c>
      <c r="Q307" s="18" t="str">
        <f t="shared" si="18"/>
        <v/>
      </c>
      <c r="R307" s="18" t="e">
        <f t="shared" si="19"/>
        <v>#DIV/0!</v>
      </c>
      <c r="S307" s="34"/>
      <c r="T307" s="29" t="s">
        <v>8</v>
      </c>
      <c r="U307" s="1738"/>
      <c r="V307" s="1742"/>
    </row>
    <row r="308" spans="1:22">
      <c r="A308" s="10" t="s">
        <v>14</v>
      </c>
      <c r="B308" s="19">
        <f>CHAMNORD!B308</f>
        <v>46325</v>
      </c>
      <c r="C308" s="75" t="str">
        <f>IF(H308=0,"",'[4]2025-2026'!C307)</f>
        <v/>
      </c>
      <c r="D308" s="68" t="str">
        <f>'[4]2025'!C308</f>
        <v/>
      </c>
      <c r="E308" s="68" t="str">
        <f>'[4]2025'!D308</f>
        <v/>
      </c>
      <c r="F308" s="12" t="str">
        <f>'[4]2025'!E308</f>
        <v/>
      </c>
      <c r="G308" s="73" t="str">
        <f>'[4]2025'!F308</f>
        <v/>
      </c>
      <c r="H308" s="42">
        <f>'[4]2025'!G308</f>
        <v>0</v>
      </c>
      <c r="I308" s="13">
        <f>'[4]2025'!H308</f>
        <v>0</v>
      </c>
      <c r="J308" s="14">
        <f>'[4]2025'!I308</f>
        <v>0</v>
      </c>
      <c r="K308" s="15">
        <f>'[4]2025'!J308</f>
        <v>0</v>
      </c>
      <c r="L308" s="15">
        <f>'[4]2025'!K308</f>
        <v>0</v>
      </c>
      <c r="M308" s="15">
        <f>'[4]2025'!L308</f>
        <v>0</v>
      </c>
      <c r="N308" s="16" t="str">
        <f t="shared" si="16"/>
        <v/>
      </c>
      <c r="O308" s="17" t="str">
        <f t="shared" si="17"/>
        <v/>
      </c>
      <c r="P308" s="17" t="str">
        <f t="shared" si="17"/>
        <v/>
      </c>
      <c r="Q308" s="18" t="str">
        <f t="shared" si="18"/>
        <v/>
      </c>
      <c r="R308" s="18" t="e">
        <f t="shared" si="19"/>
        <v>#DIV/0!</v>
      </c>
      <c r="S308" s="36" t="s">
        <v>40</v>
      </c>
      <c r="T308" s="48" t="e">
        <f>SUM(I304:I310)/SUM(L304:L310)</f>
        <v>#DIV/0!</v>
      </c>
      <c r="U308" s="1738"/>
      <c r="V308" s="1742"/>
    </row>
    <row r="309" spans="1:22">
      <c r="A309" s="10" t="s">
        <v>15</v>
      </c>
      <c r="B309" s="19">
        <f>CHAMNORD!B309</f>
        <v>46326</v>
      </c>
      <c r="C309" s="75" t="str">
        <f>IF(H309=0,"",'[4]2025-2026'!C308)</f>
        <v/>
      </c>
      <c r="D309" s="68" t="str">
        <f>'[4]2025'!C309</f>
        <v/>
      </c>
      <c r="E309" s="68" t="str">
        <f>'[4]2025'!D309</f>
        <v/>
      </c>
      <c r="F309" s="12" t="str">
        <f>'[4]2025'!E309</f>
        <v/>
      </c>
      <c r="G309" s="73" t="str">
        <f>'[4]2025'!F309</f>
        <v/>
      </c>
      <c r="H309" s="42">
        <f>'[4]2025'!G309</f>
        <v>0</v>
      </c>
      <c r="I309" s="13">
        <f>'[4]2025'!H309</f>
        <v>0</v>
      </c>
      <c r="J309" s="14">
        <f>'[4]2025'!I309</f>
        <v>0</v>
      </c>
      <c r="K309" s="15">
        <f>'[4]2025'!J309</f>
        <v>0</v>
      </c>
      <c r="L309" s="15">
        <f>'[4]2025'!K309</f>
        <v>0</v>
      </c>
      <c r="M309" s="15">
        <f>'[4]2025'!L309</f>
        <v>0</v>
      </c>
      <c r="N309" s="16" t="str">
        <f t="shared" si="16"/>
        <v/>
      </c>
      <c r="O309" s="17" t="str">
        <f t="shared" si="17"/>
        <v/>
      </c>
      <c r="P309" s="17" t="str">
        <f t="shared" si="17"/>
        <v/>
      </c>
      <c r="Q309" s="18" t="str">
        <f t="shared" si="18"/>
        <v/>
      </c>
      <c r="R309" s="18" t="e">
        <f t="shared" si="19"/>
        <v>#DIV/0!</v>
      </c>
      <c r="S309" s="36">
        <f>SUM(J304:J310)</f>
        <v>0</v>
      </c>
      <c r="T309" s="30" t="s">
        <v>3</v>
      </c>
      <c r="U309" s="1738"/>
      <c r="V309" s="1742"/>
    </row>
    <row r="310" spans="1:22" ht="18" thickBot="1">
      <c r="A310" s="10" t="s">
        <v>16</v>
      </c>
      <c r="B310" s="19">
        <f>CHAMNORD!B310</f>
        <v>46327</v>
      </c>
      <c r="C310" s="75" t="str">
        <f>IF(H310=0,"",'[4]2025-2026'!C309)</f>
        <v/>
      </c>
      <c r="D310" s="68" t="str">
        <f>'[4]2025'!C310</f>
        <v/>
      </c>
      <c r="E310" s="68" t="str">
        <f>'[4]2025'!D310</f>
        <v/>
      </c>
      <c r="F310" s="12" t="str">
        <f>'[4]2025'!E310</f>
        <v/>
      </c>
      <c r="G310" s="73" t="str">
        <f>'[4]2025'!F310</f>
        <v/>
      </c>
      <c r="H310" s="42">
        <f>'[4]2025'!G310</f>
        <v>0</v>
      </c>
      <c r="I310" s="13">
        <f>'[4]2025'!H310</f>
        <v>0</v>
      </c>
      <c r="J310" s="14">
        <f>'[4]2025'!I310</f>
        <v>0</v>
      </c>
      <c r="K310" s="15">
        <f>'[4]2025'!J310</f>
        <v>0</v>
      </c>
      <c r="L310" s="15">
        <f>'[4]2025'!K310</f>
        <v>0</v>
      </c>
      <c r="M310" s="15">
        <f>'[4]2025'!L310</f>
        <v>0</v>
      </c>
      <c r="N310" s="16" t="str">
        <f t="shared" si="16"/>
        <v/>
      </c>
      <c r="O310" s="17" t="str">
        <f t="shared" si="17"/>
        <v/>
      </c>
      <c r="P310" s="17" t="str">
        <f t="shared" si="17"/>
        <v/>
      </c>
      <c r="Q310" s="18" t="str">
        <f t="shared" si="18"/>
        <v/>
      </c>
      <c r="R310" s="18" t="e">
        <f t="shared" si="19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  <c r="V310" s="1742"/>
    </row>
    <row r="311" spans="1:22" ht="17" customHeight="1" thickTop="1">
      <c r="A311" s="10" t="s">
        <v>9</v>
      </c>
      <c r="B311" s="19">
        <f>CHAMNORD!B311</f>
        <v>46328</v>
      </c>
      <c r="C311" s="75" t="str">
        <f>IF(H311=0,"",'[4]2025-2026'!C310)</f>
        <v/>
      </c>
      <c r="D311" s="68" t="str">
        <f>'[4]2025'!C311</f>
        <v/>
      </c>
      <c r="E311" s="68" t="str">
        <f>'[4]2025'!D311</f>
        <v/>
      </c>
      <c r="F311" s="12" t="str">
        <f>'[4]2025'!E311</f>
        <v/>
      </c>
      <c r="G311" s="73" t="str">
        <f>'[4]2025'!F311</f>
        <v/>
      </c>
      <c r="H311" s="42">
        <f>'[4]2025'!G311</f>
        <v>0</v>
      </c>
      <c r="I311" s="13">
        <f>'[4]2025'!H311</f>
        <v>0</v>
      </c>
      <c r="J311" s="14">
        <f>'[4]2025'!I311</f>
        <v>0</v>
      </c>
      <c r="K311" s="15">
        <f>'[4]2025'!J311</f>
        <v>0</v>
      </c>
      <c r="L311" s="15">
        <f>'[4]2025'!K311</f>
        <v>0</v>
      </c>
      <c r="M311" s="15">
        <f>'[4]2025'!L311</f>
        <v>0</v>
      </c>
      <c r="N311" s="16" t="str">
        <f t="shared" si="16"/>
        <v/>
      </c>
      <c r="O311" s="17" t="str">
        <f t="shared" si="17"/>
        <v/>
      </c>
      <c r="P311" s="17" t="str">
        <f t="shared" si="17"/>
        <v/>
      </c>
      <c r="Q311" s="18" t="str">
        <f t="shared" si="18"/>
        <v/>
      </c>
      <c r="R311" s="18" t="e">
        <f t="shared" si="19"/>
        <v>#DIV/0!</v>
      </c>
      <c r="S311" s="33" t="s">
        <v>39</v>
      </c>
      <c r="T311" s="31" t="s">
        <v>42</v>
      </c>
      <c r="U311" s="1737" t="s">
        <v>127</v>
      </c>
      <c r="V311" s="1742"/>
    </row>
    <row r="312" spans="1:22">
      <c r="A312" s="10" t="s">
        <v>11</v>
      </c>
      <c r="B312" s="19">
        <f>CHAMNORD!B312</f>
        <v>46329</v>
      </c>
      <c r="C312" s="75" t="str">
        <f>IF(H312=0,"",'[4]2025-2026'!C311)</f>
        <v/>
      </c>
      <c r="D312" s="68" t="str">
        <f>'[4]2025'!C312</f>
        <v/>
      </c>
      <c r="E312" s="68" t="str">
        <f>'[4]2025'!D312</f>
        <v/>
      </c>
      <c r="F312" s="12" t="str">
        <f>'[4]2025'!E312</f>
        <v/>
      </c>
      <c r="G312" s="73" t="str">
        <f>'[4]2025'!F312</f>
        <v/>
      </c>
      <c r="H312" s="42">
        <f>'[4]2025'!G312</f>
        <v>0</v>
      </c>
      <c r="I312" s="13">
        <f>'[4]2025'!H312</f>
        <v>0</v>
      </c>
      <c r="J312" s="14">
        <f>'[4]2025'!I312</f>
        <v>0</v>
      </c>
      <c r="K312" s="15">
        <f>'[4]2025'!J312</f>
        <v>0</v>
      </c>
      <c r="L312" s="15">
        <f>'[4]2025'!K312</f>
        <v>0</v>
      </c>
      <c r="M312" s="15">
        <f>'[4]2025'!L312</f>
        <v>0</v>
      </c>
      <c r="N312" s="16" t="str">
        <f t="shared" si="16"/>
        <v/>
      </c>
      <c r="O312" s="17" t="str">
        <f t="shared" si="17"/>
        <v/>
      </c>
      <c r="P312" s="17" t="str">
        <f t="shared" si="17"/>
        <v/>
      </c>
      <c r="Q312" s="18" t="str">
        <f t="shared" si="18"/>
        <v/>
      </c>
      <c r="R312" s="18" t="e">
        <f t="shared" si="19"/>
        <v>#DIV/0!</v>
      </c>
      <c r="S312" s="34">
        <f>SUM(I311:I317)</f>
        <v>0</v>
      </c>
      <c r="T312" s="45" t="s">
        <v>41</v>
      </c>
      <c r="U312" s="1738"/>
      <c r="V312" s="1742"/>
    </row>
    <row r="313" spans="1:22">
      <c r="A313" s="10" t="s">
        <v>12</v>
      </c>
      <c r="B313" s="19">
        <f>CHAMNORD!B313</f>
        <v>46330</v>
      </c>
      <c r="C313" s="75" t="str">
        <f>IF(H313=0,"",'[4]2025-2026'!C312)</f>
        <v/>
      </c>
      <c r="D313" s="68" t="str">
        <f>'[4]2025'!C313</f>
        <v/>
      </c>
      <c r="E313" s="68" t="str">
        <f>'[4]2025'!D313</f>
        <v/>
      </c>
      <c r="F313" s="12" t="str">
        <f>'[4]2025'!E313</f>
        <v/>
      </c>
      <c r="G313" s="73" t="str">
        <f>'[4]2025'!F313</f>
        <v/>
      </c>
      <c r="H313" s="42">
        <f>'[4]2025'!G313</f>
        <v>0</v>
      </c>
      <c r="I313" s="13">
        <f>'[4]2025'!H313</f>
        <v>0</v>
      </c>
      <c r="J313" s="14">
        <f>'[4]2025'!I313</f>
        <v>0</v>
      </c>
      <c r="K313" s="15">
        <f>'[4]2025'!J313</f>
        <v>0</v>
      </c>
      <c r="L313" s="15">
        <f>'[4]2025'!K313</f>
        <v>0</v>
      </c>
      <c r="M313" s="15">
        <f>'[4]2025'!L313</f>
        <v>0</v>
      </c>
      <c r="N313" s="16" t="str">
        <f t="shared" si="16"/>
        <v/>
      </c>
      <c r="O313" s="17" t="str">
        <f t="shared" si="17"/>
        <v/>
      </c>
      <c r="P313" s="17" t="str">
        <f t="shared" si="17"/>
        <v/>
      </c>
      <c r="Q313" s="18" t="str">
        <f t="shared" si="18"/>
        <v/>
      </c>
      <c r="R313" s="18" t="e">
        <f t="shared" si="19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  <c r="V313" s="1742"/>
    </row>
    <row r="314" spans="1:22">
      <c r="A314" s="10" t="s">
        <v>13</v>
      </c>
      <c r="B314" s="19">
        <f>CHAMNORD!B314</f>
        <v>46331</v>
      </c>
      <c r="C314" s="75" t="str">
        <f>IF(H314=0,"",'[4]2025-2026'!C313)</f>
        <v/>
      </c>
      <c r="D314" s="68" t="str">
        <f>'[4]2025'!C314</f>
        <v/>
      </c>
      <c r="E314" s="68" t="str">
        <f>'[4]2025'!D314</f>
        <v/>
      </c>
      <c r="F314" s="12" t="str">
        <f>'[4]2025'!E314</f>
        <v/>
      </c>
      <c r="G314" s="73" t="str">
        <f>'[4]2025'!F314</f>
        <v/>
      </c>
      <c r="H314" s="42">
        <f>'[4]2025'!G314</f>
        <v>0</v>
      </c>
      <c r="I314" s="13">
        <f>'[4]2025'!H314</f>
        <v>0</v>
      </c>
      <c r="J314" s="14">
        <f>'[4]2025'!I314</f>
        <v>0</v>
      </c>
      <c r="K314" s="15">
        <f>'[4]2025'!J314</f>
        <v>0</v>
      </c>
      <c r="L314" s="15">
        <f>'[4]2025'!K314</f>
        <v>0</v>
      </c>
      <c r="M314" s="15">
        <f>'[4]2025'!L314</f>
        <v>0</v>
      </c>
      <c r="N314" s="16" t="str">
        <f t="shared" si="16"/>
        <v/>
      </c>
      <c r="O314" s="17" t="str">
        <f t="shared" si="17"/>
        <v/>
      </c>
      <c r="P314" s="17" t="str">
        <f t="shared" si="17"/>
        <v/>
      </c>
      <c r="Q314" s="18" t="str">
        <f t="shared" si="18"/>
        <v/>
      </c>
      <c r="R314" s="18" t="e">
        <f t="shared" si="19"/>
        <v>#DIV/0!</v>
      </c>
      <c r="S314" s="34"/>
      <c r="T314" s="29" t="s">
        <v>8</v>
      </c>
      <c r="U314" s="1738"/>
      <c r="V314" s="1742"/>
    </row>
    <row r="315" spans="1:22">
      <c r="A315" s="10" t="s">
        <v>14</v>
      </c>
      <c r="B315" s="19">
        <f>CHAMNORD!B315</f>
        <v>46332</v>
      </c>
      <c r="C315" s="75" t="str">
        <f>IF(H315=0,"",'[4]2025-2026'!C314)</f>
        <v/>
      </c>
      <c r="D315" s="68" t="str">
        <f>'[4]2025'!C315</f>
        <v/>
      </c>
      <c r="E315" s="68" t="str">
        <f>'[4]2025'!D315</f>
        <v/>
      </c>
      <c r="F315" s="12" t="str">
        <f>'[4]2025'!E315</f>
        <v/>
      </c>
      <c r="G315" s="73" t="str">
        <f>'[4]2025'!F315</f>
        <v/>
      </c>
      <c r="H315" s="42">
        <f>'[4]2025'!G315</f>
        <v>0</v>
      </c>
      <c r="I315" s="13">
        <f>'[4]2025'!H315</f>
        <v>0</v>
      </c>
      <c r="J315" s="14">
        <f>'[4]2025'!I315</f>
        <v>0</v>
      </c>
      <c r="K315" s="15">
        <f>'[4]2025'!J315</f>
        <v>0</v>
      </c>
      <c r="L315" s="15">
        <f>'[4]2025'!K315</f>
        <v>0</v>
      </c>
      <c r="M315" s="15">
        <f>'[4]2025'!L315</f>
        <v>0</v>
      </c>
      <c r="N315" s="16" t="str">
        <f t="shared" si="16"/>
        <v/>
      </c>
      <c r="O315" s="17" t="str">
        <f t="shared" si="17"/>
        <v/>
      </c>
      <c r="P315" s="17" t="str">
        <f t="shared" si="17"/>
        <v/>
      </c>
      <c r="Q315" s="18" t="str">
        <f t="shared" si="18"/>
        <v/>
      </c>
      <c r="R315" s="18" t="e">
        <f t="shared" si="19"/>
        <v>#DIV/0!</v>
      </c>
      <c r="S315" s="36" t="s">
        <v>40</v>
      </c>
      <c r="T315" s="48" t="e">
        <f>SUM(I311:I317)/SUM(L311:L317)</f>
        <v>#DIV/0!</v>
      </c>
      <c r="U315" s="1738"/>
      <c r="V315" s="1742"/>
    </row>
    <row r="316" spans="1:22">
      <c r="A316" s="10" t="s">
        <v>15</v>
      </c>
      <c r="B316" s="19">
        <f>CHAMNORD!B316</f>
        <v>46333</v>
      </c>
      <c r="C316" s="75" t="str">
        <f>IF(H316=0,"",'[4]2025-2026'!C315)</f>
        <v/>
      </c>
      <c r="D316" s="68" t="str">
        <f>'[4]2025'!C316</f>
        <v/>
      </c>
      <c r="E316" s="68" t="str">
        <f>'[4]2025'!D316</f>
        <v/>
      </c>
      <c r="F316" s="12" t="str">
        <f>'[4]2025'!E316</f>
        <v/>
      </c>
      <c r="G316" s="73" t="str">
        <f>'[4]2025'!F316</f>
        <v/>
      </c>
      <c r="H316" s="42">
        <f>'[4]2025'!G316</f>
        <v>0</v>
      </c>
      <c r="I316" s="13">
        <f>'[4]2025'!H316</f>
        <v>0</v>
      </c>
      <c r="J316" s="14">
        <f>'[4]2025'!I316</f>
        <v>0</v>
      </c>
      <c r="K316" s="15">
        <f>'[4]2025'!J316</f>
        <v>0</v>
      </c>
      <c r="L316" s="15">
        <f>'[4]2025'!K316</f>
        <v>0</v>
      </c>
      <c r="M316" s="15">
        <f>'[4]2025'!L316</f>
        <v>0</v>
      </c>
      <c r="N316" s="16" t="str">
        <f t="shared" si="16"/>
        <v/>
      </c>
      <c r="O316" s="17" t="str">
        <f t="shared" si="17"/>
        <v/>
      </c>
      <c r="P316" s="17" t="str">
        <f t="shared" si="17"/>
        <v/>
      </c>
      <c r="Q316" s="18" t="str">
        <f t="shared" si="18"/>
        <v/>
      </c>
      <c r="R316" s="18" t="e">
        <f t="shared" si="19"/>
        <v>#DIV/0!</v>
      </c>
      <c r="S316" s="36">
        <f>SUM(J311:J317)</f>
        <v>0</v>
      </c>
      <c r="T316" s="30" t="s">
        <v>3</v>
      </c>
      <c r="U316" s="1738"/>
      <c r="V316" s="1742"/>
    </row>
    <row r="317" spans="1:22" ht="18" thickBot="1">
      <c r="A317" s="10" t="s">
        <v>16</v>
      </c>
      <c r="B317" s="19">
        <f>CHAMNORD!B317</f>
        <v>46334</v>
      </c>
      <c r="C317" s="75" t="str">
        <f>IF(H317=0,"",'[4]2025-2026'!C316)</f>
        <v/>
      </c>
      <c r="D317" s="68" t="str">
        <f>'[4]2025'!C317</f>
        <v/>
      </c>
      <c r="E317" s="68" t="str">
        <f>'[4]2025'!D317</f>
        <v/>
      </c>
      <c r="F317" s="12" t="str">
        <f>'[4]2025'!E317</f>
        <v/>
      </c>
      <c r="G317" s="73" t="str">
        <f>'[4]2025'!F317</f>
        <v/>
      </c>
      <c r="H317" s="42">
        <f>'[4]2025'!G317</f>
        <v>0</v>
      </c>
      <c r="I317" s="13">
        <f>'[4]2025'!H317</f>
        <v>0</v>
      </c>
      <c r="J317" s="14">
        <f>'[4]2025'!I317</f>
        <v>0</v>
      </c>
      <c r="K317" s="15">
        <f>'[4]2025'!J317</f>
        <v>0</v>
      </c>
      <c r="L317" s="15">
        <f>'[4]2025'!K317</f>
        <v>0</v>
      </c>
      <c r="M317" s="15">
        <f>'[4]2025'!L317</f>
        <v>0</v>
      </c>
      <c r="N317" s="16" t="str">
        <f t="shared" si="16"/>
        <v/>
      </c>
      <c r="O317" s="17" t="str">
        <f t="shared" si="17"/>
        <v/>
      </c>
      <c r="P317" s="17" t="str">
        <f t="shared" si="17"/>
        <v/>
      </c>
      <c r="Q317" s="18" t="str">
        <f t="shared" si="18"/>
        <v/>
      </c>
      <c r="R317" s="18" t="e">
        <f t="shared" si="19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  <c r="V317" s="1742"/>
    </row>
    <row r="318" spans="1:22" ht="17" customHeight="1" thickTop="1">
      <c r="A318" s="10" t="s">
        <v>9</v>
      </c>
      <c r="B318" s="19">
        <f>CHAMNORD!B318</f>
        <v>46335</v>
      </c>
      <c r="C318" s="75" t="str">
        <f>IF(H318=0,"",'[4]2025-2026'!C317)</f>
        <v/>
      </c>
      <c r="D318" s="68" t="str">
        <f>'[4]2025'!C318</f>
        <v/>
      </c>
      <c r="E318" s="68" t="str">
        <f>'[4]2025'!D318</f>
        <v/>
      </c>
      <c r="F318" s="12" t="str">
        <f>'[4]2025'!E318</f>
        <v/>
      </c>
      <c r="G318" s="73" t="str">
        <f>'[4]2025'!F318</f>
        <v/>
      </c>
      <c r="H318" s="42">
        <f>'[4]2025'!G318</f>
        <v>0</v>
      </c>
      <c r="I318" s="13">
        <f>'[4]2025'!H318</f>
        <v>0</v>
      </c>
      <c r="J318" s="14">
        <f>'[4]2025'!I318</f>
        <v>0</v>
      </c>
      <c r="K318" s="15">
        <f>'[4]2025'!J318</f>
        <v>0</v>
      </c>
      <c r="L318" s="15">
        <f>'[4]2025'!K318</f>
        <v>0</v>
      </c>
      <c r="M318" s="15">
        <f>'[4]2025'!L318</f>
        <v>0</v>
      </c>
      <c r="N318" s="16" t="str">
        <f t="shared" si="16"/>
        <v/>
      </c>
      <c r="O318" s="17" t="str">
        <f t="shared" si="17"/>
        <v/>
      </c>
      <c r="P318" s="17" t="str">
        <f t="shared" si="17"/>
        <v/>
      </c>
      <c r="Q318" s="18" t="str">
        <f t="shared" si="18"/>
        <v/>
      </c>
      <c r="R318" s="18" t="e">
        <f t="shared" si="19"/>
        <v>#DIV/0!</v>
      </c>
      <c r="S318" s="33" t="s">
        <v>39</v>
      </c>
      <c r="T318" s="31" t="s">
        <v>42</v>
      </c>
      <c r="U318" s="1737" t="s">
        <v>128</v>
      </c>
      <c r="V318" s="1742"/>
    </row>
    <row r="319" spans="1:22">
      <c r="A319" s="10" t="s">
        <v>11</v>
      </c>
      <c r="B319" s="19">
        <f>CHAMNORD!B319</f>
        <v>46336</v>
      </c>
      <c r="C319" s="75" t="str">
        <f>IF(H319=0,"",'[4]2025-2026'!C318)</f>
        <v/>
      </c>
      <c r="D319" s="68" t="str">
        <f>'[4]2025'!C319</f>
        <v/>
      </c>
      <c r="E319" s="68" t="str">
        <f>'[4]2025'!D319</f>
        <v/>
      </c>
      <c r="F319" s="12" t="str">
        <f>'[4]2025'!E319</f>
        <v/>
      </c>
      <c r="G319" s="73" t="str">
        <f>'[4]2025'!F319</f>
        <v/>
      </c>
      <c r="H319" s="42">
        <f>'[4]2025'!G319</f>
        <v>0</v>
      </c>
      <c r="I319" s="13">
        <f>'[4]2025'!H319</f>
        <v>0</v>
      </c>
      <c r="J319" s="14">
        <f>'[4]2025'!I319</f>
        <v>0</v>
      </c>
      <c r="K319" s="15">
        <f>'[4]2025'!J319</f>
        <v>0</v>
      </c>
      <c r="L319" s="15">
        <f>'[4]2025'!K319</f>
        <v>0</v>
      </c>
      <c r="M319" s="15">
        <f>'[4]2025'!L319</f>
        <v>0</v>
      </c>
      <c r="N319" s="16" t="str">
        <f t="shared" si="16"/>
        <v/>
      </c>
      <c r="O319" s="17" t="str">
        <f t="shared" si="17"/>
        <v/>
      </c>
      <c r="P319" s="17" t="str">
        <f t="shared" si="17"/>
        <v/>
      </c>
      <c r="Q319" s="18" t="str">
        <f t="shared" si="18"/>
        <v/>
      </c>
      <c r="R319" s="18" t="e">
        <f t="shared" si="19"/>
        <v>#DIV/0!</v>
      </c>
      <c r="S319" s="34">
        <f>SUM(I318:I324)</f>
        <v>0</v>
      </c>
      <c r="T319" s="45" t="s">
        <v>41</v>
      </c>
      <c r="U319" s="1738"/>
      <c r="V319" s="1742"/>
    </row>
    <row r="320" spans="1:22">
      <c r="A320" s="10" t="s">
        <v>12</v>
      </c>
      <c r="B320" s="19">
        <f>CHAMNORD!B320</f>
        <v>46337</v>
      </c>
      <c r="C320" s="75" t="str">
        <f>IF(H320=0,"",'[4]2025-2026'!C319)</f>
        <v/>
      </c>
      <c r="D320" s="68" t="str">
        <f>'[4]2025'!C320</f>
        <v/>
      </c>
      <c r="E320" s="68" t="str">
        <f>'[4]2025'!D320</f>
        <v/>
      </c>
      <c r="F320" s="12" t="str">
        <f>'[4]2025'!E320</f>
        <v/>
      </c>
      <c r="G320" s="73" t="str">
        <f>'[4]2025'!F320</f>
        <v/>
      </c>
      <c r="H320" s="42">
        <f>'[4]2025'!G320</f>
        <v>0</v>
      </c>
      <c r="I320" s="13">
        <f>'[4]2025'!H320</f>
        <v>0</v>
      </c>
      <c r="J320" s="14">
        <f>'[4]2025'!I320</f>
        <v>0</v>
      </c>
      <c r="K320" s="15">
        <f>'[4]2025'!J320</f>
        <v>0</v>
      </c>
      <c r="L320" s="15">
        <f>'[4]2025'!K320</f>
        <v>0</v>
      </c>
      <c r="M320" s="15">
        <f>'[4]2025'!L320</f>
        <v>0</v>
      </c>
      <c r="N320" s="16" t="str">
        <f t="shared" si="16"/>
        <v/>
      </c>
      <c r="O320" s="17" t="str">
        <f t="shared" si="17"/>
        <v/>
      </c>
      <c r="P320" s="17" t="str">
        <f t="shared" si="17"/>
        <v/>
      </c>
      <c r="Q320" s="18" t="str">
        <f t="shared" si="18"/>
        <v/>
      </c>
      <c r="R320" s="18" t="e">
        <f t="shared" si="19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  <c r="V320" s="1742"/>
    </row>
    <row r="321" spans="1:22">
      <c r="A321" s="10" t="s">
        <v>13</v>
      </c>
      <c r="B321" s="19">
        <f>CHAMNORD!B321</f>
        <v>46338</v>
      </c>
      <c r="C321" s="75" t="str">
        <f>IF(H321=0,"",'[4]2025-2026'!C320)</f>
        <v/>
      </c>
      <c r="D321" s="68" t="str">
        <f>'[4]2025'!C321</f>
        <v/>
      </c>
      <c r="E321" s="68" t="str">
        <f>'[4]2025'!D321</f>
        <v/>
      </c>
      <c r="F321" s="12" t="str">
        <f>'[4]2025'!E321</f>
        <v/>
      </c>
      <c r="G321" s="73" t="str">
        <f>'[4]2025'!F321</f>
        <v/>
      </c>
      <c r="H321" s="42">
        <f>'[4]2025'!G321</f>
        <v>0</v>
      </c>
      <c r="I321" s="13">
        <f>'[4]2025'!H321</f>
        <v>0</v>
      </c>
      <c r="J321" s="14">
        <f>'[4]2025'!I321</f>
        <v>0</v>
      </c>
      <c r="K321" s="15">
        <f>'[4]2025'!J321</f>
        <v>0</v>
      </c>
      <c r="L321" s="15">
        <f>'[4]2025'!K321</f>
        <v>0</v>
      </c>
      <c r="M321" s="15">
        <f>'[4]2025'!L321</f>
        <v>0</v>
      </c>
      <c r="N321" s="16" t="str">
        <f t="shared" si="16"/>
        <v/>
      </c>
      <c r="O321" s="17" t="str">
        <f t="shared" si="17"/>
        <v/>
      </c>
      <c r="P321" s="17" t="str">
        <f t="shared" si="17"/>
        <v/>
      </c>
      <c r="Q321" s="18" t="str">
        <f t="shared" si="18"/>
        <v/>
      </c>
      <c r="R321" s="18" t="e">
        <f t="shared" si="19"/>
        <v>#DIV/0!</v>
      </c>
      <c r="S321" s="34"/>
      <c r="T321" s="29" t="s">
        <v>8</v>
      </c>
      <c r="U321" s="1738"/>
      <c r="V321" s="1742"/>
    </row>
    <row r="322" spans="1:22">
      <c r="A322" s="10" t="s">
        <v>14</v>
      </c>
      <c r="B322" s="19">
        <f>CHAMNORD!B322</f>
        <v>46339</v>
      </c>
      <c r="C322" s="75" t="str">
        <f>IF(H322=0,"",'[4]2025-2026'!C321)</f>
        <v/>
      </c>
      <c r="D322" s="68" t="str">
        <f>'[4]2025'!C322</f>
        <v/>
      </c>
      <c r="E322" s="68" t="str">
        <f>'[4]2025'!D322</f>
        <v/>
      </c>
      <c r="F322" s="12" t="str">
        <f>'[4]2025'!E322</f>
        <v/>
      </c>
      <c r="G322" s="73" t="str">
        <f>'[4]2025'!F322</f>
        <v/>
      </c>
      <c r="H322" s="42">
        <f>'[4]2025'!G322</f>
        <v>0</v>
      </c>
      <c r="I322" s="13">
        <f>'[4]2025'!H322</f>
        <v>0</v>
      </c>
      <c r="J322" s="14">
        <f>'[4]2025'!I322</f>
        <v>0</v>
      </c>
      <c r="K322" s="15">
        <f>'[4]2025'!J322</f>
        <v>0</v>
      </c>
      <c r="L322" s="15">
        <f>'[4]2025'!K322</f>
        <v>0</v>
      </c>
      <c r="M322" s="15">
        <f>'[4]2025'!L322</f>
        <v>0</v>
      </c>
      <c r="N322" s="16" t="str">
        <f t="shared" si="16"/>
        <v/>
      </c>
      <c r="O322" s="17" t="str">
        <f t="shared" si="17"/>
        <v/>
      </c>
      <c r="P322" s="17" t="str">
        <f t="shared" si="17"/>
        <v/>
      </c>
      <c r="Q322" s="18" t="str">
        <f t="shared" si="18"/>
        <v/>
      </c>
      <c r="R322" s="18" t="e">
        <f t="shared" si="19"/>
        <v>#DIV/0!</v>
      </c>
      <c r="S322" s="36" t="s">
        <v>40</v>
      </c>
      <c r="T322" s="48" t="e">
        <f>SUM(I318:I324)/SUM(L318:L324)</f>
        <v>#DIV/0!</v>
      </c>
      <c r="U322" s="1738"/>
      <c r="V322" s="1742"/>
    </row>
    <row r="323" spans="1:22">
      <c r="A323" s="10" t="s">
        <v>15</v>
      </c>
      <c r="B323" s="19">
        <f>CHAMNORD!B323</f>
        <v>46340</v>
      </c>
      <c r="C323" s="75" t="str">
        <f>IF(H323=0,"",'[4]2025-2026'!C322)</f>
        <v/>
      </c>
      <c r="D323" s="68" t="str">
        <f>'[4]2025'!C323</f>
        <v/>
      </c>
      <c r="E323" s="68" t="str">
        <f>'[4]2025'!D323</f>
        <v/>
      </c>
      <c r="F323" s="12" t="str">
        <f>'[4]2025'!E323</f>
        <v/>
      </c>
      <c r="G323" s="73" t="str">
        <f>'[4]2025'!F323</f>
        <v/>
      </c>
      <c r="H323" s="42">
        <f>'[4]2025'!G323</f>
        <v>0</v>
      </c>
      <c r="I323" s="13">
        <f>'[4]2025'!H323</f>
        <v>0</v>
      </c>
      <c r="J323" s="14">
        <f>'[4]2025'!I323</f>
        <v>0</v>
      </c>
      <c r="K323" s="15">
        <f>'[4]2025'!J323</f>
        <v>0</v>
      </c>
      <c r="L323" s="15">
        <f>'[4]2025'!K323</f>
        <v>0</v>
      </c>
      <c r="M323" s="15">
        <f>'[4]2025'!L323</f>
        <v>0</v>
      </c>
      <c r="N323" s="16" t="str">
        <f t="shared" si="16"/>
        <v/>
      </c>
      <c r="O323" s="17" t="str">
        <f t="shared" si="17"/>
        <v/>
      </c>
      <c r="P323" s="17" t="str">
        <f t="shared" si="17"/>
        <v/>
      </c>
      <c r="Q323" s="18" t="str">
        <f t="shared" si="18"/>
        <v/>
      </c>
      <c r="R323" s="18" t="e">
        <f t="shared" si="19"/>
        <v>#DIV/0!</v>
      </c>
      <c r="S323" s="36">
        <f>SUM(J318:J324)</f>
        <v>0</v>
      </c>
      <c r="T323" s="30" t="s">
        <v>3</v>
      </c>
      <c r="U323" s="1738"/>
      <c r="V323" s="1742"/>
    </row>
    <row r="324" spans="1:22" ht="18" thickBot="1">
      <c r="A324" s="10" t="s">
        <v>16</v>
      </c>
      <c r="B324" s="19">
        <f>CHAMNORD!B324</f>
        <v>46341</v>
      </c>
      <c r="C324" s="75" t="str">
        <f>IF(H324=0,"",'[4]2025-2026'!C323)</f>
        <v/>
      </c>
      <c r="D324" s="68" t="str">
        <f>'[4]2025'!C324</f>
        <v/>
      </c>
      <c r="E324" s="68" t="str">
        <f>'[4]2025'!D324</f>
        <v/>
      </c>
      <c r="F324" s="12" t="str">
        <f>'[4]2025'!E324</f>
        <v/>
      </c>
      <c r="G324" s="73" t="str">
        <f>'[4]2025'!F324</f>
        <v/>
      </c>
      <c r="H324" s="42">
        <f>'[4]2025'!G324</f>
        <v>0</v>
      </c>
      <c r="I324" s="13">
        <f>'[4]2025'!H324</f>
        <v>0</v>
      </c>
      <c r="J324" s="14">
        <f>'[4]2025'!I324</f>
        <v>0</v>
      </c>
      <c r="K324" s="15">
        <f>'[4]2025'!J324</f>
        <v>0</v>
      </c>
      <c r="L324" s="15">
        <f>'[4]2025'!K324</f>
        <v>0</v>
      </c>
      <c r="M324" s="15">
        <f>'[4]2025'!L324</f>
        <v>0</v>
      </c>
      <c r="N324" s="16" t="str">
        <f t="shared" ref="N324:N368" si="20">IF(M324=0,"",M324/I324)</f>
        <v/>
      </c>
      <c r="O324" s="17" t="str">
        <f t="shared" ref="O324:P368" si="21">IF(I324=0,"",(I324-E324)/E324)</f>
        <v/>
      </c>
      <c r="P324" s="17" t="str">
        <f t="shared" si="21"/>
        <v/>
      </c>
      <c r="Q324" s="18" t="str">
        <f t="shared" ref="Q324:Q368" si="22">IF(I324=0,"",I324/K324)</f>
        <v/>
      </c>
      <c r="R324" s="18" t="e">
        <f t="shared" ref="R324:R368" si="23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  <c r="V324" s="1742"/>
    </row>
    <row r="325" spans="1:22" ht="17" customHeight="1" thickTop="1">
      <c r="A325" s="10" t="s">
        <v>9</v>
      </c>
      <c r="B325" s="19">
        <f>CHAMNORD!B325</f>
        <v>46342</v>
      </c>
      <c r="C325" s="75" t="str">
        <f>IF(H325=0,"",'[4]2025-2026'!C324)</f>
        <v/>
      </c>
      <c r="D325" s="68" t="str">
        <f>'[4]2025'!C325</f>
        <v/>
      </c>
      <c r="E325" s="68" t="str">
        <f>'[4]2025'!D325</f>
        <v/>
      </c>
      <c r="F325" s="12" t="str">
        <f>'[4]2025'!E325</f>
        <v/>
      </c>
      <c r="G325" s="73" t="str">
        <f>'[4]2025'!F325</f>
        <v/>
      </c>
      <c r="H325" s="42">
        <f>'[4]2025'!G325</f>
        <v>0</v>
      </c>
      <c r="I325" s="13">
        <f>'[4]2025'!H325</f>
        <v>0</v>
      </c>
      <c r="J325" s="14">
        <f>'[4]2025'!I325</f>
        <v>0</v>
      </c>
      <c r="K325" s="15">
        <f>'[4]2025'!J325</f>
        <v>0</v>
      </c>
      <c r="L325" s="15">
        <f>'[4]2025'!K325</f>
        <v>0</v>
      </c>
      <c r="M325" s="15">
        <f>'[4]2025'!L325</f>
        <v>0</v>
      </c>
      <c r="N325" s="16" t="str">
        <f t="shared" si="20"/>
        <v/>
      </c>
      <c r="O325" s="17" t="str">
        <f t="shared" si="21"/>
        <v/>
      </c>
      <c r="P325" s="17" t="str">
        <f t="shared" si="21"/>
        <v/>
      </c>
      <c r="Q325" s="18" t="str">
        <f t="shared" si="22"/>
        <v/>
      </c>
      <c r="R325" s="18" t="e">
        <f t="shared" si="23"/>
        <v>#DIV/0!</v>
      </c>
      <c r="S325" s="33" t="s">
        <v>39</v>
      </c>
      <c r="T325" s="31" t="s">
        <v>42</v>
      </c>
      <c r="U325" s="1737" t="s">
        <v>129</v>
      </c>
      <c r="V325" s="1742"/>
    </row>
    <row r="326" spans="1:22">
      <c r="A326" s="10" t="s">
        <v>11</v>
      </c>
      <c r="B326" s="19">
        <f>CHAMNORD!B326</f>
        <v>46343</v>
      </c>
      <c r="C326" s="75" t="str">
        <f>IF(H326=0,"",'[4]2025-2026'!C325)</f>
        <v/>
      </c>
      <c r="D326" s="68" t="str">
        <f>'[4]2025'!C326</f>
        <v/>
      </c>
      <c r="E326" s="68" t="str">
        <f>'[4]2025'!D326</f>
        <v/>
      </c>
      <c r="F326" s="12" t="str">
        <f>'[4]2025'!E326</f>
        <v/>
      </c>
      <c r="G326" s="73" t="str">
        <f>'[4]2025'!F326</f>
        <v/>
      </c>
      <c r="H326" s="42">
        <f>'[4]2025'!G326</f>
        <v>0</v>
      </c>
      <c r="I326" s="13">
        <f>'[4]2025'!H326</f>
        <v>0</v>
      </c>
      <c r="J326" s="14">
        <f>'[4]2025'!I326</f>
        <v>0</v>
      </c>
      <c r="K326" s="15">
        <f>'[4]2025'!J326</f>
        <v>0</v>
      </c>
      <c r="L326" s="15">
        <f>'[4]2025'!K326</f>
        <v>0</v>
      </c>
      <c r="M326" s="15">
        <f>'[4]2025'!L326</f>
        <v>0</v>
      </c>
      <c r="N326" s="16" t="str">
        <f t="shared" si="20"/>
        <v/>
      </c>
      <c r="O326" s="17" t="str">
        <f t="shared" si="21"/>
        <v/>
      </c>
      <c r="P326" s="17" t="str">
        <f t="shared" si="21"/>
        <v/>
      </c>
      <c r="Q326" s="18" t="str">
        <f t="shared" si="22"/>
        <v/>
      </c>
      <c r="R326" s="18" t="e">
        <f t="shared" si="23"/>
        <v>#DIV/0!</v>
      </c>
      <c r="S326" s="34">
        <f>SUM(I325:I331)</f>
        <v>0</v>
      </c>
      <c r="T326" s="45" t="s">
        <v>41</v>
      </c>
      <c r="U326" s="1738"/>
      <c r="V326" s="1742"/>
    </row>
    <row r="327" spans="1:22">
      <c r="A327" s="10" t="s">
        <v>12</v>
      </c>
      <c r="B327" s="19">
        <f>CHAMNORD!B327</f>
        <v>46344</v>
      </c>
      <c r="C327" s="75" t="str">
        <f>IF(H327=0,"",'[4]2025-2026'!C326)</f>
        <v/>
      </c>
      <c r="D327" s="68" t="str">
        <f>'[4]2025'!C327</f>
        <v/>
      </c>
      <c r="E327" s="68" t="str">
        <f>'[4]2025'!D327</f>
        <v/>
      </c>
      <c r="F327" s="12" t="str">
        <f>'[4]2025'!E327</f>
        <v/>
      </c>
      <c r="G327" s="73" t="str">
        <f>'[4]2025'!F327</f>
        <v/>
      </c>
      <c r="H327" s="42">
        <f>'[4]2025'!G327</f>
        <v>0</v>
      </c>
      <c r="I327" s="13">
        <f>'[4]2025'!H327</f>
        <v>0</v>
      </c>
      <c r="J327" s="14">
        <f>'[4]2025'!I327</f>
        <v>0</v>
      </c>
      <c r="K327" s="15">
        <f>'[4]2025'!J327</f>
        <v>0</v>
      </c>
      <c r="L327" s="15">
        <f>'[4]2025'!K327</f>
        <v>0</v>
      </c>
      <c r="M327" s="15">
        <f>'[4]2025'!L327</f>
        <v>0</v>
      </c>
      <c r="N327" s="16" t="str">
        <f t="shared" si="20"/>
        <v/>
      </c>
      <c r="O327" s="17" t="str">
        <f t="shared" si="21"/>
        <v/>
      </c>
      <c r="P327" s="17" t="str">
        <f t="shared" si="21"/>
        <v/>
      </c>
      <c r="Q327" s="18" t="str">
        <f t="shared" si="22"/>
        <v/>
      </c>
      <c r="R327" s="18" t="e">
        <f t="shared" si="23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  <c r="V327" s="1742"/>
    </row>
    <row r="328" spans="1:22">
      <c r="A328" s="10" t="s">
        <v>13</v>
      </c>
      <c r="B328" s="19">
        <f>CHAMNORD!B328</f>
        <v>46345</v>
      </c>
      <c r="C328" s="75" t="str">
        <f>IF(H328=0,"",'[4]2025-2026'!C327)</f>
        <v/>
      </c>
      <c r="D328" s="68" t="str">
        <f>'[4]2025'!C328</f>
        <v/>
      </c>
      <c r="E328" s="68" t="str">
        <f>'[4]2025'!D328</f>
        <v/>
      </c>
      <c r="F328" s="12" t="str">
        <f>'[4]2025'!E328</f>
        <v/>
      </c>
      <c r="G328" s="73" t="str">
        <f>'[4]2025'!F328</f>
        <v/>
      </c>
      <c r="H328" s="42">
        <f>'[4]2025'!G328</f>
        <v>0</v>
      </c>
      <c r="I328" s="13">
        <f>'[4]2025'!H328</f>
        <v>0</v>
      </c>
      <c r="J328" s="14">
        <f>'[4]2025'!I328</f>
        <v>0</v>
      </c>
      <c r="K328" s="15">
        <f>'[4]2025'!J328</f>
        <v>0</v>
      </c>
      <c r="L328" s="15">
        <f>'[4]2025'!K328</f>
        <v>0</v>
      </c>
      <c r="M328" s="15">
        <f>'[4]2025'!L328</f>
        <v>0</v>
      </c>
      <c r="N328" s="16" t="str">
        <f t="shared" si="20"/>
        <v/>
      </c>
      <c r="O328" s="17" t="str">
        <f t="shared" si="21"/>
        <v/>
      </c>
      <c r="P328" s="17" t="str">
        <f t="shared" si="21"/>
        <v/>
      </c>
      <c r="Q328" s="18" t="str">
        <f t="shared" si="22"/>
        <v/>
      </c>
      <c r="R328" s="18" t="e">
        <f t="shared" si="23"/>
        <v>#DIV/0!</v>
      </c>
      <c r="S328" s="34"/>
      <c r="T328" s="29" t="s">
        <v>8</v>
      </c>
      <c r="U328" s="1738"/>
      <c r="V328" s="1742"/>
    </row>
    <row r="329" spans="1:22">
      <c r="A329" s="10" t="s">
        <v>14</v>
      </c>
      <c r="B329" s="19">
        <f>CHAMNORD!B329</f>
        <v>46346</v>
      </c>
      <c r="C329" s="75" t="str">
        <f>IF(H329=0,"",'[4]2025-2026'!C328)</f>
        <v/>
      </c>
      <c r="D329" s="68" t="str">
        <f>'[4]2025'!C329</f>
        <v/>
      </c>
      <c r="E329" s="68" t="str">
        <f>'[4]2025'!D329</f>
        <v/>
      </c>
      <c r="F329" s="12" t="str">
        <f>'[4]2025'!E329</f>
        <v/>
      </c>
      <c r="G329" s="73" t="str">
        <f>'[4]2025'!F329</f>
        <v/>
      </c>
      <c r="H329" s="42">
        <f>'[4]2025'!G329</f>
        <v>0</v>
      </c>
      <c r="I329" s="13">
        <f>'[4]2025'!H329</f>
        <v>0</v>
      </c>
      <c r="J329" s="14">
        <f>'[4]2025'!I329</f>
        <v>0</v>
      </c>
      <c r="K329" s="15">
        <f>'[4]2025'!J329</f>
        <v>0</v>
      </c>
      <c r="L329" s="15">
        <f>'[4]2025'!K329</f>
        <v>0</v>
      </c>
      <c r="M329" s="15">
        <f>'[4]2025'!L329</f>
        <v>0</v>
      </c>
      <c r="N329" s="16" t="str">
        <f t="shared" si="20"/>
        <v/>
      </c>
      <c r="O329" s="17" t="str">
        <f t="shared" si="21"/>
        <v/>
      </c>
      <c r="P329" s="17" t="str">
        <f t="shared" si="21"/>
        <v/>
      </c>
      <c r="Q329" s="18" t="str">
        <f t="shared" si="22"/>
        <v/>
      </c>
      <c r="R329" s="18" t="e">
        <f t="shared" si="23"/>
        <v>#DIV/0!</v>
      </c>
      <c r="S329" s="36" t="s">
        <v>40</v>
      </c>
      <c r="T329" s="48" t="e">
        <f>SUM(I325:I331)/SUM(L325:L331)</f>
        <v>#DIV/0!</v>
      </c>
      <c r="U329" s="1738"/>
      <c r="V329" s="1742"/>
    </row>
    <row r="330" spans="1:22">
      <c r="A330" s="10" t="s">
        <v>15</v>
      </c>
      <c r="B330" s="19">
        <f>CHAMNORD!B330</f>
        <v>46347</v>
      </c>
      <c r="C330" s="75" t="str">
        <f>IF(H330=0,"",'[4]2025-2026'!C329)</f>
        <v/>
      </c>
      <c r="D330" s="68" t="str">
        <f>'[4]2025'!C330</f>
        <v/>
      </c>
      <c r="E330" s="68" t="str">
        <f>'[4]2025'!D330</f>
        <v/>
      </c>
      <c r="F330" s="12" t="str">
        <f>'[4]2025'!E330</f>
        <v/>
      </c>
      <c r="G330" s="73" t="str">
        <f>'[4]2025'!F330</f>
        <v/>
      </c>
      <c r="H330" s="42">
        <f>'[4]2025'!G330</f>
        <v>0</v>
      </c>
      <c r="I330" s="13">
        <f>'[4]2025'!H330</f>
        <v>0</v>
      </c>
      <c r="J330" s="14">
        <f>'[4]2025'!I330</f>
        <v>0</v>
      </c>
      <c r="K330" s="15">
        <f>'[4]2025'!J330</f>
        <v>0</v>
      </c>
      <c r="L330" s="15">
        <f>'[4]2025'!K330</f>
        <v>0</v>
      </c>
      <c r="M330" s="15">
        <f>'[4]2025'!L330</f>
        <v>0</v>
      </c>
      <c r="N330" s="16" t="str">
        <f t="shared" si="20"/>
        <v/>
      </c>
      <c r="O330" s="17" t="str">
        <f t="shared" si="21"/>
        <v/>
      </c>
      <c r="P330" s="17" t="str">
        <f t="shared" si="21"/>
        <v/>
      </c>
      <c r="Q330" s="18" t="str">
        <f t="shared" si="22"/>
        <v/>
      </c>
      <c r="R330" s="18" t="e">
        <f t="shared" si="23"/>
        <v>#DIV/0!</v>
      </c>
      <c r="S330" s="36">
        <f>SUM(J325:J331)</f>
        <v>0</v>
      </c>
      <c r="T330" s="30" t="s">
        <v>3</v>
      </c>
      <c r="U330" s="1738"/>
      <c r="V330" s="1742"/>
    </row>
    <row r="331" spans="1:22" ht="18" thickBot="1">
      <c r="A331" s="10" t="s">
        <v>16</v>
      </c>
      <c r="B331" s="19">
        <f>CHAMNORD!B331</f>
        <v>46348</v>
      </c>
      <c r="C331" s="75" t="str">
        <f>IF(H331=0,"",'[4]2025-2026'!C330)</f>
        <v/>
      </c>
      <c r="D331" s="68" t="str">
        <f>'[4]2025'!C331</f>
        <v/>
      </c>
      <c r="E331" s="68" t="str">
        <f>'[4]2025'!D331</f>
        <v/>
      </c>
      <c r="F331" s="12" t="str">
        <f>'[4]2025'!E331</f>
        <v/>
      </c>
      <c r="G331" s="73" t="str">
        <f>'[4]2025'!F331</f>
        <v/>
      </c>
      <c r="H331" s="42">
        <f>'[4]2025'!G331</f>
        <v>0</v>
      </c>
      <c r="I331" s="13">
        <f>'[4]2025'!H331</f>
        <v>0</v>
      </c>
      <c r="J331" s="14">
        <f>'[4]2025'!I331</f>
        <v>0</v>
      </c>
      <c r="K331" s="15">
        <f>'[4]2025'!J331</f>
        <v>0</v>
      </c>
      <c r="L331" s="15">
        <f>'[4]2025'!K331</f>
        <v>0</v>
      </c>
      <c r="M331" s="15">
        <f>'[4]2025'!L331</f>
        <v>0</v>
      </c>
      <c r="N331" s="16" t="str">
        <f t="shared" si="20"/>
        <v/>
      </c>
      <c r="O331" s="17" t="str">
        <f t="shared" si="21"/>
        <v/>
      </c>
      <c r="P331" s="17" t="str">
        <f t="shared" si="21"/>
        <v/>
      </c>
      <c r="Q331" s="18" t="str">
        <f t="shared" si="22"/>
        <v/>
      </c>
      <c r="R331" s="18" t="e">
        <f t="shared" si="23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  <c r="V331" s="1742"/>
    </row>
    <row r="332" spans="1:22" ht="17" customHeight="1" thickTop="1">
      <c r="A332" s="10" t="s">
        <v>9</v>
      </c>
      <c r="B332" s="19">
        <f>CHAMNORD!B332</f>
        <v>46349</v>
      </c>
      <c r="C332" s="75" t="str">
        <f>IF(H332=0,"",'[4]2025-2026'!C331)</f>
        <v/>
      </c>
      <c r="D332" s="68" t="str">
        <f>'[4]2025'!C332</f>
        <v/>
      </c>
      <c r="E332" s="68" t="str">
        <f>'[4]2025'!D332</f>
        <v/>
      </c>
      <c r="F332" s="12" t="str">
        <f>'[4]2025'!E332</f>
        <v/>
      </c>
      <c r="G332" s="73" t="str">
        <f>'[4]2025'!F332</f>
        <v/>
      </c>
      <c r="H332" s="42">
        <f>'[4]2025'!G332</f>
        <v>0</v>
      </c>
      <c r="I332" s="13">
        <f>'[4]2025'!H332</f>
        <v>0</v>
      </c>
      <c r="J332" s="14">
        <f>'[4]2025'!I332</f>
        <v>0</v>
      </c>
      <c r="K332" s="15">
        <f>'[4]2025'!J332</f>
        <v>0</v>
      </c>
      <c r="L332" s="15">
        <f>'[4]2025'!K332</f>
        <v>0</v>
      </c>
      <c r="M332" s="15">
        <f>'[4]2025'!L332</f>
        <v>0</v>
      </c>
      <c r="N332" s="16" t="str">
        <f t="shared" si="20"/>
        <v/>
      </c>
      <c r="O332" s="17" t="str">
        <f t="shared" si="21"/>
        <v/>
      </c>
      <c r="P332" s="17" t="str">
        <f t="shared" si="21"/>
        <v/>
      </c>
      <c r="Q332" s="18" t="str">
        <f t="shared" si="22"/>
        <v/>
      </c>
      <c r="R332" s="18" t="e">
        <f t="shared" si="23"/>
        <v>#DIV/0!</v>
      </c>
      <c r="S332" s="33" t="s">
        <v>39</v>
      </c>
      <c r="T332" s="31" t="s">
        <v>42</v>
      </c>
      <c r="U332" s="1737" t="s">
        <v>130</v>
      </c>
      <c r="V332" s="1742"/>
    </row>
    <row r="333" spans="1:22">
      <c r="A333" s="10" t="s">
        <v>11</v>
      </c>
      <c r="B333" s="19">
        <f>CHAMNORD!B333</f>
        <v>46350</v>
      </c>
      <c r="C333" s="75" t="str">
        <f>IF(H333=0,"",'[4]2025-2026'!C332)</f>
        <v/>
      </c>
      <c r="D333" s="68" t="str">
        <f>'[4]2025'!C333</f>
        <v/>
      </c>
      <c r="E333" s="68" t="str">
        <f>'[4]2025'!D333</f>
        <v/>
      </c>
      <c r="F333" s="12" t="str">
        <f>'[4]2025'!E333</f>
        <v/>
      </c>
      <c r="G333" s="73" t="str">
        <f>'[4]2025'!F333</f>
        <v/>
      </c>
      <c r="H333" s="42">
        <f>'[4]2025'!G333</f>
        <v>0</v>
      </c>
      <c r="I333" s="13">
        <f>'[4]2025'!H333</f>
        <v>0</v>
      </c>
      <c r="J333" s="14">
        <f>'[4]2025'!I333</f>
        <v>0</v>
      </c>
      <c r="K333" s="15">
        <f>'[4]2025'!J333</f>
        <v>0</v>
      </c>
      <c r="L333" s="15">
        <f>'[4]2025'!K333</f>
        <v>0</v>
      </c>
      <c r="M333" s="15">
        <f>'[4]2025'!L333</f>
        <v>0</v>
      </c>
      <c r="N333" s="16" t="str">
        <f t="shared" si="20"/>
        <v/>
      </c>
      <c r="O333" s="17" t="str">
        <f t="shared" si="21"/>
        <v/>
      </c>
      <c r="P333" s="17" t="str">
        <f t="shared" si="21"/>
        <v/>
      </c>
      <c r="Q333" s="18" t="str">
        <f t="shared" si="22"/>
        <v/>
      </c>
      <c r="R333" s="18" t="e">
        <f t="shared" si="23"/>
        <v>#DIV/0!</v>
      </c>
      <c r="S333" s="34">
        <f>SUM(I332:I338)</f>
        <v>0</v>
      </c>
      <c r="T333" s="45" t="s">
        <v>41</v>
      </c>
      <c r="U333" s="1738"/>
      <c r="V333" s="1742"/>
    </row>
    <row r="334" spans="1:22">
      <c r="A334" s="10" t="s">
        <v>12</v>
      </c>
      <c r="B334" s="19">
        <f>CHAMNORD!B334</f>
        <v>46351</v>
      </c>
      <c r="C334" s="75" t="str">
        <f>IF(H334=0,"",'[4]2025-2026'!C333)</f>
        <v/>
      </c>
      <c r="D334" s="68" t="str">
        <f>'[4]2025'!C334</f>
        <v/>
      </c>
      <c r="E334" s="68" t="str">
        <f>'[4]2025'!D334</f>
        <v/>
      </c>
      <c r="F334" s="12" t="str">
        <f>'[4]2025'!E334</f>
        <v/>
      </c>
      <c r="G334" s="73" t="str">
        <f>'[4]2025'!F334</f>
        <v/>
      </c>
      <c r="H334" s="42">
        <f>'[4]2025'!G334</f>
        <v>0</v>
      </c>
      <c r="I334" s="13">
        <f>'[4]2025'!H334</f>
        <v>0</v>
      </c>
      <c r="J334" s="14">
        <f>'[4]2025'!I334</f>
        <v>0</v>
      </c>
      <c r="K334" s="15">
        <f>'[4]2025'!J334</f>
        <v>0</v>
      </c>
      <c r="L334" s="15">
        <f>'[4]2025'!K334</f>
        <v>0</v>
      </c>
      <c r="M334" s="15">
        <f>'[4]2025'!L334</f>
        <v>0</v>
      </c>
      <c r="N334" s="16" t="str">
        <f t="shared" si="20"/>
        <v/>
      </c>
      <c r="O334" s="17" t="str">
        <f t="shared" si="21"/>
        <v/>
      </c>
      <c r="P334" s="17" t="str">
        <f t="shared" si="21"/>
        <v/>
      </c>
      <c r="Q334" s="18" t="str">
        <f t="shared" si="22"/>
        <v/>
      </c>
      <c r="R334" s="18" t="e">
        <f t="shared" si="23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  <c r="V334" s="1742"/>
    </row>
    <row r="335" spans="1:22">
      <c r="A335" s="10" t="s">
        <v>13</v>
      </c>
      <c r="B335" s="19">
        <f>CHAMNORD!B335</f>
        <v>46352</v>
      </c>
      <c r="C335" s="75" t="str">
        <f>IF(H335=0,"",'[4]2025-2026'!C334)</f>
        <v/>
      </c>
      <c r="D335" s="68" t="str">
        <f>'[4]2025'!C335</f>
        <v/>
      </c>
      <c r="E335" s="68" t="str">
        <f>'[4]2025'!D335</f>
        <v/>
      </c>
      <c r="F335" s="12" t="str">
        <f>'[4]2025'!E335</f>
        <v/>
      </c>
      <c r="G335" s="73" t="str">
        <f>'[4]2025'!F335</f>
        <v/>
      </c>
      <c r="H335" s="42">
        <f>'[4]2025'!G335</f>
        <v>0</v>
      </c>
      <c r="I335" s="13">
        <f>'[4]2025'!H335</f>
        <v>0</v>
      </c>
      <c r="J335" s="14">
        <f>'[4]2025'!I335</f>
        <v>0</v>
      </c>
      <c r="K335" s="15">
        <f>'[4]2025'!J335</f>
        <v>0</v>
      </c>
      <c r="L335" s="15">
        <f>'[4]2025'!K335</f>
        <v>0</v>
      </c>
      <c r="M335" s="15">
        <f>'[4]2025'!L335</f>
        <v>0</v>
      </c>
      <c r="N335" s="16" t="str">
        <f t="shared" si="20"/>
        <v/>
      </c>
      <c r="O335" s="17" t="str">
        <f t="shared" si="21"/>
        <v/>
      </c>
      <c r="P335" s="17" t="str">
        <f t="shared" si="21"/>
        <v/>
      </c>
      <c r="Q335" s="18" t="str">
        <f t="shared" si="22"/>
        <v/>
      </c>
      <c r="R335" s="18" t="e">
        <f t="shared" si="23"/>
        <v>#DIV/0!</v>
      </c>
      <c r="S335" s="34"/>
      <c r="T335" s="29" t="s">
        <v>8</v>
      </c>
      <c r="U335" s="1738"/>
      <c r="V335" s="1742"/>
    </row>
    <row r="336" spans="1:22">
      <c r="A336" s="10" t="s">
        <v>14</v>
      </c>
      <c r="B336" s="19">
        <f>CHAMNORD!B336</f>
        <v>46353</v>
      </c>
      <c r="C336" s="75" t="str">
        <f>IF(H336=0,"",'[4]2025-2026'!C335)</f>
        <v/>
      </c>
      <c r="D336" s="68" t="str">
        <f>'[4]2025'!C336</f>
        <v/>
      </c>
      <c r="E336" s="68" t="str">
        <f>'[4]2025'!D336</f>
        <v/>
      </c>
      <c r="F336" s="12" t="str">
        <f>'[4]2025'!E336</f>
        <v/>
      </c>
      <c r="G336" s="73" t="str">
        <f>'[4]2025'!F336</f>
        <v/>
      </c>
      <c r="H336" s="42">
        <f>'[4]2025'!G336</f>
        <v>0</v>
      </c>
      <c r="I336" s="13">
        <f>'[4]2025'!H336</f>
        <v>0</v>
      </c>
      <c r="J336" s="14">
        <f>'[4]2025'!I336</f>
        <v>0</v>
      </c>
      <c r="K336" s="15">
        <f>'[4]2025'!J336</f>
        <v>0</v>
      </c>
      <c r="L336" s="15">
        <f>'[4]2025'!K336</f>
        <v>0</v>
      </c>
      <c r="M336" s="15">
        <f>'[4]2025'!L336</f>
        <v>0</v>
      </c>
      <c r="N336" s="16" t="str">
        <f t="shared" si="20"/>
        <v/>
      </c>
      <c r="O336" s="17" t="str">
        <f t="shared" si="21"/>
        <v/>
      </c>
      <c r="P336" s="17" t="str">
        <f t="shared" si="21"/>
        <v/>
      </c>
      <c r="Q336" s="18" t="str">
        <f t="shared" si="22"/>
        <v/>
      </c>
      <c r="R336" s="18" t="e">
        <f t="shared" si="23"/>
        <v>#DIV/0!</v>
      </c>
      <c r="S336" s="36" t="s">
        <v>40</v>
      </c>
      <c r="T336" s="48" t="e">
        <f>SUM(I332:I338)/SUM(L332:L338)</f>
        <v>#DIV/0!</v>
      </c>
      <c r="U336" s="1738"/>
      <c r="V336" s="1742"/>
    </row>
    <row r="337" spans="1:22">
      <c r="A337" s="10" t="s">
        <v>15</v>
      </c>
      <c r="B337" s="19">
        <f>CHAMNORD!B337</f>
        <v>46354</v>
      </c>
      <c r="C337" s="75" t="str">
        <f>IF(H337=0,"",'[4]2025-2026'!C336)</f>
        <v/>
      </c>
      <c r="D337" s="68" t="str">
        <f>'[4]2025'!C337</f>
        <v/>
      </c>
      <c r="E337" s="68" t="str">
        <f>'[4]2025'!D337</f>
        <v/>
      </c>
      <c r="F337" s="12" t="str">
        <f>'[4]2025'!E337</f>
        <v/>
      </c>
      <c r="G337" s="73" t="str">
        <f>'[4]2025'!F337</f>
        <v/>
      </c>
      <c r="H337" s="42">
        <f>'[4]2025'!G337</f>
        <v>0</v>
      </c>
      <c r="I337" s="13">
        <f>'[4]2025'!H337</f>
        <v>0</v>
      </c>
      <c r="J337" s="14">
        <f>'[4]2025'!I337</f>
        <v>0</v>
      </c>
      <c r="K337" s="15">
        <f>'[4]2025'!J337</f>
        <v>0</v>
      </c>
      <c r="L337" s="15">
        <f>'[4]2025'!K337</f>
        <v>0</v>
      </c>
      <c r="M337" s="15">
        <f>'[4]2025'!L337</f>
        <v>0</v>
      </c>
      <c r="N337" s="16" t="str">
        <f t="shared" si="20"/>
        <v/>
      </c>
      <c r="O337" s="17" t="str">
        <f t="shared" si="21"/>
        <v/>
      </c>
      <c r="P337" s="17" t="str">
        <f t="shared" si="21"/>
        <v/>
      </c>
      <c r="Q337" s="18" t="str">
        <f t="shared" si="22"/>
        <v/>
      </c>
      <c r="R337" s="18" t="e">
        <f t="shared" si="23"/>
        <v>#DIV/0!</v>
      </c>
      <c r="S337" s="36">
        <f>SUM(J332:J338)</f>
        <v>0</v>
      </c>
      <c r="T337" s="30" t="s">
        <v>3</v>
      </c>
      <c r="U337" s="1738"/>
      <c r="V337" s="1742"/>
    </row>
    <row r="338" spans="1:22" ht="18" thickBot="1">
      <c r="A338" s="10" t="s">
        <v>16</v>
      </c>
      <c r="B338" s="19">
        <f>CHAMNORD!B338</f>
        <v>46355</v>
      </c>
      <c r="C338" s="75" t="str">
        <f>IF(H338=0,"",'[4]2025-2026'!C337)</f>
        <v/>
      </c>
      <c r="D338" s="68" t="str">
        <f>'[4]2025'!C338</f>
        <v/>
      </c>
      <c r="E338" s="68" t="str">
        <f>'[4]2025'!D338</f>
        <v/>
      </c>
      <c r="F338" s="12" t="str">
        <f>'[4]2025'!E338</f>
        <v/>
      </c>
      <c r="G338" s="73" t="str">
        <f>'[4]2025'!F338</f>
        <v/>
      </c>
      <c r="H338" s="42">
        <f>'[4]2025'!G338</f>
        <v>0</v>
      </c>
      <c r="I338" s="13">
        <f>'[4]2025'!H338</f>
        <v>0</v>
      </c>
      <c r="J338" s="14">
        <f>'[4]2025'!I338</f>
        <v>0</v>
      </c>
      <c r="K338" s="15">
        <f>'[4]2025'!J338</f>
        <v>0</v>
      </c>
      <c r="L338" s="15">
        <f>'[4]2025'!K338</f>
        <v>0</v>
      </c>
      <c r="M338" s="15">
        <f>'[4]2025'!L338</f>
        <v>0</v>
      </c>
      <c r="N338" s="16" t="str">
        <f t="shared" si="20"/>
        <v/>
      </c>
      <c r="O338" s="17" t="str">
        <f t="shared" si="21"/>
        <v/>
      </c>
      <c r="P338" s="17" t="str">
        <f t="shared" si="21"/>
        <v/>
      </c>
      <c r="Q338" s="18" t="str">
        <f t="shared" si="22"/>
        <v/>
      </c>
      <c r="R338" s="18" t="e">
        <f t="shared" si="23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2" ht="17" customHeight="1" thickTop="1">
      <c r="A339" s="10" t="s">
        <v>9</v>
      </c>
      <c r="B339" s="19">
        <f>CHAMNORD!B339</f>
        <v>46356</v>
      </c>
      <c r="C339" s="75" t="str">
        <f>IF(H339=0,"",'[4]2025-2026'!C338)</f>
        <v/>
      </c>
      <c r="D339" s="68" t="str">
        <f>'[4]2025'!C339</f>
        <v/>
      </c>
      <c r="E339" s="68" t="str">
        <f>'[4]2025'!D339</f>
        <v/>
      </c>
      <c r="F339" s="12" t="str">
        <f>'[4]2025'!E339</f>
        <v/>
      </c>
      <c r="G339" s="73" t="str">
        <f>'[4]2025'!F339</f>
        <v/>
      </c>
      <c r="H339" s="42">
        <f>'[4]2025'!G339</f>
        <v>0</v>
      </c>
      <c r="I339" s="13">
        <f>'[4]2025'!H339</f>
        <v>0</v>
      </c>
      <c r="J339" s="14">
        <f>'[4]2025'!I339</f>
        <v>0</v>
      </c>
      <c r="K339" s="15">
        <f>'[4]2025'!J339</f>
        <v>0</v>
      </c>
      <c r="L339" s="15">
        <f>'[4]2025'!K339</f>
        <v>0</v>
      </c>
      <c r="M339" s="15">
        <f>'[4]2025'!L339</f>
        <v>0</v>
      </c>
      <c r="N339" s="16" t="str">
        <f t="shared" si="20"/>
        <v/>
      </c>
      <c r="O339" s="17" t="str">
        <f t="shared" si="21"/>
        <v/>
      </c>
      <c r="P339" s="17" t="str">
        <f t="shared" si="21"/>
        <v/>
      </c>
      <c r="Q339" s="18" t="str">
        <f t="shared" si="22"/>
        <v/>
      </c>
      <c r="R339" s="18" t="e">
        <f t="shared" si="23"/>
        <v>#DIV/0!</v>
      </c>
      <c r="S339" s="33" t="s">
        <v>39</v>
      </c>
      <c r="T339" s="31" t="s">
        <v>42</v>
      </c>
      <c r="U339" s="1737" t="s">
        <v>131</v>
      </c>
    </row>
    <row r="340" spans="1:22">
      <c r="A340" s="10" t="s">
        <v>11</v>
      </c>
      <c r="B340" s="19">
        <f>CHAMNORD!B340</f>
        <v>46357</v>
      </c>
      <c r="C340" s="75" t="str">
        <f>IF(H340=0,"",'[4]2025-2026'!C339)</f>
        <v/>
      </c>
      <c r="D340" s="68" t="str">
        <f>'[4]2025'!C340</f>
        <v/>
      </c>
      <c r="E340" s="68" t="str">
        <f>'[4]2025'!D340</f>
        <v/>
      </c>
      <c r="F340" s="12" t="str">
        <f>'[4]2025'!E340</f>
        <v/>
      </c>
      <c r="G340" s="73" t="str">
        <f>'[4]2025'!F340</f>
        <v/>
      </c>
      <c r="H340" s="42">
        <f>'[4]2025'!G340</f>
        <v>0</v>
      </c>
      <c r="I340" s="13">
        <f>'[4]2025'!H340</f>
        <v>0</v>
      </c>
      <c r="J340" s="14">
        <f>'[4]2025'!I340</f>
        <v>0</v>
      </c>
      <c r="K340" s="15">
        <f>'[4]2025'!J340</f>
        <v>0</v>
      </c>
      <c r="L340" s="15">
        <f>'[4]2025'!K340</f>
        <v>0</v>
      </c>
      <c r="M340" s="15">
        <f>'[4]2025'!L340</f>
        <v>0</v>
      </c>
      <c r="N340" s="16" t="str">
        <f t="shared" si="20"/>
        <v/>
      </c>
      <c r="O340" s="17" t="str">
        <f t="shared" si="21"/>
        <v/>
      </c>
      <c r="P340" s="17" t="str">
        <f t="shared" si="21"/>
        <v/>
      </c>
      <c r="Q340" s="18" t="str">
        <f t="shared" si="22"/>
        <v/>
      </c>
      <c r="R340" s="18" t="e">
        <f t="shared" si="23"/>
        <v>#DIV/0!</v>
      </c>
      <c r="S340" s="34">
        <f>SUM(I339:I345)</f>
        <v>0</v>
      </c>
      <c r="T340" s="45" t="s">
        <v>41</v>
      </c>
      <c r="U340" s="1738"/>
    </row>
    <row r="341" spans="1:22">
      <c r="A341" s="10" t="s">
        <v>12</v>
      </c>
      <c r="B341" s="19">
        <f>CHAMNORD!B341</f>
        <v>46358</v>
      </c>
      <c r="C341" s="75" t="str">
        <f>IF(H341=0,"",'[4]2025-2026'!C340)</f>
        <v/>
      </c>
      <c r="D341" s="68" t="str">
        <f>'[4]2025'!C341</f>
        <v/>
      </c>
      <c r="E341" s="68" t="str">
        <f>'[4]2025'!D341</f>
        <v/>
      </c>
      <c r="F341" s="12" t="str">
        <f>'[4]2025'!E341</f>
        <v/>
      </c>
      <c r="G341" s="73" t="str">
        <f>'[4]2025'!F341</f>
        <v/>
      </c>
      <c r="H341" s="42">
        <f>'[4]2025'!G341</f>
        <v>0</v>
      </c>
      <c r="I341" s="13">
        <f>'[4]2025'!H341</f>
        <v>0</v>
      </c>
      <c r="J341" s="14">
        <f>'[4]2025'!I341</f>
        <v>0</v>
      </c>
      <c r="K341" s="15">
        <f>'[4]2025'!J341</f>
        <v>0</v>
      </c>
      <c r="L341" s="15">
        <f>'[4]2025'!K341</f>
        <v>0</v>
      </c>
      <c r="M341" s="15">
        <f>'[4]2025'!L341</f>
        <v>0</v>
      </c>
      <c r="N341" s="16" t="str">
        <f t="shared" si="20"/>
        <v/>
      </c>
      <c r="O341" s="17" t="str">
        <f t="shared" si="21"/>
        <v/>
      </c>
      <c r="P341" s="17" t="str">
        <f t="shared" si="21"/>
        <v/>
      </c>
      <c r="Q341" s="18" t="str">
        <f t="shared" si="22"/>
        <v/>
      </c>
      <c r="R341" s="18" t="e">
        <f t="shared" si="23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2">
      <c r="A342" s="10" t="s">
        <v>13</v>
      </c>
      <c r="B342" s="19">
        <f>CHAMNORD!B342</f>
        <v>46359</v>
      </c>
      <c r="C342" s="75" t="str">
        <f>IF(H342=0,"",'[4]2025-2026'!C341)</f>
        <v/>
      </c>
      <c r="D342" s="68" t="str">
        <f>'[4]2025'!C342</f>
        <v/>
      </c>
      <c r="E342" s="68" t="str">
        <f>'[4]2025'!D342</f>
        <v/>
      </c>
      <c r="F342" s="12" t="str">
        <f>'[4]2025'!E342</f>
        <v/>
      </c>
      <c r="G342" s="73" t="str">
        <f>'[4]2025'!F342</f>
        <v/>
      </c>
      <c r="H342" s="42">
        <f>'[4]2025'!G342</f>
        <v>0</v>
      </c>
      <c r="I342" s="13">
        <f>'[4]2025'!H342</f>
        <v>0</v>
      </c>
      <c r="J342" s="14">
        <f>'[4]2025'!I342</f>
        <v>0</v>
      </c>
      <c r="K342" s="15">
        <f>'[4]2025'!J342</f>
        <v>0</v>
      </c>
      <c r="L342" s="15">
        <f>'[4]2025'!K342</f>
        <v>0</v>
      </c>
      <c r="M342" s="15">
        <f>'[4]2025'!L342</f>
        <v>0</v>
      </c>
      <c r="N342" s="16" t="str">
        <f t="shared" si="20"/>
        <v/>
      </c>
      <c r="O342" s="17" t="str">
        <f t="shared" si="21"/>
        <v/>
      </c>
      <c r="P342" s="17" t="str">
        <f t="shared" si="21"/>
        <v/>
      </c>
      <c r="Q342" s="18" t="str">
        <f t="shared" si="22"/>
        <v/>
      </c>
      <c r="R342" s="18" t="e">
        <f t="shared" si="23"/>
        <v>#DIV/0!</v>
      </c>
      <c r="S342" s="34"/>
      <c r="T342" s="29" t="s">
        <v>8</v>
      </c>
      <c r="U342" s="1738"/>
    </row>
    <row r="343" spans="1:22">
      <c r="A343" s="10" t="s">
        <v>14</v>
      </c>
      <c r="B343" s="19">
        <f>CHAMNORD!B343</f>
        <v>46360</v>
      </c>
      <c r="C343" s="75" t="str">
        <f>IF(H343=0,"",'[4]2025-2026'!C342)</f>
        <v/>
      </c>
      <c r="D343" s="68" t="str">
        <f>'[4]2025'!C343</f>
        <v/>
      </c>
      <c r="E343" s="68" t="str">
        <f>'[4]2025'!D343</f>
        <v/>
      </c>
      <c r="F343" s="12" t="str">
        <f>'[4]2025'!E343</f>
        <v/>
      </c>
      <c r="G343" s="73" t="str">
        <f>'[4]2025'!F343</f>
        <v/>
      </c>
      <c r="H343" s="42">
        <f>'[4]2025'!G343</f>
        <v>0</v>
      </c>
      <c r="I343" s="13">
        <f>'[4]2025'!H343</f>
        <v>0</v>
      </c>
      <c r="J343" s="14">
        <f>'[4]2025'!I343</f>
        <v>0</v>
      </c>
      <c r="K343" s="15">
        <f>'[4]2025'!J343</f>
        <v>0</v>
      </c>
      <c r="L343" s="15">
        <f>'[4]2025'!K343</f>
        <v>0</v>
      </c>
      <c r="M343" s="15">
        <f>'[4]2025'!L343</f>
        <v>0</v>
      </c>
      <c r="N343" s="16" t="str">
        <f t="shared" si="20"/>
        <v/>
      </c>
      <c r="O343" s="17" t="str">
        <f t="shared" si="21"/>
        <v/>
      </c>
      <c r="P343" s="17" t="str">
        <f t="shared" si="21"/>
        <v/>
      </c>
      <c r="Q343" s="18" t="str">
        <f t="shared" si="22"/>
        <v/>
      </c>
      <c r="R343" s="18" t="e">
        <f t="shared" si="23"/>
        <v>#DIV/0!</v>
      </c>
      <c r="S343" s="36" t="s">
        <v>40</v>
      </c>
      <c r="T343" s="48" t="e">
        <f>SUM(I339:I345)/SUM(L339:L345)</f>
        <v>#DIV/0!</v>
      </c>
      <c r="U343" s="1738"/>
    </row>
    <row r="344" spans="1:22">
      <c r="A344" s="10" t="s">
        <v>15</v>
      </c>
      <c r="B344" s="19">
        <f>CHAMNORD!B344</f>
        <v>46361</v>
      </c>
      <c r="C344" s="75" t="str">
        <f>IF(H344=0,"",'[4]2025-2026'!C343)</f>
        <v/>
      </c>
      <c r="D344" s="68" t="str">
        <f>'[4]2025'!C344</f>
        <v/>
      </c>
      <c r="E344" s="68" t="str">
        <f>'[4]2025'!D344</f>
        <v/>
      </c>
      <c r="F344" s="12" t="str">
        <f>'[4]2025'!E344</f>
        <v/>
      </c>
      <c r="G344" s="73" t="str">
        <f>'[4]2025'!F344</f>
        <v/>
      </c>
      <c r="H344" s="42">
        <f>'[4]2025'!G344</f>
        <v>0</v>
      </c>
      <c r="I344" s="13">
        <f>'[4]2025'!H344</f>
        <v>0</v>
      </c>
      <c r="J344" s="14">
        <f>'[4]2025'!I344</f>
        <v>0</v>
      </c>
      <c r="K344" s="15">
        <f>'[4]2025'!J344</f>
        <v>0</v>
      </c>
      <c r="L344" s="15">
        <f>'[4]2025'!K344</f>
        <v>0</v>
      </c>
      <c r="M344" s="15">
        <f>'[4]2025'!L344</f>
        <v>0</v>
      </c>
      <c r="N344" s="16" t="str">
        <f t="shared" si="20"/>
        <v/>
      </c>
      <c r="O344" s="17" t="str">
        <f t="shared" si="21"/>
        <v/>
      </c>
      <c r="P344" s="17" t="str">
        <f t="shared" si="21"/>
        <v/>
      </c>
      <c r="Q344" s="18" t="str">
        <f t="shared" si="22"/>
        <v/>
      </c>
      <c r="R344" s="18" t="e">
        <f t="shared" si="23"/>
        <v>#DIV/0!</v>
      </c>
      <c r="S344" s="36">
        <f>SUM(J339:J345)</f>
        <v>0</v>
      </c>
      <c r="T344" s="30" t="s">
        <v>3</v>
      </c>
      <c r="U344" s="1738"/>
    </row>
    <row r="345" spans="1:22" ht="18" thickBot="1">
      <c r="A345" s="10" t="s">
        <v>16</v>
      </c>
      <c r="B345" s="19">
        <f>CHAMNORD!B345</f>
        <v>46362</v>
      </c>
      <c r="C345" s="75" t="str">
        <f>IF(H345=0,"",'[4]2025-2026'!C344)</f>
        <v/>
      </c>
      <c r="D345" s="68" t="str">
        <f>'[4]2025'!C345</f>
        <v/>
      </c>
      <c r="E345" s="68" t="str">
        <f>'[4]2025'!D345</f>
        <v/>
      </c>
      <c r="F345" s="12" t="str">
        <f>'[4]2025'!E345</f>
        <v/>
      </c>
      <c r="G345" s="73" t="str">
        <f>'[4]2025'!F345</f>
        <v/>
      </c>
      <c r="H345" s="42">
        <f>'[4]2025'!G345</f>
        <v>0</v>
      </c>
      <c r="I345" s="13">
        <f>'[4]2025'!H345</f>
        <v>0</v>
      </c>
      <c r="J345" s="14">
        <f>'[4]2025'!I345</f>
        <v>0</v>
      </c>
      <c r="K345" s="15">
        <f>'[4]2025'!J345</f>
        <v>0</v>
      </c>
      <c r="L345" s="15">
        <f>'[4]2025'!K345</f>
        <v>0</v>
      </c>
      <c r="M345" s="15">
        <f>'[4]2025'!L345</f>
        <v>0</v>
      </c>
      <c r="N345" s="16" t="str">
        <f t="shared" si="20"/>
        <v/>
      </c>
      <c r="O345" s="17" t="str">
        <f t="shared" si="21"/>
        <v/>
      </c>
      <c r="P345" s="17" t="str">
        <f t="shared" si="21"/>
        <v/>
      </c>
      <c r="Q345" s="18" t="str">
        <f t="shared" si="22"/>
        <v/>
      </c>
      <c r="R345" s="18" t="e">
        <f t="shared" si="23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2" ht="17" customHeight="1" thickTop="1">
      <c r="A346" s="10" t="s">
        <v>9</v>
      </c>
      <c r="B346" s="19">
        <f>CHAMNORD!B346</f>
        <v>46363</v>
      </c>
      <c r="C346" s="75" t="str">
        <f>IF(H346=0,"",'[4]2025-2026'!C345)</f>
        <v/>
      </c>
      <c r="D346" s="68" t="str">
        <f>'[4]2025'!C346</f>
        <v/>
      </c>
      <c r="E346" s="68" t="str">
        <f>'[4]2025'!D346</f>
        <v/>
      </c>
      <c r="F346" s="12" t="str">
        <f>'[4]2025'!E346</f>
        <v/>
      </c>
      <c r="G346" s="73" t="str">
        <f>'[4]2025'!F346</f>
        <v/>
      </c>
      <c r="H346" s="42">
        <f>'[4]2025'!G346</f>
        <v>0</v>
      </c>
      <c r="I346" s="13">
        <f>'[4]2025'!H346</f>
        <v>0</v>
      </c>
      <c r="J346" s="14">
        <f>'[4]2025'!I346</f>
        <v>0</v>
      </c>
      <c r="K346" s="15">
        <f>'[4]2025'!J346</f>
        <v>0</v>
      </c>
      <c r="L346" s="15">
        <f>'[4]2025'!K346</f>
        <v>0</v>
      </c>
      <c r="M346" s="15">
        <f>'[4]2025'!L346</f>
        <v>0</v>
      </c>
      <c r="N346" s="16" t="str">
        <f t="shared" si="20"/>
        <v/>
      </c>
      <c r="O346" s="17" t="str">
        <f t="shared" si="21"/>
        <v/>
      </c>
      <c r="P346" s="17" t="str">
        <f t="shared" si="21"/>
        <v/>
      </c>
      <c r="Q346" s="18" t="str">
        <f t="shared" si="22"/>
        <v/>
      </c>
      <c r="R346" s="18" t="e">
        <f t="shared" si="23"/>
        <v>#DIV/0!</v>
      </c>
      <c r="S346" s="33" t="s">
        <v>39</v>
      </c>
      <c r="T346" s="31" t="s">
        <v>42</v>
      </c>
      <c r="U346" s="1737" t="s">
        <v>132</v>
      </c>
    </row>
    <row r="347" spans="1:22">
      <c r="A347" s="10" t="s">
        <v>11</v>
      </c>
      <c r="B347" s="19">
        <f>CHAMNORD!B347</f>
        <v>46364</v>
      </c>
      <c r="C347" s="75" t="str">
        <f>IF(H347=0,"",'[4]2025-2026'!C346)</f>
        <v/>
      </c>
      <c r="D347" s="68" t="str">
        <f>'[4]2025'!C347</f>
        <v/>
      </c>
      <c r="E347" s="68" t="str">
        <f>'[4]2025'!D347</f>
        <v/>
      </c>
      <c r="F347" s="12" t="str">
        <f>'[4]2025'!E347</f>
        <v/>
      </c>
      <c r="G347" s="73" t="str">
        <f>'[4]2025'!F347</f>
        <v/>
      </c>
      <c r="H347" s="42">
        <f>'[4]2025'!G347</f>
        <v>0</v>
      </c>
      <c r="I347" s="13">
        <f>'[4]2025'!H347</f>
        <v>0</v>
      </c>
      <c r="J347" s="14">
        <f>'[4]2025'!I347</f>
        <v>0</v>
      </c>
      <c r="K347" s="15">
        <f>'[4]2025'!J347</f>
        <v>0</v>
      </c>
      <c r="L347" s="15">
        <f>'[4]2025'!K347</f>
        <v>0</v>
      </c>
      <c r="M347" s="15">
        <f>'[4]2025'!L347</f>
        <v>0</v>
      </c>
      <c r="N347" s="16" t="str">
        <f t="shared" si="20"/>
        <v/>
      </c>
      <c r="O347" s="17" t="str">
        <f t="shared" si="21"/>
        <v/>
      </c>
      <c r="P347" s="17" t="str">
        <f t="shared" si="21"/>
        <v/>
      </c>
      <c r="Q347" s="18" t="str">
        <f t="shared" si="22"/>
        <v/>
      </c>
      <c r="R347" s="18" t="e">
        <f t="shared" si="23"/>
        <v>#DIV/0!</v>
      </c>
      <c r="S347" s="34">
        <f>SUM(I346:I352)</f>
        <v>0</v>
      </c>
      <c r="T347" s="45" t="s">
        <v>41</v>
      </c>
      <c r="U347" s="1738"/>
    </row>
    <row r="348" spans="1:22">
      <c r="A348" s="10" t="s">
        <v>12</v>
      </c>
      <c r="B348" s="19">
        <f>CHAMNORD!B348</f>
        <v>46365</v>
      </c>
      <c r="C348" s="75" t="str">
        <f>IF(H348=0,"",'[4]2025-2026'!C347)</f>
        <v/>
      </c>
      <c r="D348" s="68" t="str">
        <f>'[4]2025'!C348</f>
        <v/>
      </c>
      <c r="E348" s="68" t="str">
        <f>'[4]2025'!D348</f>
        <v/>
      </c>
      <c r="F348" s="12" t="str">
        <f>'[4]2025'!E348</f>
        <v/>
      </c>
      <c r="G348" s="73" t="str">
        <f>'[4]2025'!F348</f>
        <v/>
      </c>
      <c r="H348" s="42">
        <f>'[4]2025'!G348</f>
        <v>0</v>
      </c>
      <c r="I348" s="13">
        <f>'[4]2025'!H348</f>
        <v>0</v>
      </c>
      <c r="J348" s="14">
        <f>'[4]2025'!I348</f>
        <v>0</v>
      </c>
      <c r="K348" s="15">
        <f>'[4]2025'!J348</f>
        <v>0</v>
      </c>
      <c r="L348" s="15">
        <f>'[4]2025'!K348</f>
        <v>0</v>
      </c>
      <c r="M348" s="15">
        <f>'[4]2025'!L348</f>
        <v>0</v>
      </c>
      <c r="N348" s="16" t="str">
        <f t="shared" si="20"/>
        <v/>
      </c>
      <c r="O348" s="17" t="str">
        <f t="shared" si="21"/>
        <v/>
      </c>
      <c r="P348" s="17" t="str">
        <f t="shared" si="21"/>
        <v/>
      </c>
      <c r="Q348" s="18" t="str">
        <f t="shared" si="22"/>
        <v/>
      </c>
      <c r="R348" s="18" t="e">
        <f t="shared" si="23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2">
      <c r="A349" s="10" t="s">
        <v>13</v>
      </c>
      <c r="B349" s="19">
        <f>CHAMNORD!B349</f>
        <v>46366</v>
      </c>
      <c r="C349" s="75" t="str">
        <f>IF(H349=0,"",'[4]2025-2026'!C348)</f>
        <v/>
      </c>
      <c r="D349" s="68" t="str">
        <f>'[4]2025'!C349</f>
        <v/>
      </c>
      <c r="E349" s="68" t="str">
        <f>'[4]2025'!D349</f>
        <v/>
      </c>
      <c r="F349" s="12" t="str">
        <f>'[4]2025'!E349</f>
        <v/>
      </c>
      <c r="G349" s="73" t="str">
        <f>'[4]2025'!F349</f>
        <v/>
      </c>
      <c r="H349" s="42">
        <f>'[4]2025'!G349</f>
        <v>0</v>
      </c>
      <c r="I349" s="13">
        <f>'[4]2025'!H349</f>
        <v>0</v>
      </c>
      <c r="J349" s="14">
        <f>'[4]2025'!I349</f>
        <v>0</v>
      </c>
      <c r="K349" s="15">
        <f>'[4]2025'!J349</f>
        <v>0</v>
      </c>
      <c r="L349" s="15">
        <f>'[4]2025'!K349</f>
        <v>0</v>
      </c>
      <c r="M349" s="15">
        <f>'[4]2025'!L349</f>
        <v>0</v>
      </c>
      <c r="N349" s="16" t="str">
        <f t="shared" si="20"/>
        <v/>
      </c>
      <c r="O349" s="17" t="str">
        <f t="shared" si="21"/>
        <v/>
      </c>
      <c r="P349" s="17" t="str">
        <f t="shared" si="21"/>
        <v/>
      </c>
      <c r="Q349" s="18" t="str">
        <f t="shared" si="22"/>
        <v/>
      </c>
      <c r="R349" s="18" t="e">
        <f t="shared" si="23"/>
        <v>#DIV/0!</v>
      </c>
      <c r="S349" s="34"/>
      <c r="T349" s="29" t="s">
        <v>8</v>
      </c>
      <c r="U349" s="1738"/>
    </row>
    <row r="350" spans="1:22">
      <c r="A350" s="10" t="s">
        <v>14</v>
      </c>
      <c r="B350" s="19">
        <f>CHAMNORD!B350</f>
        <v>46367</v>
      </c>
      <c r="C350" s="75" t="str">
        <f>IF(H350=0,"",'[4]2025-2026'!C349)</f>
        <v/>
      </c>
      <c r="D350" s="68" t="str">
        <f>'[4]2025'!C350</f>
        <v/>
      </c>
      <c r="E350" s="68" t="str">
        <f>'[4]2025'!D350</f>
        <v/>
      </c>
      <c r="F350" s="12" t="str">
        <f>'[4]2025'!E350</f>
        <v/>
      </c>
      <c r="G350" s="73" t="str">
        <f>'[4]2025'!F350</f>
        <v/>
      </c>
      <c r="H350" s="42">
        <f>'[4]2025'!G350</f>
        <v>0</v>
      </c>
      <c r="I350" s="13">
        <f>'[4]2025'!H350</f>
        <v>0</v>
      </c>
      <c r="J350" s="14">
        <f>'[4]2025'!I350</f>
        <v>0</v>
      </c>
      <c r="K350" s="15">
        <f>'[4]2025'!J350</f>
        <v>0</v>
      </c>
      <c r="L350" s="15">
        <f>'[4]2025'!K350</f>
        <v>0</v>
      </c>
      <c r="M350" s="15">
        <f>'[4]2025'!L350</f>
        <v>0</v>
      </c>
      <c r="N350" s="16" t="str">
        <f t="shared" si="20"/>
        <v/>
      </c>
      <c r="O350" s="17" t="str">
        <f t="shared" si="21"/>
        <v/>
      </c>
      <c r="P350" s="17" t="str">
        <f t="shared" si="21"/>
        <v/>
      </c>
      <c r="Q350" s="18" t="str">
        <f t="shared" si="22"/>
        <v/>
      </c>
      <c r="R350" s="18" t="e">
        <f t="shared" si="23"/>
        <v>#DIV/0!</v>
      </c>
      <c r="S350" s="36" t="s">
        <v>40</v>
      </c>
      <c r="T350" s="48" t="e">
        <f>SUM(I346:I352)/SUM(L346:L352)</f>
        <v>#DIV/0!</v>
      </c>
      <c r="U350" s="1738"/>
    </row>
    <row r="351" spans="1:22">
      <c r="A351" s="10" t="s">
        <v>15</v>
      </c>
      <c r="B351" s="19">
        <f>CHAMNORD!B351</f>
        <v>46368</v>
      </c>
      <c r="C351" s="75" t="str">
        <f>IF(H351=0,"",'[4]2025-2026'!C350)</f>
        <v/>
      </c>
      <c r="D351" s="68" t="str">
        <f>'[4]2025'!C351</f>
        <v/>
      </c>
      <c r="E351" s="68" t="str">
        <f>'[4]2025'!D351</f>
        <v/>
      </c>
      <c r="F351" s="12" t="str">
        <f>'[4]2025'!E351</f>
        <v/>
      </c>
      <c r="G351" s="73" t="str">
        <f>'[4]2025'!F351</f>
        <v/>
      </c>
      <c r="H351" s="42">
        <f>'[4]2025'!G351</f>
        <v>0</v>
      </c>
      <c r="I351" s="13">
        <f>'[4]2025'!H351</f>
        <v>0</v>
      </c>
      <c r="J351" s="14">
        <f>'[4]2025'!I351</f>
        <v>0</v>
      </c>
      <c r="K351" s="15">
        <f>'[4]2025'!J351</f>
        <v>0</v>
      </c>
      <c r="L351" s="15">
        <f>'[4]2025'!K351</f>
        <v>0</v>
      </c>
      <c r="M351" s="15">
        <f>'[4]2025'!L351</f>
        <v>0</v>
      </c>
      <c r="N351" s="16" t="str">
        <f t="shared" si="20"/>
        <v/>
      </c>
      <c r="O351" s="17" t="str">
        <f t="shared" si="21"/>
        <v/>
      </c>
      <c r="P351" s="17" t="str">
        <f t="shared" si="21"/>
        <v/>
      </c>
      <c r="Q351" s="18" t="str">
        <f t="shared" si="22"/>
        <v/>
      </c>
      <c r="R351" s="18" t="e">
        <f t="shared" si="23"/>
        <v>#DIV/0!</v>
      </c>
      <c r="S351" s="36">
        <f>SUM(J346:J352)</f>
        <v>0</v>
      </c>
      <c r="T351" s="30" t="s">
        <v>3</v>
      </c>
      <c r="U351" s="1738"/>
    </row>
    <row r="352" spans="1:22" ht="18" thickBot="1">
      <c r="A352" s="10" t="s">
        <v>16</v>
      </c>
      <c r="B352" s="19">
        <f>CHAMNORD!B352</f>
        <v>46369</v>
      </c>
      <c r="C352" s="75" t="str">
        <f>IF(H352=0,"",'[4]2025-2026'!C351)</f>
        <v/>
      </c>
      <c r="D352" s="68" t="str">
        <f>'[4]2025'!C352</f>
        <v/>
      </c>
      <c r="E352" s="68" t="str">
        <f>'[4]2025'!D352</f>
        <v/>
      </c>
      <c r="F352" s="12" t="str">
        <f>'[4]2025'!E352</f>
        <v/>
      </c>
      <c r="G352" s="73" t="str">
        <f>'[4]2025'!F352</f>
        <v/>
      </c>
      <c r="H352" s="42">
        <f>'[4]2025'!G352</f>
        <v>0</v>
      </c>
      <c r="I352" s="13">
        <f>'[4]2025'!H352</f>
        <v>0</v>
      </c>
      <c r="J352" s="14">
        <f>'[4]2025'!I352</f>
        <v>0</v>
      </c>
      <c r="K352" s="15">
        <f>'[4]2025'!J352</f>
        <v>0</v>
      </c>
      <c r="L352" s="15">
        <f>'[4]2025'!K352</f>
        <v>0</v>
      </c>
      <c r="M352" s="15">
        <f>'[4]2025'!L352</f>
        <v>0</v>
      </c>
      <c r="N352" s="16" t="str">
        <f t="shared" si="20"/>
        <v/>
      </c>
      <c r="O352" s="17" t="str">
        <f t="shared" si="21"/>
        <v/>
      </c>
      <c r="P352" s="17" t="str">
        <f t="shared" si="21"/>
        <v/>
      </c>
      <c r="Q352" s="18" t="str">
        <f t="shared" si="22"/>
        <v/>
      </c>
      <c r="R352" s="18" t="e">
        <f t="shared" si="23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19">
        <f>CHAMNORD!B353</f>
        <v>46370</v>
      </c>
      <c r="C353" s="75" t="str">
        <f>IF(H353=0,"",'[4]2025-2026'!C352)</f>
        <v/>
      </c>
      <c r="D353" s="68" t="str">
        <f>'[4]2025'!C353</f>
        <v/>
      </c>
      <c r="E353" s="68" t="str">
        <f>'[4]2025'!D353</f>
        <v/>
      </c>
      <c r="F353" s="12" t="str">
        <f>'[4]2025'!E353</f>
        <v/>
      </c>
      <c r="G353" s="73" t="str">
        <f>'[4]2025'!F353</f>
        <v/>
      </c>
      <c r="H353" s="42">
        <f>'[4]2025'!G353</f>
        <v>0</v>
      </c>
      <c r="I353" s="13">
        <f>'[4]2025'!H353</f>
        <v>0</v>
      </c>
      <c r="J353" s="14">
        <f>'[4]2025'!I353</f>
        <v>0</v>
      </c>
      <c r="K353" s="15">
        <f>'[4]2025'!J353</f>
        <v>0</v>
      </c>
      <c r="L353" s="15">
        <f>'[4]2025'!K353</f>
        <v>0</v>
      </c>
      <c r="M353" s="15">
        <f>'[4]2025'!L353</f>
        <v>0</v>
      </c>
      <c r="N353" s="16" t="str">
        <f t="shared" si="20"/>
        <v/>
      </c>
      <c r="O353" s="17" t="str">
        <f t="shared" si="21"/>
        <v/>
      </c>
      <c r="P353" s="17" t="str">
        <f t="shared" si="21"/>
        <v/>
      </c>
      <c r="Q353" s="18" t="str">
        <f t="shared" si="22"/>
        <v/>
      </c>
      <c r="R353" s="18" t="e">
        <f t="shared" si="23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19">
        <f>CHAMNORD!B354</f>
        <v>46371</v>
      </c>
      <c r="C354" s="75" t="str">
        <f>IF(H354=0,"",'[4]2025-2026'!C353)</f>
        <v/>
      </c>
      <c r="D354" s="68" t="str">
        <f>'[4]2025'!C354</f>
        <v/>
      </c>
      <c r="E354" s="68" t="str">
        <f>'[4]2025'!D354</f>
        <v/>
      </c>
      <c r="F354" s="12" t="str">
        <f>'[4]2025'!E354</f>
        <v/>
      </c>
      <c r="G354" s="73" t="str">
        <f>'[4]2025'!F354</f>
        <v/>
      </c>
      <c r="H354" s="42">
        <f>'[4]2025'!G354</f>
        <v>0</v>
      </c>
      <c r="I354" s="13">
        <f>'[4]2025'!H354</f>
        <v>0</v>
      </c>
      <c r="J354" s="14">
        <f>'[4]2025'!I354</f>
        <v>0</v>
      </c>
      <c r="K354" s="15">
        <f>'[4]2025'!J354</f>
        <v>0</v>
      </c>
      <c r="L354" s="15">
        <f>'[4]2025'!K354</f>
        <v>0</v>
      </c>
      <c r="M354" s="15">
        <f>'[4]2025'!L354</f>
        <v>0</v>
      </c>
      <c r="N354" s="16" t="str">
        <f t="shared" si="20"/>
        <v/>
      </c>
      <c r="O354" s="17" t="str">
        <f t="shared" si="21"/>
        <v/>
      </c>
      <c r="P354" s="17" t="str">
        <f t="shared" si="21"/>
        <v/>
      </c>
      <c r="Q354" s="18" t="str">
        <f t="shared" si="22"/>
        <v/>
      </c>
      <c r="R354" s="18" t="e">
        <f t="shared" si="23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19">
        <f>CHAMNORD!B355</f>
        <v>46372</v>
      </c>
      <c r="C355" s="75" t="str">
        <f>IF(H355=0,"",'[4]2025-2026'!C354)</f>
        <v/>
      </c>
      <c r="D355" s="68" t="str">
        <f>'[4]2025'!C355</f>
        <v/>
      </c>
      <c r="E355" s="68" t="str">
        <f>'[4]2025'!D355</f>
        <v/>
      </c>
      <c r="F355" s="12" t="str">
        <f>'[4]2025'!E355</f>
        <v/>
      </c>
      <c r="G355" s="73" t="str">
        <f>'[4]2025'!F355</f>
        <v/>
      </c>
      <c r="H355" s="42">
        <f>'[4]2025'!G355</f>
        <v>0</v>
      </c>
      <c r="I355" s="13">
        <f>'[4]2025'!H355</f>
        <v>0</v>
      </c>
      <c r="J355" s="14">
        <f>'[4]2025'!I355</f>
        <v>0</v>
      </c>
      <c r="K355" s="15">
        <f>'[4]2025'!J355</f>
        <v>0</v>
      </c>
      <c r="L355" s="15">
        <f>'[4]2025'!K355</f>
        <v>0</v>
      </c>
      <c r="M355" s="15">
        <f>'[4]2025'!L355</f>
        <v>0</v>
      </c>
      <c r="N355" s="16" t="str">
        <f t="shared" si="20"/>
        <v/>
      </c>
      <c r="O355" s="17" t="str">
        <f t="shared" si="21"/>
        <v/>
      </c>
      <c r="P355" s="17" t="str">
        <f t="shared" si="21"/>
        <v/>
      </c>
      <c r="Q355" s="18" t="str">
        <f t="shared" si="22"/>
        <v/>
      </c>
      <c r="R355" s="18" t="e">
        <f t="shared" si="23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19">
        <f>CHAMNORD!B356</f>
        <v>46373</v>
      </c>
      <c r="C356" s="75" t="str">
        <f>IF(H356=0,"",'[4]2025-2026'!C355)</f>
        <v/>
      </c>
      <c r="D356" s="68" t="str">
        <f>'[4]2025'!C356</f>
        <v/>
      </c>
      <c r="E356" s="68" t="str">
        <f>'[4]2025'!D356</f>
        <v/>
      </c>
      <c r="F356" s="12" t="str">
        <f>'[4]2025'!E356</f>
        <v/>
      </c>
      <c r="G356" s="73" t="str">
        <f>'[4]2025'!F356</f>
        <v/>
      </c>
      <c r="H356" s="42">
        <f>'[4]2025'!G356</f>
        <v>0</v>
      </c>
      <c r="I356" s="13">
        <f>'[4]2025'!H356</f>
        <v>0</v>
      </c>
      <c r="J356" s="14">
        <f>'[4]2025'!I356</f>
        <v>0</v>
      </c>
      <c r="K356" s="15">
        <f>'[4]2025'!J356</f>
        <v>0</v>
      </c>
      <c r="L356" s="15">
        <f>'[4]2025'!K356</f>
        <v>0</v>
      </c>
      <c r="M356" s="15">
        <f>'[4]2025'!L356</f>
        <v>0</v>
      </c>
      <c r="N356" s="16" t="str">
        <f t="shared" si="20"/>
        <v/>
      </c>
      <c r="O356" s="17" t="str">
        <f t="shared" si="21"/>
        <v/>
      </c>
      <c r="P356" s="17" t="str">
        <f t="shared" si="21"/>
        <v/>
      </c>
      <c r="Q356" s="18" t="str">
        <f t="shared" si="22"/>
        <v/>
      </c>
      <c r="R356" s="18" t="e">
        <f t="shared" si="23"/>
        <v>#DIV/0!</v>
      </c>
      <c r="S356" s="34"/>
      <c r="T356" s="29" t="s">
        <v>8</v>
      </c>
      <c r="U356" s="1738"/>
    </row>
    <row r="357" spans="1:21">
      <c r="A357" s="10" t="s">
        <v>14</v>
      </c>
      <c r="B357" s="19">
        <f>CHAMNORD!B357</f>
        <v>46374</v>
      </c>
      <c r="C357" s="75" t="str">
        <f>IF(H357=0,"",'[4]2025-2026'!C356)</f>
        <v/>
      </c>
      <c r="D357" s="68" t="str">
        <f>'[4]2025'!C357</f>
        <v/>
      </c>
      <c r="E357" s="68" t="str">
        <f>'[4]2025'!D357</f>
        <v/>
      </c>
      <c r="F357" s="12" t="str">
        <f>'[4]2025'!E357</f>
        <v/>
      </c>
      <c r="G357" s="73" t="str">
        <f>'[4]2025'!F357</f>
        <v/>
      </c>
      <c r="H357" s="42">
        <f>'[4]2025'!G357</f>
        <v>0</v>
      </c>
      <c r="I357" s="13">
        <f>'[4]2025'!H357</f>
        <v>0</v>
      </c>
      <c r="J357" s="14">
        <f>'[4]2025'!I357</f>
        <v>0</v>
      </c>
      <c r="K357" s="15">
        <f>'[4]2025'!J357</f>
        <v>0</v>
      </c>
      <c r="L357" s="15">
        <f>'[4]2025'!K357</f>
        <v>0</v>
      </c>
      <c r="M357" s="15">
        <f>'[4]2025'!L357</f>
        <v>0</v>
      </c>
      <c r="N357" s="16" t="str">
        <f t="shared" si="20"/>
        <v/>
      </c>
      <c r="O357" s="17" t="str">
        <f t="shared" si="21"/>
        <v/>
      </c>
      <c r="P357" s="17" t="str">
        <f t="shared" si="21"/>
        <v/>
      </c>
      <c r="Q357" s="18" t="str">
        <f t="shared" si="22"/>
        <v/>
      </c>
      <c r="R357" s="18" t="e">
        <f t="shared" si="23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19">
        <f>CHAMNORD!B358</f>
        <v>46375</v>
      </c>
      <c r="C358" s="75" t="str">
        <f>IF(H358=0,"",'[4]2025-2026'!C357)</f>
        <v/>
      </c>
      <c r="D358" s="68" t="str">
        <f>'[4]2025'!C358</f>
        <v/>
      </c>
      <c r="E358" s="68" t="str">
        <f>'[4]2025'!D358</f>
        <v/>
      </c>
      <c r="F358" s="12" t="str">
        <f>'[4]2025'!E358</f>
        <v/>
      </c>
      <c r="G358" s="73" t="str">
        <f>'[4]2025'!F358</f>
        <v/>
      </c>
      <c r="H358" s="42">
        <f>'[4]2025'!G358</f>
        <v>0</v>
      </c>
      <c r="I358" s="13">
        <f>'[4]2025'!H358</f>
        <v>0</v>
      </c>
      <c r="J358" s="14">
        <f>'[4]2025'!I358</f>
        <v>0</v>
      </c>
      <c r="K358" s="15">
        <f>'[4]2025'!J358</f>
        <v>0</v>
      </c>
      <c r="L358" s="15">
        <f>'[4]2025'!K358</f>
        <v>0</v>
      </c>
      <c r="M358" s="15">
        <f>'[4]2025'!L358</f>
        <v>0</v>
      </c>
      <c r="N358" s="16" t="str">
        <f t="shared" si="20"/>
        <v/>
      </c>
      <c r="O358" s="17" t="str">
        <f t="shared" si="21"/>
        <v/>
      </c>
      <c r="P358" s="17" t="str">
        <f t="shared" si="21"/>
        <v/>
      </c>
      <c r="Q358" s="18" t="str">
        <f t="shared" si="22"/>
        <v/>
      </c>
      <c r="R358" s="18" t="e">
        <f t="shared" si="23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19">
        <f>CHAMNORD!B359</f>
        <v>46376</v>
      </c>
      <c r="C359" s="75" t="str">
        <f>IF(H359=0,"",'[4]2025-2026'!C358)</f>
        <v/>
      </c>
      <c r="D359" s="68" t="str">
        <f>'[4]2025'!C359</f>
        <v/>
      </c>
      <c r="E359" s="68" t="str">
        <f>'[4]2025'!D359</f>
        <v/>
      </c>
      <c r="F359" s="12" t="str">
        <f>'[4]2025'!E359</f>
        <v/>
      </c>
      <c r="G359" s="73" t="str">
        <f>'[4]2025'!F359</f>
        <v/>
      </c>
      <c r="H359" s="42">
        <f>'[4]2025'!G359</f>
        <v>0</v>
      </c>
      <c r="I359" s="13">
        <f>'[4]2025'!H359</f>
        <v>0</v>
      </c>
      <c r="J359" s="14">
        <f>'[4]2025'!I359</f>
        <v>0</v>
      </c>
      <c r="K359" s="15">
        <f>'[4]2025'!J359</f>
        <v>0</v>
      </c>
      <c r="L359" s="15">
        <f>'[4]2025'!K359</f>
        <v>0</v>
      </c>
      <c r="M359" s="15">
        <f>'[4]2025'!L359</f>
        <v>0</v>
      </c>
      <c r="N359" s="16" t="str">
        <f t="shared" si="20"/>
        <v/>
      </c>
      <c r="O359" s="17" t="str">
        <f t="shared" si="21"/>
        <v/>
      </c>
      <c r="P359" s="17" t="str">
        <f t="shared" si="21"/>
        <v/>
      </c>
      <c r="Q359" s="18" t="str">
        <f t="shared" si="22"/>
        <v/>
      </c>
      <c r="R359" s="18" t="e">
        <f t="shared" si="23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19">
        <f>CHAMNORD!B360</f>
        <v>46377</v>
      </c>
      <c r="C360" s="75" t="str">
        <f>IF(H360=0,"",'[4]2025-2026'!C359)</f>
        <v/>
      </c>
      <c r="D360" s="68" t="str">
        <f>'[4]2025'!C360</f>
        <v/>
      </c>
      <c r="E360" s="68" t="str">
        <f>'[4]2025'!D360</f>
        <v/>
      </c>
      <c r="F360" s="12" t="str">
        <f>'[4]2025'!E360</f>
        <v/>
      </c>
      <c r="G360" s="73" t="str">
        <f>'[4]2025'!F360</f>
        <v/>
      </c>
      <c r="H360" s="42">
        <f>'[4]2025'!G360</f>
        <v>0</v>
      </c>
      <c r="I360" s="13">
        <f>'[4]2025'!H360</f>
        <v>0</v>
      </c>
      <c r="J360" s="14">
        <f>'[4]2025'!I360</f>
        <v>0</v>
      </c>
      <c r="K360" s="15">
        <f>'[4]2025'!J360</f>
        <v>0</v>
      </c>
      <c r="L360" s="15">
        <f>'[4]2025'!K360</f>
        <v>0</v>
      </c>
      <c r="M360" s="15">
        <f>'[4]2025'!L360</f>
        <v>0</v>
      </c>
      <c r="N360" s="16" t="str">
        <f t="shared" si="20"/>
        <v/>
      </c>
      <c r="O360" s="17" t="str">
        <f t="shared" si="21"/>
        <v/>
      </c>
      <c r="P360" s="17" t="str">
        <f t="shared" si="21"/>
        <v/>
      </c>
      <c r="Q360" s="18" t="str">
        <f t="shared" si="22"/>
        <v/>
      </c>
      <c r="R360" s="18" t="e">
        <f t="shared" si="23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19">
        <f>CHAMNORD!B361</f>
        <v>46378</v>
      </c>
      <c r="C361" s="75" t="str">
        <f>IF(H361=0,"",'[4]2025-2026'!C360)</f>
        <v/>
      </c>
      <c r="D361" s="68" t="str">
        <f>'[4]2025'!C361</f>
        <v/>
      </c>
      <c r="E361" s="68" t="str">
        <f>'[4]2025'!D361</f>
        <v/>
      </c>
      <c r="F361" s="12" t="str">
        <f>'[4]2025'!E361</f>
        <v/>
      </c>
      <c r="G361" s="73" t="str">
        <f>'[4]2025'!F361</f>
        <v/>
      </c>
      <c r="H361" s="42">
        <f>'[4]2025'!G361</f>
        <v>0</v>
      </c>
      <c r="I361" s="13">
        <f>'[4]2025'!H361</f>
        <v>0</v>
      </c>
      <c r="J361" s="14">
        <f>'[4]2025'!I361</f>
        <v>0</v>
      </c>
      <c r="K361" s="15">
        <f>'[4]2025'!J361</f>
        <v>0</v>
      </c>
      <c r="L361" s="15">
        <f>'[4]2025'!K361</f>
        <v>0</v>
      </c>
      <c r="M361" s="15">
        <f>'[4]2025'!L361</f>
        <v>0</v>
      </c>
      <c r="N361" s="16" t="str">
        <f t="shared" si="20"/>
        <v/>
      </c>
      <c r="O361" s="17" t="str">
        <f t="shared" si="21"/>
        <v/>
      </c>
      <c r="P361" s="17" t="str">
        <f t="shared" si="21"/>
        <v/>
      </c>
      <c r="Q361" s="18" t="str">
        <f t="shared" si="22"/>
        <v/>
      </c>
      <c r="R361" s="18" t="e">
        <f t="shared" si="23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19">
        <f>CHAMNORD!B362</f>
        <v>46379</v>
      </c>
      <c r="C362" s="75" t="str">
        <f>IF(H362=0,"",'[4]2025-2026'!C361)</f>
        <v/>
      </c>
      <c r="D362" s="68" t="str">
        <f>'[4]2025'!C362</f>
        <v/>
      </c>
      <c r="E362" s="68" t="str">
        <f>'[4]2025'!D362</f>
        <v/>
      </c>
      <c r="F362" s="12" t="str">
        <f>'[4]2025'!E362</f>
        <v/>
      </c>
      <c r="G362" s="73" t="str">
        <f>'[4]2025'!F362</f>
        <v/>
      </c>
      <c r="H362" s="42">
        <f>'[4]2025'!G362</f>
        <v>0</v>
      </c>
      <c r="I362" s="13">
        <f>'[4]2025'!H362</f>
        <v>0</v>
      </c>
      <c r="J362" s="14">
        <f>'[4]2025'!I362</f>
        <v>0</v>
      </c>
      <c r="K362" s="15">
        <f>'[4]2025'!J362</f>
        <v>0</v>
      </c>
      <c r="L362" s="15">
        <f>'[4]2025'!K362</f>
        <v>0</v>
      </c>
      <c r="M362" s="15">
        <f>'[4]2025'!L362</f>
        <v>0</v>
      </c>
      <c r="N362" s="16" t="str">
        <f t="shared" si="20"/>
        <v/>
      </c>
      <c r="O362" s="17" t="str">
        <f t="shared" si="21"/>
        <v/>
      </c>
      <c r="P362" s="17" t="str">
        <f t="shared" si="21"/>
        <v/>
      </c>
      <c r="Q362" s="18" t="str">
        <f t="shared" si="22"/>
        <v/>
      </c>
      <c r="R362" s="18" t="e">
        <f t="shared" si="23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19">
        <f>CHAMNORD!B363</f>
        <v>46380</v>
      </c>
      <c r="C363" s="75" t="str">
        <f>IF(H363=0,"",'[4]2025-2026'!C362)</f>
        <v/>
      </c>
      <c r="D363" s="68" t="str">
        <f>'[4]2025'!C363</f>
        <v/>
      </c>
      <c r="E363" s="68" t="str">
        <f>'[4]2025'!D363</f>
        <v/>
      </c>
      <c r="F363" s="12" t="str">
        <f>'[4]2025'!E363</f>
        <v/>
      </c>
      <c r="G363" s="73" t="str">
        <f>'[4]2025'!F363</f>
        <v/>
      </c>
      <c r="H363" s="42">
        <f>'[4]2025'!G363</f>
        <v>0</v>
      </c>
      <c r="I363" s="13">
        <f>'[4]2025'!H363</f>
        <v>0</v>
      </c>
      <c r="J363" s="14">
        <f>'[4]2025'!I363</f>
        <v>0</v>
      </c>
      <c r="K363" s="15">
        <f>'[4]2025'!J363</f>
        <v>0</v>
      </c>
      <c r="L363" s="15">
        <f>'[4]2025'!K363</f>
        <v>0</v>
      </c>
      <c r="M363" s="15">
        <f>'[4]2025'!L363</f>
        <v>0</v>
      </c>
      <c r="N363" s="16" t="str">
        <f t="shared" si="20"/>
        <v/>
      </c>
      <c r="O363" s="17" t="str">
        <f t="shared" si="21"/>
        <v/>
      </c>
      <c r="P363" s="17" t="str">
        <f t="shared" si="21"/>
        <v/>
      </c>
      <c r="Q363" s="18" t="str">
        <f t="shared" si="22"/>
        <v/>
      </c>
      <c r="R363" s="18" t="e">
        <f t="shared" si="23"/>
        <v>#DIV/0!</v>
      </c>
      <c r="S363" s="34"/>
      <c r="T363" s="29" t="s">
        <v>8</v>
      </c>
      <c r="U363" s="1738"/>
    </row>
    <row r="364" spans="1:21">
      <c r="A364" s="10" t="s">
        <v>14</v>
      </c>
      <c r="B364" s="19">
        <f>CHAMNORD!B364</f>
        <v>46381</v>
      </c>
      <c r="C364" s="75" t="str">
        <f>IF(H364=0,"",'[4]2025-2026'!C363)</f>
        <v/>
      </c>
      <c r="D364" s="68" t="str">
        <f>'[4]2025'!C364</f>
        <v/>
      </c>
      <c r="E364" s="68" t="str">
        <f>'[4]2025'!D364</f>
        <v/>
      </c>
      <c r="F364" s="12" t="str">
        <f>'[4]2025'!E364</f>
        <v/>
      </c>
      <c r="G364" s="73" t="str">
        <f>'[4]2025'!F364</f>
        <v/>
      </c>
      <c r="H364" s="42">
        <f>'[4]2025'!G364</f>
        <v>0</v>
      </c>
      <c r="I364" s="13">
        <f>'[4]2025'!H364</f>
        <v>0</v>
      </c>
      <c r="J364" s="14">
        <f>'[4]2025'!I364</f>
        <v>0</v>
      </c>
      <c r="K364" s="15">
        <f>'[4]2025'!J364</f>
        <v>0</v>
      </c>
      <c r="L364" s="15">
        <f>'[4]2025'!K364</f>
        <v>0</v>
      </c>
      <c r="M364" s="15">
        <f>'[4]2025'!L364</f>
        <v>0</v>
      </c>
      <c r="N364" s="16" t="str">
        <f t="shared" si="20"/>
        <v/>
      </c>
      <c r="O364" s="17" t="str">
        <f t="shared" si="21"/>
        <v/>
      </c>
      <c r="P364" s="17" t="str">
        <f t="shared" si="21"/>
        <v/>
      </c>
      <c r="Q364" s="18" t="str">
        <f t="shared" si="22"/>
        <v/>
      </c>
      <c r="R364" s="18" t="e">
        <f t="shared" si="23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19">
        <f>CHAMNORD!B365</f>
        <v>46382</v>
      </c>
      <c r="C365" s="75" t="str">
        <f>IF(H365=0,"",'[4]2025-2026'!C364)</f>
        <v/>
      </c>
      <c r="D365" s="68" t="str">
        <f>'[4]2025'!C365</f>
        <v/>
      </c>
      <c r="E365" s="68" t="str">
        <f>'[4]2025'!D365</f>
        <v/>
      </c>
      <c r="F365" s="12" t="str">
        <f>'[4]2025'!E365</f>
        <v/>
      </c>
      <c r="G365" s="73" t="str">
        <f>'[4]2025'!F365</f>
        <v/>
      </c>
      <c r="H365" s="42">
        <f>'[4]2025'!G365</f>
        <v>0</v>
      </c>
      <c r="I365" s="13">
        <f>'[4]2025'!H365</f>
        <v>0</v>
      </c>
      <c r="J365" s="14">
        <f>'[4]2025'!I365</f>
        <v>0</v>
      </c>
      <c r="K365" s="15">
        <f>'[4]2025'!J365</f>
        <v>0</v>
      </c>
      <c r="L365" s="15">
        <f>'[4]2025'!K365</f>
        <v>0</v>
      </c>
      <c r="M365" s="15">
        <f>'[4]2025'!L365</f>
        <v>0</v>
      </c>
      <c r="N365" s="16" t="str">
        <f t="shared" si="20"/>
        <v/>
      </c>
      <c r="O365" s="17" t="str">
        <f t="shared" si="21"/>
        <v/>
      </c>
      <c r="P365" s="17" t="str">
        <f t="shared" si="21"/>
        <v/>
      </c>
      <c r="Q365" s="18" t="str">
        <f t="shared" si="22"/>
        <v/>
      </c>
      <c r="R365" s="18" t="e">
        <f t="shared" si="23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19">
        <f>CHAMNORD!B366</f>
        <v>46383</v>
      </c>
      <c r="C366" s="75" t="str">
        <f>IF(H366=0,"",'[4]2025-2026'!C365)</f>
        <v/>
      </c>
      <c r="D366" s="68" t="str">
        <f>'[4]2025'!C366</f>
        <v/>
      </c>
      <c r="E366" s="68" t="str">
        <f>'[4]2025'!D366</f>
        <v/>
      </c>
      <c r="F366" s="12" t="str">
        <f>'[4]2025'!E366</f>
        <v/>
      </c>
      <c r="G366" s="73" t="str">
        <f>'[4]2025'!F366</f>
        <v/>
      </c>
      <c r="H366" s="42">
        <f>'[4]2025'!G366</f>
        <v>0</v>
      </c>
      <c r="I366" s="13">
        <f>'[4]2025'!H366</f>
        <v>0</v>
      </c>
      <c r="J366" s="14">
        <f>'[4]2025'!I366</f>
        <v>0</v>
      </c>
      <c r="K366" s="15">
        <f>'[4]2025'!J366</f>
        <v>0</v>
      </c>
      <c r="L366" s="15">
        <f>'[4]2025'!K366</f>
        <v>0</v>
      </c>
      <c r="M366" s="15">
        <f>'[4]2025'!L366</f>
        <v>0</v>
      </c>
      <c r="N366" s="16" t="str">
        <f t="shared" si="20"/>
        <v/>
      </c>
      <c r="O366" s="17" t="str">
        <f t="shared" si="21"/>
        <v/>
      </c>
      <c r="P366" s="17" t="str">
        <f t="shared" si="21"/>
        <v/>
      </c>
      <c r="Q366" s="18" t="str">
        <f t="shared" si="22"/>
        <v/>
      </c>
      <c r="R366" s="18" t="e">
        <f t="shared" si="23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19">
        <f>CHAMNORD!B367</f>
        <v>46384</v>
      </c>
      <c r="C367" s="75" t="str">
        <f>IF(H367=0,"",'[4]2025-2026'!C366)</f>
        <v/>
      </c>
      <c r="D367" s="68" t="str">
        <f>'[4]2025'!C367</f>
        <v/>
      </c>
      <c r="E367" s="68">
        <f>'[4]2025'!D367</f>
        <v>0</v>
      </c>
      <c r="F367" s="20" t="str">
        <f>'[4]2025'!E367</f>
        <v/>
      </c>
      <c r="G367" s="73" t="str">
        <f>'[4]2025'!F367</f>
        <v/>
      </c>
      <c r="H367" s="42">
        <f>'[4]2025'!G367</f>
        <v>0</v>
      </c>
      <c r="I367" s="13">
        <f>'[4]2025'!H367</f>
        <v>0</v>
      </c>
      <c r="J367" s="14">
        <f>'[4]2025'!I367</f>
        <v>0</v>
      </c>
      <c r="K367" s="15">
        <f>'[4]2025'!J367</f>
        <v>0</v>
      </c>
      <c r="L367" s="15">
        <f>'[4]2025'!K367</f>
        <v>0</v>
      </c>
      <c r="M367" s="15">
        <f>'[4]2025'!L367</f>
        <v>0</v>
      </c>
      <c r="N367" s="16" t="str">
        <f t="shared" si="20"/>
        <v/>
      </c>
      <c r="O367" s="17" t="str">
        <f t="shared" si="21"/>
        <v/>
      </c>
      <c r="P367" s="17" t="str">
        <f t="shared" si="21"/>
        <v/>
      </c>
      <c r="Q367" s="18" t="str">
        <f t="shared" si="22"/>
        <v/>
      </c>
      <c r="R367" s="18" t="e">
        <f t="shared" si="23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19">
        <f>CHAMNORD!B368</f>
        <v>46385</v>
      </c>
      <c r="C368" s="75" t="str">
        <f>IF(H368=0,"",'[4]2025-2026'!C367)</f>
        <v/>
      </c>
      <c r="D368" s="68" t="str">
        <f>'[4]2025'!C368</f>
        <v/>
      </c>
      <c r="E368" s="68">
        <f>'[4]2025'!D368</f>
        <v>0</v>
      </c>
      <c r="F368" s="20" t="str">
        <f>'[4]2025'!E368</f>
        <v/>
      </c>
      <c r="G368" s="73" t="str">
        <f>'[4]2025'!F368</f>
        <v/>
      </c>
      <c r="H368" s="42">
        <f>'[4]2025'!G368</f>
        <v>0</v>
      </c>
      <c r="I368" s="13">
        <f>'[4]2025'!H368</f>
        <v>0</v>
      </c>
      <c r="J368" s="14">
        <f>'[4]2025'!I368</f>
        <v>0</v>
      </c>
      <c r="K368" s="15">
        <f>'[4]2025'!J368</f>
        <v>0</v>
      </c>
      <c r="L368" s="15">
        <f>'[4]2025'!K368</f>
        <v>0</v>
      </c>
      <c r="M368" s="15">
        <f>'[4]2025'!L368</f>
        <v>0</v>
      </c>
      <c r="N368" s="17" t="str">
        <f t="shared" si="20"/>
        <v/>
      </c>
      <c r="O368" s="17" t="str">
        <f t="shared" si="21"/>
        <v/>
      </c>
      <c r="P368" s="17" t="str">
        <f t="shared" si="21"/>
        <v/>
      </c>
      <c r="Q368" s="18" t="str">
        <f t="shared" si="22"/>
        <v/>
      </c>
      <c r="R368" s="18" t="e">
        <f t="shared" si="23"/>
        <v>#DIV/0!</v>
      </c>
      <c r="S368" s="34">
        <f>SUM(I367:I373)</f>
        <v>0</v>
      </c>
      <c r="T368" s="45" t="s">
        <v>41</v>
      </c>
      <c r="U368" s="1738"/>
    </row>
    <row r="369" spans="1:26">
      <c r="A369" s="10" t="s">
        <v>12</v>
      </c>
      <c r="B369" s="19">
        <f>CHAMNORD!B369</f>
        <v>46386</v>
      </c>
      <c r="C369" s="75" t="str">
        <f>IF(H369=0,"",'[4]2025-2026'!C368)</f>
        <v/>
      </c>
      <c r="D369" s="68" t="str">
        <f>'[4]2025'!C369</f>
        <v/>
      </c>
      <c r="E369" s="68">
        <f>'[4]2025'!D369</f>
        <v>0</v>
      </c>
      <c r="F369" s="20">
        <f>'[4]2025'!E369</f>
        <v>0</v>
      </c>
      <c r="G369" s="73">
        <f>'[4]2025'!F369</f>
        <v>0</v>
      </c>
      <c r="H369" s="42">
        <f>'[4]2025'!G369</f>
        <v>0</v>
      </c>
      <c r="I369" s="13">
        <f>'[4]2025'!H369</f>
        <v>0</v>
      </c>
      <c r="J369" s="14">
        <f>'[4]2025'!I369</f>
        <v>0</v>
      </c>
      <c r="K369" s="60">
        <f>'[4]2025'!J369</f>
        <v>0</v>
      </c>
      <c r="L369" s="60">
        <f>'[4]2025'!K369</f>
        <v>0</v>
      </c>
      <c r="M369" s="60">
        <f>'[4]2025'!L369</f>
        <v>0</v>
      </c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64"/>
      <c r="C370" s="75" t="str">
        <f>IF(H370=0,"",'[4]2025-2026'!C369)</f>
        <v/>
      </c>
      <c r="D370" s="68"/>
      <c r="E370" s="68"/>
      <c r="F370" s="20"/>
      <c r="G370" s="73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64"/>
      <c r="C371" s="75" t="str">
        <f>IF(H371=0,"",'[4]2025-2026'!C370)</f>
        <v/>
      </c>
      <c r="D371" s="68"/>
      <c r="E371" s="68"/>
      <c r="F371" s="20"/>
      <c r="G371" s="73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64"/>
      <c r="C372" s="75" t="str">
        <f>IF(H372=0,"",'[4]2025-2026'!C371)</f>
        <v/>
      </c>
      <c r="D372" s="68"/>
      <c r="E372" s="68"/>
      <c r="F372" s="20"/>
      <c r="G372" s="73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64"/>
      <c r="C373" s="75" t="str">
        <f>IF(H373=0,"",'[4]2025-2026'!C372)</f>
        <v/>
      </c>
      <c r="D373" s="71"/>
      <c r="E373" s="71"/>
      <c r="F373" s="21"/>
      <c r="G373" s="74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69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349924.31999999995</v>
      </c>
      <c r="E377" s="104"/>
      <c r="F377" s="102">
        <v>94</v>
      </c>
      <c r="G377" s="105">
        <f>M377/F377</f>
        <v>3840.4913829787247</v>
      </c>
      <c r="H377" s="84">
        <f>SUM(D$6:D$36)</f>
        <v>345612.39999999997</v>
      </c>
      <c r="I377" s="84">
        <f t="shared" ref="I377:Q377" si="24">SUM(E$6:E$36)</f>
        <v>342264.52</v>
      </c>
      <c r="J377" s="89">
        <f t="shared" si="24"/>
        <v>17748</v>
      </c>
      <c r="K377" s="84">
        <f t="shared" si="24"/>
        <v>353600</v>
      </c>
      <c r="L377" s="84">
        <f t="shared" si="24"/>
        <v>363719.49000000005</v>
      </c>
      <c r="M377" s="84">
        <f t="shared" si="24"/>
        <v>361006.19000000012</v>
      </c>
      <c r="N377" s="89">
        <f t="shared" si="24"/>
        <v>17339</v>
      </c>
      <c r="O377" s="89">
        <f t="shared" si="24"/>
        <v>3607.92</v>
      </c>
      <c r="P377" s="89">
        <f t="shared" si="24"/>
        <v>4288.6500000000005</v>
      </c>
      <c r="Q377" s="87">
        <f t="shared" si="24"/>
        <v>1330.0500000000002</v>
      </c>
      <c r="R377" s="87">
        <f>'[4]2025'!$G$387</f>
        <v>1008.1999999999999</v>
      </c>
      <c r="S377" s="87">
        <f>'[4]2025'!$G$388</f>
        <v>-71.150000000000006</v>
      </c>
      <c r="T377" s="87">
        <f>'[4]2025'!$G$389</f>
        <v>36.85</v>
      </c>
      <c r="V377" s="1502">
        <f>(L377-D377)/D377</f>
        <v>3.9423295871519028E-2</v>
      </c>
      <c r="W377" s="1502">
        <f>(L377-H377)/H377</f>
        <v>5.2391320450308164E-2</v>
      </c>
      <c r="X377" s="1502">
        <f>(M377-I377)/I377</f>
        <v>5.4757852201566495E-2</v>
      </c>
      <c r="Y377" s="1502">
        <f>(N377-J377)/J377</f>
        <v>-2.3044850123957628E-2</v>
      </c>
      <c r="Z377" s="1503"/>
    </row>
    <row r="378" spans="1:26" ht="17" customHeight="1">
      <c r="B378" s="98" t="s">
        <v>25</v>
      </c>
      <c r="C378" s="204"/>
      <c r="D378" s="84">
        <f>SUM(C$37:C$64)</f>
        <v>348847.43999999994</v>
      </c>
      <c r="E378" s="104"/>
      <c r="F378" s="102">
        <v>94</v>
      </c>
      <c r="G378" s="105">
        <f t="shared" ref="G378:G388" si="25">M378/F378</f>
        <v>3583.165</v>
      </c>
      <c r="H378" s="83">
        <f>SUM(D$37:D$64)</f>
        <v>348588.36999999994</v>
      </c>
      <c r="I378" s="83">
        <f t="shared" ref="I378:Q378" si="26">SUM(E$37:E$64)</f>
        <v>345601.97000000003</v>
      </c>
      <c r="J378" s="89">
        <f t="shared" si="26"/>
        <v>17559</v>
      </c>
      <c r="K378" s="84">
        <f t="shared" si="26"/>
        <v>346400</v>
      </c>
      <c r="L378" s="88">
        <f t="shared" si="26"/>
        <v>339986.69999999995</v>
      </c>
      <c r="M378" s="88">
        <f t="shared" si="26"/>
        <v>336817.51</v>
      </c>
      <c r="N378" s="93">
        <f t="shared" si="26"/>
        <v>16117</v>
      </c>
      <c r="O378" s="93">
        <f t="shared" si="26"/>
        <v>3493.17</v>
      </c>
      <c r="P378" s="93">
        <f t="shared" si="26"/>
        <v>4022.4900000000007</v>
      </c>
      <c r="Q378" s="87">
        <f t="shared" si="26"/>
        <v>1168.53</v>
      </c>
      <c r="R378" s="87">
        <f>'[4]2025'!$H$387</f>
        <v>823.18</v>
      </c>
      <c r="S378" s="87">
        <f>'[4]2025'!$H$388</f>
        <v>-62.099999999999994</v>
      </c>
      <c r="T378" s="87">
        <f>'[4]2025'!$H$389</f>
        <v>86.210000000000008</v>
      </c>
      <c r="V378" s="1502">
        <f t="shared" ref="V378:V388" si="27">(L378-D378)/D378</f>
        <v>-2.5400043067536893E-2</v>
      </c>
      <c r="W378" s="1502">
        <f t="shared" ref="W378:Y388" si="28">(L378-H378)/H378</f>
        <v>-2.4675722830339936E-2</v>
      </c>
      <c r="X378" s="1502">
        <f t="shared" si="28"/>
        <v>-2.5417852797540535E-2</v>
      </c>
      <c r="Y378" s="1502">
        <f t="shared" si="28"/>
        <v>-8.2123127740759722E-2</v>
      </c>
      <c r="Z378" s="1503"/>
    </row>
    <row r="379" spans="1:26">
      <c r="B379" s="98" t="s">
        <v>17</v>
      </c>
      <c r="C379" s="204"/>
      <c r="D379" s="84">
        <f>SUM(C$65:C$95)</f>
        <v>368381.93000000011</v>
      </c>
      <c r="E379" s="104"/>
      <c r="F379" s="102">
        <v>94</v>
      </c>
      <c r="G379" s="105">
        <f t="shared" si="25"/>
        <v>3718.4663829787223</v>
      </c>
      <c r="H379" s="83">
        <f>SUM(D$65:D$95)</f>
        <v>359550.40000000008</v>
      </c>
      <c r="I379" s="83">
        <f t="shared" ref="I379:Q379" si="29">SUM(E$65:E$95)</f>
        <v>355879.05</v>
      </c>
      <c r="J379" s="90">
        <f t="shared" si="29"/>
        <v>18276</v>
      </c>
      <c r="K379" s="83">
        <f t="shared" si="29"/>
        <v>362700</v>
      </c>
      <c r="L379" s="83">
        <f t="shared" si="29"/>
        <v>353332.67999999982</v>
      </c>
      <c r="M379" s="83">
        <f t="shared" si="29"/>
        <v>349535.83999999991</v>
      </c>
      <c r="N379" s="90">
        <f t="shared" si="29"/>
        <v>16910</v>
      </c>
      <c r="O379" s="90">
        <f t="shared" si="29"/>
        <v>3648.67</v>
      </c>
      <c r="P379" s="90">
        <f t="shared" si="29"/>
        <v>4105</v>
      </c>
      <c r="Q379" s="83">
        <f t="shared" si="29"/>
        <v>1727.9500000000003</v>
      </c>
      <c r="R379" s="87">
        <f>'[4]2025'!$I$387</f>
        <v>1175.3400000000001</v>
      </c>
      <c r="S379" s="87">
        <f>'[4]2025'!$I$388</f>
        <v>-553.63999999999987</v>
      </c>
      <c r="T379" s="87">
        <f>'[4]2025'!$I$389</f>
        <v>44.75</v>
      </c>
      <c r="V379" s="1502">
        <f t="shared" si="27"/>
        <v>-4.0852302391706036E-2</v>
      </c>
      <c r="W379" s="1502">
        <f t="shared" si="28"/>
        <v>-1.7293041531869419E-2</v>
      </c>
      <c r="X379" s="1502">
        <f t="shared" si="28"/>
        <v>-1.782406129273437E-2</v>
      </c>
      <c r="Y379" s="1502">
        <f t="shared" si="28"/>
        <v>-7.4742832129568837E-2</v>
      </c>
      <c r="Z379" s="1503"/>
    </row>
    <row r="380" spans="1:26">
      <c r="B380" s="98" t="s">
        <v>18</v>
      </c>
      <c r="C380" s="204"/>
      <c r="D380" s="84">
        <f>SUM(C$96:C$125)</f>
        <v>370595.95</v>
      </c>
      <c r="E380" s="104"/>
      <c r="F380" s="102">
        <v>94</v>
      </c>
      <c r="G380" s="105">
        <f t="shared" si="25"/>
        <v>3683.7501063829782</v>
      </c>
      <c r="H380" s="83">
        <f>SUM(D$96:D$125)</f>
        <v>378533.43</v>
      </c>
      <c r="I380" s="83">
        <f t="shared" ref="I380:Q380" si="30">SUM(E$96:E$125)</f>
        <v>375051.01999999996</v>
      </c>
      <c r="J380" s="90">
        <f t="shared" si="30"/>
        <v>19376</v>
      </c>
      <c r="K380" s="83">
        <f t="shared" si="30"/>
        <v>375600</v>
      </c>
      <c r="L380" s="83">
        <f t="shared" si="30"/>
        <v>351708.42000000004</v>
      </c>
      <c r="M380" s="83">
        <f t="shared" si="30"/>
        <v>346272.50999999995</v>
      </c>
      <c r="N380" s="90">
        <f t="shared" si="30"/>
        <v>16961</v>
      </c>
      <c r="O380" s="90">
        <f t="shared" si="30"/>
        <v>3627.3860000000004</v>
      </c>
      <c r="P380" s="90">
        <f t="shared" si="30"/>
        <v>4101.51</v>
      </c>
      <c r="Q380" s="83">
        <f t="shared" si="30"/>
        <v>513.62</v>
      </c>
      <c r="R380" s="87">
        <f>'[4]2025'!$J$387</f>
        <v>938.28</v>
      </c>
      <c r="S380" s="87">
        <f>'[4]2025'!$J$388</f>
        <v>-241.06</v>
      </c>
      <c r="T380" s="87">
        <f>'[4]2025'!$J$389</f>
        <v>172.19</v>
      </c>
      <c r="V380" s="1502">
        <f t="shared" si="27"/>
        <v>-5.0965289825752193E-2</v>
      </c>
      <c r="W380" s="1502">
        <f t="shared" si="28"/>
        <v>-7.0865630018463494E-2</v>
      </c>
      <c r="X380" s="1502">
        <f t="shared" si="28"/>
        <v>-7.6732253654449495E-2</v>
      </c>
      <c r="Y380" s="1502">
        <f t="shared" si="28"/>
        <v>-0.12463872832369942</v>
      </c>
      <c r="Z380" s="1503"/>
    </row>
    <row r="381" spans="1:26" ht="17" customHeight="1">
      <c r="B381" s="98" t="s">
        <v>19</v>
      </c>
      <c r="C381" s="204"/>
      <c r="D381" s="84">
        <f>SUM(C$126:C$156)</f>
        <v>368979.48999999987</v>
      </c>
      <c r="E381" s="104"/>
      <c r="F381" s="102">
        <v>94</v>
      </c>
      <c r="G381" s="105">
        <f t="shared" si="25"/>
        <v>3900.2253191489349</v>
      </c>
      <c r="H381" s="84">
        <f>SUM(D$126:D$156)</f>
        <v>371054.28999999992</v>
      </c>
      <c r="I381" s="84">
        <f t="shared" ref="I381:Q381" si="31">SUM(E$126:E$156)</f>
        <v>367936.91000000003</v>
      </c>
      <c r="J381" s="89">
        <f t="shared" si="31"/>
        <v>18959</v>
      </c>
      <c r="K381" s="84">
        <f t="shared" si="31"/>
        <v>370800</v>
      </c>
      <c r="L381" s="84">
        <f t="shared" si="31"/>
        <v>371144.75</v>
      </c>
      <c r="M381" s="84">
        <f t="shared" si="31"/>
        <v>366621.17999999988</v>
      </c>
      <c r="N381" s="89">
        <f t="shared" si="31"/>
        <v>18207</v>
      </c>
      <c r="O381" s="89">
        <f t="shared" si="31"/>
        <v>3585.22</v>
      </c>
      <c r="P381" s="89">
        <f t="shared" si="31"/>
        <v>4123.0200000000013</v>
      </c>
      <c r="Q381" s="87">
        <f t="shared" si="31"/>
        <v>1094.17</v>
      </c>
      <c r="R381" s="87">
        <f>'[4]2025'!$K$387</f>
        <v>1018.34</v>
      </c>
      <c r="S381" s="87">
        <f>'[4]2025'!$K$388</f>
        <v>-16.080000000000013</v>
      </c>
      <c r="T381" s="87">
        <f>'[4]2025'!$K$389</f>
        <v>34.64</v>
      </c>
      <c r="V381" s="1502">
        <f t="shared" si="27"/>
        <v>5.8682394514668725E-3</v>
      </c>
      <c r="W381" s="1502">
        <f t="shared" si="28"/>
        <v>2.4379181817323601E-4</v>
      </c>
      <c r="X381" s="1502">
        <f t="shared" si="28"/>
        <v>-3.5759663253141847E-3</v>
      </c>
      <c r="Y381" s="1502">
        <f t="shared" si="28"/>
        <v>-3.9664539268948786E-2</v>
      </c>
      <c r="Z381" s="1503"/>
    </row>
    <row r="382" spans="1:26" ht="17" customHeight="1">
      <c r="B382" s="98" t="s">
        <v>20</v>
      </c>
      <c r="C382" s="204"/>
      <c r="D382" s="84">
        <f>SUM(C$157:C$186)</f>
        <v>92718.32</v>
      </c>
      <c r="E382" s="104"/>
      <c r="F382" s="102">
        <v>94</v>
      </c>
      <c r="G382" s="105">
        <f>M382/F382</f>
        <v>907.39276595744684</v>
      </c>
      <c r="H382" s="84">
        <f>SUM(D$157:D$186)</f>
        <v>91560.22</v>
      </c>
      <c r="I382" s="84">
        <f t="shared" ref="I382:Q382" si="32">SUM(E$157:E$186)</f>
        <v>90798.03</v>
      </c>
      <c r="J382" s="89">
        <f t="shared" si="32"/>
        <v>4589</v>
      </c>
      <c r="K382" s="84">
        <f t="shared" si="32"/>
        <v>93500</v>
      </c>
      <c r="L382" s="84">
        <f t="shared" si="32"/>
        <v>86494.209999999992</v>
      </c>
      <c r="M382" s="84">
        <f t="shared" si="32"/>
        <v>85294.92</v>
      </c>
      <c r="N382" s="89">
        <f t="shared" si="32"/>
        <v>4342</v>
      </c>
      <c r="O382" s="89">
        <f t="shared" si="32"/>
        <v>956</v>
      </c>
      <c r="P382" s="89">
        <f t="shared" si="32"/>
        <v>1076.2299999999998</v>
      </c>
      <c r="Q382" s="87">
        <f t="shared" si="32"/>
        <v>548.40716523736853</v>
      </c>
      <c r="R382" s="87">
        <f>'[4]2025'!$L$387</f>
        <v>281.53000000000003</v>
      </c>
      <c r="S382" s="87">
        <f>'[4]2025'!$L$388</f>
        <v>26.860000000000007</v>
      </c>
      <c r="T382" s="87">
        <f>'[4]2025'!$L$389</f>
        <v>0.72</v>
      </c>
      <c r="V382" s="1502">
        <f t="shared" si="27"/>
        <v>-6.7129236163899597E-2</v>
      </c>
      <c r="W382" s="1502">
        <f t="shared" si="28"/>
        <v>-5.5329814629104315E-2</v>
      </c>
      <c r="X382" s="1502">
        <f t="shared" si="28"/>
        <v>-6.0608253284790435E-2</v>
      </c>
      <c r="Y382" s="1502">
        <f t="shared" si="28"/>
        <v>-5.3824362606232294E-2</v>
      </c>
      <c r="Z382" s="1503"/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94</v>
      </c>
      <c r="G383" s="105">
        <f t="shared" si="25"/>
        <v>0</v>
      </c>
      <c r="H383" s="84">
        <f>SUM(D$187:D$217)</f>
        <v>0</v>
      </c>
      <c r="I383" s="84">
        <f t="shared" ref="I383:Q383" si="33">SUM(E$187:E$217)</f>
        <v>0</v>
      </c>
      <c r="J383" s="89">
        <f t="shared" si="33"/>
        <v>0</v>
      </c>
      <c r="K383" s="84">
        <f t="shared" si="33"/>
        <v>0</v>
      </c>
      <c r="L383" s="84">
        <f t="shared" si="33"/>
        <v>0</v>
      </c>
      <c r="M383" s="84">
        <f t="shared" si="33"/>
        <v>0</v>
      </c>
      <c r="N383" s="89">
        <f t="shared" si="33"/>
        <v>0</v>
      </c>
      <c r="O383" s="89">
        <f t="shared" si="33"/>
        <v>0</v>
      </c>
      <c r="P383" s="89">
        <f t="shared" si="33"/>
        <v>0</v>
      </c>
      <c r="Q383" s="87">
        <f t="shared" si="33"/>
        <v>0</v>
      </c>
      <c r="R383" s="87">
        <f>'[4]2025'!$M$387</f>
        <v>0</v>
      </c>
      <c r="S383" s="87">
        <f>'[4]2025'!$M$388</f>
        <v>0</v>
      </c>
      <c r="T383" s="87">
        <f>'[4]2025'!$M$389</f>
        <v>0</v>
      </c>
      <c r="V383" s="1502" t="e">
        <f t="shared" si="27"/>
        <v>#DIV/0!</v>
      </c>
      <c r="W383" s="1502" t="e">
        <f t="shared" si="28"/>
        <v>#DIV/0!</v>
      </c>
      <c r="X383" s="1502" t="e">
        <f t="shared" si="28"/>
        <v>#DIV/0!</v>
      </c>
      <c r="Y383" s="1502" t="e">
        <f t="shared" si="28"/>
        <v>#DIV/0!</v>
      </c>
      <c r="Z383" s="1503"/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94</v>
      </c>
      <c r="G384" s="105">
        <f t="shared" si="25"/>
        <v>0</v>
      </c>
      <c r="H384" s="84">
        <f>SUM(D$218:D$248)</f>
        <v>0</v>
      </c>
      <c r="I384" s="84">
        <f t="shared" ref="I384:Q384" si="34">SUM(E$218:E$248)</f>
        <v>0</v>
      </c>
      <c r="J384" s="89">
        <f t="shared" si="34"/>
        <v>0</v>
      </c>
      <c r="K384" s="84">
        <f t="shared" si="34"/>
        <v>0</v>
      </c>
      <c r="L384" s="84">
        <f t="shared" si="34"/>
        <v>0</v>
      </c>
      <c r="M384" s="84">
        <f t="shared" si="34"/>
        <v>0</v>
      </c>
      <c r="N384" s="89">
        <f t="shared" si="34"/>
        <v>0</v>
      </c>
      <c r="O384" s="89">
        <f t="shared" si="34"/>
        <v>0</v>
      </c>
      <c r="P384" s="89">
        <f t="shared" si="34"/>
        <v>0</v>
      </c>
      <c r="Q384" s="84">
        <f t="shared" si="34"/>
        <v>0</v>
      </c>
      <c r="R384" s="87">
        <f>'[4]2025'!$N$387</f>
        <v>0</v>
      </c>
      <c r="S384" s="87">
        <f>'[4]2025'!$N$388</f>
        <v>0</v>
      </c>
      <c r="T384" s="87">
        <f>'[4]2025'!$N$389</f>
        <v>0</v>
      </c>
      <c r="V384" s="1502" t="e">
        <f t="shared" si="27"/>
        <v>#DIV/0!</v>
      </c>
      <c r="W384" s="1502" t="e">
        <f t="shared" si="28"/>
        <v>#DIV/0!</v>
      </c>
      <c r="X384" s="1502" t="e">
        <f t="shared" si="28"/>
        <v>#DIV/0!</v>
      </c>
      <c r="Y384" s="1502" t="e">
        <f t="shared" si="28"/>
        <v>#DIV/0!</v>
      </c>
      <c r="Z384" s="1503"/>
    </row>
    <row r="385" spans="2:26" ht="17" customHeight="1">
      <c r="B385" s="98" t="s">
        <v>22</v>
      </c>
      <c r="C385" s="204"/>
      <c r="D385" s="84">
        <f>SUM(C$249:C$278)</f>
        <v>0</v>
      </c>
      <c r="E385" s="104"/>
      <c r="F385" s="102">
        <v>94</v>
      </c>
      <c r="G385" s="105">
        <f t="shared" si="25"/>
        <v>0</v>
      </c>
      <c r="H385" s="85">
        <f>SUM(D$249:D$278)</f>
        <v>0</v>
      </c>
      <c r="I385" s="85">
        <f t="shared" ref="I385:Q385" si="35">SUM(E$249:E$278)</f>
        <v>0</v>
      </c>
      <c r="J385" s="91">
        <f t="shared" si="35"/>
        <v>0</v>
      </c>
      <c r="K385" s="85">
        <f t="shared" si="35"/>
        <v>0</v>
      </c>
      <c r="L385" s="85">
        <f t="shared" si="35"/>
        <v>0</v>
      </c>
      <c r="M385" s="85">
        <f t="shared" si="35"/>
        <v>0</v>
      </c>
      <c r="N385" s="91">
        <f t="shared" si="35"/>
        <v>0</v>
      </c>
      <c r="O385" s="91">
        <f t="shared" si="35"/>
        <v>0</v>
      </c>
      <c r="P385" s="91">
        <f t="shared" si="35"/>
        <v>0</v>
      </c>
      <c r="Q385" s="85">
        <f t="shared" si="35"/>
        <v>0</v>
      </c>
      <c r="R385" s="87">
        <f>'[4]2025'!$O$387</f>
        <v>0</v>
      </c>
      <c r="S385" s="87">
        <f>'[4]2025'!$O$388</f>
        <v>0</v>
      </c>
      <c r="T385" s="87">
        <f>'[4]2025'!$O$389</f>
        <v>0</v>
      </c>
      <c r="V385" s="1502" t="e">
        <f t="shared" si="27"/>
        <v>#DIV/0!</v>
      </c>
      <c r="W385" s="1502" t="e">
        <f t="shared" si="28"/>
        <v>#DIV/0!</v>
      </c>
      <c r="X385" s="1502" t="e">
        <f t="shared" si="28"/>
        <v>#DIV/0!</v>
      </c>
      <c r="Y385" s="1502" t="e">
        <f t="shared" si="28"/>
        <v>#DIV/0!</v>
      </c>
      <c r="Z385" s="1503"/>
    </row>
    <row r="386" spans="2:26">
      <c r="B386" s="98" t="s">
        <v>23</v>
      </c>
      <c r="C386" s="204"/>
      <c r="D386" s="84">
        <f>SUM(C$279:C$309)</f>
        <v>0</v>
      </c>
      <c r="E386" s="104"/>
      <c r="F386" s="102">
        <v>94</v>
      </c>
      <c r="G386" s="105">
        <f t="shared" si="25"/>
        <v>0</v>
      </c>
      <c r="H386" s="84">
        <f>SUM(D$279:D$309)</f>
        <v>0</v>
      </c>
      <c r="I386" s="84">
        <f t="shared" ref="I386:Q386" si="36">SUM(E$279:E$309)</f>
        <v>0</v>
      </c>
      <c r="J386" s="89">
        <f t="shared" si="36"/>
        <v>0</v>
      </c>
      <c r="K386" s="84">
        <f t="shared" si="36"/>
        <v>0</v>
      </c>
      <c r="L386" s="84">
        <f t="shared" si="36"/>
        <v>0</v>
      </c>
      <c r="M386" s="84">
        <f t="shared" si="36"/>
        <v>0</v>
      </c>
      <c r="N386" s="89">
        <f t="shared" si="36"/>
        <v>0</v>
      </c>
      <c r="O386" s="89">
        <f t="shared" si="36"/>
        <v>0</v>
      </c>
      <c r="P386" s="89">
        <f t="shared" si="36"/>
        <v>0</v>
      </c>
      <c r="Q386" s="84">
        <f t="shared" si="36"/>
        <v>0</v>
      </c>
      <c r="R386" s="87">
        <f>'[4]2025'!$P$387</f>
        <v>0</v>
      </c>
      <c r="S386" s="87">
        <f>'[4]2025'!$P$388</f>
        <v>0</v>
      </c>
      <c r="T386" s="87">
        <f>'[4]2025'!$P$389</f>
        <v>0</v>
      </c>
      <c r="V386" s="1502" t="e">
        <f t="shared" si="27"/>
        <v>#DIV/0!</v>
      </c>
      <c r="W386" s="1502" t="e">
        <f t="shared" si="28"/>
        <v>#DIV/0!</v>
      </c>
      <c r="X386" s="1502" t="e">
        <f t="shared" si="28"/>
        <v>#DIV/0!</v>
      </c>
      <c r="Y386" s="1502" t="e">
        <f t="shared" si="28"/>
        <v>#DIV/0!</v>
      </c>
      <c r="Z386" s="1503"/>
    </row>
    <row r="387" spans="2:26">
      <c r="B387" s="98" t="s">
        <v>24</v>
      </c>
      <c r="C387" s="204"/>
      <c r="D387" s="84">
        <f>SUM(C$310:C$339)</f>
        <v>0</v>
      </c>
      <c r="E387" s="104"/>
      <c r="F387" s="102">
        <v>94</v>
      </c>
      <c r="G387" s="105">
        <f t="shared" si="25"/>
        <v>0</v>
      </c>
      <c r="H387" s="86">
        <f>SUM(D$310:D$339)</f>
        <v>0</v>
      </c>
      <c r="I387" s="86">
        <f t="shared" ref="I387:Q387" si="37">SUM(E$310:E$339)</f>
        <v>0</v>
      </c>
      <c r="J387" s="92">
        <f t="shared" si="37"/>
        <v>0</v>
      </c>
      <c r="K387" s="86">
        <f t="shared" si="37"/>
        <v>0</v>
      </c>
      <c r="L387" s="86">
        <f t="shared" si="37"/>
        <v>0</v>
      </c>
      <c r="M387" s="86">
        <f t="shared" si="37"/>
        <v>0</v>
      </c>
      <c r="N387" s="92">
        <f t="shared" si="37"/>
        <v>0</v>
      </c>
      <c r="O387" s="92">
        <f t="shared" si="37"/>
        <v>0</v>
      </c>
      <c r="P387" s="92">
        <f t="shared" si="37"/>
        <v>0</v>
      </c>
      <c r="Q387" s="86">
        <f t="shared" si="37"/>
        <v>0</v>
      </c>
      <c r="R387" s="87">
        <f>'[4]2025'!$Q$387</f>
        <v>0</v>
      </c>
      <c r="S387" s="87">
        <f>'[4]2025'!$Q$388</f>
        <v>0</v>
      </c>
      <c r="T387" s="87">
        <f>'[4]2025'!$Q$389</f>
        <v>0</v>
      </c>
      <c r="V387" s="1502" t="e">
        <f t="shared" si="27"/>
        <v>#DIV/0!</v>
      </c>
      <c r="W387" s="1502" t="e">
        <f t="shared" si="28"/>
        <v>#DIV/0!</v>
      </c>
      <c r="X387" s="1502" t="e">
        <f t="shared" si="28"/>
        <v>#DIV/0!</v>
      </c>
      <c r="Y387" s="1502" t="e">
        <f t="shared" si="28"/>
        <v>#DIV/0!</v>
      </c>
      <c r="Z387" s="1503"/>
    </row>
    <row r="388" spans="2:26" ht="17" customHeight="1">
      <c r="B388" s="98" t="s">
        <v>27</v>
      </c>
      <c r="C388" s="204"/>
      <c r="D388" s="84">
        <f>SUM(C$340:C$370)</f>
        <v>0</v>
      </c>
      <c r="E388" s="104"/>
      <c r="F388" s="102">
        <v>94</v>
      </c>
      <c r="G388" s="105">
        <f t="shared" si="25"/>
        <v>0</v>
      </c>
      <c r="H388" s="84">
        <f>SUM(D$340:D$370)</f>
        <v>0</v>
      </c>
      <c r="I388" s="84">
        <f t="shared" ref="I388:Q388" si="38">SUM(E$340:E$370)</f>
        <v>0</v>
      </c>
      <c r="J388" s="89">
        <f t="shared" si="38"/>
        <v>0</v>
      </c>
      <c r="K388" s="84">
        <f t="shared" si="38"/>
        <v>0</v>
      </c>
      <c r="L388" s="84">
        <f t="shared" si="38"/>
        <v>0</v>
      </c>
      <c r="M388" s="84">
        <f t="shared" si="38"/>
        <v>0</v>
      </c>
      <c r="N388" s="89">
        <f t="shared" si="38"/>
        <v>0</v>
      </c>
      <c r="O388" s="89">
        <f t="shared" si="38"/>
        <v>0</v>
      </c>
      <c r="P388" s="89">
        <f t="shared" si="38"/>
        <v>0</v>
      </c>
      <c r="Q388" s="84">
        <f t="shared" si="38"/>
        <v>0</v>
      </c>
      <c r="R388" s="87">
        <f>'[4]2025'!$R$387</f>
        <v>0</v>
      </c>
      <c r="S388" s="87">
        <f>'[4]2025'!$R$388</f>
        <v>0</v>
      </c>
      <c r="T388" s="87">
        <f>'[4]2025'!$R$389</f>
        <v>0</v>
      </c>
      <c r="V388" s="1502" t="e">
        <f t="shared" si="27"/>
        <v>#DIV/0!</v>
      </c>
      <c r="W388" s="1502" t="e">
        <f t="shared" si="28"/>
        <v>#DIV/0!</v>
      </c>
      <c r="X388" s="1502" t="e">
        <f t="shared" si="28"/>
        <v>#DIV/0!</v>
      </c>
      <c r="Y388" s="1502" t="e">
        <f t="shared" si="28"/>
        <v>#DIV/0!</v>
      </c>
      <c r="Z388" s="1503"/>
    </row>
    <row r="389" spans="2:26" ht="18" customHeight="1" thickBot="1">
      <c r="B389" s="99" t="s">
        <v>45</v>
      </c>
      <c r="C389" s="205"/>
      <c r="D389" s="96">
        <f>SUM(D377:D388)</f>
        <v>1899447.45</v>
      </c>
      <c r="E389" s="106"/>
      <c r="F389" s="100">
        <f>AVERAGE(F377:F388)</f>
        <v>94</v>
      </c>
      <c r="G389" s="106">
        <f>SUM(G377:G388)</f>
        <v>19633.490957446807</v>
      </c>
      <c r="H389" s="96">
        <f>SUM(H377:H388)</f>
        <v>1894899.1099999996</v>
      </c>
      <c r="I389" s="96">
        <f t="shared" ref="I389:T389" si="39">SUM(I377:I388)</f>
        <v>1877531.5000000002</v>
      </c>
      <c r="J389" s="97">
        <f t="shared" si="39"/>
        <v>96507</v>
      </c>
      <c r="K389" s="96">
        <f t="shared" si="39"/>
        <v>1902600</v>
      </c>
      <c r="L389" s="96">
        <f t="shared" si="39"/>
        <v>1866386.2499999995</v>
      </c>
      <c r="M389" s="96">
        <f t="shared" si="39"/>
        <v>1845548.15</v>
      </c>
      <c r="N389" s="97">
        <f t="shared" si="39"/>
        <v>89876</v>
      </c>
      <c r="O389" s="97">
        <f t="shared" si="39"/>
        <v>18918.366000000002</v>
      </c>
      <c r="P389" s="97">
        <f t="shared" si="39"/>
        <v>21716.9</v>
      </c>
      <c r="Q389" s="96">
        <f t="shared" si="39"/>
        <v>6382.7271652373693</v>
      </c>
      <c r="R389" s="96">
        <f t="shared" si="39"/>
        <v>5244.87</v>
      </c>
      <c r="S389" s="96">
        <f t="shared" si="39"/>
        <v>-917.16999999999985</v>
      </c>
      <c r="T389" s="96">
        <f t="shared" si="39"/>
        <v>375.36</v>
      </c>
      <c r="V389" s="1502">
        <f>(L389-D389)/D389</f>
        <v>-1.7405693429423604E-2</v>
      </c>
      <c r="W389" s="1502">
        <f>(L389-H389)/H389</f>
        <v>-1.5047165228759915E-2</v>
      </c>
      <c r="X389" s="1502">
        <f>(M389-I389)/I389</f>
        <v>-1.7034787432328204E-2</v>
      </c>
      <c r="Y389" s="1502">
        <f>(N389-J389)/J389</f>
        <v>-6.8710041758628909E-2</v>
      </c>
      <c r="Z389" s="1503"/>
    </row>
    <row r="390" spans="2:26">
      <c r="T390" s="28"/>
      <c r="U390" s="38"/>
    </row>
  </sheetData>
  <mergeCells count="56">
    <mergeCell ref="U360:U366"/>
    <mergeCell ref="U367:U373"/>
    <mergeCell ref="U325:U331"/>
    <mergeCell ref="U332:U338"/>
    <mergeCell ref="U339:U345"/>
    <mergeCell ref="U346:U352"/>
    <mergeCell ref="U353:U359"/>
    <mergeCell ref="U318:U324"/>
    <mergeCell ref="U241:U247"/>
    <mergeCell ref="U248:U254"/>
    <mergeCell ref="U255:U261"/>
    <mergeCell ref="U262:U268"/>
    <mergeCell ref="U269:U275"/>
    <mergeCell ref="U276:U282"/>
    <mergeCell ref="U283:U289"/>
    <mergeCell ref="U290:U296"/>
    <mergeCell ref="U297:U303"/>
    <mergeCell ref="U304:U310"/>
    <mergeCell ref="U311:U317"/>
    <mergeCell ref="U122:U128"/>
    <mergeCell ref="U129:U135"/>
    <mergeCell ref="U136:U142"/>
    <mergeCell ref="U143:U149"/>
    <mergeCell ref="U234:U240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13:U219"/>
    <mergeCell ref="U220:U226"/>
    <mergeCell ref="U227:U233"/>
    <mergeCell ref="U87:U93"/>
    <mergeCell ref="U94:U100"/>
    <mergeCell ref="U101:U107"/>
    <mergeCell ref="U108:U114"/>
    <mergeCell ref="U115:U121"/>
    <mergeCell ref="V276:V337"/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  <mergeCell ref="U150:U156"/>
    <mergeCell ref="U73:U79"/>
    <mergeCell ref="U80:U86"/>
  </mergeCells>
  <phoneticPr fontId="5" type="noConversion"/>
  <conditionalFormatting sqref="N3:N367">
    <cfRule type="cellIs" dxfId="351" priority="1" operator="lessThan">
      <formula>0.006</formula>
    </cfRule>
    <cfRule type="cellIs" dxfId="350" priority="2" operator="greaterThan">
      <formula>0.006</formula>
    </cfRule>
  </conditionalFormatting>
  <conditionalFormatting sqref="O3:P373">
    <cfRule type="cellIs" dxfId="349" priority="3" operator="lessThan">
      <formula>0</formula>
    </cfRule>
    <cfRule type="cellIs" dxfId="348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B5CA5-53D9-FE4F-B9AA-14730596B4AB}">
  <sheetPr codeName="Feuil8"/>
  <dimension ref="A1:Z390"/>
  <sheetViews>
    <sheetView showGridLines="0" topLeftCell="A92" workbookViewId="0">
      <selection activeCell="A376" sqref="A376:XFD376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5" width="10.83203125" style="79"/>
    <col min="6" max="6" width="10.83203125" style="38"/>
    <col min="7" max="7" width="10.83203125" style="70"/>
    <col min="8" max="8" width="10.83203125" style="44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16384" width="10.83203125" style="38"/>
  </cols>
  <sheetData>
    <row r="1" spans="1:21" ht="16" customHeight="1">
      <c r="A1" s="1740"/>
      <c r="B1" s="1"/>
      <c r="C1" s="206"/>
      <c r="D1" s="1741" t="s">
        <v>148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1" s="39" customFormat="1" ht="37" customHeight="1" thickBot="1">
      <c r="A2" s="1740"/>
      <c r="B2" s="2"/>
      <c r="C2" s="203"/>
      <c r="D2" s="5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1" ht="17" customHeight="1" thickTop="1">
      <c r="A3" s="10" t="s">
        <v>9</v>
      </c>
      <c r="B3" s="11"/>
      <c r="C3" s="207"/>
      <c r="D3" s="75"/>
      <c r="E3" s="75"/>
      <c r="F3" s="20"/>
      <c r="G3" s="73"/>
      <c r="H3" s="42"/>
      <c r="I3" s="13"/>
      <c r="J3" s="14"/>
      <c r="K3" s="15"/>
      <c r="L3" s="15"/>
      <c r="M3" s="15"/>
      <c r="N3" s="16"/>
      <c r="O3" s="17" t="str">
        <f>IF(I3=0,"",(I3-E3)/E3)</f>
        <v/>
      </c>
      <c r="P3" s="17" t="str">
        <f>IF(J3=0,"",(J3-F3)/F3)</f>
        <v/>
      </c>
      <c r="Q3" s="18" t="str">
        <f>IF(I3=0,"",I3/K3)</f>
        <v/>
      </c>
      <c r="R3" s="18" t="e">
        <f>I3/L3</f>
        <v>#DIV/0!</v>
      </c>
      <c r="S3" s="33" t="s">
        <v>39</v>
      </c>
      <c r="T3" s="31" t="s">
        <v>42</v>
      </c>
      <c r="U3" s="1737" t="s">
        <v>83</v>
      </c>
    </row>
    <row r="4" spans="1:21">
      <c r="A4" s="10" t="s">
        <v>11</v>
      </c>
      <c r="B4" s="11"/>
      <c r="C4" s="207"/>
      <c r="D4" s="75"/>
      <c r="E4" s="75"/>
      <c r="F4" s="20"/>
      <c r="G4" s="73"/>
      <c r="H4" s="42"/>
      <c r="I4" s="13"/>
      <c r="J4" s="14"/>
      <c r="K4" s="15"/>
      <c r="L4" s="15"/>
      <c r="M4" s="15"/>
      <c r="N4" s="16"/>
      <c r="O4" s="17" t="str">
        <f t="shared" ref="O4:P67" si="0">IF(I4=0,"",(I4-E4)/E4)</f>
        <v/>
      </c>
      <c r="P4" s="17" t="str">
        <f t="shared" si="0"/>
        <v/>
      </c>
      <c r="Q4" s="18" t="str">
        <f t="shared" ref="Q4:Q67" si="1">IF(I4=0,"",I4/K4)</f>
        <v/>
      </c>
      <c r="R4" s="18" t="e">
        <f t="shared" ref="R4:R67" si="2">I4/L4</f>
        <v>#DIV/0!</v>
      </c>
      <c r="S4" s="34">
        <f>SUM(I3:I9)</f>
        <v>84111.58</v>
      </c>
      <c r="T4" s="45" t="s">
        <v>41</v>
      </c>
      <c r="U4" s="1738"/>
    </row>
    <row r="5" spans="1:21">
      <c r="A5" s="10" t="s">
        <v>12</v>
      </c>
      <c r="B5" s="11"/>
      <c r="C5" s="75"/>
      <c r="D5" s="75"/>
      <c r="E5" s="75"/>
      <c r="F5" s="20"/>
      <c r="G5" s="73"/>
      <c r="H5" s="42"/>
      <c r="I5" s="13"/>
      <c r="J5" s="14"/>
      <c r="K5" s="15"/>
      <c r="L5" s="15"/>
      <c r="M5" s="15"/>
      <c r="N5" s="16"/>
      <c r="O5" s="17" t="str">
        <f t="shared" si="0"/>
        <v/>
      </c>
      <c r="P5" s="17" t="str">
        <f t="shared" si="0"/>
        <v/>
      </c>
      <c r="Q5" s="18" t="str">
        <f t="shared" si="1"/>
        <v/>
      </c>
      <c r="R5" s="18" t="e">
        <f t="shared" si="2"/>
        <v>#DIV/0!</v>
      </c>
      <c r="S5" s="35">
        <f>(S4-SUM(E3:E9))/SUM(E3:E9)</f>
        <v>0.22919289241439578</v>
      </c>
      <c r="T5" s="48">
        <f>SUM(I3:I9)/SUM(K3:K9)</f>
        <v>104.13844420507868</v>
      </c>
      <c r="U5" s="1738"/>
    </row>
    <row r="6" spans="1:21">
      <c r="A6" s="10" t="s">
        <v>13</v>
      </c>
      <c r="B6" s="11">
        <f>+CHAMNORD!B6</f>
        <v>46023</v>
      </c>
      <c r="C6" s="75">
        <f>IF(H6=0,"",'[5]2025-2026'!C5)</f>
        <v>27229.48</v>
      </c>
      <c r="D6" s="75">
        <f>+'[5]2026'!C6</f>
        <v>15540.57</v>
      </c>
      <c r="E6" s="75">
        <f>+'[5]2026'!D6</f>
        <v>15241.68</v>
      </c>
      <c r="F6" s="20">
        <f>+'[5]2026'!E6</f>
        <v>819</v>
      </c>
      <c r="G6" s="73">
        <f>+'[5]2026'!F6</f>
        <v>28500</v>
      </c>
      <c r="H6" s="42">
        <f>+'[5]2026'!G6</f>
        <v>28991.57</v>
      </c>
      <c r="I6" s="13">
        <f>+'[5]2026'!H6</f>
        <v>28389.71</v>
      </c>
      <c r="J6" s="14">
        <f>+'[5]2026'!I6</f>
        <v>1189</v>
      </c>
      <c r="K6" s="15">
        <f>+'[5]2026'!J6</f>
        <v>248.5</v>
      </c>
      <c r="L6" s="15">
        <f>+'[5]2026'!K6</f>
        <v>294.47000000000003</v>
      </c>
      <c r="M6" s="15">
        <f>+'[5]2026'!L6</f>
        <v>104.43</v>
      </c>
      <c r="N6" s="16">
        <f t="shared" ref="N6:N67" si="3">IF(M6=0,"",M6/I6)</f>
        <v>3.6784454649237352E-3</v>
      </c>
      <c r="O6" s="17">
        <f t="shared" si="0"/>
        <v>0.86263653350549274</v>
      </c>
      <c r="P6" s="17">
        <f t="shared" si="0"/>
        <v>0.45177045177045178</v>
      </c>
      <c r="Q6" s="18">
        <f t="shared" si="1"/>
        <v>114.24430583501005</v>
      </c>
      <c r="R6" s="18">
        <f t="shared" si="2"/>
        <v>96.409515400550134</v>
      </c>
      <c r="S6" s="34"/>
      <c r="T6" s="29" t="s">
        <v>8</v>
      </c>
      <c r="U6" s="1738"/>
    </row>
    <row r="7" spans="1:21">
      <c r="A7" s="10" t="s">
        <v>14</v>
      </c>
      <c r="B7" s="11">
        <f>+CHAMNORD!B7</f>
        <v>46024</v>
      </c>
      <c r="C7" s="75">
        <f>IF(H7=0,"",'[5]2025-2026'!C6)</f>
        <v>15540.57</v>
      </c>
      <c r="D7" s="75">
        <f>+'[5]2026'!C7</f>
        <v>18449.72</v>
      </c>
      <c r="E7" s="75">
        <f>+'[5]2026'!D7</f>
        <v>18074.759999999998</v>
      </c>
      <c r="F7" s="20">
        <f>+'[5]2026'!E7</f>
        <v>935</v>
      </c>
      <c r="G7" s="73">
        <f>+'[5]2026'!F7</f>
        <v>19000</v>
      </c>
      <c r="H7" s="42">
        <f>+'[5]2026'!G7</f>
        <v>19572.48</v>
      </c>
      <c r="I7" s="13">
        <f>+'[5]2026'!H7</f>
        <v>19272.330000000002</v>
      </c>
      <c r="J7" s="14">
        <f>+'[5]2026'!I7</f>
        <v>949</v>
      </c>
      <c r="K7" s="15">
        <f>+'[5]2026'!J7</f>
        <v>190.88</v>
      </c>
      <c r="L7" s="15">
        <f>+'[5]2026'!K7</f>
        <v>208.78</v>
      </c>
      <c r="M7" s="15">
        <f>+'[5]2026'!L7</f>
        <v>106.42</v>
      </c>
      <c r="N7" s="16">
        <f t="shared" si="3"/>
        <v>5.5219062770303327E-3</v>
      </c>
      <c r="O7" s="17">
        <f t="shared" si="0"/>
        <v>6.6256481413861285E-2</v>
      </c>
      <c r="P7" s="17">
        <f t="shared" si="0"/>
        <v>1.4973262032085561E-2</v>
      </c>
      <c r="Q7" s="18">
        <f t="shared" si="1"/>
        <v>100.96568524727579</v>
      </c>
      <c r="R7" s="18">
        <f t="shared" si="2"/>
        <v>92.309272918861964</v>
      </c>
      <c r="S7" s="36" t="s">
        <v>40</v>
      </c>
      <c r="T7" s="48">
        <f>SUM(I3:I9)/SUM(L3:L9)</f>
        <v>90.263003702312616</v>
      </c>
      <c r="U7" s="1738"/>
    </row>
    <row r="8" spans="1:21">
      <c r="A8" s="10" t="s">
        <v>15</v>
      </c>
      <c r="B8" s="11">
        <f>+CHAMNORD!B8</f>
        <v>46025</v>
      </c>
      <c r="C8" s="75">
        <f>IF(H8=0,"",'[5]2025-2026'!C7)</f>
        <v>18449.72</v>
      </c>
      <c r="D8" s="75">
        <f>+'[5]2026'!C8</f>
        <v>19804.63</v>
      </c>
      <c r="E8" s="75">
        <f>+'[5]2026'!D8</f>
        <v>19408.03</v>
      </c>
      <c r="F8" s="20">
        <f>+'[5]2026'!E8</f>
        <v>942</v>
      </c>
      <c r="G8" s="73">
        <f>+'[5]2026'!F8</f>
        <v>20400</v>
      </c>
      <c r="H8" s="42">
        <f>+'[5]2026'!G8</f>
        <v>18362.37</v>
      </c>
      <c r="I8" s="13">
        <f>+'[5]2026'!H8</f>
        <v>18040.37</v>
      </c>
      <c r="J8" s="14">
        <f>+'[5]2026'!I8</f>
        <v>887</v>
      </c>
      <c r="K8" s="15">
        <f>+'[5]2026'!J8</f>
        <v>188.82999999999996</v>
      </c>
      <c r="L8" s="15">
        <f>+'[5]2026'!K8</f>
        <v>215.42</v>
      </c>
      <c r="M8" s="15">
        <f>+'[5]2026'!L8</f>
        <v>86.01</v>
      </c>
      <c r="N8" s="16">
        <f t="shared" si="3"/>
        <v>4.7676405749992939E-3</v>
      </c>
      <c r="O8" s="17">
        <f t="shared" si="0"/>
        <v>-7.0468769885454627E-2</v>
      </c>
      <c r="P8" s="17">
        <f t="shared" si="0"/>
        <v>-5.8386411889596604E-2</v>
      </c>
      <c r="Q8" s="18">
        <f t="shared" si="1"/>
        <v>95.537626436477268</v>
      </c>
      <c r="R8" s="18">
        <f t="shared" si="2"/>
        <v>83.745102590288738</v>
      </c>
      <c r="S8" s="36">
        <f>SUM(J3:J9)</f>
        <v>3855</v>
      </c>
      <c r="T8" s="30" t="s">
        <v>3</v>
      </c>
      <c r="U8" s="1738"/>
    </row>
    <row r="9" spans="1:21" ht="18" thickBot="1">
      <c r="A9" s="10" t="s">
        <v>16</v>
      </c>
      <c r="B9" s="11">
        <f>+CHAMNORD!B9</f>
        <v>46026</v>
      </c>
      <c r="C9" s="75">
        <f>IF(H9=0,"",'[5]2025-2026'!C8)</f>
        <v>19804.63</v>
      </c>
      <c r="D9" s="75">
        <f>+'[5]2026'!C9</f>
        <v>16038.66</v>
      </c>
      <c r="E9" s="75">
        <f>+'[5]2026'!D9</f>
        <v>15703.83</v>
      </c>
      <c r="F9" s="20">
        <f>+'[5]2026'!E9</f>
        <v>750</v>
      </c>
      <c r="G9" s="73">
        <f>+'[5]2026'!F9</f>
        <v>16500</v>
      </c>
      <c r="H9" s="42">
        <f>+'[5]2026'!G9</f>
        <v>18416.23</v>
      </c>
      <c r="I9" s="13">
        <f>+'[5]2026'!H9</f>
        <v>18409.169999999998</v>
      </c>
      <c r="J9" s="14">
        <f>+'[5]2026'!I9</f>
        <v>830</v>
      </c>
      <c r="K9" s="15">
        <f>+'[5]2026'!J9</f>
        <v>179.48000000000002</v>
      </c>
      <c r="L9" s="15">
        <f>+'[5]2026'!K9</f>
        <v>213.18</v>
      </c>
      <c r="M9" s="15">
        <f>+'[5]2026'!L9</f>
        <v>85.73</v>
      </c>
      <c r="N9" s="16">
        <f t="shared" si="3"/>
        <v>4.6569182641042484E-3</v>
      </c>
      <c r="O9" s="17">
        <f t="shared" si="0"/>
        <v>0.17227262393951021</v>
      </c>
      <c r="P9" s="17">
        <f t="shared" si="0"/>
        <v>0.10666666666666667</v>
      </c>
      <c r="Q9" s="18">
        <f t="shared" si="1"/>
        <v>102.56947849342544</v>
      </c>
      <c r="R9" s="18">
        <f t="shared" si="2"/>
        <v>86.355052068674354</v>
      </c>
      <c r="S9" s="37">
        <f>(S8-SUM(F3:F9))/SUM(F3:F9)</f>
        <v>0.11868833430063842</v>
      </c>
      <c r="T9" s="47">
        <f>SUM(M3:M9)/SUM(I3:I9)</f>
        <v>4.5486007990814111E-3</v>
      </c>
      <c r="U9" s="1739"/>
    </row>
    <row r="10" spans="1:21" ht="17" customHeight="1" thickTop="1">
      <c r="A10" s="10" t="s">
        <v>9</v>
      </c>
      <c r="B10" s="19">
        <f>+CHAMNORD!B10</f>
        <v>46027</v>
      </c>
      <c r="C10" s="75">
        <f>IF(H10=0,"",'[5]2025-2026'!C9)</f>
        <v>16038.66</v>
      </c>
      <c r="D10" s="75">
        <f>+'[5]2026'!C10</f>
        <v>12124.66</v>
      </c>
      <c r="E10" s="75">
        <f>+'[5]2026'!D10</f>
        <v>11873.93</v>
      </c>
      <c r="F10" s="20">
        <f>+'[5]2026'!E10</f>
        <v>716</v>
      </c>
      <c r="G10" s="73">
        <f>+'[5]2026'!F10</f>
        <v>12300</v>
      </c>
      <c r="H10" s="42">
        <f>+'[5]2026'!G10</f>
        <v>11383.41</v>
      </c>
      <c r="I10" s="13">
        <f>+'[5]2026'!H10</f>
        <v>11220.34</v>
      </c>
      <c r="J10" s="14">
        <f>+'[5]2026'!I10</f>
        <v>648</v>
      </c>
      <c r="K10" s="15">
        <f>+'[5]2026'!J10</f>
        <v>128.78</v>
      </c>
      <c r="L10" s="15">
        <f>+'[5]2026'!K10</f>
        <v>155.27000000000001</v>
      </c>
      <c r="M10" s="15">
        <f>+'[5]2026'!L10</f>
        <v>119.32</v>
      </c>
      <c r="N10" s="16">
        <f t="shared" si="3"/>
        <v>1.063425885490101E-2</v>
      </c>
      <c r="O10" s="17">
        <f t="shared" si="0"/>
        <v>-5.504411765944385E-2</v>
      </c>
      <c r="P10" s="17">
        <f t="shared" si="0"/>
        <v>-9.4972067039106142E-2</v>
      </c>
      <c r="Q10" s="18">
        <f t="shared" si="1"/>
        <v>87.127970181705237</v>
      </c>
      <c r="R10" s="18">
        <f t="shared" si="2"/>
        <v>72.263412120821783</v>
      </c>
      <c r="S10" s="33" t="s">
        <v>39</v>
      </c>
      <c r="T10" s="31" t="s">
        <v>42</v>
      </c>
      <c r="U10" s="1737" t="s">
        <v>84</v>
      </c>
    </row>
    <row r="11" spans="1:21">
      <c r="A11" s="10" t="s">
        <v>11</v>
      </c>
      <c r="B11" s="19">
        <f>+CHAMNORD!B11</f>
        <v>46028</v>
      </c>
      <c r="C11" s="75">
        <f>IF(H11=0,"",'[5]2025-2026'!C10)</f>
        <v>12124.66</v>
      </c>
      <c r="D11" s="75">
        <f>+'[5]2026'!C11</f>
        <v>12725.05</v>
      </c>
      <c r="E11" s="75">
        <f>+'[5]2026'!D11</f>
        <v>12503</v>
      </c>
      <c r="F11" s="20">
        <f>+'[5]2026'!E11</f>
        <v>729</v>
      </c>
      <c r="G11" s="73">
        <f>+'[5]2026'!F11</f>
        <v>12500</v>
      </c>
      <c r="H11" s="42">
        <f>+'[5]2026'!G11</f>
        <v>13646.06</v>
      </c>
      <c r="I11" s="13">
        <f>+'[5]2026'!H11</f>
        <v>13465</v>
      </c>
      <c r="J11" s="14">
        <f>+'[5]2026'!I11</f>
        <v>799</v>
      </c>
      <c r="K11" s="15">
        <f>+'[5]2026'!J11</f>
        <v>129.88</v>
      </c>
      <c r="L11" s="15">
        <f>+'[5]2026'!K11</f>
        <v>147.19999999999999</v>
      </c>
      <c r="M11" s="15">
        <f>+'[5]2026'!L11</f>
        <v>64.040000000000006</v>
      </c>
      <c r="N11" s="16">
        <f t="shared" si="3"/>
        <v>4.7560341626438924E-3</v>
      </c>
      <c r="O11" s="17">
        <f t="shared" si="0"/>
        <v>7.6941534031832362E-2</v>
      </c>
      <c r="P11" s="17">
        <f t="shared" si="0"/>
        <v>9.6021947873799723E-2</v>
      </c>
      <c r="Q11" s="18">
        <f t="shared" si="1"/>
        <v>103.67262088081306</v>
      </c>
      <c r="R11" s="18">
        <f t="shared" si="2"/>
        <v>91.474184782608702</v>
      </c>
      <c r="S11" s="34">
        <f>SUM(I10:I16)</f>
        <v>104787.09000000001</v>
      </c>
      <c r="T11" s="45" t="s">
        <v>41</v>
      </c>
      <c r="U11" s="1738"/>
    </row>
    <row r="12" spans="1:21">
      <c r="A12" s="10" t="s">
        <v>12</v>
      </c>
      <c r="B12" s="19">
        <f>+CHAMNORD!B12</f>
        <v>46029</v>
      </c>
      <c r="C12" s="75">
        <f>IF(H12=0,"",'[5]2025-2026'!C11)</f>
        <v>12725.05</v>
      </c>
      <c r="D12" s="75">
        <f>+'[5]2026'!C12</f>
        <v>15053.77</v>
      </c>
      <c r="E12" s="75">
        <f>+'[5]2026'!D12</f>
        <v>14758.52</v>
      </c>
      <c r="F12" s="20">
        <f>+'[5]2026'!E12</f>
        <v>857</v>
      </c>
      <c r="G12" s="73">
        <f>+'[5]2026'!F12</f>
        <v>14700</v>
      </c>
      <c r="H12" s="42">
        <f>+'[5]2026'!G12</f>
        <v>14105.51</v>
      </c>
      <c r="I12" s="13">
        <f>+'[5]2026'!H12</f>
        <v>13865.99</v>
      </c>
      <c r="J12" s="14">
        <f>+'[5]2026'!I12</f>
        <v>794</v>
      </c>
      <c r="K12" s="15">
        <f>+'[5]2026'!J12</f>
        <v>164.15</v>
      </c>
      <c r="L12" s="15">
        <f>+'[5]2026'!K12</f>
        <v>191.28</v>
      </c>
      <c r="M12" s="15">
        <f>+'[5]2026'!L12</f>
        <v>80.61</v>
      </c>
      <c r="N12" s="16">
        <f t="shared" si="3"/>
        <v>5.8135048417026118E-3</v>
      </c>
      <c r="O12" s="17">
        <f t="shared" si="0"/>
        <v>-6.0475576141781194E-2</v>
      </c>
      <c r="P12" s="17">
        <f t="shared" si="0"/>
        <v>-7.3512252042006995E-2</v>
      </c>
      <c r="Q12" s="18">
        <f t="shared" si="1"/>
        <v>84.47145903137374</v>
      </c>
      <c r="R12" s="18">
        <f t="shared" si="2"/>
        <v>72.490537432036803</v>
      </c>
      <c r="S12" s="35">
        <f>(S11-SUM(E10:E16))/SUM(E10:E16)</f>
        <v>-1.2315343601554996E-2</v>
      </c>
      <c r="T12" s="48">
        <f>SUM(I10:I16)/SUM(K10:K16)</f>
        <v>96.465938173181385</v>
      </c>
      <c r="U12" s="1738"/>
    </row>
    <row r="13" spans="1:21">
      <c r="A13" s="10" t="s">
        <v>13</v>
      </c>
      <c r="B13" s="19">
        <f>+CHAMNORD!B13</f>
        <v>46030</v>
      </c>
      <c r="C13" s="75">
        <f>IF(H13=0,"",'[5]2025-2026'!C12)</f>
        <v>15053.77</v>
      </c>
      <c r="D13" s="75">
        <f>+'[5]2026'!C13</f>
        <v>11401.39</v>
      </c>
      <c r="E13" s="75">
        <f>+'[5]2026'!D13</f>
        <v>11248.24</v>
      </c>
      <c r="F13" s="20">
        <f>+'[5]2026'!E13</f>
        <v>670</v>
      </c>
      <c r="G13" s="73">
        <f>+'[5]2026'!F13</f>
        <v>11200</v>
      </c>
      <c r="H13" s="42">
        <f>+'[5]2026'!G13</f>
        <v>11965.95</v>
      </c>
      <c r="I13" s="13">
        <f>+'[5]2026'!H13</f>
        <v>11796.07</v>
      </c>
      <c r="J13" s="14">
        <f>+'[5]2026'!I13</f>
        <v>672</v>
      </c>
      <c r="K13" s="15">
        <f>+'[5]2026'!J13</f>
        <v>130.6</v>
      </c>
      <c r="L13" s="15">
        <f>+'[5]2026'!K13</f>
        <v>174.35</v>
      </c>
      <c r="M13" s="15">
        <f>+'[5]2026'!L13</f>
        <v>117.95</v>
      </c>
      <c r="N13" s="16">
        <f t="shared" si="3"/>
        <v>9.9990929182346335E-3</v>
      </c>
      <c r="O13" s="17">
        <f t="shared" si="0"/>
        <v>4.8703619410681132E-2</v>
      </c>
      <c r="P13" s="17">
        <f t="shared" si="0"/>
        <v>2.9850746268656717E-3</v>
      </c>
      <c r="Q13" s="18">
        <f t="shared" si="1"/>
        <v>90.32212863705972</v>
      </c>
      <c r="R13" s="18">
        <f t="shared" si="2"/>
        <v>67.657413249211359</v>
      </c>
      <c r="S13" s="34"/>
      <c r="T13" s="29" t="s">
        <v>8</v>
      </c>
      <c r="U13" s="1738"/>
    </row>
    <row r="14" spans="1:21">
      <c r="A14" s="10" t="s">
        <v>14</v>
      </c>
      <c r="B14" s="19">
        <f>+CHAMNORD!B14</f>
        <v>46031</v>
      </c>
      <c r="C14" s="75">
        <f>IF(H14=0,"",'[5]2025-2026'!C13)</f>
        <v>11401.39</v>
      </c>
      <c r="D14" s="75">
        <f>+'[5]2026'!C14</f>
        <v>18171.63</v>
      </c>
      <c r="E14" s="75">
        <f>+'[5]2026'!D14</f>
        <v>17857.77</v>
      </c>
      <c r="F14" s="20">
        <f>+'[5]2026'!E14</f>
        <v>1000</v>
      </c>
      <c r="G14" s="73">
        <f>+'[5]2026'!F14</f>
        <v>17800</v>
      </c>
      <c r="H14" s="42">
        <f>+'[5]2026'!G14</f>
        <v>19129.37</v>
      </c>
      <c r="I14" s="13">
        <f>+'[5]2026'!H14</f>
        <v>18851.419999999998</v>
      </c>
      <c r="J14" s="14">
        <f>+'[5]2026'!I14</f>
        <v>1028</v>
      </c>
      <c r="K14" s="15">
        <f>+'[5]2026'!J14</f>
        <v>187.6</v>
      </c>
      <c r="L14" s="15">
        <f>+'[5]2026'!K14</f>
        <v>206.43</v>
      </c>
      <c r="M14" s="15">
        <f>+'[5]2026'!L14</f>
        <v>95.3</v>
      </c>
      <c r="N14" s="16">
        <f t="shared" si="3"/>
        <v>5.0553220924471473E-3</v>
      </c>
      <c r="O14" s="17">
        <f t="shared" si="0"/>
        <v>5.5642445837302074E-2</v>
      </c>
      <c r="P14" s="17">
        <f t="shared" si="0"/>
        <v>2.8000000000000001E-2</v>
      </c>
      <c r="Q14" s="18">
        <f t="shared" si="1"/>
        <v>100.48731343283582</v>
      </c>
      <c r="R14" s="18">
        <f t="shared" si="2"/>
        <v>91.321125805357738</v>
      </c>
      <c r="S14" s="36" t="s">
        <v>40</v>
      </c>
      <c r="T14" s="48">
        <f>SUM(I10:I16)/SUM(L10:L16)</f>
        <v>83.157757320847566</v>
      </c>
      <c r="U14" s="1738"/>
    </row>
    <row r="15" spans="1:21">
      <c r="A15" s="10" t="s">
        <v>15</v>
      </c>
      <c r="B15" s="19">
        <f>+CHAMNORD!B15</f>
        <v>46032</v>
      </c>
      <c r="C15" s="75">
        <f>IF(H15=0,"",'[5]2025-2026'!C14)</f>
        <v>18171.63</v>
      </c>
      <c r="D15" s="75">
        <f>+'[5]2026'!C15</f>
        <v>19617.68</v>
      </c>
      <c r="E15" s="75">
        <f>+'[5]2026'!D15</f>
        <v>19294.66</v>
      </c>
      <c r="F15" s="20">
        <f>+'[5]2026'!E15</f>
        <v>963</v>
      </c>
      <c r="G15" s="73">
        <f>+'[5]2026'!F15</f>
        <v>19300</v>
      </c>
      <c r="H15" s="42">
        <f>+'[5]2026'!G15</f>
        <v>19185.43</v>
      </c>
      <c r="I15" s="13">
        <f>+'[5]2026'!H15</f>
        <v>18830.41</v>
      </c>
      <c r="J15" s="14">
        <f>+'[5]2026'!I15</f>
        <v>937</v>
      </c>
      <c r="K15" s="15">
        <f>+'[5]2026'!J15</f>
        <v>176.35</v>
      </c>
      <c r="L15" s="15">
        <f>+'[5]2026'!K15</f>
        <v>193.3</v>
      </c>
      <c r="M15" s="15">
        <f>+'[5]2026'!L15</f>
        <v>92.42</v>
      </c>
      <c r="N15" s="16">
        <f t="shared" si="3"/>
        <v>4.9080184658751459E-3</v>
      </c>
      <c r="O15" s="17">
        <f t="shared" si="0"/>
        <v>-2.406106145430912E-2</v>
      </c>
      <c r="P15" s="17">
        <f t="shared" si="0"/>
        <v>-2.6998961578400829E-2</v>
      </c>
      <c r="Q15" s="18">
        <f t="shared" si="1"/>
        <v>106.77862205840658</v>
      </c>
      <c r="R15" s="18">
        <f t="shared" si="2"/>
        <v>97.415468184169683</v>
      </c>
      <c r="S15" s="36">
        <f>SUM(J10:J16)</f>
        <v>5691</v>
      </c>
      <c r="T15" s="30" t="s">
        <v>3</v>
      </c>
      <c r="U15" s="1738"/>
    </row>
    <row r="16" spans="1:21" ht="18" thickBot="1">
      <c r="A16" s="10" t="s">
        <v>16</v>
      </c>
      <c r="B16" s="19">
        <f>+CHAMNORD!B16</f>
        <v>46033</v>
      </c>
      <c r="C16" s="75">
        <f>IF(H16=0,"",'[5]2025-2026'!C15)</f>
        <v>19617.68</v>
      </c>
      <c r="D16" s="75">
        <f>+'[5]2026'!C16</f>
        <v>18808.330000000002</v>
      </c>
      <c r="E16" s="75">
        <f>+'[5]2026'!D16</f>
        <v>18557.55</v>
      </c>
      <c r="F16" s="20">
        <f>+'[5]2026'!E16</f>
        <v>888</v>
      </c>
      <c r="G16" s="73">
        <f>+'[5]2026'!F16</f>
        <v>18500</v>
      </c>
      <c r="H16" s="42">
        <f>+'[5]2026'!G16</f>
        <v>17064.36</v>
      </c>
      <c r="I16" s="13">
        <f>+'[5]2026'!H16</f>
        <v>16757.86</v>
      </c>
      <c r="J16" s="14">
        <f>+'[5]2026'!I16</f>
        <v>813</v>
      </c>
      <c r="K16" s="15">
        <f>+'[5]2026'!J16</f>
        <v>168.9</v>
      </c>
      <c r="L16" s="15">
        <f>+'[5]2026'!K16</f>
        <v>192.27</v>
      </c>
      <c r="M16" s="15">
        <f>+'[5]2026'!L16</f>
        <v>71.05</v>
      </c>
      <c r="N16" s="16">
        <f t="shared" si="3"/>
        <v>4.2398015021011034E-3</v>
      </c>
      <c r="O16" s="17">
        <f t="shared" si="0"/>
        <v>-9.6978857661706358E-2</v>
      </c>
      <c r="P16" s="17">
        <f t="shared" si="0"/>
        <v>-8.4459459459459457E-2</v>
      </c>
      <c r="Q16" s="18">
        <f t="shared" si="1"/>
        <v>99.217643576080519</v>
      </c>
      <c r="R16" s="18">
        <f t="shared" si="2"/>
        <v>87.157954959172002</v>
      </c>
      <c r="S16" s="37">
        <f>(S15-SUM(F10:F16))/SUM(F10:F16)</f>
        <v>-2.2668727460072129E-2</v>
      </c>
      <c r="T16" s="47">
        <f>SUM(M10:M16)/SUM(I10:I16)</f>
        <v>6.114207389478989E-3</v>
      </c>
      <c r="U16" s="1739"/>
    </row>
    <row r="17" spans="1:21" ht="17" customHeight="1" thickTop="1">
      <c r="A17" s="10" t="s">
        <v>9</v>
      </c>
      <c r="B17" s="19">
        <f>+CHAMNORD!B17</f>
        <v>46034</v>
      </c>
      <c r="C17" s="75">
        <f>IF(H17=0,"",'[5]2025-2026'!C16)</f>
        <v>18808.330000000002</v>
      </c>
      <c r="D17" s="75">
        <f>+'[5]2026'!C17</f>
        <v>11676.84</v>
      </c>
      <c r="E17" s="75">
        <f>+'[5]2026'!D17</f>
        <v>11521.52</v>
      </c>
      <c r="F17" s="20">
        <f>+'[5]2026'!E17</f>
        <v>709</v>
      </c>
      <c r="G17" s="73">
        <f>+'[5]2026'!F17</f>
        <v>11500</v>
      </c>
      <c r="H17" s="42">
        <f>+'[5]2026'!G17</f>
        <v>10597.6</v>
      </c>
      <c r="I17" s="13">
        <f>+'[5]2026'!H17</f>
        <v>10401.780000000001</v>
      </c>
      <c r="J17" s="14">
        <f>+'[5]2026'!I17</f>
        <v>634</v>
      </c>
      <c r="K17" s="15">
        <f>+'[5]2026'!J17</f>
        <v>124.90000000000002</v>
      </c>
      <c r="L17" s="15">
        <f>+'[5]2026'!K17</f>
        <v>142.02000000000001</v>
      </c>
      <c r="M17" s="15">
        <f>+'[5]2026'!L17</f>
        <v>65.37</v>
      </c>
      <c r="N17" s="16">
        <f t="shared" si="3"/>
        <v>6.2845013065071552E-3</v>
      </c>
      <c r="O17" s="17">
        <f t="shared" si="0"/>
        <v>-9.7186829515550008E-2</v>
      </c>
      <c r="P17" s="17">
        <f t="shared" si="0"/>
        <v>-0.10578279266572638</v>
      </c>
      <c r="Q17" s="18">
        <f t="shared" si="1"/>
        <v>83.280864691753393</v>
      </c>
      <c r="R17" s="18">
        <f t="shared" si="2"/>
        <v>73.24165610477398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19">
        <f>+CHAMNORD!B18</f>
        <v>46035</v>
      </c>
      <c r="C18" s="75">
        <f>IF(H18=0,"",'[5]2025-2026'!C17)</f>
        <v>11676.84</v>
      </c>
      <c r="D18" s="75">
        <f>+'[5]2026'!C18</f>
        <v>12006.87</v>
      </c>
      <c r="E18" s="75">
        <f>+'[5]2026'!D18</f>
        <v>11810.15</v>
      </c>
      <c r="F18" s="20">
        <f>+'[5]2026'!E18</f>
        <v>762</v>
      </c>
      <c r="G18" s="73">
        <f>+'[5]2026'!F18</f>
        <v>11800</v>
      </c>
      <c r="H18" s="42">
        <f>+'[5]2026'!G18</f>
        <v>12439.13</v>
      </c>
      <c r="I18" s="13">
        <f>+'[5]2026'!H18</f>
        <v>12198.44</v>
      </c>
      <c r="J18" s="14">
        <f>+'[5]2026'!I18</f>
        <v>700</v>
      </c>
      <c r="K18" s="15">
        <f>+'[5]2026'!J18</f>
        <v>127.42999999999999</v>
      </c>
      <c r="L18" s="15">
        <f>+'[5]2026'!K18</f>
        <v>145.72999999999999</v>
      </c>
      <c r="M18" s="15">
        <f>+'[5]2026'!L18</f>
        <v>99.06</v>
      </c>
      <c r="N18" s="16">
        <f t="shared" si="3"/>
        <v>8.120710517082512E-3</v>
      </c>
      <c r="O18" s="17">
        <f t="shared" si="0"/>
        <v>3.287765185031527E-2</v>
      </c>
      <c r="P18" s="17">
        <f t="shared" si="0"/>
        <v>-8.1364829396325458E-2</v>
      </c>
      <c r="Q18" s="18">
        <f t="shared" si="1"/>
        <v>95.726594993329684</v>
      </c>
      <c r="R18" s="18">
        <f t="shared" si="2"/>
        <v>83.70575722226036</v>
      </c>
      <c r="S18" s="34">
        <f>SUM(I17:I23)</f>
        <v>110322.51999999999</v>
      </c>
      <c r="T18" s="45" t="s">
        <v>41</v>
      </c>
      <c r="U18" s="1738"/>
    </row>
    <row r="19" spans="1:21">
      <c r="A19" s="10" t="s">
        <v>12</v>
      </c>
      <c r="B19" s="19">
        <f>+CHAMNORD!B19</f>
        <v>46036</v>
      </c>
      <c r="C19" s="75">
        <f>IF(H19=0,"",'[5]2025-2026'!C18)</f>
        <v>12006.87</v>
      </c>
      <c r="D19" s="75">
        <f>+'[5]2026'!C19</f>
        <v>14458.35</v>
      </c>
      <c r="E19" s="75">
        <f>+'[5]2026'!D19</f>
        <v>14178.1</v>
      </c>
      <c r="F19" s="20">
        <f>+'[5]2026'!E19</f>
        <v>863</v>
      </c>
      <c r="G19" s="73">
        <f>+'[5]2026'!F19</f>
        <v>14800</v>
      </c>
      <c r="H19" s="42">
        <f>+'[5]2026'!G19</f>
        <v>16080.54</v>
      </c>
      <c r="I19" s="13">
        <f>+'[5]2026'!H19</f>
        <v>15809.35</v>
      </c>
      <c r="J19" s="14">
        <f>+'[5]2026'!I19</f>
        <v>892</v>
      </c>
      <c r="K19" s="15">
        <f>+'[5]2026'!J19</f>
        <v>161.76999999999998</v>
      </c>
      <c r="L19" s="15">
        <f>+'[5]2026'!K19</f>
        <v>187.92</v>
      </c>
      <c r="M19" s="15">
        <f>+'[5]2026'!L19</f>
        <v>65</v>
      </c>
      <c r="N19" s="16">
        <f t="shared" si="3"/>
        <v>4.1114909847653446E-3</v>
      </c>
      <c r="O19" s="17">
        <f t="shared" si="0"/>
        <v>0.11505420331356105</v>
      </c>
      <c r="P19" s="17">
        <f t="shared" si="0"/>
        <v>3.3603707995365009E-2</v>
      </c>
      <c r="Q19" s="18">
        <f t="shared" si="1"/>
        <v>97.727328923780689</v>
      </c>
      <c r="R19" s="18">
        <f t="shared" si="2"/>
        <v>84.128086419753089</v>
      </c>
      <c r="S19" s="35">
        <f>(S18-SUM(E17:E23))/SUM(E17:E23)</f>
        <v>6.1622547916747969E-2</v>
      </c>
      <c r="T19" s="48">
        <f>SUM(I17:I23)/SUM(K17:K23)</f>
        <v>94.682812955938118</v>
      </c>
      <c r="U19" s="1738"/>
    </row>
    <row r="20" spans="1:21">
      <c r="A20" s="10" t="s">
        <v>13</v>
      </c>
      <c r="B20" s="19">
        <f>+CHAMNORD!B20</f>
        <v>46037</v>
      </c>
      <c r="C20" s="75">
        <f>IF(H20=0,"",'[5]2025-2026'!C19)</f>
        <v>14458.35</v>
      </c>
      <c r="D20" s="75">
        <f>+'[5]2026'!C20</f>
        <v>12951.49</v>
      </c>
      <c r="E20" s="75">
        <f>+'[5]2026'!D20</f>
        <v>12734.01</v>
      </c>
      <c r="F20" s="20">
        <f>+'[5]2026'!E20</f>
        <v>810</v>
      </c>
      <c r="G20" s="73">
        <f>+'[5]2026'!F20</f>
        <v>12700</v>
      </c>
      <c r="H20" s="42">
        <f>+'[5]2026'!G20</f>
        <v>13847.6</v>
      </c>
      <c r="I20" s="13">
        <f>+'[5]2026'!H20</f>
        <v>13603.08</v>
      </c>
      <c r="J20" s="14">
        <f>+'[5]2026'!I20</f>
        <v>806</v>
      </c>
      <c r="K20" s="15">
        <f>+'[5]2026'!J20</f>
        <v>136.23000000000002</v>
      </c>
      <c r="L20" s="15">
        <f>+'[5]2026'!K20</f>
        <v>154.28</v>
      </c>
      <c r="M20" s="15">
        <f>+'[5]2026'!L20</f>
        <v>95.82</v>
      </c>
      <c r="N20" s="16">
        <f t="shared" si="3"/>
        <v>7.0439929780608508E-3</v>
      </c>
      <c r="O20" s="17">
        <f t="shared" si="0"/>
        <v>6.8247943891986865E-2</v>
      </c>
      <c r="P20" s="17">
        <f t="shared" si="0"/>
        <v>-4.9382716049382715E-3</v>
      </c>
      <c r="Q20" s="18">
        <f t="shared" si="1"/>
        <v>99.853776701167135</v>
      </c>
      <c r="R20" s="18">
        <f t="shared" si="2"/>
        <v>88.171376717656202</v>
      </c>
      <c r="S20" s="34"/>
      <c r="T20" s="29" t="s">
        <v>8</v>
      </c>
      <c r="U20" s="1738"/>
    </row>
    <row r="21" spans="1:21">
      <c r="A21" s="10" t="s">
        <v>14</v>
      </c>
      <c r="B21" s="19">
        <f>+CHAMNORD!B21</f>
        <v>46038</v>
      </c>
      <c r="C21" s="75">
        <f>IF(H21=0,"",'[5]2025-2026'!C20)</f>
        <v>12951.49</v>
      </c>
      <c r="D21" s="75">
        <f>+'[5]2026'!C21</f>
        <v>17539.36</v>
      </c>
      <c r="E21" s="75">
        <f>+'[5]2026'!D21</f>
        <v>17309.810000000001</v>
      </c>
      <c r="F21" s="20">
        <f>+'[5]2026'!E21</f>
        <v>994</v>
      </c>
      <c r="G21" s="73">
        <f>+'[5]2026'!F21</f>
        <v>17300</v>
      </c>
      <c r="H21" s="42">
        <f>+'[5]2026'!G21</f>
        <v>20147.34</v>
      </c>
      <c r="I21" s="13">
        <f>+'[5]2026'!H21</f>
        <v>19833.32</v>
      </c>
      <c r="J21" s="14">
        <f>+'[5]2026'!I21</f>
        <v>1034</v>
      </c>
      <c r="K21" s="15">
        <f>+'[5]2026'!J21</f>
        <v>212.54</v>
      </c>
      <c r="L21" s="15">
        <f>+'[5]2026'!K21</f>
        <v>231.07</v>
      </c>
      <c r="M21" s="15">
        <f>+'[5]2026'!L21</f>
        <v>113.71</v>
      </c>
      <c r="N21" s="16">
        <f t="shared" si="3"/>
        <v>5.7332811652310352E-3</v>
      </c>
      <c r="O21" s="17">
        <f t="shared" si="0"/>
        <v>0.1457849623999338</v>
      </c>
      <c r="P21" s="17">
        <f t="shared" si="0"/>
        <v>4.0241448692152917E-2</v>
      </c>
      <c r="Q21" s="18">
        <f t="shared" si="1"/>
        <v>93.315705279006309</v>
      </c>
      <c r="R21" s="18">
        <f t="shared" si="2"/>
        <v>85.832518284502527</v>
      </c>
      <c r="S21" s="36" t="s">
        <v>40</v>
      </c>
      <c r="T21" s="48">
        <f>SUM(I17:I23)/SUM(L17:L23)</f>
        <v>85.532605071986225</v>
      </c>
      <c r="U21" s="1738"/>
    </row>
    <row r="22" spans="1:21">
      <c r="A22" s="10" t="s">
        <v>15</v>
      </c>
      <c r="B22" s="19">
        <f>+CHAMNORD!B22</f>
        <v>46039</v>
      </c>
      <c r="C22" s="75">
        <f>IF(H22=0,"",'[5]2025-2026'!C21)</f>
        <v>17539.36</v>
      </c>
      <c r="D22" s="75">
        <f>+'[5]2026'!C22</f>
        <v>20331.5</v>
      </c>
      <c r="E22" s="75">
        <f>+'[5]2026'!D22</f>
        <v>20060.48</v>
      </c>
      <c r="F22" s="20">
        <f>+'[5]2026'!E22</f>
        <v>1029</v>
      </c>
      <c r="G22" s="73">
        <f>+'[5]2026'!F22</f>
        <v>20000</v>
      </c>
      <c r="H22" s="42">
        <f>+'[5]2026'!G22</f>
        <v>21023.09</v>
      </c>
      <c r="I22" s="13">
        <f>+'[5]2026'!H22</f>
        <v>20622.98</v>
      </c>
      <c r="J22" s="14">
        <f>+'[5]2026'!I22</f>
        <v>1042</v>
      </c>
      <c r="K22" s="15">
        <f>+'[5]2026'!J22</f>
        <v>216.75</v>
      </c>
      <c r="L22" s="15">
        <f>+'[5]2026'!K22</f>
        <v>225.23</v>
      </c>
      <c r="M22" s="15">
        <f>+'[5]2026'!L22</f>
        <v>126.91</v>
      </c>
      <c r="N22" s="16">
        <f t="shared" si="3"/>
        <v>6.1538148221062135E-3</v>
      </c>
      <c r="O22" s="17">
        <f t="shared" si="0"/>
        <v>2.8040206415798626E-2</v>
      </c>
      <c r="P22" s="17">
        <f t="shared" si="0"/>
        <v>1.2633624878522837E-2</v>
      </c>
      <c r="Q22" s="18">
        <f t="shared" si="1"/>
        <v>95.146389850057673</v>
      </c>
      <c r="R22" s="18">
        <f t="shared" si="2"/>
        <v>91.564090041291124</v>
      </c>
      <c r="S22" s="36">
        <f>SUM(J17:J23)</f>
        <v>5963</v>
      </c>
      <c r="T22" s="30" t="s">
        <v>3</v>
      </c>
      <c r="U22" s="1738"/>
    </row>
    <row r="23" spans="1:21" ht="18" thickBot="1">
      <c r="A23" s="10" t="s">
        <v>16</v>
      </c>
      <c r="B23" s="19">
        <f>+CHAMNORD!B23</f>
        <v>46040</v>
      </c>
      <c r="C23" s="75">
        <f>IF(H23=0,"",'[5]2025-2026'!C22)</f>
        <v>20331.5</v>
      </c>
      <c r="D23" s="75">
        <f>+'[5]2026'!C23</f>
        <v>16598.490000000002</v>
      </c>
      <c r="E23" s="75">
        <f>+'[5]2026'!D23</f>
        <v>16304.71</v>
      </c>
      <c r="F23" s="20">
        <f>+'[5]2026'!E23</f>
        <v>791</v>
      </c>
      <c r="G23" s="73">
        <f>+'[5]2026'!F23</f>
        <v>16300</v>
      </c>
      <c r="H23" s="42">
        <f>+'[5]2026'!G23</f>
        <v>18234.18</v>
      </c>
      <c r="I23" s="13">
        <f>+'[5]2026'!H23</f>
        <v>17853.57</v>
      </c>
      <c r="J23" s="14">
        <f>+'[5]2026'!I23</f>
        <v>855</v>
      </c>
      <c r="K23" s="15">
        <f>+'[5]2026'!J23</f>
        <v>185.56</v>
      </c>
      <c r="L23" s="15">
        <f>+'[5]2026'!K23</f>
        <v>203.58</v>
      </c>
      <c r="M23" s="15">
        <f>+'[5]2026'!L23</f>
        <v>132.58000000000001</v>
      </c>
      <c r="N23" s="16">
        <f t="shared" si="3"/>
        <v>7.4259657872347111E-3</v>
      </c>
      <c r="O23" s="17">
        <f t="shared" si="0"/>
        <v>9.4994636519140835E-2</v>
      </c>
      <c r="P23" s="17">
        <f t="shared" si="0"/>
        <v>8.0910240202275607E-2</v>
      </c>
      <c r="Q23" s="18">
        <f t="shared" si="1"/>
        <v>96.214539771502473</v>
      </c>
      <c r="R23" s="18">
        <f t="shared" si="2"/>
        <v>87.698054818744467</v>
      </c>
      <c r="S23" s="37">
        <f>(S22-SUM(F17:F23))/SUM(F17:F23)</f>
        <v>8.3920778784827123E-4</v>
      </c>
      <c r="T23" s="47">
        <f>SUM(M17:M23)/SUM(I17:I23)</f>
        <v>6.3309830123532357E-3</v>
      </c>
      <c r="U23" s="1739"/>
    </row>
    <row r="24" spans="1:21" ht="17" customHeight="1" thickTop="1">
      <c r="A24" s="10" t="s">
        <v>9</v>
      </c>
      <c r="B24" s="19">
        <f>+CHAMNORD!B24</f>
        <v>46041</v>
      </c>
      <c r="C24" s="75">
        <f>IF(H24=0,"",'[5]2025-2026'!C23)</f>
        <v>16598.490000000002</v>
      </c>
      <c r="D24" s="75">
        <f>+'[5]2026'!C24</f>
        <v>9299.1299999999992</v>
      </c>
      <c r="E24" s="75">
        <f>+'[5]2026'!D24</f>
        <v>9192.65</v>
      </c>
      <c r="F24" s="20">
        <f>+'[5]2026'!E24</f>
        <v>582</v>
      </c>
      <c r="G24" s="73">
        <f>+'[5]2026'!F24</f>
        <v>9700</v>
      </c>
      <c r="H24" s="42">
        <f>+'[5]2026'!G24</f>
        <v>9459.51</v>
      </c>
      <c r="I24" s="13">
        <f>+'[5]2026'!H24</f>
        <v>9329.26</v>
      </c>
      <c r="J24" s="14">
        <f>+'[5]2026'!I24</f>
        <v>585</v>
      </c>
      <c r="K24" s="15">
        <f>+'[5]2026'!J24</f>
        <v>131.22999999999999</v>
      </c>
      <c r="L24" s="15">
        <f>+'[5]2026'!K24</f>
        <v>156.97</v>
      </c>
      <c r="M24" s="15">
        <f>+'[5]2026'!L24</f>
        <v>60.66</v>
      </c>
      <c r="N24" s="16">
        <f t="shared" si="3"/>
        <v>6.5021234267240912E-3</v>
      </c>
      <c r="O24" s="17">
        <f t="shared" si="0"/>
        <v>1.4860785518865679E-2</v>
      </c>
      <c r="P24" s="17">
        <f t="shared" si="0"/>
        <v>5.1546391752577319E-3</v>
      </c>
      <c r="Q24" s="18">
        <f t="shared" si="1"/>
        <v>71.090909090909093</v>
      </c>
      <c r="R24" s="18">
        <f t="shared" si="2"/>
        <v>59.433394916226035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19">
        <f>+CHAMNORD!B25</f>
        <v>46042</v>
      </c>
      <c r="C25" s="75">
        <f>IF(H25=0,"",'[5]2025-2026'!C24)</f>
        <v>9299.1299999999992</v>
      </c>
      <c r="D25" s="75">
        <f>+'[5]2026'!C25</f>
        <v>11441.79</v>
      </c>
      <c r="E25" s="75">
        <f>+'[5]2026'!D25</f>
        <v>11274.2</v>
      </c>
      <c r="F25" s="20">
        <f>+'[5]2026'!E25</f>
        <v>715</v>
      </c>
      <c r="G25" s="73">
        <f>+'[5]2026'!F25</f>
        <v>11300</v>
      </c>
      <c r="H25" s="42">
        <f>+'[5]2026'!G25</f>
        <v>10341.49</v>
      </c>
      <c r="I25" s="13">
        <f>+'[5]2026'!H25</f>
        <v>10159.219999999999</v>
      </c>
      <c r="J25" s="14">
        <f>+'[5]2026'!I25</f>
        <v>643</v>
      </c>
      <c r="K25" s="15">
        <f>+'[5]2026'!J25</f>
        <v>134.9</v>
      </c>
      <c r="L25" s="15">
        <f>+'[5]2026'!K25</f>
        <v>152.32</v>
      </c>
      <c r="M25" s="15">
        <f>+'[5]2026'!L25</f>
        <v>152.49</v>
      </c>
      <c r="N25" s="16">
        <f t="shared" si="3"/>
        <v>1.501001061105085E-2</v>
      </c>
      <c r="O25" s="17">
        <f t="shared" si="0"/>
        <v>-9.8896595767327289E-2</v>
      </c>
      <c r="P25" s="17">
        <f t="shared" si="0"/>
        <v>-0.10069930069930071</v>
      </c>
      <c r="Q25" s="18">
        <f t="shared" si="1"/>
        <v>75.309266123054101</v>
      </c>
      <c r="R25" s="18">
        <f t="shared" si="2"/>
        <v>66.696559873949582</v>
      </c>
      <c r="S25" s="34">
        <f>SUM(I24:I30)</f>
        <v>96903.16</v>
      </c>
      <c r="T25" s="45" t="s">
        <v>41</v>
      </c>
      <c r="U25" s="1738"/>
    </row>
    <row r="26" spans="1:21">
      <c r="A26" s="10" t="s">
        <v>12</v>
      </c>
      <c r="B26" s="19">
        <f>+CHAMNORD!B26</f>
        <v>46043</v>
      </c>
      <c r="C26" s="75">
        <f>IF(H26=0,"",'[5]2025-2026'!C25)</f>
        <v>11441.79</v>
      </c>
      <c r="D26" s="75">
        <f>+'[5]2026'!C26</f>
        <v>12719.46</v>
      </c>
      <c r="E26" s="75">
        <f>+'[5]2026'!D26</f>
        <v>12532.24</v>
      </c>
      <c r="F26" s="20">
        <f>+'[5]2026'!E26</f>
        <v>788</v>
      </c>
      <c r="G26" s="73">
        <f>+'[5]2026'!F26</f>
        <v>13000</v>
      </c>
      <c r="H26" s="42">
        <f>+'[5]2026'!G26</f>
        <v>13060.33</v>
      </c>
      <c r="I26" s="13">
        <f>+'[5]2026'!H26</f>
        <v>12887.64</v>
      </c>
      <c r="J26" s="14">
        <f>+'[5]2026'!I26</f>
        <v>766</v>
      </c>
      <c r="K26" s="15">
        <f>+'[5]2026'!J26</f>
        <v>158.95999999999998</v>
      </c>
      <c r="L26" s="15">
        <f>+'[5]2026'!K26</f>
        <v>177.22</v>
      </c>
      <c r="M26" s="15">
        <f>+'[5]2026'!L26</f>
        <v>78.91</v>
      </c>
      <c r="N26" s="16">
        <f t="shared" si="3"/>
        <v>6.1229208761262727E-3</v>
      </c>
      <c r="O26" s="17">
        <f t="shared" si="0"/>
        <v>2.8358856836447406E-2</v>
      </c>
      <c r="P26" s="17">
        <f t="shared" si="0"/>
        <v>-2.7918781725888325E-2</v>
      </c>
      <c r="Q26" s="18">
        <f t="shared" si="1"/>
        <v>81.074735782586828</v>
      </c>
      <c r="R26" s="18">
        <f t="shared" si="2"/>
        <v>72.721137569123115</v>
      </c>
      <c r="S26" s="35">
        <f>(S25-SUM(E24:E30))/SUM(E24:E30)</f>
        <v>-5.0684449866066683E-2</v>
      </c>
      <c r="T26" s="48">
        <f>SUM(I24:I30)/SUM(K24:K30)</f>
        <v>92.020549636298028</v>
      </c>
      <c r="U26" s="1738"/>
    </row>
    <row r="27" spans="1:21">
      <c r="A27" s="10" t="s">
        <v>13</v>
      </c>
      <c r="B27" s="19">
        <f>+CHAMNORD!B27</f>
        <v>46044</v>
      </c>
      <c r="C27" s="75">
        <f>IF(H27=0,"",'[5]2025-2026'!C26)</f>
        <v>12719.46</v>
      </c>
      <c r="D27" s="75">
        <f>+'[5]2026'!C27</f>
        <v>12381.74</v>
      </c>
      <c r="E27" s="75">
        <f>+'[5]2026'!D27</f>
        <v>12253.36</v>
      </c>
      <c r="F27" s="20">
        <f>+'[5]2026'!E27</f>
        <v>765</v>
      </c>
      <c r="G27" s="73">
        <f>+'[5]2026'!F27</f>
        <v>12200</v>
      </c>
      <c r="H27" s="42">
        <f>+'[5]2026'!G27</f>
        <v>12118.19</v>
      </c>
      <c r="I27" s="13">
        <f>+'[5]2026'!H27</f>
        <v>11942.96</v>
      </c>
      <c r="J27" s="14">
        <f>+'[5]2026'!I27</f>
        <v>687</v>
      </c>
      <c r="K27" s="15">
        <f>+'[5]2026'!J27</f>
        <v>125.19</v>
      </c>
      <c r="L27" s="15">
        <f>+'[5]2026'!K27</f>
        <v>142.12</v>
      </c>
      <c r="M27" s="15">
        <f>+'[5]2026'!L27</f>
        <v>129.41</v>
      </c>
      <c r="N27" s="16">
        <f t="shared" si="3"/>
        <v>1.0835672228660232E-2</v>
      </c>
      <c r="O27" s="17">
        <f t="shared" si="0"/>
        <v>-2.5331827351844836E-2</v>
      </c>
      <c r="P27" s="17">
        <f t="shared" si="0"/>
        <v>-0.10196078431372549</v>
      </c>
      <c r="Q27" s="18">
        <f t="shared" si="1"/>
        <v>95.398674015496439</v>
      </c>
      <c r="R27" s="18">
        <f t="shared" si="2"/>
        <v>84.034337179848009</v>
      </c>
      <c r="S27" s="34"/>
      <c r="T27" s="29" t="s">
        <v>8</v>
      </c>
      <c r="U27" s="1738"/>
    </row>
    <row r="28" spans="1:21">
      <c r="A28" s="10" t="s">
        <v>14</v>
      </c>
      <c r="B28" s="19">
        <f>+CHAMNORD!B28</f>
        <v>46045</v>
      </c>
      <c r="C28" s="75">
        <f>IF(H28=0,"",'[5]2025-2026'!C27)</f>
        <v>12381.74</v>
      </c>
      <c r="D28" s="75">
        <f>+'[5]2026'!C28</f>
        <v>19669.97</v>
      </c>
      <c r="E28" s="75">
        <f>+'[5]2026'!D28</f>
        <v>19384</v>
      </c>
      <c r="F28" s="20">
        <f>+'[5]2026'!E28</f>
        <v>1099</v>
      </c>
      <c r="G28" s="73">
        <f>+'[5]2026'!F28</f>
        <v>19400</v>
      </c>
      <c r="H28" s="42">
        <f>+'[5]2026'!G28</f>
        <v>17401.09</v>
      </c>
      <c r="I28" s="13">
        <f>+'[5]2026'!H28</f>
        <v>17121.96</v>
      </c>
      <c r="J28" s="14">
        <f>+'[5]2026'!I28</f>
        <v>951</v>
      </c>
      <c r="K28" s="15">
        <f>+'[5]2026'!J28</f>
        <v>159.18</v>
      </c>
      <c r="L28" s="15">
        <f>+'[5]2026'!K28</f>
        <v>176.43</v>
      </c>
      <c r="M28" s="15">
        <f>+'[5]2026'!L28</f>
        <v>99.34</v>
      </c>
      <c r="N28" s="16">
        <f t="shared" si="3"/>
        <v>5.8019058565724957E-3</v>
      </c>
      <c r="O28" s="17">
        <f t="shared" si="0"/>
        <v>-0.11669624432521672</v>
      </c>
      <c r="P28" s="17">
        <f t="shared" si="0"/>
        <v>-0.13466787989080983</v>
      </c>
      <c r="Q28" s="18">
        <f t="shared" si="1"/>
        <v>107.56351300414624</v>
      </c>
      <c r="R28" s="18">
        <f t="shared" si="2"/>
        <v>97.046760754973633</v>
      </c>
      <c r="S28" s="36" t="s">
        <v>40</v>
      </c>
      <c r="T28" s="48">
        <f>SUM(I24:I30)/SUM(L24:L30)</f>
        <v>80.788988378103483</v>
      </c>
      <c r="U28" s="1738"/>
    </row>
    <row r="29" spans="1:21">
      <c r="A29" s="10" t="s">
        <v>15</v>
      </c>
      <c r="B29" s="19">
        <f>+CHAMNORD!B29</f>
        <v>46046</v>
      </c>
      <c r="C29" s="75">
        <f>IF(H29=0,"",'[5]2025-2026'!C28)</f>
        <v>19669.97</v>
      </c>
      <c r="D29" s="75">
        <f>+'[5]2026'!C29</f>
        <v>21553.71</v>
      </c>
      <c r="E29" s="75">
        <f>+'[5]2026'!D29</f>
        <v>21191.65</v>
      </c>
      <c r="F29" s="20">
        <f>+'[5]2026'!E29</f>
        <v>1105</v>
      </c>
      <c r="G29" s="73">
        <f>+'[5]2026'!F29</f>
        <v>21200</v>
      </c>
      <c r="H29" s="42">
        <f>+'[5]2026'!G29</f>
        <v>20095.59</v>
      </c>
      <c r="I29" s="13">
        <f>+'[5]2026'!H29</f>
        <v>19810.98</v>
      </c>
      <c r="J29" s="14">
        <f>+'[5]2026'!I29</f>
        <v>953</v>
      </c>
      <c r="K29" s="15">
        <f>+'[5]2026'!J29</f>
        <v>172.58</v>
      </c>
      <c r="L29" s="15">
        <f>+'[5]2026'!K29</f>
        <v>198.37</v>
      </c>
      <c r="M29" s="15">
        <f>+'[5]2026'!L29</f>
        <v>75.260000000000005</v>
      </c>
      <c r="N29" s="16">
        <f t="shared" si="3"/>
        <v>3.7989034363772015E-3</v>
      </c>
      <c r="O29" s="17">
        <f t="shared" si="0"/>
        <v>-6.5151604523479845E-2</v>
      </c>
      <c r="P29" s="17">
        <f t="shared" si="0"/>
        <v>-0.13755656108597286</v>
      </c>
      <c r="Q29" s="18">
        <f t="shared" si="1"/>
        <v>114.79302352532157</v>
      </c>
      <c r="R29" s="18">
        <f t="shared" si="2"/>
        <v>99.868830972425258</v>
      </c>
      <c r="S29" s="36">
        <f>SUM(J24:J30)</f>
        <v>5360</v>
      </c>
      <c r="T29" s="30" t="s">
        <v>3</v>
      </c>
      <c r="U29" s="1738"/>
    </row>
    <row r="30" spans="1:21" ht="18" thickBot="1">
      <c r="A30" s="10" t="s">
        <v>16</v>
      </c>
      <c r="B30" s="19">
        <f>+CHAMNORD!B30</f>
        <v>46047</v>
      </c>
      <c r="C30" s="75">
        <f>IF(H30=0,"",'[5]2025-2026'!C29)</f>
        <v>21553.71</v>
      </c>
      <c r="D30" s="75">
        <f>+'[5]2026'!C30</f>
        <v>16524.73</v>
      </c>
      <c r="E30" s="75">
        <f>+'[5]2026'!D30</f>
        <v>16248.77</v>
      </c>
      <c r="F30" s="20">
        <f>+'[5]2026'!E30</f>
        <v>821</v>
      </c>
      <c r="G30" s="73">
        <f>+'[5]2026'!F30</f>
        <v>16200</v>
      </c>
      <c r="H30" s="42">
        <f>+'[5]2026'!G30</f>
        <v>16026.6</v>
      </c>
      <c r="I30" s="13">
        <f>+'[5]2026'!H30</f>
        <v>15651.14</v>
      </c>
      <c r="J30" s="14">
        <f>+'[5]2026'!I30</f>
        <v>775</v>
      </c>
      <c r="K30" s="15">
        <f>+'[5]2026'!J30</f>
        <v>171.01999999999998</v>
      </c>
      <c r="L30" s="15">
        <f>+'[5]2026'!K30</f>
        <v>196.03</v>
      </c>
      <c r="M30" s="15">
        <f>+'[5]2026'!L30</f>
        <v>66.34</v>
      </c>
      <c r="N30" s="16">
        <f t="shared" si="3"/>
        <v>4.238668876516344E-3</v>
      </c>
      <c r="O30" s="17">
        <f t="shared" si="0"/>
        <v>-3.6780014733422961E-2</v>
      </c>
      <c r="P30" s="17">
        <f t="shared" si="0"/>
        <v>-5.6029232643118147E-2</v>
      </c>
      <c r="Q30" s="18">
        <f t="shared" si="1"/>
        <v>91.516430826803884</v>
      </c>
      <c r="R30" s="18">
        <f t="shared" si="2"/>
        <v>79.840534612049169</v>
      </c>
      <c r="S30" s="37">
        <f>(S29-SUM(F24:F30))/SUM(F24:F30)</f>
        <v>-8.7659574468085102E-2</v>
      </c>
      <c r="T30" s="47">
        <f>SUM(M24:M30)/SUM(I24:I30)</f>
        <v>6.8357935902193497E-3</v>
      </c>
      <c r="U30" s="1739"/>
    </row>
    <row r="31" spans="1:21" ht="17" customHeight="1" thickTop="1">
      <c r="A31" s="10" t="s">
        <v>9</v>
      </c>
      <c r="B31" s="19">
        <f>+CHAMNORD!B31</f>
        <v>46048</v>
      </c>
      <c r="C31" s="75">
        <f>IF(H31=0,"",'[5]2025-2026'!C30)</f>
        <v>16524.73</v>
      </c>
      <c r="D31" s="75">
        <f>+'[5]2026'!C31</f>
        <v>9608.9699999999993</v>
      </c>
      <c r="E31" s="75">
        <f>+'[5]2026'!D31</f>
        <v>9471.7000000000007</v>
      </c>
      <c r="F31" s="20">
        <f>+'[5]2026'!E31</f>
        <v>606</v>
      </c>
      <c r="G31" s="73">
        <f>+'[5]2026'!F31</f>
        <v>9800</v>
      </c>
      <c r="H31" s="42">
        <f>+'[5]2026'!G31</f>
        <v>9755.5400000000009</v>
      </c>
      <c r="I31" s="13">
        <f>+'[5]2026'!H31</f>
        <v>9627.9500000000007</v>
      </c>
      <c r="J31" s="14">
        <f>+'[5]2026'!I31</f>
        <v>575</v>
      </c>
      <c r="K31" s="15">
        <f>+'[5]2026'!J31</f>
        <v>124.14999999999999</v>
      </c>
      <c r="L31" s="15">
        <f>+'[5]2026'!K31</f>
        <v>140.94999999999999</v>
      </c>
      <c r="M31" s="15">
        <f>+'[5]2026'!L31</f>
        <v>96.57</v>
      </c>
      <c r="N31" s="16">
        <f t="shared" si="3"/>
        <v>1.0030172570484889E-2</v>
      </c>
      <c r="O31" s="17">
        <f t="shared" si="0"/>
        <v>1.6496510658065604E-2</v>
      </c>
      <c r="P31" s="17">
        <f t="shared" si="0"/>
        <v>-5.1155115511551157E-2</v>
      </c>
      <c r="Q31" s="18">
        <f t="shared" si="1"/>
        <v>77.550946435763194</v>
      </c>
      <c r="R31" s="18">
        <f t="shared" si="2"/>
        <v>68.307555870876214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19">
        <f>+CHAMNORD!B32</f>
        <v>46049</v>
      </c>
      <c r="C32" s="75">
        <f>IF(H32=0,"",'[5]2025-2026'!C31)</f>
        <v>9608.9699999999993</v>
      </c>
      <c r="D32" s="75">
        <f>+'[5]2026'!C32</f>
        <v>11122.74</v>
      </c>
      <c r="E32" s="75">
        <f>+'[5]2026'!D32</f>
        <v>10999</v>
      </c>
      <c r="F32" s="20">
        <f>+'[5]2026'!E32</f>
        <v>681</v>
      </c>
      <c r="G32" s="73">
        <f>+'[5]2026'!F32</f>
        <v>11000</v>
      </c>
      <c r="H32" s="42">
        <f>+'[5]2026'!G32</f>
        <v>11277.47</v>
      </c>
      <c r="I32" s="13">
        <f>+'[5]2026'!H32</f>
        <v>11114.82</v>
      </c>
      <c r="J32" s="14">
        <f>+'[5]2026'!I32</f>
        <v>619</v>
      </c>
      <c r="K32" s="15">
        <f>+'[5]2026'!J32</f>
        <v>128.76999999999998</v>
      </c>
      <c r="L32" s="15">
        <f>+'[5]2026'!K32</f>
        <v>145.63</v>
      </c>
      <c r="M32" s="15">
        <f>+'[5]2026'!L32</f>
        <v>50.33</v>
      </c>
      <c r="N32" s="16">
        <f t="shared" si="3"/>
        <v>4.5281884906818101E-3</v>
      </c>
      <c r="O32" s="17">
        <f t="shared" si="0"/>
        <v>1.0530048186198718E-2</v>
      </c>
      <c r="P32" s="17">
        <f t="shared" si="0"/>
        <v>-9.1042584434654919E-2</v>
      </c>
      <c r="Q32" s="18">
        <f t="shared" si="1"/>
        <v>86.315290828609164</v>
      </c>
      <c r="R32" s="18">
        <f t="shared" si="2"/>
        <v>76.322323697040446</v>
      </c>
      <c r="S32" s="34">
        <f>SUM(I31:I37)</f>
        <v>106246.35</v>
      </c>
      <c r="T32" s="45" t="s">
        <v>41</v>
      </c>
      <c r="U32" s="1738"/>
    </row>
    <row r="33" spans="1:21">
      <c r="A33" s="10" t="s">
        <v>12</v>
      </c>
      <c r="B33" s="19">
        <f>+CHAMNORD!B33</f>
        <v>46050</v>
      </c>
      <c r="C33" s="75">
        <f>IF(H33=0,"",'[5]2025-2026'!C32)</f>
        <v>11122.74</v>
      </c>
      <c r="D33" s="75">
        <f>+'[5]2026'!C33</f>
        <v>13455.11</v>
      </c>
      <c r="E33" s="75">
        <f>+'[5]2026'!D33</f>
        <v>13254.11</v>
      </c>
      <c r="F33" s="20">
        <f>+'[5]2026'!E33</f>
        <v>806</v>
      </c>
      <c r="G33" s="73">
        <f>+'[5]2026'!F33</f>
        <v>13700</v>
      </c>
      <c r="H33" s="42">
        <f>+'[5]2026'!G33</f>
        <v>15273.14</v>
      </c>
      <c r="I33" s="13">
        <f>+'[5]2026'!H33</f>
        <v>14992.55</v>
      </c>
      <c r="J33" s="14">
        <f>+'[5]2026'!I33</f>
        <v>814</v>
      </c>
      <c r="K33" s="15">
        <f>+'[5]2026'!J33</f>
        <v>148.66</v>
      </c>
      <c r="L33" s="15">
        <f>+'[5]2026'!K33</f>
        <v>184.88</v>
      </c>
      <c r="M33" s="15">
        <f>+'[5]2026'!L33</f>
        <v>60.42</v>
      </c>
      <c r="N33" s="16">
        <f t="shared" si="3"/>
        <v>4.0300015674451647E-3</v>
      </c>
      <c r="O33" s="17">
        <f t="shared" si="0"/>
        <v>0.13116233379683725</v>
      </c>
      <c r="P33" s="17">
        <f t="shared" si="0"/>
        <v>9.9255583126550868E-3</v>
      </c>
      <c r="Q33" s="18">
        <f t="shared" si="1"/>
        <v>100.85127135745998</v>
      </c>
      <c r="R33" s="18">
        <f t="shared" si="2"/>
        <v>81.093411942881872</v>
      </c>
      <c r="S33" s="35">
        <f>(S32-SUM(E31:E37))/SUM(E31:E37)</f>
        <v>2.8151115633088621E-2</v>
      </c>
      <c r="T33" s="48">
        <f>SUM(I31:I37)/SUM(K31:K37)</f>
        <v>103.40780573263908</v>
      </c>
      <c r="U33" s="1738"/>
    </row>
    <row r="34" spans="1:21">
      <c r="A34" s="10" t="s">
        <v>13</v>
      </c>
      <c r="B34" s="19">
        <f>+CHAMNORD!B34</f>
        <v>46051</v>
      </c>
      <c r="C34" s="75">
        <f>IF(H34=0,"",'[5]2025-2026'!C33)</f>
        <v>13455.11</v>
      </c>
      <c r="D34" s="75">
        <f>+'[5]2026'!C34</f>
        <v>12871.29</v>
      </c>
      <c r="E34" s="75">
        <f>+'[5]2026'!D34</f>
        <v>12727.02</v>
      </c>
      <c r="F34" s="20">
        <f>+'[5]2026'!E34</f>
        <v>780</v>
      </c>
      <c r="G34" s="73">
        <f>+'[5]2026'!F34</f>
        <v>12700</v>
      </c>
      <c r="H34" s="42">
        <f>+'[5]2026'!G34</f>
        <v>13141.31</v>
      </c>
      <c r="I34" s="13">
        <f>+'[5]2026'!H34</f>
        <v>12950.86</v>
      </c>
      <c r="J34" s="14">
        <f>+'[5]2026'!I34</f>
        <v>722</v>
      </c>
      <c r="K34" s="15">
        <f>+'[5]2026'!J34</f>
        <v>129.12</v>
      </c>
      <c r="L34" s="15">
        <f>+'[5]2026'!K34</f>
        <v>146.44999999999999</v>
      </c>
      <c r="M34" s="15">
        <f>+'[5]2026'!L34</f>
        <v>117.48</v>
      </c>
      <c r="N34" s="16">
        <f t="shared" si="3"/>
        <v>9.0712122592630905E-3</v>
      </c>
      <c r="O34" s="17">
        <f t="shared" si="0"/>
        <v>1.7587777814445184E-2</v>
      </c>
      <c r="P34" s="17">
        <f t="shared" si="0"/>
        <v>-7.4358974358974358E-2</v>
      </c>
      <c r="Q34" s="18">
        <f t="shared" si="1"/>
        <v>100.30096034696406</v>
      </c>
      <c r="R34" s="18">
        <f t="shared" si="2"/>
        <v>88.431956299078195</v>
      </c>
      <c r="S34" s="34"/>
      <c r="T34" s="29" t="s">
        <v>8</v>
      </c>
      <c r="U34" s="1738"/>
    </row>
    <row r="35" spans="1:21">
      <c r="A35" s="10" t="s">
        <v>14</v>
      </c>
      <c r="B35" s="19">
        <f>+CHAMNORD!B35</f>
        <v>46052</v>
      </c>
      <c r="C35" s="75">
        <f>IF(H35=0,"",'[5]2025-2026'!C34)</f>
        <v>12871.29</v>
      </c>
      <c r="D35" s="75">
        <f>+'[5]2026'!C35</f>
        <v>18232.59</v>
      </c>
      <c r="E35" s="75">
        <f>+'[5]2026'!D35</f>
        <v>17980.509999999998</v>
      </c>
      <c r="F35" s="20">
        <f>+'[5]2026'!E35</f>
        <v>1009</v>
      </c>
      <c r="G35" s="73">
        <f>+'[5]2026'!F35</f>
        <v>18000</v>
      </c>
      <c r="H35" s="42">
        <f>+'[5]2026'!G35</f>
        <v>18889.71</v>
      </c>
      <c r="I35" s="13">
        <f>+'[5]2026'!H35</f>
        <v>18525.419999999998</v>
      </c>
      <c r="J35" s="14">
        <f>+'[5]2026'!I35</f>
        <v>1000</v>
      </c>
      <c r="K35" s="15">
        <f>+'[5]2026'!J35</f>
        <v>167.82</v>
      </c>
      <c r="L35" s="15">
        <f>+'[5]2026'!K35</f>
        <v>185.12</v>
      </c>
      <c r="M35" s="15">
        <f>+'[5]2026'!L35</f>
        <v>114.58</v>
      </c>
      <c r="N35" s="16">
        <f t="shared" si="3"/>
        <v>6.1850149686214946E-3</v>
      </c>
      <c r="O35" s="17">
        <f t="shared" si="0"/>
        <v>3.0305591999337054E-2</v>
      </c>
      <c r="P35" s="17">
        <f t="shared" si="0"/>
        <v>-8.9197224975222991E-3</v>
      </c>
      <c r="Q35" s="18">
        <f t="shared" si="1"/>
        <v>110.38863067572399</v>
      </c>
      <c r="R35" s="18">
        <f t="shared" si="2"/>
        <v>100.07249351771823</v>
      </c>
      <c r="S35" s="36" t="s">
        <v>40</v>
      </c>
      <c r="T35" s="48">
        <f>SUM(I31:I37)/SUM(L31:L37)</f>
        <v>89.609458023379389</v>
      </c>
      <c r="U35" s="1738"/>
    </row>
    <row r="36" spans="1:21">
      <c r="A36" s="10" t="s">
        <v>15</v>
      </c>
      <c r="B36" s="19">
        <f>+CHAMNORD!B36</f>
        <v>46053</v>
      </c>
      <c r="C36" s="75">
        <f>IF(H36=0,"",'[5]2025-2026'!C35)</f>
        <v>18232.59</v>
      </c>
      <c r="D36" s="75">
        <f>+'[5]2026'!C36</f>
        <v>22481.75</v>
      </c>
      <c r="E36" s="75">
        <f>+'[5]2026'!D36</f>
        <v>22152.28</v>
      </c>
      <c r="F36" s="20">
        <f>+'[5]2026'!E36</f>
        <v>1184</v>
      </c>
      <c r="G36" s="73">
        <f>+'[5]2026'!F36</f>
        <v>22100</v>
      </c>
      <c r="H36" s="42">
        <f>+'[5]2026'!G36</f>
        <v>22472.87</v>
      </c>
      <c r="I36" s="13">
        <f>+'[5]2026'!H36</f>
        <v>22115.81</v>
      </c>
      <c r="J36" s="14">
        <f>+'[5]2026'!I36</f>
        <v>1009</v>
      </c>
      <c r="K36" s="15">
        <f>+'[5]2026'!J36</f>
        <v>164.32</v>
      </c>
      <c r="L36" s="15">
        <f>+'[5]2026'!K36</f>
        <v>198.45</v>
      </c>
      <c r="M36" s="15">
        <f>+'[5]2026'!L36</f>
        <v>49.95</v>
      </c>
      <c r="N36" s="16">
        <f t="shared" si="3"/>
        <v>2.2585652526405319E-3</v>
      </c>
      <c r="O36" s="17">
        <f t="shared" si="0"/>
        <v>-1.6463316642800437E-3</v>
      </c>
      <c r="P36" s="17">
        <f t="shared" si="0"/>
        <v>-0.14780405405405406</v>
      </c>
      <c r="Q36" s="18">
        <f t="shared" si="1"/>
        <v>134.58988558909445</v>
      </c>
      <c r="R36" s="18">
        <f t="shared" si="2"/>
        <v>111.44273116654071</v>
      </c>
      <c r="S36" s="36">
        <f>SUM(J31:J37)</f>
        <v>5507</v>
      </c>
      <c r="T36" s="30" t="s">
        <v>3</v>
      </c>
      <c r="U36" s="1738"/>
    </row>
    <row r="37" spans="1:21" ht="18" thickBot="1">
      <c r="A37" s="10" t="s">
        <v>16</v>
      </c>
      <c r="B37" s="19">
        <f>+CHAMNORD!B37</f>
        <v>46054</v>
      </c>
      <c r="C37" s="75">
        <f>IF(H37=0,"",'[5]2025-2026'!C36)</f>
        <v>22481.75</v>
      </c>
      <c r="D37" s="75">
        <f>+'[5]2026'!C37</f>
        <v>16988.59</v>
      </c>
      <c r="E37" s="75">
        <f>+'[5]2026'!D37</f>
        <v>16752.669999999998</v>
      </c>
      <c r="F37" s="20">
        <f>+'[5]2026'!E37</f>
        <v>833</v>
      </c>
      <c r="G37" s="73">
        <f>+'[5]2026'!F37</f>
        <v>17300</v>
      </c>
      <c r="H37" s="42">
        <f>+'[5]2026'!G37</f>
        <v>17246.52</v>
      </c>
      <c r="I37" s="13">
        <f>+'[5]2026'!H37</f>
        <v>16918.939999999999</v>
      </c>
      <c r="J37" s="14">
        <f>+'[5]2026'!I37</f>
        <v>768</v>
      </c>
      <c r="K37" s="15">
        <f>+'[5]2026'!J37</f>
        <v>164.61</v>
      </c>
      <c r="L37" s="15">
        <f>+'[5]2026'!K37</f>
        <v>184.18</v>
      </c>
      <c r="M37" s="15">
        <f>+'[5]2026'!L37</f>
        <v>144.33000000000001</v>
      </c>
      <c r="N37" s="16">
        <f t="shared" si="3"/>
        <v>8.5306762716813242E-3</v>
      </c>
      <c r="O37" s="17">
        <f t="shared" si="0"/>
        <v>9.9249850919286564E-3</v>
      </c>
      <c r="P37" s="17">
        <f t="shared" si="0"/>
        <v>-7.8031212484993992E-2</v>
      </c>
      <c r="Q37" s="18">
        <f t="shared" si="1"/>
        <v>102.78196950367534</v>
      </c>
      <c r="R37" s="18">
        <f t="shared" si="2"/>
        <v>91.86089694863719</v>
      </c>
      <c r="S37" s="37">
        <f>(S36-SUM(F31:F37))/SUM(F31:F37)</f>
        <v>-6.645194100695033E-2</v>
      </c>
      <c r="T37" s="47">
        <f>SUM(M31:M37)/SUM(I31:I37)</f>
        <v>5.9640637066590988E-3</v>
      </c>
      <c r="U37" s="1739"/>
    </row>
    <row r="38" spans="1:21" ht="17" customHeight="1" thickTop="1">
      <c r="A38" s="10" t="s">
        <v>9</v>
      </c>
      <c r="B38" s="19">
        <f>+CHAMNORD!B38</f>
        <v>46055</v>
      </c>
      <c r="C38" s="75">
        <f>IF(H38=0,"",'[5]2025-2026'!C37)</f>
        <v>16988.59</v>
      </c>
      <c r="D38" s="75">
        <f>+'[5]2026'!C38</f>
        <v>10809.47</v>
      </c>
      <c r="E38" s="75">
        <f>+'[5]2026'!D38</f>
        <v>10629.14</v>
      </c>
      <c r="F38" s="20">
        <f>+'[5]2026'!E38</f>
        <v>670</v>
      </c>
      <c r="G38" s="73">
        <f>+'[5]2026'!F38</f>
        <v>10600</v>
      </c>
      <c r="H38" s="42">
        <f>+'[5]2026'!G38</f>
        <v>10319.42</v>
      </c>
      <c r="I38" s="13">
        <f>+'[5]2026'!H38</f>
        <v>10217.34</v>
      </c>
      <c r="J38" s="14">
        <f>+'[5]2026'!I38</f>
        <v>603</v>
      </c>
      <c r="K38" s="15">
        <f>+'[5]2026'!J38</f>
        <v>122.86000000000001</v>
      </c>
      <c r="L38" s="15">
        <f>+'[5]2026'!K38</f>
        <v>140.68</v>
      </c>
      <c r="M38" s="15">
        <f>+'[5]2026'!L38</f>
        <v>118.66</v>
      </c>
      <c r="N38" s="16">
        <f t="shared" si="3"/>
        <v>1.1613590229942431E-2</v>
      </c>
      <c r="O38" s="17">
        <f t="shared" si="0"/>
        <v>-3.8742551137721327E-2</v>
      </c>
      <c r="P38" s="17">
        <f t="shared" si="0"/>
        <v>-0.1</v>
      </c>
      <c r="Q38" s="18">
        <f t="shared" si="1"/>
        <v>83.162461338108415</v>
      </c>
      <c r="R38" s="18">
        <f t="shared" si="2"/>
        <v>72.628234290588566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19">
        <f>+CHAMNORD!B39</f>
        <v>46056</v>
      </c>
      <c r="C39" s="75">
        <f>IF(H39=0,"",'[5]2025-2026'!C38)</f>
        <v>10809.47</v>
      </c>
      <c r="D39" s="75">
        <f>+'[5]2026'!C39</f>
        <v>12733.95</v>
      </c>
      <c r="E39" s="75">
        <f>+'[5]2026'!D39</f>
        <v>12539.87</v>
      </c>
      <c r="F39" s="20">
        <f>+'[5]2026'!E39</f>
        <v>778</v>
      </c>
      <c r="G39" s="73">
        <f>+'[5]2026'!F39</f>
        <v>12500</v>
      </c>
      <c r="H39" s="42">
        <f>+'[5]2026'!G39</f>
        <v>13157.96</v>
      </c>
      <c r="I39" s="13">
        <f>+'[5]2026'!H39</f>
        <v>12961.48</v>
      </c>
      <c r="J39" s="14">
        <f>+'[5]2026'!I39</f>
        <v>752</v>
      </c>
      <c r="K39" s="15">
        <f>+'[5]2026'!J39</f>
        <v>137.88</v>
      </c>
      <c r="L39" s="15">
        <f>+'[5]2026'!K39</f>
        <v>152</v>
      </c>
      <c r="M39" s="15">
        <f>+'[5]2026'!L39</f>
        <v>72.12</v>
      </c>
      <c r="N39" s="16">
        <f t="shared" si="3"/>
        <v>5.5641793992661339E-3</v>
      </c>
      <c r="O39" s="17">
        <f t="shared" si="0"/>
        <v>3.3621560670086592E-2</v>
      </c>
      <c r="P39" s="17">
        <f t="shared" si="0"/>
        <v>-3.3419023136246784E-2</v>
      </c>
      <c r="Q39" s="18">
        <f t="shared" si="1"/>
        <v>94.005512039454601</v>
      </c>
      <c r="R39" s="18">
        <f t="shared" si="2"/>
        <v>85.272894736842105</v>
      </c>
      <c r="S39" s="34">
        <f>SUM(I38:I44)</f>
        <v>112327.94</v>
      </c>
      <c r="T39" s="45" t="s">
        <v>41</v>
      </c>
      <c r="U39" s="1738"/>
    </row>
    <row r="40" spans="1:21">
      <c r="A40" s="10" t="s">
        <v>12</v>
      </c>
      <c r="B40" s="19">
        <f>+CHAMNORD!B40</f>
        <v>46057</v>
      </c>
      <c r="C40" s="75">
        <f>IF(H40=0,"",'[5]2025-2026'!C39)</f>
        <v>12733.95</v>
      </c>
      <c r="D40" s="75">
        <f>+'[5]2026'!C40</f>
        <v>16567.39</v>
      </c>
      <c r="E40" s="75">
        <f>+'[5]2026'!D40</f>
        <v>16291.87</v>
      </c>
      <c r="F40" s="20">
        <f>+'[5]2026'!E40</f>
        <v>966</v>
      </c>
      <c r="G40" s="73">
        <f>+'[5]2026'!F40</f>
        <v>16300</v>
      </c>
      <c r="H40" s="42">
        <f>+'[5]2026'!G40</f>
        <v>15162.48</v>
      </c>
      <c r="I40" s="13">
        <f>+'[5]2026'!H40</f>
        <v>14934.16</v>
      </c>
      <c r="J40" s="14">
        <f>+'[5]2026'!I40</f>
        <v>864</v>
      </c>
      <c r="K40" s="15">
        <f>+'[5]2026'!J40</f>
        <v>151.17000000000002</v>
      </c>
      <c r="L40" s="15">
        <f>+'[5]2026'!K40</f>
        <v>176.87</v>
      </c>
      <c r="M40" s="15">
        <f>+'[5]2026'!L40</f>
        <v>95.72</v>
      </c>
      <c r="N40" s="16">
        <f t="shared" si="3"/>
        <v>6.4094666188121725E-3</v>
      </c>
      <c r="O40" s="17">
        <f t="shared" si="0"/>
        <v>-8.3336658100021721E-2</v>
      </c>
      <c r="P40" s="17">
        <f t="shared" si="0"/>
        <v>-0.10559006211180125</v>
      </c>
      <c r="Q40" s="18">
        <f t="shared" si="1"/>
        <v>98.79050076073294</v>
      </c>
      <c r="R40" s="18">
        <f t="shared" si="2"/>
        <v>84.435800305308987</v>
      </c>
      <c r="S40" s="35">
        <f>(S39-SUM(E38:E44))/SUM(E38:E44)</f>
        <v>1.9021570758978645E-2</v>
      </c>
      <c r="T40" s="48">
        <f>SUM(I38:I44)/SUM(K38:K44)</f>
        <v>104.90585103899136</v>
      </c>
      <c r="U40" s="1738"/>
    </row>
    <row r="41" spans="1:21">
      <c r="A41" s="10" t="s">
        <v>13</v>
      </c>
      <c r="B41" s="19">
        <f>+CHAMNORD!B41</f>
        <v>46058</v>
      </c>
      <c r="C41" s="75">
        <f>IF(H41=0,"",'[5]2025-2026'!C40)</f>
        <v>16567.39</v>
      </c>
      <c r="D41" s="75">
        <f>+'[5]2026'!C41</f>
        <v>13491.41</v>
      </c>
      <c r="E41" s="75">
        <f>+'[5]2026'!D41</f>
        <v>13349.23</v>
      </c>
      <c r="F41" s="20">
        <f>+'[5]2026'!E41</f>
        <v>830</v>
      </c>
      <c r="G41" s="73">
        <f>+'[5]2026'!F41</f>
        <v>13300</v>
      </c>
      <c r="H41" s="42">
        <f>+'[5]2026'!G41</f>
        <v>14322.61</v>
      </c>
      <c r="I41" s="13">
        <f>+'[5]2026'!H41</f>
        <v>14077.27</v>
      </c>
      <c r="J41" s="14">
        <f>+'[5]2026'!I41</f>
        <v>820</v>
      </c>
      <c r="K41" s="15">
        <f>+'[5]2026'!J41</f>
        <v>149.65</v>
      </c>
      <c r="L41" s="15">
        <f>+'[5]2026'!K41</f>
        <v>169.9</v>
      </c>
      <c r="M41" s="15">
        <f>+'[5]2026'!L41</f>
        <v>54.31</v>
      </c>
      <c r="N41" s="16">
        <f t="shared" si="3"/>
        <v>3.8579923522103362E-3</v>
      </c>
      <c r="O41" s="17">
        <f t="shared" si="0"/>
        <v>5.4537977096806398E-2</v>
      </c>
      <c r="P41" s="17">
        <f t="shared" si="0"/>
        <v>-1.2048192771084338E-2</v>
      </c>
      <c r="Q41" s="18">
        <f t="shared" si="1"/>
        <v>94.067958569996662</v>
      </c>
      <c r="R41" s="18">
        <f t="shared" si="2"/>
        <v>82.856209535020596</v>
      </c>
      <c r="S41" s="34"/>
      <c r="T41" s="29" t="s">
        <v>8</v>
      </c>
      <c r="U41" s="1738"/>
    </row>
    <row r="42" spans="1:21">
      <c r="A42" s="10" t="s">
        <v>14</v>
      </c>
      <c r="B42" s="19">
        <f>+CHAMNORD!B42</f>
        <v>46059</v>
      </c>
      <c r="C42" s="75">
        <f>IF(H42=0,"",'[5]2025-2026'!C41)</f>
        <v>13491.41</v>
      </c>
      <c r="D42" s="75">
        <f>+'[5]2026'!C42</f>
        <v>19069.46</v>
      </c>
      <c r="E42" s="75">
        <f>+'[5]2026'!D42</f>
        <v>18810.080000000002</v>
      </c>
      <c r="F42" s="20">
        <f>+'[5]2026'!E42</f>
        <v>1100</v>
      </c>
      <c r="G42" s="73">
        <f>+'[5]2026'!F42</f>
        <v>19600</v>
      </c>
      <c r="H42" s="42">
        <f>+'[5]2026'!G42</f>
        <v>21946.6</v>
      </c>
      <c r="I42" s="13">
        <f>+'[5]2026'!H42</f>
        <v>21561.98</v>
      </c>
      <c r="J42" s="14">
        <f>+'[5]2026'!I42</f>
        <v>1096</v>
      </c>
      <c r="K42" s="15">
        <f>+'[5]2026'!J42</f>
        <v>190.81</v>
      </c>
      <c r="L42" s="15">
        <f>+'[5]2026'!K42</f>
        <v>217.76</v>
      </c>
      <c r="M42" s="15">
        <f>+'[5]2026'!L42</f>
        <v>69.69</v>
      </c>
      <c r="N42" s="16">
        <f t="shared" si="3"/>
        <v>3.2320779446043451E-3</v>
      </c>
      <c r="O42" s="17">
        <f t="shared" si="0"/>
        <v>0.14629921829146914</v>
      </c>
      <c r="P42" s="17">
        <f t="shared" si="0"/>
        <v>-3.6363636363636364E-3</v>
      </c>
      <c r="Q42" s="18">
        <f t="shared" si="1"/>
        <v>113.0023583669619</v>
      </c>
      <c r="R42" s="18">
        <f t="shared" si="2"/>
        <v>99.017174871418078</v>
      </c>
      <c r="S42" s="36" t="s">
        <v>40</v>
      </c>
      <c r="T42" s="48">
        <f>SUM(I38:I44)/SUM(L38:L44)</f>
        <v>91.41940734591563</v>
      </c>
      <c r="U42" s="1738"/>
    </row>
    <row r="43" spans="1:21">
      <c r="A43" s="10" t="s">
        <v>15</v>
      </c>
      <c r="B43" s="19">
        <f>+CHAMNORD!B43</f>
        <v>46060</v>
      </c>
      <c r="C43" s="75">
        <f>IF(H43=0,"",'[5]2025-2026'!C42)</f>
        <v>19069.46</v>
      </c>
      <c r="D43" s="75">
        <f>+'[5]2026'!C43</f>
        <v>21359.19</v>
      </c>
      <c r="E43" s="75">
        <f>+'[5]2026'!D43</f>
        <v>21065.81</v>
      </c>
      <c r="F43" s="20">
        <f>+'[5]2026'!E43</f>
        <v>985</v>
      </c>
      <c r="G43" s="73">
        <f>+'[5]2026'!F43</f>
        <v>21700</v>
      </c>
      <c r="H43" s="42">
        <f>+'[5]2026'!G43</f>
        <v>20217.28</v>
      </c>
      <c r="I43" s="13">
        <f>+'[5]2026'!H43</f>
        <v>19937.03</v>
      </c>
      <c r="J43" s="14">
        <f>+'[5]2026'!I43</f>
        <v>984</v>
      </c>
      <c r="K43" s="15">
        <f>+'[5]2026'!J43</f>
        <v>172.9</v>
      </c>
      <c r="L43" s="15">
        <f>+'[5]2026'!K43</f>
        <v>199.22</v>
      </c>
      <c r="M43" s="15">
        <f>+'[5]2026'!L43</f>
        <v>107.7</v>
      </c>
      <c r="N43" s="16">
        <f t="shared" si="3"/>
        <v>5.402008222889769E-3</v>
      </c>
      <c r="O43" s="17">
        <f t="shared" si="0"/>
        <v>-5.3583508063540036E-2</v>
      </c>
      <c r="P43" s="17">
        <f t="shared" si="0"/>
        <v>-1.0152284263959391E-3</v>
      </c>
      <c r="Q43" s="18">
        <f t="shared" si="1"/>
        <v>115.30960092539038</v>
      </c>
      <c r="R43" s="18">
        <f t="shared" si="2"/>
        <v>100.07544423250677</v>
      </c>
      <c r="S43" s="36">
        <f>SUM(J38:J44)</f>
        <v>6031</v>
      </c>
      <c r="T43" s="30" t="s">
        <v>3</v>
      </c>
      <c r="U43" s="1738"/>
    </row>
    <row r="44" spans="1:21" ht="18" thickBot="1">
      <c r="A44" s="10" t="s">
        <v>16</v>
      </c>
      <c r="B44" s="19">
        <f>+CHAMNORD!B44</f>
        <v>46061</v>
      </c>
      <c r="C44" s="75">
        <f>IF(H44=0,"",'[5]2025-2026'!C43)</f>
        <v>21359.19</v>
      </c>
      <c r="D44" s="75">
        <f>+'[5]2026'!C44</f>
        <v>17859.96</v>
      </c>
      <c r="E44" s="75">
        <f>+'[5]2026'!D44</f>
        <v>17545.169999999998</v>
      </c>
      <c r="F44" s="20">
        <f>+'[5]2026'!E44</f>
        <v>856</v>
      </c>
      <c r="G44" s="73">
        <f>+'[5]2026'!F44</f>
        <v>18100</v>
      </c>
      <c r="H44" s="42">
        <f>+'[5]2026'!G44</f>
        <v>18954.22</v>
      </c>
      <c r="I44" s="13">
        <f>+'[5]2026'!H44</f>
        <v>18638.68</v>
      </c>
      <c r="J44" s="14">
        <f>+'[5]2026'!I44</f>
        <v>912</v>
      </c>
      <c r="K44" s="15">
        <f>+'[5]2026'!J44</f>
        <v>145.47999999999999</v>
      </c>
      <c r="L44" s="15">
        <f>+'[5]2026'!K44</f>
        <v>172.28</v>
      </c>
      <c r="M44" s="15">
        <f>+'[5]2026'!L44</f>
        <v>79.06</v>
      </c>
      <c r="N44" s="16">
        <f t="shared" si="3"/>
        <v>4.2417166880916457E-3</v>
      </c>
      <c r="O44" s="17">
        <f t="shared" si="0"/>
        <v>6.2325414914760138E-2</v>
      </c>
      <c r="P44" s="17">
        <f t="shared" si="0"/>
        <v>6.5420560747663545E-2</v>
      </c>
      <c r="Q44" s="18">
        <f t="shared" si="1"/>
        <v>128.1185042617542</v>
      </c>
      <c r="R44" s="18">
        <f t="shared" si="2"/>
        <v>108.18829811934062</v>
      </c>
      <c r="S44" s="37">
        <f>(S43-SUM(F38:F44))/SUM(F38:F44)</f>
        <v>-2.4898949070331446E-2</v>
      </c>
      <c r="T44" s="47">
        <f>SUM(M38:M44)/SUM(I38:I44)</f>
        <v>5.3171098837920469E-3</v>
      </c>
      <c r="U44" s="1739"/>
    </row>
    <row r="45" spans="1:21" ht="17" customHeight="1" thickTop="1">
      <c r="A45" s="10" t="s">
        <v>9</v>
      </c>
      <c r="B45" s="19">
        <f>+CHAMNORD!B45</f>
        <v>46062</v>
      </c>
      <c r="C45" s="75">
        <f>IF(H45=0,"",'[5]2025-2026'!C44)</f>
        <v>17859.96</v>
      </c>
      <c r="D45" s="75">
        <f>+'[5]2026'!C45</f>
        <v>9769.06</v>
      </c>
      <c r="E45" s="75">
        <f>+'[5]2026'!D45</f>
        <v>9656.52</v>
      </c>
      <c r="F45" s="20">
        <f>+'[5]2026'!E45</f>
        <v>637</v>
      </c>
      <c r="G45" s="73">
        <f>+'[5]2026'!F45</f>
        <v>10300</v>
      </c>
      <c r="H45" s="42">
        <f>+'[5]2026'!G45</f>
        <v>12989.78</v>
      </c>
      <c r="I45" s="13">
        <f>+'[5]2026'!H45</f>
        <v>12761.9</v>
      </c>
      <c r="J45" s="14">
        <f>+'[5]2026'!I45</f>
        <v>698</v>
      </c>
      <c r="K45" s="15">
        <f>+'[5]2026'!J45</f>
        <v>115.61999999999999</v>
      </c>
      <c r="L45" s="15">
        <f>+'[5]2026'!K45</f>
        <v>132.57</v>
      </c>
      <c r="M45" s="15">
        <f>+'[5]2026'!L45</f>
        <v>111.41</v>
      </c>
      <c r="N45" s="16">
        <f t="shared" si="3"/>
        <v>8.729891317123626E-3</v>
      </c>
      <c r="O45" s="17">
        <f t="shared" si="0"/>
        <v>0.32158375895250041</v>
      </c>
      <c r="P45" s="17">
        <f t="shared" si="0"/>
        <v>9.5761381475667193E-2</v>
      </c>
      <c r="Q45" s="18">
        <f t="shared" si="1"/>
        <v>110.37796229026121</v>
      </c>
      <c r="R45" s="18">
        <f t="shared" si="2"/>
        <v>96.26536923889266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19">
        <f>+CHAMNORD!B46</f>
        <v>46063</v>
      </c>
      <c r="C46" s="75">
        <f>IF(H46=0,"",'[5]2025-2026'!C45)</f>
        <v>9769.06</v>
      </c>
      <c r="D46" s="75">
        <f>+'[5]2026'!C46</f>
        <v>11780.95</v>
      </c>
      <c r="E46" s="75">
        <f>+'[5]2026'!D46</f>
        <v>11600.83</v>
      </c>
      <c r="F46" s="20">
        <f>+'[5]2026'!E46</f>
        <v>743</v>
      </c>
      <c r="G46" s="73">
        <f>+'[5]2026'!F46</f>
        <v>11600</v>
      </c>
      <c r="H46" s="42">
        <f>+'[5]2026'!G46</f>
        <v>13540.37</v>
      </c>
      <c r="I46" s="13">
        <f>+'[5]2026'!H46</f>
        <v>13305.85</v>
      </c>
      <c r="J46" s="14">
        <f>+'[5]2026'!I46</f>
        <v>737</v>
      </c>
      <c r="K46" s="15">
        <f>+'[5]2026'!J46</f>
        <v>130.10000000000002</v>
      </c>
      <c r="L46" s="15">
        <f>+'[5]2026'!K46</f>
        <v>147.30000000000001</v>
      </c>
      <c r="M46" s="15">
        <f>+'[5]2026'!L46</f>
        <v>55.21</v>
      </c>
      <c r="N46" s="16">
        <f t="shared" si="3"/>
        <v>4.1493027502940436E-3</v>
      </c>
      <c r="O46" s="17">
        <f t="shared" si="0"/>
        <v>0.14697396651791297</v>
      </c>
      <c r="P46" s="17">
        <f t="shared" si="0"/>
        <v>-8.0753701211305519E-3</v>
      </c>
      <c r="Q46" s="18">
        <f t="shared" si="1"/>
        <v>102.27401998462719</v>
      </c>
      <c r="R46" s="18">
        <f t="shared" si="2"/>
        <v>90.331636116768493</v>
      </c>
      <c r="S46" s="34">
        <f>SUM(I45:I51)</f>
        <v>114075.19999999998</v>
      </c>
      <c r="T46" s="45" t="s">
        <v>41</v>
      </c>
      <c r="U46" s="1738"/>
    </row>
    <row r="47" spans="1:21">
      <c r="A47" s="10" t="s">
        <v>12</v>
      </c>
      <c r="B47" s="19">
        <f>+CHAMNORD!B47</f>
        <v>46064</v>
      </c>
      <c r="C47" s="75">
        <f>IF(H47=0,"",'[5]2025-2026'!C46)</f>
        <v>11780.95</v>
      </c>
      <c r="D47" s="75">
        <f>+'[5]2026'!C47</f>
        <v>15304.9</v>
      </c>
      <c r="E47" s="75">
        <f>+'[5]2026'!D47</f>
        <v>15074.98</v>
      </c>
      <c r="F47" s="20">
        <f>+'[5]2026'!E47</f>
        <v>939</v>
      </c>
      <c r="G47" s="73">
        <f>+'[5]2026'!F47</f>
        <v>14800</v>
      </c>
      <c r="H47" s="42">
        <f>+'[5]2026'!G47</f>
        <v>14838.28</v>
      </c>
      <c r="I47" s="13">
        <f>+'[5]2026'!H47</f>
        <v>14541.85</v>
      </c>
      <c r="J47" s="14">
        <f>+'[5]2026'!I47</f>
        <v>758</v>
      </c>
      <c r="K47" s="15">
        <f>+'[5]2026'!J47</f>
        <v>145.24</v>
      </c>
      <c r="L47" s="15">
        <f>+'[5]2026'!K47</f>
        <v>162.47</v>
      </c>
      <c r="M47" s="15">
        <f>+'[5]2026'!L47</f>
        <v>109.34</v>
      </c>
      <c r="N47" s="16">
        <f t="shared" si="3"/>
        <v>7.5189882992879173E-3</v>
      </c>
      <c r="O47" s="17">
        <f t="shared" si="0"/>
        <v>-3.5365221048386082E-2</v>
      </c>
      <c r="P47" s="17">
        <f t="shared" si="0"/>
        <v>-0.19275825346112885</v>
      </c>
      <c r="Q47" s="18">
        <f t="shared" si="1"/>
        <v>100.12290002754062</v>
      </c>
      <c r="R47" s="18">
        <f t="shared" si="2"/>
        <v>89.504831661229773</v>
      </c>
      <c r="S47" s="35">
        <f>(S46-SUM(E45:E51))/SUM(E45:E51)</f>
        <v>4.9755420989145156E-2</v>
      </c>
      <c r="T47" s="48">
        <f>SUM(I45:I51)/SUM(K45:K51)</f>
        <v>107.7044800075532</v>
      </c>
      <c r="U47" s="1738"/>
    </row>
    <row r="48" spans="1:21">
      <c r="A48" s="10" t="s">
        <v>13</v>
      </c>
      <c r="B48" s="19">
        <f>+CHAMNORD!B48</f>
        <v>46065</v>
      </c>
      <c r="C48" s="75">
        <f>IF(H48=0,"",'[5]2025-2026'!C47)</f>
        <v>15304.9</v>
      </c>
      <c r="D48" s="75">
        <f>+'[5]2026'!C48</f>
        <v>12034.47</v>
      </c>
      <c r="E48" s="75">
        <f>+'[5]2026'!D48</f>
        <v>11858.74</v>
      </c>
      <c r="F48" s="20">
        <f>+'[5]2026'!E48</f>
        <v>750</v>
      </c>
      <c r="G48" s="73">
        <f>+'[5]2026'!F48</f>
        <v>12200</v>
      </c>
      <c r="H48" s="42">
        <f>+'[5]2026'!G48</f>
        <v>14044.91</v>
      </c>
      <c r="I48" s="13">
        <f>+'[5]2026'!H48</f>
        <v>13838.55</v>
      </c>
      <c r="J48" s="14">
        <f>+'[5]2026'!I48</f>
        <v>767</v>
      </c>
      <c r="K48" s="15">
        <f>+'[5]2026'!J48</f>
        <v>139.97999999999999</v>
      </c>
      <c r="L48" s="15">
        <f>+'[5]2026'!K48</f>
        <v>156.75</v>
      </c>
      <c r="M48" s="15">
        <f>+'[5]2026'!L48</f>
        <v>77.25</v>
      </c>
      <c r="N48" s="16">
        <f t="shared" si="3"/>
        <v>5.5822322425398618E-3</v>
      </c>
      <c r="O48" s="17">
        <f t="shared" si="0"/>
        <v>0.16694943982244315</v>
      </c>
      <c r="P48" s="17">
        <f t="shared" si="0"/>
        <v>2.2666666666666668E-2</v>
      </c>
      <c r="Q48" s="18">
        <f t="shared" si="1"/>
        <v>98.860908701243034</v>
      </c>
      <c r="R48" s="18">
        <f t="shared" si="2"/>
        <v>88.284210526315789</v>
      </c>
      <c r="S48" s="34"/>
      <c r="T48" s="29" t="s">
        <v>8</v>
      </c>
      <c r="U48" s="1738"/>
    </row>
    <row r="49" spans="1:21">
      <c r="A49" s="10" t="s">
        <v>14</v>
      </c>
      <c r="B49" s="19">
        <f>+CHAMNORD!B49</f>
        <v>46066</v>
      </c>
      <c r="C49" s="75">
        <f>IF(H49=0,"",'[5]2025-2026'!C48)</f>
        <v>12034.47</v>
      </c>
      <c r="D49" s="75">
        <f>+'[5]2026'!C49</f>
        <v>20326.43</v>
      </c>
      <c r="E49" s="75">
        <f>+'[5]2026'!D49</f>
        <v>20058.93</v>
      </c>
      <c r="F49" s="20">
        <f>+'[5]2026'!E49</f>
        <v>1145</v>
      </c>
      <c r="G49" s="73">
        <f>+'[5]2026'!F49</f>
        <v>20000</v>
      </c>
      <c r="H49" s="42">
        <f>+'[5]2026'!G49</f>
        <v>19480.71</v>
      </c>
      <c r="I49" s="13">
        <f>+'[5]2026'!H49</f>
        <v>19176.900000000001</v>
      </c>
      <c r="J49" s="14">
        <f>+'[5]2026'!I49</f>
        <v>1025</v>
      </c>
      <c r="K49" s="15">
        <f>+'[5]2026'!J49</f>
        <v>195.09000000000003</v>
      </c>
      <c r="L49" s="15">
        <f>+'[5]2026'!K49</f>
        <v>221.68</v>
      </c>
      <c r="M49" s="15">
        <f>+'[5]2026'!L49</f>
        <v>85.63</v>
      </c>
      <c r="N49" s="16">
        <f t="shared" si="3"/>
        <v>4.4652681090270058E-3</v>
      </c>
      <c r="O49" s="17">
        <f t="shared" si="0"/>
        <v>-4.3971936688547139E-2</v>
      </c>
      <c r="P49" s="17">
        <f t="shared" si="0"/>
        <v>-0.10480349344978165</v>
      </c>
      <c r="Q49" s="18">
        <f t="shared" si="1"/>
        <v>98.297708749807768</v>
      </c>
      <c r="R49" s="18">
        <f t="shared" si="2"/>
        <v>86.507127390833631</v>
      </c>
      <c r="S49" s="36" t="s">
        <v>40</v>
      </c>
      <c r="T49" s="48">
        <f>SUM(I45:I51)/SUM(L45:L51)</f>
        <v>93.875918595752026</v>
      </c>
      <c r="U49" s="1738"/>
    </row>
    <row r="50" spans="1:21">
      <c r="A50" s="10" t="s">
        <v>15</v>
      </c>
      <c r="B50" s="19">
        <f>+CHAMNORD!B50</f>
        <v>46067</v>
      </c>
      <c r="C50" s="75">
        <f>IF(H50=0,"",'[5]2025-2026'!C49)</f>
        <v>20326.43</v>
      </c>
      <c r="D50" s="75">
        <f>+'[5]2026'!C50</f>
        <v>21415.25</v>
      </c>
      <c r="E50" s="75">
        <f>+'[5]2026'!D50</f>
        <v>21038.35</v>
      </c>
      <c r="F50" s="20">
        <f>+'[5]2026'!E50</f>
        <v>1077</v>
      </c>
      <c r="G50" s="73">
        <f>+'[5]2026'!F50</f>
        <v>20600</v>
      </c>
      <c r="H50" s="42">
        <f>+'[5]2026'!G50</f>
        <v>22027.88</v>
      </c>
      <c r="I50" s="13">
        <f>+'[5]2026'!H50</f>
        <v>21672.62</v>
      </c>
      <c r="J50" s="14">
        <f>+'[5]2026'!I50</f>
        <v>992</v>
      </c>
      <c r="K50" s="15">
        <f>+'[5]2026'!J50</f>
        <v>168.91</v>
      </c>
      <c r="L50" s="15">
        <f>+'[5]2026'!K50</f>
        <v>205.12</v>
      </c>
      <c r="M50" s="15">
        <f>+'[5]2026'!L50</f>
        <v>106.55</v>
      </c>
      <c r="N50" s="16">
        <f t="shared" si="3"/>
        <v>4.91634144833435E-3</v>
      </c>
      <c r="O50" s="17">
        <f t="shared" si="0"/>
        <v>3.0148276837299526E-2</v>
      </c>
      <c r="P50" s="17">
        <f t="shared" si="0"/>
        <v>-7.8922934076137416E-2</v>
      </c>
      <c r="Q50" s="18">
        <f t="shared" si="1"/>
        <v>128.30868509857319</v>
      </c>
      <c r="R50" s="18">
        <f t="shared" si="2"/>
        <v>105.65824882995319</v>
      </c>
      <c r="S50" s="36">
        <f>SUM(J45:J51)</f>
        <v>5839</v>
      </c>
      <c r="T50" s="30" t="s">
        <v>3</v>
      </c>
      <c r="U50" s="1738"/>
    </row>
    <row r="51" spans="1:21" ht="18" thickBot="1">
      <c r="A51" s="10" t="s">
        <v>16</v>
      </c>
      <c r="B51" s="19">
        <f>+CHAMNORD!B51</f>
        <v>46068</v>
      </c>
      <c r="C51" s="75">
        <f>IF(H51=0,"",'[5]2025-2026'!C50)</f>
        <v>21415.25</v>
      </c>
      <c r="D51" s="75">
        <f>+'[5]2026'!C51</f>
        <v>19677.88</v>
      </c>
      <c r="E51" s="75">
        <f>+'[5]2026'!D51</f>
        <v>19380.009999999998</v>
      </c>
      <c r="F51" s="20">
        <f>+'[5]2026'!E51</f>
        <v>998</v>
      </c>
      <c r="G51" s="73">
        <f>+'[5]2026'!F51</f>
        <v>18400</v>
      </c>
      <c r="H51" s="42">
        <f>+'[5]2026'!G51</f>
        <v>19075.349999999999</v>
      </c>
      <c r="I51" s="13">
        <f>+'[5]2026'!H51</f>
        <v>18777.53</v>
      </c>
      <c r="J51" s="14">
        <f>+'[5]2026'!I51</f>
        <v>862</v>
      </c>
      <c r="K51" s="15">
        <f>+'[5]2026'!J51</f>
        <v>164.21</v>
      </c>
      <c r="L51" s="15">
        <f>+'[5]2026'!K51</f>
        <v>189.28</v>
      </c>
      <c r="M51" s="15">
        <f>+'[5]2026'!L51</f>
        <v>99.72</v>
      </c>
      <c r="N51" s="16">
        <f t="shared" si="3"/>
        <v>5.3106026191943245E-3</v>
      </c>
      <c r="O51" s="17">
        <f t="shared" si="0"/>
        <v>-3.1087703257119043E-2</v>
      </c>
      <c r="P51" s="17">
        <f t="shared" si="0"/>
        <v>-0.13627254509018036</v>
      </c>
      <c r="Q51" s="18">
        <f t="shared" si="1"/>
        <v>114.35070945740209</v>
      </c>
      <c r="R51" s="18">
        <f t="shared" si="2"/>
        <v>99.205040152155533</v>
      </c>
      <c r="S51" s="37">
        <f>(S50-SUM(F45:F51))/SUM(F45:F51)</f>
        <v>-7.1553506121799962E-2</v>
      </c>
      <c r="T51" s="47">
        <f>SUM(M45:M51)/SUM(I45:I51)</f>
        <v>5.6551292480749547E-3</v>
      </c>
      <c r="U51" s="1739"/>
    </row>
    <row r="52" spans="1:21" ht="17" customHeight="1" thickTop="1">
      <c r="A52" s="10" t="s">
        <v>9</v>
      </c>
      <c r="B52" s="19">
        <f>+CHAMNORD!B52</f>
        <v>46069</v>
      </c>
      <c r="C52" s="75">
        <f>IF(H52=0,"",'[5]2025-2026'!C51)</f>
        <v>19677.88</v>
      </c>
      <c r="D52" s="75">
        <f>+'[5]2026'!C52</f>
        <v>10388.41</v>
      </c>
      <c r="E52" s="75">
        <f>+'[5]2026'!D52</f>
        <v>10297.75</v>
      </c>
      <c r="F52" s="20">
        <f>+'[5]2026'!E52</f>
        <v>663</v>
      </c>
      <c r="G52" s="73">
        <f>+'[5]2026'!F52</f>
        <v>11300</v>
      </c>
      <c r="H52" s="42">
        <f>+'[5]2026'!G52</f>
        <v>11995.73</v>
      </c>
      <c r="I52" s="13">
        <f>+'[5]2026'!H52</f>
        <v>11820.65</v>
      </c>
      <c r="J52" s="14">
        <f>+'[5]2026'!I52</f>
        <v>651</v>
      </c>
      <c r="K52" s="15">
        <f>+'[5]2026'!J52</f>
        <v>132.4</v>
      </c>
      <c r="L52" s="15">
        <f>+'[5]2026'!K52</f>
        <v>150.57</v>
      </c>
      <c r="M52" s="15">
        <f>+'[5]2026'!L52</f>
        <v>233.5</v>
      </c>
      <c r="N52" s="16">
        <f t="shared" si="3"/>
        <v>1.9753566851230687E-2</v>
      </c>
      <c r="O52" s="17">
        <f t="shared" si="0"/>
        <v>0.14788667427350632</v>
      </c>
      <c r="P52" s="17">
        <f t="shared" si="0"/>
        <v>-1.8099547511312219E-2</v>
      </c>
      <c r="Q52" s="18">
        <f t="shared" si="1"/>
        <v>89.279833836858003</v>
      </c>
      <c r="R52" s="18">
        <f t="shared" si="2"/>
        <v>78.506010493458191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19">
        <f>+CHAMNORD!B53</f>
        <v>46070</v>
      </c>
      <c r="C53" s="75">
        <f>IF(H53=0,"",'[5]2025-2026'!C52)</f>
        <v>10388.41</v>
      </c>
      <c r="D53" s="75">
        <f>+'[5]2026'!C53</f>
        <v>11803.14</v>
      </c>
      <c r="E53" s="75">
        <f>+'[5]2026'!D53</f>
        <v>11613.15</v>
      </c>
      <c r="F53" s="20">
        <f>+'[5]2026'!E53</f>
        <v>713</v>
      </c>
      <c r="G53" s="73">
        <f>+'[5]2026'!F53</f>
        <v>12000</v>
      </c>
      <c r="H53" s="42">
        <f>+'[5]2026'!G53</f>
        <v>12183.03</v>
      </c>
      <c r="I53" s="13">
        <f>+'[5]2026'!H53</f>
        <v>12000.19</v>
      </c>
      <c r="J53" s="14">
        <f>+'[5]2026'!I53</f>
        <v>691</v>
      </c>
      <c r="K53" s="15">
        <f>+'[5]2026'!J53</f>
        <v>152.44999999999999</v>
      </c>
      <c r="L53" s="15">
        <f>+'[5]2026'!K53</f>
        <v>174.23</v>
      </c>
      <c r="M53" s="15">
        <f>+'[5]2026'!L53</f>
        <v>64.66</v>
      </c>
      <c r="N53" s="16">
        <f t="shared" si="3"/>
        <v>5.3882480194063585E-3</v>
      </c>
      <c r="O53" s="17">
        <f t="shared" si="0"/>
        <v>3.3327736230049629E-2</v>
      </c>
      <c r="P53" s="17">
        <f t="shared" si="0"/>
        <v>-3.0855539971949508E-2</v>
      </c>
      <c r="Q53" s="18">
        <f t="shared" si="1"/>
        <v>78.71557887832077</v>
      </c>
      <c r="R53" s="18">
        <f t="shared" si="2"/>
        <v>68.875566779544286</v>
      </c>
      <c r="S53" s="34">
        <f>SUM(I52:I58)</f>
        <v>104975.07999999999</v>
      </c>
      <c r="T53" s="45" t="s">
        <v>41</v>
      </c>
      <c r="U53" s="1738"/>
    </row>
    <row r="54" spans="1:21">
      <c r="A54" s="10" t="s">
        <v>12</v>
      </c>
      <c r="B54" s="19">
        <f>+CHAMNORD!B54</f>
        <v>46071</v>
      </c>
      <c r="C54" s="75">
        <f>IF(H54=0,"",'[5]2025-2026'!C53)</f>
        <v>11803.14</v>
      </c>
      <c r="D54" s="75">
        <f>+'[5]2026'!C54</f>
        <v>13658.13</v>
      </c>
      <c r="E54" s="75">
        <f>+'[5]2026'!D54</f>
        <v>13487.97</v>
      </c>
      <c r="F54" s="20">
        <f>+'[5]2026'!E54</f>
        <v>809</v>
      </c>
      <c r="G54" s="73">
        <f>+'[5]2026'!F54</f>
        <v>13500</v>
      </c>
      <c r="H54" s="42">
        <f>+'[5]2026'!G54</f>
        <v>13877.04</v>
      </c>
      <c r="I54" s="13">
        <f>+'[5]2026'!H54</f>
        <v>13648.22</v>
      </c>
      <c r="J54" s="14">
        <f>+'[5]2026'!I54</f>
        <v>744</v>
      </c>
      <c r="K54" s="15">
        <f>+'[5]2026'!J54</f>
        <v>181.90000000000003</v>
      </c>
      <c r="L54" s="15">
        <f>+'[5]2026'!K54</f>
        <v>213.43</v>
      </c>
      <c r="M54" s="15">
        <f>+'[5]2026'!L54</f>
        <v>127.09</v>
      </c>
      <c r="N54" s="16">
        <f t="shared" si="3"/>
        <v>9.3118370014551363E-3</v>
      </c>
      <c r="O54" s="17">
        <f t="shared" si="0"/>
        <v>1.1880957623719508E-2</v>
      </c>
      <c r="P54" s="17">
        <f t="shared" si="0"/>
        <v>-8.034610630407911E-2</v>
      </c>
      <c r="Q54" s="18">
        <f t="shared" si="1"/>
        <v>75.031445849367771</v>
      </c>
      <c r="R54" s="18">
        <f t="shared" si="2"/>
        <v>63.947055240594104</v>
      </c>
      <c r="S54" s="35">
        <f>(S53-SUM(E52:E58))/SUM(E52:E58)</f>
        <v>1.2353408193916363E-3</v>
      </c>
      <c r="T54" s="48">
        <f>SUM(I52:I58)/SUM(K52:K58)</f>
        <v>89.334411274125998</v>
      </c>
      <c r="U54" s="1738"/>
    </row>
    <row r="55" spans="1:21">
      <c r="A55" s="10" t="s">
        <v>13</v>
      </c>
      <c r="B55" s="19">
        <f>+CHAMNORD!B55</f>
        <v>46072</v>
      </c>
      <c r="C55" s="75">
        <f>IF(H55=0,"",'[5]2025-2026'!C54)</f>
        <v>13658.13</v>
      </c>
      <c r="D55" s="75">
        <f>+'[5]2026'!C55</f>
        <v>13661.34</v>
      </c>
      <c r="E55" s="75">
        <f>+'[5]2026'!D55</f>
        <v>13481.08</v>
      </c>
      <c r="F55" s="20">
        <f>+'[5]2026'!E55</f>
        <v>811</v>
      </c>
      <c r="G55" s="73">
        <f>+'[5]2026'!F55</f>
        <v>13500</v>
      </c>
      <c r="H55" s="42">
        <f>+'[5]2026'!G55</f>
        <v>13605.21</v>
      </c>
      <c r="I55" s="13">
        <f>+'[5]2026'!H55</f>
        <v>13371.06</v>
      </c>
      <c r="J55" s="14">
        <f>+'[5]2026'!I55</f>
        <v>699</v>
      </c>
      <c r="K55" s="15">
        <f>+'[5]2026'!J55</f>
        <v>157.08000000000001</v>
      </c>
      <c r="L55" s="15">
        <f>+'[5]2026'!K55</f>
        <v>175.8</v>
      </c>
      <c r="M55" s="15">
        <f>+'[5]2026'!L55</f>
        <v>61.44</v>
      </c>
      <c r="N55" s="16">
        <f t="shared" si="3"/>
        <v>4.5949984518804041E-3</v>
      </c>
      <c r="O55" s="17">
        <f t="shared" si="0"/>
        <v>-8.161067214199489E-3</v>
      </c>
      <c r="P55" s="17">
        <f t="shared" si="0"/>
        <v>-0.13810110974106041</v>
      </c>
      <c r="Q55" s="18">
        <f t="shared" si="1"/>
        <v>85.122612681436195</v>
      </c>
      <c r="R55" s="18">
        <f t="shared" si="2"/>
        <v>76.058361774744014</v>
      </c>
      <c r="S55" s="34"/>
      <c r="T55" s="29" t="s">
        <v>8</v>
      </c>
      <c r="U55" s="1738"/>
    </row>
    <row r="56" spans="1:21">
      <c r="A56" s="10" t="s">
        <v>14</v>
      </c>
      <c r="B56" s="19">
        <f>+CHAMNORD!B56</f>
        <v>46073</v>
      </c>
      <c r="C56" s="75">
        <f>IF(H56=0,"",'[5]2025-2026'!C55)</f>
        <v>13661.34</v>
      </c>
      <c r="D56" s="75">
        <f>+'[5]2026'!C56</f>
        <v>20171.04</v>
      </c>
      <c r="E56" s="75">
        <f>+'[5]2026'!D56</f>
        <v>19908.310000000001</v>
      </c>
      <c r="F56" s="20">
        <f>+'[5]2026'!E56</f>
        <v>1059</v>
      </c>
      <c r="G56" s="73">
        <f>+'[5]2026'!F56</f>
        <v>19900</v>
      </c>
      <c r="H56" s="42">
        <f>+'[5]2026'!G56</f>
        <v>18483.45</v>
      </c>
      <c r="I56" s="13">
        <f>+'[5]2026'!H56</f>
        <v>18215.71</v>
      </c>
      <c r="J56" s="14">
        <f>+'[5]2026'!I56</f>
        <v>902</v>
      </c>
      <c r="K56" s="15">
        <f>+'[5]2026'!J56</f>
        <v>200.35</v>
      </c>
      <c r="L56" s="15">
        <f>+'[5]2026'!K56</f>
        <v>224.55</v>
      </c>
      <c r="M56" s="15">
        <f>+'[5]2026'!L56</f>
        <v>96.25</v>
      </c>
      <c r="N56" s="16">
        <f t="shared" si="3"/>
        <v>5.2839005451887416E-3</v>
      </c>
      <c r="O56" s="17">
        <f t="shared" si="0"/>
        <v>-8.5019773150006306E-2</v>
      </c>
      <c r="P56" s="17">
        <f t="shared" si="0"/>
        <v>-0.14825306893295562</v>
      </c>
      <c r="Q56" s="18">
        <f t="shared" si="1"/>
        <v>90.919440978287994</v>
      </c>
      <c r="R56" s="18">
        <f t="shared" si="2"/>
        <v>81.120953017145396</v>
      </c>
      <c r="S56" s="36" t="s">
        <v>40</v>
      </c>
      <c r="T56" s="48">
        <f>SUM(I52:I58)/SUM(L52:L58)</f>
        <v>78.480760173147218</v>
      </c>
      <c r="U56" s="1738"/>
    </row>
    <row r="57" spans="1:21">
      <c r="A57" s="10" t="s">
        <v>15</v>
      </c>
      <c r="B57" s="19">
        <f>+CHAMNORD!B57</f>
        <v>46074</v>
      </c>
      <c r="C57" s="75">
        <f>IF(H57=0,"",'[5]2025-2026'!C56)</f>
        <v>20171.04</v>
      </c>
      <c r="D57" s="75">
        <f>+'[5]2026'!C57</f>
        <v>19567.900000000001</v>
      </c>
      <c r="E57" s="75">
        <f>+'[5]2026'!D57</f>
        <v>19285.099999999999</v>
      </c>
      <c r="F57" s="20">
        <f>+'[5]2026'!E57</f>
        <v>1031</v>
      </c>
      <c r="G57" s="73">
        <f>+'[5]2026'!F57</f>
        <v>17900</v>
      </c>
      <c r="H57" s="42">
        <f>+'[5]2026'!G57</f>
        <v>18929.8</v>
      </c>
      <c r="I57" s="13">
        <f>+'[5]2026'!H57</f>
        <v>18580.62</v>
      </c>
      <c r="J57" s="14">
        <f>+'[5]2026'!I57</f>
        <v>921</v>
      </c>
      <c r="K57" s="15">
        <f>+'[5]2026'!J57</f>
        <v>175.42000000000002</v>
      </c>
      <c r="L57" s="15">
        <f>+'[5]2026'!K57</f>
        <v>200.58</v>
      </c>
      <c r="M57" s="15">
        <f>+'[5]2026'!L57</f>
        <v>99.06</v>
      </c>
      <c r="N57" s="16">
        <f t="shared" si="3"/>
        <v>5.3313613862185439E-3</v>
      </c>
      <c r="O57" s="17">
        <f t="shared" si="0"/>
        <v>-3.6529756132973101E-2</v>
      </c>
      <c r="P57" s="17">
        <f t="shared" si="0"/>
        <v>-0.1066925315227934</v>
      </c>
      <c r="Q57" s="18">
        <f t="shared" si="1"/>
        <v>105.92076160072966</v>
      </c>
      <c r="R57" s="18">
        <f t="shared" si="2"/>
        <v>92.634460065809137</v>
      </c>
      <c r="S57" s="36">
        <f>SUM(J52:J58)</f>
        <v>5414</v>
      </c>
      <c r="T57" s="30" t="s">
        <v>3</v>
      </c>
      <c r="U57" s="1738"/>
    </row>
    <row r="58" spans="1:21" ht="18" thickBot="1">
      <c r="A58" s="10" t="s">
        <v>16</v>
      </c>
      <c r="B58" s="19">
        <f>+CHAMNORD!B58</f>
        <v>46075</v>
      </c>
      <c r="C58" s="75">
        <f>IF(H58=0,"",'[5]2025-2026'!C57)</f>
        <v>19567.900000000001</v>
      </c>
      <c r="D58" s="75">
        <f>+'[5]2026'!C58</f>
        <v>17047.78</v>
      </c>
      <c r="E58" s="75">
        <f>+'[5]2026'!D58</f>
        <v>16772.2</v>
      </c>
      <c r="F58" s="20">
        <f>+'[5]2026'!E58</f>
        <v>826</v>
      </c>
      <c r="G58" s="73">
        <f>+'[5]2026'!F58</f>
        <v>17300</v>
      </c>
      <c r="H58" s="42">
        <f>+'[5]2026'!G58</f>
        <v>17621.419999999998</v>
      </c>
      <c r="I58" s="13">
        <f>+'[5]2026'!H58</f>
        <v>17338.63</v>
      </c>
      <c r="J58" s="14">
        <f>+'[5]2026'!I58</f>
        <v>806</v>
      </c>
      <c r="K58" s="15">
        <f>+'[5]2026'!J58</f>
        <v>175.48</v>
      </c>
      <c r="L58" s="15">
        <f>+'[5]2026'!K58</f>
        <v>198.43</v>
      </c>
      <c r="M58" s="15">
        <f>+'[5]2026'!L58</f>
        <v>103.5</v>
      </c>
      <c r="N58" s="16">
        <f t="shared" si="3"/>
        <v>5.9693297567339513E-3</v>
      </c>
      <c r="O58" s="17">
        <f t="shared" si="0"/>
        <v>3.3771955974767787E-2</v>
      </c>
      <c r="P58" s="17">
        <f t="shared" si="0"/>
        <v>-2.4213075060532687E-2</v>
      </c>
      <c r="Q58" s="18">
        <f t="shared" si="1"/>
        <v>98.806872578071591</v>
      </c>
      <c r="R58" s="18">
        <f t="shared" si="2"/>
        <v>87.37907574459507</v>
      </c>
      <c r="S58" s="37">
        <f>(S57-SUM(F52:F58))/SUM(F52:F58)</f>
        <v>-8.4235453315290934E-2</v>
      </c>
      <c r="T58" s="47">
        <f>SUM(M52:M58)/SUM(I52:I58)</f>
        <v>7.4827282817979289E-3</v>
      </c>
      <c r="U58" s="1739"/>
    </row>
    <row r="59" spans="1:21" ht="17" customHeight="1" thickTop="1">
      <c r="A59" s="10" t="s">
        <v>9</v>
      </c>
      <c r="B59" s="19">
        <f>+CHAMNORD!B59</f>
        <v>46076</v>
      </c>
      <c r="C59" s="75">
        <f>IF(H59=0,"",'[5]2025-2026'!C58)</f>
        <v>17047.78</v>
      </c>
      <c r="D59" s="75">
        <f>+'[5]2026'!C59</f>
        <v>11193.05</v>
      </c>
      <c r="E59" s="75">
        <f>+'[5]2026'!D59</f>
        <v>11075.39</v>
      </c>
      <c r="F59" s="20">
        <f>+'[5]2026'!E59</f>
        <v>631</v>
      </c>
      <c r="G59" s="73">
        <f>+'[5]2026'!F59</f>
        <v>11400</v>
      </c>
      <c r="H59" s="42">
        <f>+'[5]2026'!G59</f>
        <v>9649.43</v>
      </c>
      <c r="I59" s="13">
        <f>+'[5]2026'!H59</f>
        <v>9494.9</v>
      </c>
      <c r="J59" s="14">
        <f>+'[5]2026'!I59</f>
        <v>585</v>
      </c>
      <c r="K59" s="15">
        <f>+'[5]2026'!J59</f>
        <v>141.13999999999999</v>
      </c>
      <c r="L59" s="15">
        <f>+'[5]2026'!K59</f>
        <v>157.88</v>
      </c>
      <c r="M59" s="15">
        <f>+'[5]2026'!L59</f>
        <v>138.65</v>
      </c>
      <c r="N59" s="16">
        <f t="shared" si="3"/>
        <v>1.4602576119811689E-2</v>
      </c>
      <c r="O59" s="17">
        <f t="shared" si="0"/>
        <v>-0.14270287547436253</v>
      </c>
      <c r="P59" s="17">
        <f t="shared" si="0"/>
        <v>-7.2900158478605384E-2</v>
      </c>
      <c r="Q59" s="18">
        <f t="shared" si="1"/>
        <v>67.272920504463656</v>
      </c>
      <c r="R59" s="18">
        <f t="shared" si="2"/>
        <v>60.139979731441599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19">
        <f>+CHAMNORD!B60</f>
        <v>46077</v>
      </c>
      <c r="C60" s="75">
        <f>IF(H60=0,"",'[5]2025-2026'!C59)</f>
        <v>11193.05</v>
      </c>
      <c r="D60" s="75">
        <f>+'[5]2026'!C60</f>
        <v>12557.74</v>
      </c>
      <c r="E60" s="75">
        <f>+'[5]2026'!D60</f>
        <v>12387.95</v>
      </c>
      <c r="F60" s="20">
        <f>+'[5]2026'!E60</f>
        <v>724</v>
      </c>
      <c r="G60" s="73">
        <f>+'[5]2026'!F60</f>
        <v>11600</v>
      </c>
      <c r="H60" s="42">
        <f>+'[5]2026'!G60</f>
        <v>10342.1</v>
      </c>
      <c r="I60" s="13">
        <f>+'[5]2026'!H60</f>
        <v>10172.780000000001</v>
      </c>
      <c r="J60" s="14">
        <f>+'[5]2026'!I60</f>
        <v>625</v>
      </c>
      <c r="K60" s="15">
        <f>+'[5]2026'!J60</f>
        <v>147.82</v>
      </c>
      <c r="L60" s="15">
        <f>+'[5]2026'!K60</f>
        <v>164.75</v>
      </c>
      <c r="M60" s="15">
        <f>+'[5]2026'!L60</f>
        <v>116.69</v>
      </c>
      <c r="N60" s="16">
        <f t="shared" si="3"/>
        <v>1.1470807389917013E-2</v>
      </c>
      <c r="O60" s="17">
        <f t="shared" si="0"/>
        <v>-0.17881651120645464</v>
      </c>
      <c r="P60" s="17">
        <f t="shared" si="0"/>
        <v>-0.13674033149171272</v>
      </c>
      <c r="Q60" s="18">
        <f t="shared" si="1"/>
        <v>68.818698416993655</v>
      </c>
      <c r="R60" s="18">
        <f t="shared" si="2"/>
        <v>61.746767830045528</v>
      </c>
      <c r="S60" s="34">
        <f>SUM(I59:I65)</f>
        <v>103653.63999999998</v>
      </c>
      <c r="T60" s="45" t="s">
        <v>41</v>
      </c>
      <c r="U60" s="1738"/>
    </row>
    <row r="61" spans="1:21">
      <c r="A61" s="10" t="s">
        <v>12</v>
      </c>
      <c r="B61" s="19">
        <f>+CHAMNORD!B61</f>
        <v>46078</v>
      </c>
      <c r="C61" s="75">
        <f>IF(H61=0,"",'[5]2025-2026'!C60)</f>
        <v>12557.74</v>
      </c>
      <c r="D61" s="75">
        <f>+'[5]2026'!C61</f>
        <v>14250.64</v>
      </c>
      <c r="E61" s="75">
        <f>+'[5]2026'!D61</f>
        <v>14043.77</v>
      </c>
      <c r="F61" s="20">
        <f>+'[5]2026'!E61</f>
        <v>797</v>
      </c>
      <c r="G61" s="73">
        <f>+'[5]2026'!F61</f>
        <v>14600</v>
      </c>
      <c r="H61" s="42">
        <f>+'[5]2026'!G61</f>
        <v>14260.19</v>
      </c>
      <c r="I61" s="13">
        <f>+'[5]2026'!H61</f>
        <v>14024.67</v>
      </c>
      <c r="J61" s="14">
        <f>+'[5]2026'!I61</f>
        <v>779</v>
      </c>
      <c r="K61" s="15">
        <f>+'[5]2026'!J61</f>
        <v>182.68999999999997</v>
      </c>
      <c r="L61" s="15">
        <f>+'[5]2026'!K61</f>
        <v>205.45</v>
      </c>
      <c r="M61" s="15">
        <f>+'[5]2026'!L61</f>
        <v>124.48</v>
      </c>
      <c r="N61" s="16">
        <f t="shared" si="3"/>
        <v>8.8757881647126106E-3</v>
      </c>
      <c r="O61" s="17">
        <f t="shared" si="0"/>
        <v>-1.36003366617371E-3</v>
      </c>
      <c r="P61" s="17">
        <f t="shared" si="0"/>
        <v>-2.258469259723965E-2</v>
      </c>
      <c r="Q61" s="18">
        <f t="shared" si="1"/>
        <v>76.767584432645478</v>
      </c>
      <c r="R61" s="18">
        <f t="shared" si="2"/>
        <v>68.263178388902418</v>
      </c>
      <c r="S61" s="35">
        <f>(S60-SUM(E59:E65))/SUM(E59:E65)</f>
        <v>-4.7751670441228959E-2</v>
      </c>
      <c r="T61" s="48">
        <f>SUM(I59:I65)/SUM(K59:K65)</f>
        <v>88.431863359866227</v>
      </c>
      <c r="U61" s="1738"/>
    </row>
    <row r="62" spans="1:21">
      <c r="A62" s="10" t="s">
        <v>13</v>
      </c>
      <c r="B62" s="19">
        <f>+CHAMNORD!B62</f>
        <v>46079</v>
      </c>
      <c r="C62" s="75">
        <f>IF(H62=0,"",'[5]2025-2026'!C61)</f>
        <v>14250.64</v>
      </c>
      <c r="D62" s="75">
        <f>+'[5]2026'!C62</f>
        <v>14382.69</v>
      </c>
      <c r="E62" s="75">
        <f>+'[5]2026'!D62</f>
        <v>14176.25</v>
      </c>
      <c r="F62" s="20">
        <f>+'[5]2026'!E62</f>
        <v>793</v>
      </c>
      <c r="G62" s="73">
        <f>+'[5]2026'!F62</f>
        <v>14200</v>
      </c>
      <c r="H62" s="42">
        <f>+'[5]2026'!G62</f>
        <v>12824.15</v>
      </c>
      <c r="I62" s="13">
        <f>+'[5]2026'!H62</f>
        <v>12667.63</v>
      </c>
      <c r="J62" s="14">
        <f>+'[5]2026'!I62</f>
        <v>691</v>
      </c>
      <c r="K62" s="15">
        <f>+'[5]2026'!J62</f>
        <v>161.19999999999999</v>
      </c>
      <c r="L62" s="15">
        <f>+'[5]2026'!K62</f>
        <v>180.88</v>
      </c>
      <c r="M62" s="15">
        <f>+'[5]2026'!L62</f>
        <v>39.4</v>
      </c>
      <c r="N62" s="16">
        <f t="shared" si="3"/>
        <v>3.1102897700674872E-3</v>
      </c>
      <c r="O62" s="17">
        <f t="shared" si="0"/>
        <v>-0.10641883431796144</v>
      </c>
      <c r="P62" s="17">
        <f t="shared" si="0"/>
        <v>-0.12862547288776796</v>
      </c>
      <c r="Q62" s="18">
        <f t="shared" si="1"/>
        <v>78.583312655086843</v>
      </c>
      <c r="R62" s="18">
        <f t="shared" si="2"/>
        <v>70.033337019018134</v>
      </c>
      <c r="S62" s="34"/>
      <c r="T62" s="29" t="s">
        <v>8</v>
      </c>
      <c r="U62" s="1738"/>
    </row>
    <row r="63" spans="1:21">
      <c r="A63" s="10" t="s">
        <v>14</v>
      </c>
      <c r="B63" s="19">
        <f>+CHAMNORD!B63</f>
        <v>46080</v>
      </c>
      <c r="C63" s="75">
        <f>IF(H63=0,"",'[5]2025-2026'!C62)</f>
        <v>14382.69</v>
      </c>
      <c r="D63" s="75">
        <f>+'[5]2026'!C63</f>
        <v>20566.34</v>
      </c>
      <c r="E63" s="75">
        <f>+'[5]2026'!D63</f>
        <v>20309.490000000002</v>
      </c>
      <c r="F63" s="20">
        <f>+'[5]2026'!E63</f>
        <v>1068</v>
      </c>
      <c r="G63" s="73">
        <f>+'[5]2026'!F63</f>
        <v>19900</v>
      </c>
      <c r="H63" s="42">
        <f>+'[5]2026'!G63</f>
        <v>19650.8</v>
      </c>
      <c r="I63" s="13">
        <f>+'[5]2026'!H63</f>
        <v>19385.419999999998</v>
      </c>
      <c r="J63" s="14">
        <f>+'[5]2026'!I63</f>
        <v>1010</v>
      </c>
      <c r="K63" s="15">
        <f>+'[5]2026'!J63</f>
        <v>196.37</v>
      </c>
      <c r="L63" s="15">
        <f>+'[5]2026'!K63</f>
        <v>221.63</v>
      </c>
      <c r="M63" s="15">
        <f>+'[5]2026'!L63</f>
        <v>137.27000000000001</v>
      </c>
      <c r="N63" s="16">
        <f t="shared" si="3"/>
        <v>7.0810949672485829E-3</v>
      </c>
      <c r="O63" s="17">
        <f t="shared" si="0"/>
        <v>-4.5499419237016947E-2</v>
      </c>
      <c r="P63" s="17">
        <f t="shared" si="0"/>
        <v>-5.4307116104868915E-2</v>
      </c>
      <c r="Q63" s="18">
        <f t="shared" si="1"/>
        <v>98.718847074400358</v>
      </c>
      <c r="R63" s="18">
        <f t="shared" si="2"/>
        <v>87.467490863150289</v>
      </c>
      <c r="S63" s="36" t="s">
        <v>40</v>
      </c>
      <c r="T63" s="48">
        <f>SUM(I59:I65)/SUM(L59:L65)</f>
        <v>79.053104431851963</v>
      </c>
      <c r="U63" s="1738"/>
    </row>
    <row r="64" spans="1:21">
      <c r="A64" s="10" t="s">
        <v>15</v>
      </c>
      <c r="B64" s="19">
        <f>+CHAMNORD!B64</f>
        <v>46081</v>
      </c>
      <c r="C64" s="75">
        <f>IF(H64=0,"",'[5]2025-2026'!C63)</f>
        <v>20566.34</v>
      </c>
      <c r="D64" s="75">
        <f>+'[5]2026'!C64</f>
        <v>18822.810000000001</v>
      </c>
      <c r="E64" s="75">
        <f>+'[5]2026'!D64</f>
        <v>18562.3</v>
      </c>
      <c r="F64" s="20">
        <f>+'[5]2026'!E64</f>
        <v>930</v>
      </c>
      <c r="G64" s="73">
        <f>+'[5]2026'!F64</f>
        <v>19100</v>
      </c>
      <c r="H64" s="42">
        <f>+'[5]2026'!G64</f>
        <v>20714.7</v>
      </c>
      <c r="I64" s="13">
        <f>+'[5]2026'!H64</f>
        <v>20383.2</v>
      </c>
      <c r="J64" s="14">
        <f>+'[5]2026'!I64</f>
        <v>969</v>
      </c>
      <c r="K64" s="15">
        <f>+'[5]2026'!J64</f>
        <v>174.47</v>
      </c>
      <c r="L64" s="15">
        <f>+'[5]2026'!K64</f>
        <v>199.72</v>
      </c>
      <c r="M64" s="15">
        <f>+'[5]2026'!L64</f>
        <v>89.89</v>
      </c>
      <c r="N64" s="16">
        <f t="shared" si="3"/>
        <v>4.4100043172808981E-3</v>
      </c>
      <c r="O64" s="17">
        <f t="shared" si="0"/>
        <v>9.8096679829547062E-2</v>
      </c>
      <c r="P64" s="17">
        <f t="shared" si="0"/>
        <v>4.1935483870967745E-2</v>
      </c>
      <c r="Q64" s="18">
        <f t="shared" si="1"/>
        <v>116.82925431306242</v>
      </c>
      <c r="R64" s="18">
        <f t="shared" si="2"/>
        <v>102.05888243540957</v>
      </c>
      <c r="S64" s="36">
        <f>SUM(J59:J65)</f>
        <v>5462</v>
      </c>
      <c r="T64" s="30" t="s">
        <v>3</v>
      </c>
      <c r="U64" s="1738"/>
    </row>
    <row r="65" spans="1:21" ht="18" thickBot="1">
      <c r="A65" s="10" t="s">
        <v>16</v>
      </c>
      <c r="B65" s="19">
        <f>+CHAMNORD!B65</f>
        <v>46082</v>
      </c>
      <c r="C65" s="75">
        <f>IF(H65=0,"",'[5]2025-2026'!C64)</f>
        <v>18822.810000000001</v>
      </c>
      <c r="D65" s="75">
        <f>+'[5]2026'!C65</f>
        <v>18588.169999999998</v>
      </c>
      <c r="E65" s="75">
        <f>+'[5]2026'!D65</f>
        <v>18296.330000000002</v>
      </c>
      <c r="F65" s="20">
        <f>+'[5]2026'!E65</f>
        <v>870</v>
      </c>
      <c r="G65" s="73">
        <f>+'[5]2026'!F65</f>
        <v>19200</v>
      </c>
      <c r="H65" s="42">
        <f>+'[5]2026'!G65</f>
        <v>17774.18</v>
      </c>
      <c r="I65" s="13">
        <f>+'[5]2026'!H65</f>
        <v>17525.04</v>
      </c>
      <c r="J65" s="14">
        <f>+'[5]2026'!I65</f>
        <v>803</v>
      </c>
      <c r="K65" s="15">
        <f>+'[5]2026'!J65</f>
        <v>168.44</v>
      </c>
      <c r="L65" s="15">
        <f>+'[5]2026'!K65</f>
        <v>180.88</v>
      </c>
      <c r="M65" s="15">
        <f>+'[5]2026'!L65</f>
        <v>124.75</v>
      </c>
      <c r="N65" s="16">
        <f t="shared" si="3"/>
        <v>7.1183860350675374E-3</v>
      </c>
      <c r="O65" s="17">
        <f t="shared" si="0"/>
        <v>-4.2155448661015671E-2</v>
      </c>
      <c r="P65" s="17">
        <f t="shared" si="0"/>
        <v>-7.7011494252873569E-2</v>
      </c>
      <c r="Q65" s="18">
        <f t="shared" si="1"/>
        <v>104.04322013773451</v>
      </c>
      <c r="R65" s="18">
        <f t="shared" si="2"/>
        <v>96.887660327288813</v>
      </c>
      <c r="S65" s="37">
        <f>(S64-SUM(F59:F65))/SUM(F59:F65)</f>
        <v>-6.038190263203165E-2</v>
      </c>
      <c r="T65" s="47">
        <f>SUM(M59:M65)/SUM(I59:I65)</f>
        <v>7.439487894491695E-3</v>
      </c>
      <c r="U65" s="1739"/>
    </row>
    <row r="66" spans="1:21" ht="17" customHeight="1" thickTop="1">
      <c r="A66" s="10" t="s">
        <v>9</v>
      </c>
      <c r="B66" s="19">
        <f>+CHAMNORD!B66</f>
        <v>46083</v>
      </c>
      <c r="C66" s="75">
        <f>IF(H66=0,"",'[5]2025-2026'!C65)</f>
        <v>18588.169999999998</v>
      </c>
      <c r="D66" s="75">
        <f>+'[5]2026'!C66</f>
        <v>13003.76</v>
      </c>
      <c r="E66" s="75">
        <f>+'[5]2026'!D66</f>
        <v>12826.23</v>
      </c>
      <c r="F66" s="20">
        <f>+'[5]2026'!E66</f>
        <v>715</v>
      </c>
      <c r="G66" s="73">
        <f>+'[5]2026'!F66</f>
        <v>11500</v>
      </c>
      <c r="H66" s="42">
        <f>+'[5]2026'!G66</f>
        <v>10440.91</v>
      </c>
      <c r="I66" s="13">
        <f>+'[5]2026'!H66</f>
        <v>10233.16</v>
      </c>
      <c r="J66" s="14">
        <f>+'[5]2026'!I66</f>
        <v>603</v>
      </c>
      <c r="K66" s="15">
        <f>+'[5]2026'!J66</f>
        <v>143.10999999999999</v>
      </c>
      <c r="L66" s="15">
        <f>+'[5]2026'!K66</f>
        <v>160.28</v>
      </c>
      <c r="M66" s="15">
        <f>+'[5]2026'!L66</f>
        <v>61.63</v>
      </c>
      <c r="N66" s="16">
        <f t="shared" si="3"/>
        <v>6.0225775811186379E-3</v>
      </c>
      <c r="O66" s="17">
        <f t="shared" si="0"/>
        <v>-0.20216930462029761</v>
      </c>
      <c r="P66" s="17">
        <f t="shared" si="0"/>
        <v>-0.15664335664335666</v>
      </c>
      <c r="Q66" s="18">
        <f t="shared" si="1"/>
        <v>71.505555167353791</v>
      </c>
      <c r="R66" s="18">
        <f t="shared" si="2"/>
        <v>63.845520339406036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19">
        <f>+CHAMNORD!B67</f>
        <v>46084</v>
      </c>
      <c r="C67" s="75">
        <f>IF(H67=0,"",'[5]2025-2026'!C66)</f>
        <v>13003.76</v>
      </c>
      <c r="D67" s="75">
        <f>+'[5]2026'!C67</f>
        <v>13070.21</v>
      </c>
      <c r="E67" s="75">
        <f>+'[5]2026'!D67</f>
        <v>12868.73</v>
      </c>
      <c r="F67" s="20">
        <f>+'[5]2026'!E67</f>
        <v>758</v>
      </c>
      <c r="G67" s="73">
        <f>+'[5]2026'!F67</f>
        <v>11300</v>
      </c>
      <c r="H67" s="42">
        <f>+'[5]2026'!G67</f>
        <v>12128.3</v>
      </c>
      <c r="I67" s="13">
        <f>+'[5]2026'!H67</f>
        <v>11919.49</v>
      </c>
      <c r="J67" s="14">
        <f>+'[5]2026'!I67</f>
        <v>669</v>
      </c>
      <c r="K67" s="15">
        <f>+'[5]2026'!J67</f>
        <v>146.5</v>
      </c>
      <c r="L67" s="15">
        <f>+'[5]2026'!K67</f>
        <v>164.03</v>
      </c>
      <c r="M67" s="15">
        <f>+'[5]2026'!L67</f>
        <v>121.39</v>
      </c>
      <c r="N67" s="16">
        <f t="shared" si="3"/>
        <v>1.0184160563916744E-2</v>
      </c>
      <c r="O67" s="17">
        <f t="shared" si="0"/>
        <v>-7.3763300652045685E-2</v>
      </c>
      <c r="P67" s="17">
        <f t="shared" si="0"/>
        <v>-0.11741424802110818</v>
      </c>
      <c r="Q67" s="18">
        <f t="shared" si="1"/>
        <v>81.36170648464163</v>
      </c>
      <c r="R67" s="18">
        <f t="shared" si="2"/>
        <v>72.666524416265318</v>
      </c>
      <c r="S67" s="34">
        <f>SUM(I66:I72)</f>
        <v>107123.75</v>
      </c>
      <c r="T67" s="45" t="s">
        <v>41</v>
      </c>
      <c r="U67" s="1738"/>
    </row>
    <row r="68" spans="1:21">
      <c r="A68" s="10" t="s">
        <v>12</v>
      </c>
      <c r="B68" s="19">
        <f>+CHAMNORD!B68</f>
        <v>46085</v>
      </c>
      <c r="C68" s="75">
        <f>IF(H68=0,"",'[5]2025-2026'!C67)</f>
        <v>13070.21</v>
      </c>
      <c r="D68" s="75">
        <f>+'[5]2026'!C68</f>
        <v>13502.65</v>
      </c>
      <c r="E68" s="75">
        <f>+'[5]2026'!D68</f>
        <v>13312.38</v>
      </c>
      <c r="F68" s="20">
        <f>+'[5]2026'!E68</f>
        <v>750</v>
      </c>
      <c r="G68" s="73">
        <f>+'[5]2026'!F68</f>
        <v>14100</v>
      </c>
      <c r="H68" s="42">
        <f>+'[5]2026'!G68</f>
        <v>15252.69</v>
      </c>
      <c r="I68" s="13">
        <f>+'[5]2026'!H68</f>
        <v>14947.21</v>
      </c>
      <c r="J68" s="14">
        <f>+'[5]2026'!I68</f>
        <v>819</v>
      </c>
      <c r="K68" s="15">
        <f>+'[5]2026'!J68</f>
        <v>187.93</v>
      </c>
      <c r="L68" s="15">
        <f>+'[5]2026'!K68</f>
        <v>205.98</v>
      </c>
      <c r="M68" s="15">
        <f>+'[5]2026'!L68</f>
        <v>83.28</v>
      </c>
      <c r="N68" s="16">
        <f t="shared" ref="N68:N131" si="4">IF(M68=0,"",M68/I68)</f>
        <v>5.5716083469757906E-3</v>
      </c>
      <c r="O68" s="17">
        <f t="shared" ref="O68:P131" si="5">IF(I68=0,"",(I68-E68)/E68)</f>
        <v>0.12280523843219619</v>
      </c>
      <c r="P68" s="17">
        <f t="shared" si="5"/>
        <v>9.1999999999999998E-2</v>
      </c>
      <c r="Q68" s="18">
        <f t="shared" ref="Q68:Q131" si="6">IF(I68=0,"",I68/K68)</f>
        <v>79.536050657159578</v>
      </c>
      <c r="R68" s="18">
        <f t="shared" ref="R68:R131" si="7">I68/L68</f>
        <v>72.566317118166808</v>
      </c>
      <c r="S68" s="35">
        <f>(S67-SUM(E66:E72))/SUM(E66:E72)</f>
        <v>1.8690393435420807E-2</v>
      </c>
      <c r="T68" s="48">
        <f>SUM(I66:I72)/SUM(K66:K72)</f>
        <v>90.210233349333464</v>
      </c>
      <c r="U68" s="1738"/>
    </row>
    <row r="69" spans="1:21">
      <c r="A69" s="10" t="s">
        <v>13</v>
      </c>
      <c r="B69" s="19">
        <f>+CHAMNORD!B69</f>
        <v>46086</v>
      </c>
      <c r="C69" s="75">
        <f>IF(H69=0,"",'[5]2025-2026'!C68)</f>
        <v>13502.65</v>
      </c>
      <c r="D69" s="75">
        <f>+'[5]2026'!C69</f>
        <v>13353.85</v>
      </c>
      <c r="E69" s="75">
        <f>+'[5]2026'!D69</f>
        <v>13152.37</v>
      </c>
      <c r="F69" s="20">
        <f>+'[5]2026'!E69</f>
        <v>764</v>
      </c>
      <c r="G69" s="73">
        <f>+'[5]2026'!F69</f>
        <v>13300</v>
      </c>
      <c r="H69" s="42">
        <f>+'[5]2026'!G69</f>
        <v>13827.72</v>
      </c>
      <c r="I69" s="13">
        <f>+'[5]2026'!H69</f>
        <v>13629.35</v>
      </c>
      <c r="J69" s="14">
        <f>+'[5]2026'!I69</f>
        <v>771</v>
      </c>
      <c r="K69" s="15">
        <f>+'[5]2026'!J69</f>
        <v>153.35999999999999</v>
      </c>
      <c r="L69" s="15">
        <f>+'[5]2026'!K69</f>
        <v>178.17</v>
      </c>
      <c r="M69" s="15">
        <f>+'[5]2026'!L69</f>
        <v>81.31</v>
      </c>
      <c r="N69" s="16">
        <f t="shared" si="4"/>
        <v>5.9658017440303466E-3</v>
      </c>
      <c r="O69" s="17">
        <f t="shared" si="5"/>
        <v>3.6265707245158062E-2</v>
      </c>
      <c r="P69" s="17">
        <f t="shared" si="5"/>
        <v>9.1623036649214652E-3</v>
      </c>
      <c r="Q69" s="18">
        <f t="shared" si="6"/>
        <v>88.871609285341691</v>
      </c>
      <c r="R69" s="18">
        <f t="shared" si="7"/>
        <v>76.496323735757997</v>
      </c>
      <c r="S69" s="34"/>
      <c r="T69" s="29" t="s">
        <v>8</v>
      </c>
      <c r="U69" s="1738"/>
    </row>
    <row r="70" spans="1:21">
      <c r="A70" s="10" t="s">
        <v>14</v>
      </c>
      <c r="B70" s="19">
        <f>+CHAMNORD!B70</f>
        <v>46087</v>
      </c>
      <c r="C70" s="75">
        <f>IF(H70=0,"",'[5]2025-2026'!C69)</f>
        <v>13353.85</v>
      </c>
      <c r="D70" s="75">
        <f>+'[5]2026'!C70</f>
        <v>19169.23</v>
      </c>
      <c r="E70" s="75">
        <f>+'[5]2026'!D70</f>
        <v>18921.04</v>
      </c>
      <c r="F70" s="20">
        <f>+'[5]2026'!E70</f>
        <v>1010</v>
      </c>
      <c r="G70" s="73">
        <f>+'[5]2026'!F70</f>
        <v>19500</v>
      </c>
      <c r="H70" s="42">
        <f>+'[5]2026'!G70</f>
        <v>18407.27</v>
      </c>
      <c r="I70" s="13">
        <f>+'[5]2026'!H70</f>
        <v>18086.07</v>
      </c>
      <c r="J70" s="14">
        <f>+'[5]2026'!I70</f>
        <v>994</v>
      </c>
      <c r="K70" s="15">
        <f>+'[5]2026'!J70</f>
        <v>194.93</v>
      </c>
      <c r="L70" s="15">
        <f>+'[5]2026'!K70</f>
        <v>211.55</v>
      </c>
      <c r="M70" s="15">
        <f>+'[5]2026'!L70</f>
        <v>90.94</v>
      </c>
      <c r="N70" s="16">
        <f t="shared" si="4"/>
        <v>5.0281791456076412E-3</v>
      </c>
      <c r="O70" s="17">
        <f t="shared" si="5"/>
        <v>-4.4129181059814955E-2</v>
      </c>
      <c r="P70" s="17">
        <f t="shared" si="5"/>
        <v>-1.5841584158415842E-2</v>
      </c>
      <c r="Q70" s="18">
        <f t="shared" si="6"/>
        <v>92.782383419689111</v>
      </c>
      <c r="R70" s="18">
        <f t="shared" si="7"/>
        <v>85.493122193334898</v>
      </c>
      <c r="S70" s="36" t="s">
        <v>40</v>
      </c>
      <c r="T70" s="48">
        <f>SUM(I66:I72)/SUM(L66:L72)</f>
        <v>81.644221388939698</v>
      </c>
      <c r="U70" s="1738"/>
    </row>
    <row r="71" spans="1:21">
      <c r="A71" s="10" t="s">
        <v>15</v>
      </c>
      <c r="B71" s="19">
        <f>+CHAMNORD!B71</f>
        <v>46088</v>
      </c>
      <c r="C71" s="75">
        <f>IF(H71=0,"",'[5]2025-2026'!C70)</f>
        <v>19169.23</v>
      </c>
      <c r="D71" s="75">
        <f>+'[5]2026'!C71</f>
        <v>17522.34</v>
      </c>
      <c r="E71" s="75">
        <f>+'[5]2026'!D71</f>
        <v>17281.46</v>
      </c>
      <c r="F71" s="20">
        <f>+'[5]2026'!E71</f>
        <v>895</v>
      </c>
      <c r="G71" s="73">
        <f>+'[5]2026'!F71</f>
        <v>18200</v>
      </c>
      <c r="H71" s="42">
        <f>+'[5]2026'!G71</f>
        <v>21009.78</v>
      </c>
      <c r="I71" s="13">
        <f>+'[5]2026'!H71</f>
        <v>20740.79</v>
      </c>
      <c r="J71" s="14">
        <f>+'[5]2026'!I71</f>
        <v>1024</v>
      </c>
      <c r="K71" s="15">
        <f>+'[5]2026'!J71</f>
        <v>179.67000000000002</v>
      </c>
      <c r="L71" s="15">
        <f>+'[5]2026'!K71</f>
        <v>193.52</v>
      </c>
      <c r="M71" s="15">
        <f>+'[5]2026'!L71</f>
        <v>90.75</v>
      </c>
      <c r="N71" s="16">
        <f t="shared" si="4"/>
        <v>4.3754360369108406E-3</v>
      </c>
      <c r="O71" s="17">
        <f t="shared" si="5"/>
        <v>0.20017579533210747</v>
      </c>
      <c r="P71" s="17">
        <f t="shared" si="5"/>
        <v>0.14413407821229049</v>
      </c>
      <c r="Q71" s="18">
        <f t="shared" si="6"/>
        <v>115.43824789892581</v>
      </c>
      <c r="R71" s="18">
        <f t="shared" si="7"/>
        <v>107.1764675485738</v>
      </c>
      <c r="S71" s="36">
        <f>SUM(J66:J72)</f>
        <v>5728</v>
      </c>
      <c r="T71" s="30" t="s">
        <v>3</v>
      </c>
      <c r="U71" s="1738"/>
    </row>
    <row r="72" spans="1:21" ht="18" thickBot="1">
      <c r="A72" s="10" t="s">
        <v>16</v>
      </c>
      <c r="B72" s="19">
        <f>+CHAMNORD!B72</f>
        <v>46089</v>
      </c>
      <c r="C72" s="75">
        <f>IF(H72=0,"",'[5]2025-2026'!C71)</f>
        <v>17522.34</v>
      </c>
      <c r="D72" s="75">
        <f>+'[5]2026'!C72</f>
        <v>17037.27</v>
      </c>
      <c r="E72" s="75">
        <f>+'[5]2026'!D72</f>
        <v>16796.09</v>
      </c>
      <c r="F72" s="20">
        <f>+'[5]2026'!E72</f>
        <v>808</v>
      </c>
      <c r="G72" s="73">
        <f>+'[5]2026'!F72</f>
        <v>18200</v>
      </c>
      <c r="H72" s="42">
        <f>+'[5]2026'!G72</f>
        <v>17854.650000000001</v>
      </c>
      <c r="I72" s="13">
        <f>+'[5]2026'!H72</f>
        <v>17567.68</v>
      </c>
      <c r="J72" s="14">
        <f>+'[5]2026'!I72</f>
        <v>848</v>
      </c>
      <c r="K72" s="15">
        <f>+'[5]2026'!J72</f>
        <v>181.99</v>
      </c>
      <c r="L72" s="15">
        <f>+'[5]2026'!K72</f>
        <v>198.55</v>
      </c>
      <c r="M72" s="15">
        <f>+'[5]2026'!L72</f>
        <v>107</v>
      </c>
      <c r="N72" s="16">
        <f t="shared" si="4"/>
        <v>6.0907302500956299E-3</v>
      </c>
      <c r="O72" s="17">
        <f t="shared" si="5"/>
        <v>4.5938667868533699E-2</v>
      </c>
      <c r="P72" s="17">
        <f t="shared" si="5"/>
        <v>4.9504950495049507E-2</v>
      </c>
      <c r="Q72" s="18">
        <f t="shared" si="6"/>
        <v>96.531018187812521</v>
      </c>
      <c r="R72" s="18">
        <f t="shared" si="7"/>
        <v>88.479879123646427</v>
      </c>
      <c r="S72" s="37">
        <f>(S71-SUM(F66:F72))/SUM(F66:F72)</f>
        <v>4.9122807017543861E-3</v>
      </c>
      <c r="T72" s="47">
        <f>SUM(M66:M72)/SUM(I66:I72)</f>
        <v>5.9398592749040245E-3</v>
      </c>
      <c r="U72" s="1739"/>
    </row>
    <row r="73" spans="1:21" ht="17" customHeight="1" thickTop="1">
      <c r="A73" s="10" t="s">
        <v>9</v>
      </c>
      <c r="B73" s="19">
        <f>+CHAMNORD!B73</f>
        <v>46090</v>
      </c>
      <c r="C73" s="75">
        <f>IF(H73=0,"",'[5]2025-2026'!C72)</f>
        <v>17037.27</v>
      </c>
      <c r="D73" s="75">
        <f>+'[5]2026'!C73</f>
        <v>9528.17</v>
      </c>
      <c r="E73" s="75">
        <f>+'[5]2026'!D73</f>
        <v>9421.75</v>
      </c>
      <c r="F73" s="20">
        <f>+'[5]2026'!E73</f>
        <v>620</v>
      </c>
      <c r="G73" s="73">
        <f>+'[5]2026'!F73</f>
        <v>9700</v>
      </c>
      <c r="H73" s="42">
        <f>+'[5]2026'!G73</f>
        <v>9777.91</v>
      </c>
      <c r="I73" s="13">
        <f>+'[5]2026'!H73</f>
        <v>9687.74</v>
      </c>
      <c r="J73" s="14">
        <f>+'[5]2026'!I73</f>
        <v>600</v>
      </c>
      <c r="K73" s="15">
        <f>+'[5]2026'!J73</f>
        <v>120.03000000000002</v>
      </c>
      <c r="L73" s="15">
        <f>+'[5]2026'!K73</f>
        <v>144.9</v>
      </c>
      <c r="M73" s="15">
        <f>+'[5]2026'!L73</f>
        <v>109.73</v>
      </c>
      <c r="N73" s="16">
        <f t="shared" si="4"/>
        <v>1.1326687132396205E-2</v>
      </c>
      <c r="O73" s="17">
        <f t="shared" si="5"/>
        <v>2.8231485658184497E-2</v>
      </c>
      <c r="P73" s="17">
        <f t="shared" si="5"/>
        <v>-3.2258064516129031E-2</v>
      </c>
      <c r="Q73" s="18">
        <f t="shared" si="6"/>
        <v>80.710988919436801</v>
      </c>
      <c r="R73" s="18">
        <f t="shared" si="7"/>
        <v>66.858109040717736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19">
        <f>+CHAMNORD!B74</f>
        <v>46091</v>
      </c>
      <c r="C74" s="75">
        <f>IF(H74=0,"",'[5]2025-2026'!C73)</f>
        <v>9528.17</v>
      </c>
      <c r="D74" s="75">
        <f>+'[5]2026'!C74</f>
        <v>11037.48</v>
      </c>
      <c r="E74" s="75">
        <f>+'[5]2026'!D74</f>
        <v>10879.98</v>
      </c>
      <c r="F74" s="20">
        <f>+'[5]2026'!E74</f>
        <v>699</v>
      </c>
      <c r="G74" s="73">
        <f>+'[5]2026'!F74</f>
        <v>11200</v>
      </c>
      <c r="H74" s="42">
        <f>+'[5]2026'!G74</f>
        <v>11965.15</v>
      </c>
      <c r="I74" s="13">
        <f>+'[5]2026'!H74</f>
        <v>11804.61</v>
      </c>
      <c r="J74" s="14">
        <f>+'[5]2026'!I74</f>
        <v>670</v>
      </c>
      <c r="K74" s="15">
        <f>+'[5]2026'!J74</f>
        <v>152.02000000000001</v>
      </c>
      <c r="L74" s="15">
        <f>+'[5]2026'!K74</f>
        <v>161.02000000000001</v>
      </c>
      <c r="M74" s="15">
        <f>+'[5]2026'!L74</f>
        <v>121.37</v>
      </c>
      <c r="N74" s="16">
        <f t="shared" si="4"/>
        <v>1.0281576434969051E-2</v>
      </c>
      <c r="O74" s="17">
        <f t="shared" si="5"/>
        <v>8.4984531221564838E-2</v>
      </c>
      <c r="P74" s="17">
        <f t="shared" si="5"/>
        <v>-4.1487839771101577E-2</v>
      </c>
      <c r="Q74" s="18">
        <f t="shared" si="6"/>
        <v>77.651690567030656</v>
      </c>
      <c r="R74" s="18">
        <f t="shared" si="7"/>
        <v>73.311451993541169</v>
      </c>
      <c r="S74" s="34">
        <f>SUM(I73:I79)</f>
        <v>104571.27999999998</v>
      </c>
      <c r="T74" s="45" t="s">
        <v>41</v>
      </c>
      <c r="U74" s="1738"/>
    </row>
    <row r="75" spans="1:21">
      <c r="A75" s="10" t="s">
        <v>12</v>
      </c>
      <c r="B75" s="19">
        <f>+CHAMNORD!B75</f>
        <v>46092</v>
      </c>
      <c r="C75" s="75">
        <f>IF(H75=0,"",'[5]2025-2026'!C74)</f>
        <v>11037.48</v>
      </c>
      <c r="D75" s="75">
        <f>+'[5]2026'!C75</f>
        <v>14215.07</v>
      </c>
      <c r="E75" s="75">
        <f>+'[5]2026'!D75</f>
        <v>14026.1</v>
      </c>
      <c r="F75" s="20">
        <f>+'[5]2026'!E75</f>
        <v>828</v>
      </c>
      <c r="G75" s="73">
        <f>+'[5]2026'!F75</f>
        <v>14400</v>
      </c>
      <c r="H75" s="42">
        <f>+'[5]2026'!G75</f>
        <v>13985.51</v>
      </c>
      <c r="I75" s="13">
        <f>+'[5]2026'!H75</f>
        <v>13785.03</v>
      </c>
      <c r="J75" s="14">
        <f>+'[5]2026'!I75</f>
        <v>752</v>
      </c>
      <c r="K75" s="15">
        <f>+'[5]2026'!J75</f>
        <v>170.85000000000002</v>
      </c>
      <c r="L75" s="15">
        <f>+'[5]2026'!K75</f>
        <v>188.15</v>
      </c>
      <c r="M75" s="15">
        <f>+'[5]2026'!L75</f>
        <v>143.47</v>
      </c>
      <c r="N75" s="16">
        <f t="shared" si="4"/>
        <v>1.0407666867609282E-2</v>
      </c>
      <c r="O75" s="17">
        <f t="shared" si="5"/>
        <v>-1.7187243781236389E-2</v>
      </c>
      <c r="P75" s="17">
        <f t="shared" si="5"/>
        <v>-9.1787439613526575E-2</v>
      </c>
      <c r="Q75" s="18">
        <f t="shared" si="6"/>
        <v>80.684986830553115</v>
      </c>
      <c r="R75" s="18">
        <f t="shared" si="7"/>
        <v>73.266170608557005</v>
      </c>
      <c r="S75" s="35">
        <f>(S74-SUM(E73:E79))/SUM(E73:E79)</f>
        <v>2.9286316742474974E-2</v>
      </c>
      <c r="T75" s="48">
        <f>SUM(I73:I79)/SUM(K73:K79)</f>
        <v>92.054614118330576</v>
      </c>
      <c r="U75" s="1738"/>
    </row>
    <row r="76" spans="1:21">
      <c r="A76" s="10" t="s">
        <v>13</v>
      </c>
      <c r="B76" s="19">
        <f>+CHAMNORD!B76</f>
        <v>46093</v>
      </c>
      <c r="C76" s="75">
        <f>IF(H76=0,"",'[5]2025-2026'!C75)</f>
        <v>14215.07</v>
      </c>
      <c r="D76" s="75">
        <f>+'[5]2026'!C76</f>
        <v>12320.92</v>
      </c>
      <c r="E76" s="75">
        <f>+'[5]2026'!D76</f>
        <v>12158.82</v>
      </c>
      <c r="F76" s="20">
        <f>+'[5]2026'!E76</f>
        <v>765</v>
      </c>
      <c r="G76" s="73">
        <f>+'[5]2026'!F76</f>
        <v>12700</v>
      </c>
      <c r="H76" s="42">
        <f>+'[5]2026'!G76</f>
        <v>13304.71</v>
      </c>
      <c r="I76" s="13">
        <f>+'[5]2026'!H76</f>
        <v>13113.61</v>
      </c>
      <c r="J76" s="14">
        <f>+'[5]2026'!I76</f>
        <v>733</v>
      </c>
      <c r="K76" s="15">
        <f>+'[5]2026'!J76</f>
        <v>139.13000000000002</v>
      </c>
      <c r="L76" s="15">
        <f>+'[5]2026'!K76</f>
        <v>161.77000000000001</v>
      </c>
      <c r="M76" s="15">
        <f>+'[5]2026'!L76</f>
        <v>111.03</v>
      </c>
      <c r="N76" s="16">
        <f t="shared" si="4"/>
        <v>8.4667761203818023E-3</v>
      </c>
      <c r="O76" s="17">
        <f t="shared" si="5"/>
        <v>7.85265346472767E-2</v>
      </c>
      <c r="P76" s="17">
        <f t="shared" si="5"/>
        <v>-4.1830065359477121E-2</v>
      </c>
      <c r="Q76" s="18">
        <f t="shared" si="6"/>
        <v>94.254366419895049</v>
      </c>
      <c r="R76" s="18">
        <f t="shared" si="7"/>
        <v>81.063299746553753</v>
      </c>
      <c r="S76" s="34"/>
      <c r="T76" s="29" t="s">
        <v>8</v>
      </c>
      <c r="U76" s="1738"/>
    </row>
    <row r="77" spans="1:21">
      <c r="A77" s="10" t="s">
        <v>14</v>
      </c>
      <c r="B77" s="19">
        <f>+CHAMNORD!B77</f>
        <v>46094</v>
      </c>
      <c r="C77" s="75">
        <f>IF(H77=0,"",'[5]2025-2026'!C76)</f>
        <v>12320.92</v>
      </c>
      <c r="D77" s="75">
        <f>+'[5]2026'!C77</f>
        <v>17990.61</v>
      </c>
      <c r="E77" s="75">
        <f>+'[5]2026'!D77</f>
        <v>17741.03</v>
      </c>
      <c r="F77" s="20">
        <f>+'[5]2026'!E77</f>
        <v>987</v>
      </c>
      <c r="G77" s="73">
        <f>+'[5]2026'!F77</f>
        <v>18500</v>
      </c>
      <c r="H77" s="42">
        <f>+'[5]2026'!G77</f>
        <v>19114.2</v>
      </c>
      <c r="I77" s="13">
        <f>+'[5]2026'!H77</f>
        <v>18793.18</v>
      </c>
      <c r="J77" s="14">
        <f>+'[5]2026'!I77</f>
        <v>1014</v>
      </c>
      <c r="K77" s="15">
        <f>+'[5]2026'!J77</f>
        <v>198.61</v>
      </c>
      <c r="L77" s="15">
        <f>+'[5]2026'!K77</f>
        <v>215.6</v>
      </c>
      <c r="M77" s="15">
        <f>+'[5]2026'!L77</f>
        <v>148.52000000000001</v>
      </c>
      <c r="N77" s="16">
        <f t="shared" si="4"/>
        <v>7.9028668910743165E-3</v>
      </c>
      <c r="O77" s="17">
        <f t="shared" si="5"/>
        <v>5.930602676394784E-2</v>
      </c>
      <c r="P77" s="17">
        <f t="shared" si="5"/>
        <v>2.7355623100303952E-2</v>
      </c>
      <c r="Q77" s="18">
        <f t="shared" si="6"/>
        <v>94.623533558229695</v>
      </c>
      <c r="R77" s="18">
        <f t="shared" si="7"/>
        <v>87.166883116883128</v>
      </c>
      <c r="S77" s="36" t="s">
        <v>40</v>
      </c>
      <c r="T77" s="48">
        <f>SUM(I73:I79)/SUM(L73:L79)</f>
        <v>83.783033682658697</v>
      </c>
      <c r="U77" s="1738"/>
    </row>
    <row r="78" spans="1:21">
      <c r="A78" s="10" t="s">
        <v>15</v>
      </c>
      <c r="B78" s="19">
        <f>+CHAMNORD!B78</f>
        <v>46095</v>
      </c>
      <c r="C78" s="75">
        <f>IF(H78=0,"",'[5]2025-2026'!C77)</f>
        <v>17990.61</v>
      </c>
      <c r="D78" s="75">
        <f>+'[5]2026'!C78</f>
        <v>18412.7</v>
      </c>
      <c r="E78" s="75">
        <f>+'[5]2026'!D78</f>
        <v>18127.150000000001</v>
      </c>
      <c r="F78" s="20">
        <f>+'[5]2026'!E78</f>
        <v>921</v>
      </c>
      <c r="G78" s="73">
        <f>+'[5]2026'!F78</f>
        <v>19000</v>
      </c>
      <c r="H78" s="42">
        <f>+'[5]2026'!G78</f>
        <v>19652.330000000002</v>
      </c>
      <c r="I78" s="13">
        <f>+'[5]2026'!H78</f>
        <v>19295.349999999999</v>
      </c>
      <c r="J78" s="14">
        <f>+'[5]2026'!I78</f>
        <v>953</v>
      </c>
      <c r="K78" s="15">
        <f>+'[5]2026'!J78</f>
        <v>173.85</v>
      </c>
      <c r="L78" s="15">
        <f>+'[5]2026'!K78</f>
        <v>182.18</v>
      </c>
      <c r="M78" s="15">
        <f>+'[5]2026'!L78</f>
        <v>91.59</v>
      </c>
      <c r="N78" s="16">
        <f t="shared" si="4"/>
        <v>4.7467394994130715E-3</v>
      </c>
      <c r="O78" s="17">
        <f t="shared" si="5"/>
        <v>6.4444769310123051E-2</v>
      </c>
      <c r="P78" s="17">
        <f t="shared" si="5"/>
        <v>3.4744842562432141E-2</v>
      </c>
      <c r="Q78" s="18">
        <f t="shared" si="6"/>
        <v>110.98849582973827</v>
      </c>
      <c r="R78" s="18">
        <f t="shared" si="7"/>
        <v>105.91365682292238</v>
      </c>
      <c r="S78" s="36">
        <f>SUM(J73:J79)</f>
        <v>5564</v>
      </c>
      <c r="T78" s="30" t="s">
        <v>3</v>
      </c>
      <c r="U78" s="1738"/>
    </row>
    <row r="79" spans="1:21" ht="18" thickBot="1">
      <c r="A79" s="10" t="s">
        <v>16</v>
      </c>
      <c r="B79" s="19">
        <f>+CHAMNORD!B79</f>
        <v>46096</v>
      </c>
      <c r="C79" s="75">
        <f>IF(H79=0,"",'[5]2025-2026'!C78)</f>
        <v>18412.7</v>
      </c>
      <c r="D79" s="75">
        <f>+'[5]2026'!C79</f>
        <v>19529.29</v>
      </c>
      <c r="E79" s="75">
        <f>+'[5]2026'!D79</f>
        <v>19241.080000000002</v>
      </c>
      <c r="F79" s="20">
        <f>+'[5]2026'!E79</f>
        <v>948</v>
      </c>
      <c r="G79" s="73">
        <f>+'[5]2026'!F79</f>
        <v>20000</v>
      </c>
      <c r="H79" s="42">
        <f>+'[5]2026'!G79</f>
        <v>18358.13</v>
      </c>
      <c r="I79" s="13">
        <f>+'[5]2026'!H79</f>
        <v>18091.759999999998</v>
      </c>
      <c r="J79" s="14">
        <f>+'[5]2026'!I79</f>
        <v>842</v>
      </c>
      <c r="K79" s="15">
        <f>+'[5]2026'!J79</f>
        <v>181.48</v>
      </c>
      <c r="L79" s="15">
        <f>+'[5]2026'!K79</f>
        <v>194.5</v>
      </c>
      <c r="M79" s="15">
        <f>+'[5]2026'!L79</f>
        <v>113.45</v>
      </c>
      <c r="N79" s="16">
        <f t="shared" si="4"/>
        <v>6.2708105789597039E-3</v>
      </c>
      <c r="O79" s="17">
        <f t="shared" si="5"/>
        <v>-5.9732613761805636E-2</v>
      </c>
      <c r="P79" s="17">
        <f t="shared" si="5"/>
        <v>-0.11181434599156118</v>
      </c>
      <c r="Q79" s="18">
        <f t="shared" si="6"/>
        <v>99.690103592682391</v>
      </c>
      <c r="R79" s="18">
        <f t="shared" si="7"/>
        <v>93.016760925449859</v>
      </c>
      <c r="S79" s="37">
        <f>(S78-SUM(F73:F79))/SUM(F73:F79)</f>
        <v>-3.5367545076282939E-2</v>
      </c>
      <c r="T79" s="47">
        <f>SUM(M73:M79)/SUM(I73:I79)</f>
        <v>8.0247654996668319E-3</v>
      </c>
      <c r="U79" s="1739"/>
    </row>
    <row r="80" spans="1:21" ht="17" customHeight="1" thickTop="1">
      <c r="A80" s="10" t="s">
        <v>9</v>
      </c>
      <c r="B80" s="19">
        <f>+CHAMNORD!B80</f>
        <v>46097</v>
      </c>
      <c r="C80" s="75">
        <f>IF(H80=0,"",'[5]2025-2026'!C79)</f>
        <v>19529.29</v>
      </c>
      <c r="D80" s="75">
        <f>+'[5]2026'!C80</f>
        <v>9837.85</v>
      </c>
      <c r="E80" s="75">
        <f>+'[5]2026'!D80</f>
        <v>9677.57</v>
      </c>
      <c r="F80" s="20">
        <f>+'[5]2026'!E80</f>
        <v>621</v>
      </c>
      <c r="G80" s="73">
        <f>+'[5]2026'!F80</f>
        <v>10000</v>
      </c>
      <c r="H80" s="42">
        <f>+'[5]2026'!G80</f>
        <v>9714.27</v>
      </c>
      <c r="I80" s="13">
        <f>+'[5]2026'!H80</f>
        <v>9602.31</v>
      </c>
      <c r="J80" s="14">
        <f>+'[5]2026'!I80</f>
        <v>559</v>
      </c>
      <c r="K80" s="15">
        <f>+'[5]2026'!J80</f>
        <v>125.42</v>
      </c>
      <c r="L80" s="15">
        <f>+'[5]2026'!K80</f>
        <v>142.35</v>
      </c>
      <c r="M80" s="15">
        <f>+'[5]2026'!L80</f>
        <v>86.72</v>
      </c>
      <c r="N80" s="16">
        <f t="shared" si="4"/>
        <v>9.031160210407705E-3</v>
      </c>
      <c r="O80" s="17">
        <f t="shared" si="5"/>
        <v>-7.7767456086600475E-3</v>
      </c>
      <c r="P80" s="17">
        <f t="shared" si="5"/>
        <v>-9.9838969404186795E-2</v>
      </c>
      <c r="Q80" s="18">
        <f t="shared" si="6"/>
        <v>76.561234252910211</v>
      </c>
      <c r="R80" s="18">
        <f t="shared" si="7"/>
        <v>67.455637513171766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19">
        <f>+CHAMNORD!B81</f>
        <v>46098</v>
      </c>
      <c r="C81" s="75">
        <f>IF(H81=0,"",'[5]2025-2026'!C80)</f>
        <v>9837.85</v>
      </c>
      <c r="D81" s="75">
        <f>+'[5]2026'!C81</f>
        <v>11950.86</v>
      </c>
      <c r="E81" s="75">
        <f>+'[5]2026'!D81</f>
        <v>11726.31</v>
      </c>
      <c r="F81" s="20">
        <f>+'[5]2026'!E81</f>
        <v>710</v>
      </c>
      <c r="G81" s="73">
        <f>+'[5]2026'!F81</f>
        <v>12100</v>
      </c>
      <c r="H81" s="42">
        <f>+'[5]2026'!G81</f>
        <v>11846.19</v>
      </c>
      <c r="I81" s="13">
        <f>+'[5]2026'!H81</f>
        <v>11650.59</v>
      </c>
      <c r="J81" s="14">
        <f>+'[5]2026'!I81</f>
        <v>674</v>
      </c>
      <c r="K81" s="15">
        <f>+'[5]2026'!J81</f>
        <v>133.59</v>
      </c>
      <c r="L81" s="15">
        <f>+'[5]2026'!K81</f>
        <v>150.72</v>
      </c>
      <c r="M81" s="15">
        <f>+'[5]2026'!L81</f>
        <v>114.9</v>
      </c>
      <c r="N81" s="16">
        <f t="shared" si="4"/>
        <v>9.8621614871006544E-3</v>
      </c>
      <c r="O81" s="17">
        <f t="shared" si="5"/>
        <v>-6.4572742832143572E-3</v>
      </c>
      <c r="P81" s="17">
        <f t="shared" si="5"/>
        <v>-5.0704225352112678E-2</v>
      </c>
      <c r="Q81" s="18">
        <f t="shared" si="6"/>
        <v>87.211542780148207</v>
      </c>
      <c r="R81" s="18">
        <f t="shared" si="7"/>
        <v>77.299562101910823</v>
      </c>
      <c r="S81" s="34">
        <f>SUM(I80:I86)</f>
        <v>102082.83000000002</v>
      </c>
      <c r="T81" s="45" t="s">
        <v>41</v>
      </c>
      <c r="U81" s="1738"/>
    </row>
    <row r="82" spans="1:21">
      <c r="A82" s="10" t="s">
        <v>12</v>
      </c>
      <c r="B82" s="19">
        <f>+CHAMNORD!B82</f>
        <v>46099</v>
      </c>
      <c r="C82" s="75">
        <f>IF(H82=0,"",'[5]2025-2026'!C81)</f>
        <v>11950.86</v>
      </c>
      <c r="D82" s="75">
        <f>+'[5]2026'!C82</f>
        <v>13948.37</v>
      </c>
      <c r="E82" s="75">
        <f>+'[5]2026'!D82</f>
        <v>13710.72</v>
      </c>
      <c r="F82" s="20">
        <f>+'[5]2026'!E82</f>
        <v>834</v>
      </c>
      <c r="G82" s="73">
        <f>+'[5]2026'!F82</f>
        <v>14100</v>
      </c>
      <c r="H82" s="42">
        <f>+'[5]2026'!G82</f>
        <v>13134.13</v>
      </c>
      <c r="I82" s="13">
        <f>+'[5]2026'!H82</f>
        <v>12895.33</v>
      </c>
      <c r="J82" s="14">
        <f>+'[5]2026'!I82</f>
        <v>720</v>
      </c>
      <c r="K82" s="15">
        <f>+'[5]2026'!J82</f>
        <v>166.15</v>
      </c>
      <c r="L82" s="15">
        <f>+'[5]2026'!K82</f>
        <v>183.62</v>
      </c>
      <c r="M82" s="15">
        <f>+'[5]2026'!L82</f>
        <v>132.52000000000001</v>
      </c>
      <c r="N82" s="16">
        <f t="shared" si="4"/>
        <v>1.0276588501418731E-2</v>
      </c>
      <c r="O82" s="17">
        <f t="shared" si="5"/>
        <v>-5.9470983288988429E-2</v>
      </c>
      <c r="P82" s="17">
        <f t="shared" si="5"/>
        <v>-0.1366906474820144</v>
      </c>
      <c r="Q82" s="18">
        <f t="shared" si="6"/>
        <v>77.612578994884132</v>
      </c>
      <c r="R82" s="18">
        <f t="shared" si="7"/>
        <v>70.228352031369127</v>
      </c>
      <c r="S82" s="35">
        <f>(S81-SUM(E80:E86))/SUM(E80:E86)</f>
        <v>5.5080867308655294E-2</v>
      </c>
      <c r="T82" s="48">
        <f>SUM(I80:I86)/SUM(K80:K86)</f>
        <v>95.621673520237593</v>
      </c>
      <c r="U82" s="1738"/>
    </row>
    <row r="83" spans="1:21">
      <c r="A83" s="10" t="s">
        <v>13</v>
      </c>
      <c r="B83" s="19">
        <f>+CHAMNORD!B83</f>
        <v>46100</v>
      </c>
      <c r="C83" s="75">
        <f>IF(H83=0,"",'[5]2025-2026'!C82)</f>
        <v>13948.37</v>
      </c>
      <c r="D83" s="75">
        <f>+'[5]2026'!C83</f>
        <v>12570.5</v>
      </c>
      <c r="E83" s="75">
        <f>+'[5]2026'!D83</f>
        <v>12404.65</v>
      </c>
      <c r="F83" s="20">
        <f>+'[5]2026'!E83</f>
        <v>793</v>
      </c>
      <c r="G83" s="73">
        <f>+'[5]2026'!F83</f>
        <v>13000</v>
      </c>
      <c r="H83" s="42">
        <f>+'[5]2026'!G83</f>
        <v>12157.13</v>
      </c>
      <c r="I83" s="13">
        <f>+'[5]2026'!H83</f>
        <v>11977.12</v>
      </c>
      <c r="J83" s="14">
        <f>+'[5]2026'!I83</f>
        <v>746</v>
      </c>
      <c r="K83" s="15">
        <f>+'[5]2026'!J83</f>
        <v>143.89999999999998</v>
      </c>
      <c r="L83" s="15">
        <f>+'[5]2026'!K83</f>
        <v>160.38</v>
      </c>
      <c r="M83" s="15">
        <f>+'[5]2026'!L83</f>
        <v>83.58</v>
      </c>
      <c r="N83" s="16">
        <f t="shared" si="4"/>
        <v>6.9783053021093546E-3</v>
      </c>
      <c r="O83" s="17">
        <f t="shared" si="5"/>
        <v>-3.4465301318457098E-2</v>
      </c>
      <c r="P83" s="17">
        <f t="shared" si="5"/>
        <v>-5.9268600252206809E-2</v>
      </c>
      <c r="Q83" s="18">
        <f t="shared" si="6"/>
        <v>83.232244614315519</v>
      </c>
      <c r="R83" s="18">
        <f t="shared" si="7"/>
        <v>74.679635864821051</v>
      </c>
      <c r="S83" s="34"/>
      <c r="T83" s="29" t="s">
        <v>8</v>
      </c>
      <c r="U83" s="1738"/>
    </row>
    <row r="84" spans="1:21">
      <c r="A84" s="10" t="s">
        <v>14</v>
      </c>
      <c r="B84" s="19">
        <f>+CHAMNORD!B84</f>
        <v>46101</v>
      </c>
      <c r="C84" s="75">
        <f>IF(H84=0,"",'[5]2025-2026'!C83)</f>
        <v>12570.5</v>
      </c>
      <c r="D84" s="75">
        <f>+'[5]2026'!C84</f>
        <v>16654.5</v>
      </c>
      <c r="E84" s="75">
        <f>+'[5]2026'!D84</f>
        <v>16321.49</v>
      </c>
      <c r="F84" s="20">
        <f>+'[5]2026'!E84</f>
        <v>911</v>
      </c>
      <c r="G84" s="73">
        <f>+'[5]2026'!F84</f>
        <v>17800</v>
      </c>
      <c r="H84" s="42">
        <f>+'[5]2026'!G84</f>
        <v>19237.63</v>
      </c>
      <c r="I84" s="13">
        <f>+'[5]2026'!H84</f>
        <v>18974.68</v>
      </c>
      <c r="J84" s="14">
        <f>+'[5]2026'!I84</f>
        <v>1044</v>
      </c>
      <c r="K84" s="15">
        <f>+'[5]2026'!J84</f>
        <v>186.57</v>
      </c>
      <c r="L84" s="15">
        <f>+'[5]2026'!K84</f>
        <v>204.57</v>
      </c>
      <c r="M84" s="15">
        <f>+'[5]2026'!L84</f>
        <v>100.38</v>
      </c>
      <c r="N84" s="16">
        <f t="shared" si="4"/>
        <v>5.2902077927005882E-3</v>
      </c>
      <c r="O84" s="17">
        <f t="shared" si="5"/>
        <v>0.16255807527376487</v>
      </c>
      <c r="P84" s="17">
        <f t="shared" si="5"/>
        <v>0.14599341383095499</v>
      </c>
      <c r="Q84" s="18">
        <f t="shared" si="6"/>
        <v>101.70273891836844</v>
      </c>
      <c r="R84" s="18">
        <f t="shared" si="7"/>
        <v>92.753971745612759</v>
      </c>
      <c r="S84" s="36" t="s">
        <v>40</v>
      </c>
      <c r="T84" s="48">
        <f>SUM(I80:I86)/SUM(L80:L86)</f>
        <v>85.994903460592397</v>
      </c>
      <c r="U84" s="1738"/>
    </row>
    <row r="85" spans="1:21">
      <c r="A85" s="10" t="s">
        <v>15</v>
      </c>
      <c r="B85" s="19">
        <f>+CHAMNORD!B85</f>
        <v>46102</v>
      </c>
      <c r="C85" s="75">
        <f>IF(H85=0,"",'[5]2025-2026'!C84)</f>
        <v>16654.5</v>
      </c>
      <c r="D85" s="75">
        <f>+'[5]2026'!C85</f>
        <v>17509.91</v>
      </c>
      <c r="E85" s="75">
        <f>+'[5]2026'!D85</f>
        <v>17243.759999999998</v>
      </c>
      <c r="F85" s="20">
        <f>+'[5]2026'!E85</f>
        <v>918</v>
      </c>
      <c r="G85" s="73">
        <f>+'[5]2026'!F85</f>
        <v>18500</v>
      </c>
      <c r="H85" s="42">
        <f>+'[5]2026'!G85</f>
        <v>18926.740000000002</v>
      </c>
      <c r="I85" s="13">
        <f>+'[5]2026'!H85</f>
        <v>18595.73</v>
      </c>
      <c r="J85" s="14">
        <f>+'[5]2026'!I85</f>
        <v>994</v>
      </c>
      <c r="K85" s="15">
        <f>+'[5]2026'!J85</f>
        <v>164.08999999999997</v>
      </c>
      <c r="L85" s="15">
        <f>+'[5]2026'!K85</f>
        <v>181.32</v>
      </c>
      <c r="M85" s="15">
        <f>+'[5]2026'!L85</f>
        <v>91.1</v>
      </c>
      <c r="N85" s="16">
        <f t="shared" si="4"/>
        <v>4.8989741193273938E-3</v>
      </c>
      <c r="O85" s="17">
        <f t="shared" si="5"/>
        <v>7.8403434053825924E-2</v>
      </c>
      <c r="P85" s="17">
        <f t="shared" si="5"/>
        <v>8.2788671023965144E-2</v>
      </c>
      <c r="Q85" s="18">
        <f t="shared" si="6"/>
        <v>113.32640624047779</v>
      </c>
      <c r="R85" s="18">
        <f t="shared" si="7"/>
        <v>102.55752261195676</v>
      </c>
      <c r="S85" s="36">
        <f>SUM(J80:J86)</f>
        <v>5609</v>
      </c>
      <c r="T85" s="30" t="s">
        <v>3</v>
      </c>
      <c r="U85" s="1738"/>
    </row>
    <row r="86" spans="1:21" ht="18" thickBot="1">
      <c r="A86" s="10" t="s">
        <v>16</v>
      </c>
      <c r="B86" s="19">
        <f>+CHAMNORD!B86</f>
        <v>46103</v>
      </c>
      <c r="C86" s="75">
        <f>IF(H86=0,"",'[5]2025-2026'!C85)</f>
        <v>17509.91</v>
      </c>
      <c r="D86" s="75">
        <f>+'[5]2026'!C86</f>
        <v>15945.13</v>
      </c>
      <c r="E86" s="75">
        <f>+'[5]2026'!D86</f>
        <v>15669.06</v>
      </c>
      <c r="F86" s="20">
        <f>+'[5]2026'!E86</f>
        <v>768</v>
      </c>
      <c r="G86" s="73">
        <f>+'[5]2026'!F86</f>
        <v>16500</v>
      </c>
      <c r="H86" s="42">
        <f>+'[5]2026'!G86</f>
        <v>18725.02</v>
      </c>
      <c r="I86" s="13">
        <f>+'[5]2026'!H86</f>
        <v>18387.07</v>
      </c>
      <c r="J86" s="14">
        <f>+'[5]2026'!I86</f>
        <v>872</v>
      </c>
      <c r="K86" s="15">
        <f>+'[5]2026'!J86</f>
        <v>147.85</v>
      </c>
      <c r="L86" s="15">
        <f>+'[5]2026'!K86</f>
        <v>164.12</v>
      </c>
      <c r="M86" s="15">
        <f>+'[5]2026'!L86</f>
        <v>86.88</v>
      </c>
      <c r="N86" s="16">
        <f t="shared" si="4"/>
        <v>4.7250595119287626E-3</v>
      </c>
      <c r="O86" s="17">
        <f t="shared" si="5"/>
        <v>0.17346350068223623</v>
      </c>
      <c r="P86" s="17">
        <f t="shared" si="5"/>
        <v>0.13541666666666666</v>
      </c>
      <c r="Q86" s="18">
        <f t="shared" si="6"/>
        <v>124.3630030436253</v>
      </c>
      <c r="R86" s="18">
        <f t="shared" si="7"/>
        <v>112.03430416768218</v>
      </c>
      <c r="S86" s="37">
        <f>(S85-SUM(F80:F86))/SUM(F80:F86)</f>
        <v>9.7209720972097208E-3</v>
      </c>
      <c r="T86" s="47">
        <f>SUM(M80:M86)/SUM(I80:I86)</f>
        <v>6.8187764778856524E-3</v>
      </c>
      <c r="U86" s="1739"/>
    </row>
    <row r="87" spans="1:21" ht="17" customHeight="1" thickTop="1">
      <c r="A87" s="10" t="s">
        <v>9</v>
      </c>
      <c r="B87" s="19">
        <f>+CHAMNORD!B87</f>
        <v>46104</v>
      </c>
      <c r="C87" s="75">
        <f>IF(H87=0,"",'[5]2025-2026'!C86)</f>
        <v>15945.13</v>
      </c>
      <c r="D87" s="75">
        <f>+'[5]2026'!C87</f>
        <v>8790.41</v>
      </c>
      <c r="E87" s="75">
        <f>+'[5]2026'!D87</f>
        <v>8718.68</v>
      </c>
      <c r="F87" s="20">
        <f>+'[5]2026'!E87</f>
        <v>577</v>
      </c>
      <c r="G87" s="73">
        <f>+'[5]2026'!F87</f>
        <v>9700</v>
      </c>
      <c r="H87" s="42">
        <f>+'[5]2026'!G87</f>
        <v>9603.9500000000007</v>
      </c>
      <c r="I87" s="13">
        <f>+'[5]2026'!H87</f>
        <v>9444.16</v>
      </c>
      <c r="J87" s="14">
        <f>+'[5]2026'!I87</f>
        <v>566</v>
      </c>
      <c r="K87" s="15">
        <f>+'[5]2026'!J87</f>
        <v>102.17999999999999</v>
      </c>
      <c r="L87" s="15">
        <f>+'[5]2026'!K87</f>
        <v>118.88</v>
      </c>
      <c r="M87" s="15">
        <f>+'[5]2026'!L87</f>
        <v>117.01</v>
      </c>
      <c r="N87" s="16">
        <f t="shared" si="4"/>
        <v>1.2389667265272932E-2</v>
      </c>
      <c r="O87" s="17">
        <f t="shared" si="5"/>
        <v>8.3209843691934959E-2</v>
      </c>
      <c r="P87" s="17">
        <f t="shared" si="5"/>
        <v>-1.9064124783362217E-2</v>
      </c>
      <c r="Q87" s="18">
        <f t="shared" si="6"/>
        <v>92.426697983949893</v>
      </c>
      <c r="R87" s="18">
        <f t="shared" si="7"/>
        <v>79.442799461641997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19">
        <f>+CHAMNORD!B88</f>
        <v>46105</v>
      </c>
      <c r="C88" s="75">
        <f>IF(H88=0,"",'[5]2025-2026'!C87)</f>
        <v>8790.41</v>
      </c>
      <c r="D88" s="75">
        <f>+'[5]2026'!C88</f>
        <v>11794.17</v>
      </c>
      <c r="E88" s="75">
        <f>+'[5]2026'!D88</f>
        <v>11546.02</v>
      </c>
      <c r="F88" s="20">
        <f>+'[5]2026'!E88</f>
        <v>708</v>
      </c>
      <c r="G88" s="73">
        <f>+'[5]2026'!F88</f>
        <v>12000</v>
      </c>
      <c r="H88" s="42">
        <f>+'[5]2026'!G88</f>
        <v>11853.86</v>
      </c>
      <c r="I88" s="13">
        <f>+'[5]2026'!H88</f>
        <v>11620.84</v>
      </c>
      <c r="J88" s="14">
        <f>+'[5]2026'!I88</f>
        <v>690</v>
      </c>
      <c r="K88" s="15">
        <f>+'[5]2026'!J88</f>
        <v>113.63000000000001</v>
      </c>
      <c r="L88" s="15">
        <f>+'[5]2026'!K88</f>
        <v>131.08000000000001</v>
      </c>
      <c r="M88" s="15">
        <f>+'[5]2026'!L88</f>
        <v>126.8</v>
      </c>
      <c r="N88" s="16">
        <f t="shared" si="4"/>
        <v>1.0911431531627661E-2</v>
      </c>
      <c r="O88" s="17">
        <f t="shared" si="5"/>
        <v>6.4801550664211312E-3</v>
      </c>
      <c r="P88" s="17">
        <f t="shared" si="5"/>
        <v>-2.5423728813559324E-2</v>
      </c>
      <c r="Q88" s="18">
        <f t="shared" si="6"/>
        <v>102.26911907066795</v>
      </c>
      <c r="R88" s="18">
        <f t="shared" si="7"/>
        <v>88.654562099481225</v>
      </c>
      <c r="S88" s="34">
        <f>SUM(I87:I93)</f>
        <v>108097.03000000001</v>
      </c>
      <c r="T88" s="45" t="s">
        <v>41</v>
      </c>
      <c r="U88" s="1738"/>
    </row>
    <row r="89" spans="1:21">
      <c r="A89" s="10" t="s">
        <v>12</v>
      </c>
      <c r="B89" s="19">
        <f>+CHAMNORD!B89</f>
        <v>46106</v>
      </c>
      <c r="C89" s="75">
        <f>IF(H89=0,"",'[5]2025-2026'!C88)</f>
        <v>11794.17</v>
      </c>
      <c r="D89" s="75">
        <f>+'[5]2026'!C89</f>
        <v>15722.85</v>
      </c>
      <c r="E89" s="75">
        <f>+'[5]2026'!D89</f>
        <v>15361.43</v>
      </c>
      <c r="F89" s="20">
        <f>+'[5]2026'!E89</f>
        <v>904</v>
      </c>
      <c r="G89" s="73">
        <f>+'[5]2026'!F89</f>
        <v>15300</v>
      </c>
      <c r="H89" s="42">
        <f>+'[5]2026'!G89</f>
        <v>14465.29</v>
      </c>
      <c r="I89" s="13">
        <f>+'[5]2026'!H89</f>
        <v>14104.61</v>
      </c>
      <c r="J89" s="14">
        <f>+'[5]2026'!I89</f>
        <v>790</v>
      </c>
      <c r="K89" s="15">
        <f>+'[5]2026'!J89</f>
        <v>163.44999999999999</v>
      </c>
      <c r="L89" s="15">
        <f>+'[5]2026'!K89</f>
        <v>179.78</v>
      </c>
      <c r="M89" s="15">
        <f>+'[5]2026'!L89</f>
        <v>123.83</v>
      </c>
      <c r="N89" s="16">
        <f t="shared" si="4"/>
        <v>8.77939907590497E-3</v>
      </c>
      <c r="O89" s="17">
        <f t="shared" si="5"/>
        <v>-8.1816601709606446E-2</v>
      </c>
      <c r="P89" s="17">
        <f t="shared" si="5"/>
        <v>-0.12610619469026549</v>
      </c>
      <c r="Q89" s="18">
        <f t="shared" si="6"/>
        <v>86.293117161211384</v>
      </c>
      <c r="R89" s="18">
        <f t="shared" si="7"/>
        <v>78.454833685615753</v>
      </c>
      <c r="S89" s="35">
        <f>(S88-SUM(E87:E93))/SUM(E87:E93)</f>
        <v>2.29366488620961E-2</v>
      </c>
      <c r="T89" s="48">
        <f>SUM(I87:I93)/SUM(K87:K93)</f>
        <v>105.82393194188826</v>
      </c>
      <c r="U89" s="1738"/>
    </row>
    <row r="90" spans="1:21">
      <c r="A90" s="10" t="s">
        <v>13</v>
      </c>
      <c r="B90" s="19">
        <f>+CHAMNORD!B90</f>
        <v>46107</v>
      </c>
      <c r="C90" s="75">
        <f>IF(H90=0,"",'[5]2025-2026'!C89)</f>
        <v>15722.85</v>
      </c>
      <c r="D90" s="75">
        <f>+'[5]2026'!C90</f>
        <v>14280.51</v>
      </c>
      <c r="E90" s="75">
        <f>+'[5]2026'!D90</f>
        <v>13997.37</v>
      </c>
      <c r="F90" s="20">
        <f>+'[5]2026'!E90</f>
        <v>853</v>
      </c>
      <c r="G90" s="73">
        <f>+'[5]2026'!F90</f>
        <v>14000</v>
      </c>
      <c r="H90" s="42">
        <f>+'[5]2026'!G90</f>
        <v>13361.71</v>
      </c>
      <c r="I90" s="13">
        <f>+'[5]2026'!H90</f>
        <v>13086.69</v>
      </c>
      <c r="J90" s="14">
        <f>+'[5]2026'!I90</f>
        <v>742</v>
      </c>
      <c r="K90" s="15">
        <f>+'[5]2026'!J90</f>
        <v>135.81</v>
      </c>
      <c r="L90" s="15">
        <f>+'[5]2026'!K90</f>
        <v>152.43</v>
      </c>
      <c r="M90" s="15">
        <f>+'[5]2026'!L90</f>
        <v>97.49</v>
      </c>
      <c r="N90" s="16">
        <f t="shared" si="4"/>
        <v>7.4495537068578832E-3</v>
      </c>
      <c r="O90" s="17">
        <f t="shared" si="5"/>
        <v>-6.5060793563362279E-2</v>
      </c>
      <c r="P90" s="17">
        <f t="shared" si="5"/>
        <v>-0.13012895662368112</v>
      </c>
      <c r="Q90" s="18">
        <f t="shared" si="6"/>
        <v>96.360282747956703</v>
      </c>
      <c r="R90" s="18">
        <f t="shared" si="7"/>
        <v>85.853768943121437</v>
      </c>
      <c r="S90" s="34"/>
      <c r="T90" s="29" t="s">
        <v>8</v>
      </c>
      <c r="U90" s="1738"/>
    </row>
    <row r="91" spans="1:21">
      <c r="A91" s="10" t="s">
        <v>14</v>
      </c>
      <c r="B91" s="19">
        <f>+CHAMNORD!B91</f>
        <v>46108</v>
      </c>
      <c r="C91" s="75">
        <f>IF(H91=0,"",'[5]2025-2026'!C90)</f>
        <v>14280.51</v>
      </c>
      <c r="D91" s="75">
        <f>+'[5]2026'!C91</f>
        <v>19683.900000000001</v>
      </c>
      <c r="E91" s="75">
        <f>+'[5]2026'!D91</f>
        <v>19144.96</v>
      </c>
      <c r="F91" s="20">
        <f>+'[5]2026'!E91</f>
        <v>1029</v>
      </c>
      <c r="G91" s="73">
        <f>+'[5]2026'!F91</f>
        <v>19550</v>
      </c>
      <c r="H91" s="42">
        <f>+'[5]2026'!G91</f>
        <v>20487.22</v>
      </c>
      <c r="I91" s="13">
        <f>+'[5]2026'!H91</f>
        <v>19974.05</v>
      </c>
      <c r="J91" s="14">
        <f>+'[5]2026'!I91</f>
        <v>1033</v>
      </c>
      <c r="K91" s="15">
        <f>+'[5]2026'!J91</f>
        <v>191.59</v>
      </c>
      <c r="L91" s="15">
        <f>+'[5]2026'!K91</f>
        <v>208.52</v>
      </c>
      <c r="M91" s="15">
        <f>+'[5]2026'!L91</f>
        <v>107.61</v>
      </c>
      <c r="N91" s="16">
        <f t="shared" si="4"/>
        <v>5.3874902686235392E-3</v>
      </c>
      <c r="O91" s="17">
        <f t="shared" si="5"/>
        <v>4.3305914454770354E-2</v>
      </c>
      <c r="P91" s="17">
        <f t="shared" si="5"/>
        <v>3.8872691933916422E-3</v>
      </c>
      <c r="Q91" s="18">
        <f t="shared" si="6"/>
        <v>104.25413643718356</v>
      </c>
      <c r="R91" s="18">
        <f t="shared" si="7"/>
        <v>95.789612507193553</v>
      </c>
      <c r="S91" s="36" t="s">
        <v>40</v>
      </c>
      <c r="T91" s="48">
        <f>SUM(I87:I93)/SUM(L87:L93)</f>
        <v>95.245548183588426</v>
      </c>
      <c r="U91" s="1738"/>
    </row>
    <row r="92" spans="1:21">
      <c r="A92" s="10" t="s">
        <v>15</v>
      </c>
      <c r="B92" s="19">
        <f>+CHAMNORD!B92</f>
        <v>46109</v>
      </c>
      <c r="C92" s="75">
        <f>IF(H92=0,"",'[5]2025-2026'!C91)</f>
        <v>19683.900000000001</v>
      </c>
      <c r="D92" s="75">
        <f>+'[5]2026'!C92</f>
        <v>18988.68</v>
      </c>
      <c r="E92" s="75">
        <f>+'[5]2026'!D92</f>
        <v>18464.98</v>
      </c>
      <c r="F92" s="20">
        <f>+'[5]2026'!E92</f>
        <v>994</v>
      </c>
      <c r="G92" s="73">
        <f>+'[5]2026'!F92</f>
        <v>18400</v>
      </c>
      <c r="H92" s="42">
        <f>+'[5]2026'!G92</f>
        <v>21019.61</v>
      </c>
      <c r="I92" s="13">
        <f>+'[5]2026'!H92</f>
        <v>20505.82</v>
      </c>
      <c r="J92" s="14">
        <f>+'[5]2026'!I92</f>
        <v>1024</v>
      </c>
      <c r="K92" s="15">
        <f>+'[5]2026'!J92</f>
        <v>163.66999999999999</v>
      </c>
      <c r="L92" s="15">
        <f>+'[5]2026'!K92</f>
        <v>181.87</v>
      </c>
      <c r="M92" s="15">
        <f>+'[5]2026'!L92</f>
        <v>83.43</v>
      </c>
      <c r="N92" s="16">
        <f t="shared" si="4"/>
        <v>4.068601011810306E-3</v>
      </c>
      <c r="O92" s="17">
        <f t="shared" si="5"/>
        <v>0.11052489631724487</v>
      </c>
      <c r="P92" s="17">
        <f t="shared" si="5"/>
        <v>3.0181086519114688E-2</v>
      </c>
      <c r="Q92" s="18">
        <f t="shared" si="6"/>
        <v>125.28759088409605</v>
      </c>
      <c r="R92" s="18">
        <f t="shared" si="7"/>
        <v>112.74987628525869</v>
      </c>
      <c r="S92" s="36">
        <f>SUM(J87:J93)</f>
        <v>5693</v>
      </c>
      <c r="T92" s="30" t="s">
        <v>3</v>
      </c>
      <c r="U92" s="1738"/>
    </row>
    <row r="93" spans="1:21" ht="18" thickBot="1">
      <c r="A93" s="10" t="s">
        <v>16</v>
      </c>
      <c r="B93" s="19">
        <f>+CHAMNORD!B93</f>
        <v>46110</v>
      </c>
      <c r="C93" s="75">
        <f>IF(H93=0,"",'[5]2025-2026'!C92)</f>
        <v>18988.68</v>
      </c>
      <c r="D93" s="75">
        <f>+'[5]2026'!C93</f>
        <v>18974.11</v>
      </c>
      <c r="E93" s="75">
        <f>+'[5]2026'!D93</f>
        <v>18439.8</v>
      </c>
      <c r="F93" s="20">
        <f>+'[5]2026'!E93</f>
        <v>925</v>
      </c>
      <c r="G93" s="73">
        <f>+'[5]2026'!F93</f>
        <v>18400</v>
      </c>
      <c r="H93" s="42">
        <f>+'[5]2026'!G93</f>
        <v>19756.57</v>
      </c>
      <c r="I93" s="13">
        <f>+'[5]2026'!H93</f>
        <v>19360.86</v>
      </c>
      <c r="J93" s="14">
        <f>+'[5]2026'!I93</f>
        <v>848</v>
      </c>
      <c r="K93" s="15">
        <f>+'[5]2026'!J93</f>
        <v>151.15</v>
      </c>
      <c r="L93" s="15">
        <f>+'[5]2026'!K93</f>
        <v>162.37</v>
      </c>
      <c r="M93" s="15">
        <f>+'[5]2026'!L93</f>
        <v>68.73</v>
      </c>
      <c r="N93" s="16">
        <f t="shared" si="4"/>
        <v>3.5499456119201319E-3</v>
      </c>
      <c r="O93" s="17">
        <f t="shared" si="5"/>
        <v>4.994956561350998E-2</v>
      </c>
      <c r="P93" s="17">
        <f t="shared" si="5"/>
        <v>-8.324324324324324E-2</v>
      </c>
      <c r="Q93" s="18">
        <f t="shared" si="6"/>
        <v>128.09037380086008</v>
      </c>
      <c r="R93" s="18">
        <f t="shared" si="7"/>
        <v>119.23914516228368</v>
      </c>
      <c r="S93" s="37">
        <f>(S92-SUM(F87:F93))/SUM(F87:F93)</f>
        <v>-4.9582637729549246E-2</v>
      </c>
      <c r="T93" s="47">
        <f>SUM(M87:M93)/SUM(I87:I93)</f>
        <v>6.7060121818333027E-3</v>
      </c>
      <c r="U93" s="1739"/>
    </row>
    <row r="94" spans="1:21" ht="17" customHeight="1" thickTop="1">
      <c r="A94" s="10" t="s">
        <v>9</v>
      </c>
      <c r="B94" s="19">
        <f>+CHAMNORD!B94</f>
        <v>46111</v>
      </c>
      <c r="C94" s="75">
        <f>IF(H94=0,"",'[5]2025-2026'!C93)</f>
        <v>18974.11</v>
      </c>
      <c r="D94" s="75">
        <f>+'[5]2026'!C94</f>
        <v>11378.67</v>
      </c>
      <c r="E94" s="75">
        <f>+'[5]2026'!D94</f>
        <v>11102.85</v>
      </c>
      <c r="F94" s="20">
        <f>+'[5]2026'!E94</f>
        <v>701</v>
      </c>
      <c r="G94" s="73">
        <f>+'[5]2026'!F94</f>
        <v>11100</v>
      </c>
      <c r="H94" s="42">
        <f>+'[5]2026'!G94</f>
        <v>10762.81</v>
      </c>
      <c r="I94" s="13">
        <f>+'[5]2026'!H94</f>
        <v>10534.1</v>
      </c>
      <c r="J94" s="14">
        <f>+'[5]2026'!I94</f>
        <v>597</v>
      </c>
      <c r="K94" s="15">
        <f>+'[5]2026'!J94</f>
        <v>127.65</v>
      </c>
      <c r="L94" s="15">
        <f>+'[5]2026'!K94</f>
        <v>144.15</v>
      </c>
      <c r="M94" s="15">
        <f>+'[5]2026'!L94</f>
        <v>107.57</v>
      </c>
      <c r="N94" s="16">
        <f t="shared" si="4"/>
        <v>1.021159852289232E-2</v>
      </c>
      <c r="O94" s="17">
        <f t="shared" si="5"/>
        <v>-5.1225586223357066E-2</v>
      </c>
      <c r="P94" s="17">
        <f t="shared" si="5"/>
        <v>-0.14835948644793154</v>
      </c>
      <c r="Q94" s="18">
        <f t="shared" si="6"/>
        <v>82.523305914610262</v>
      </c>
      <c r="R94" s="18">
        <f t="shared" si="7"/>
        <v>73.077349982656955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19">
        <f>+CHAMNORD!B95</f>
        <v>46112</v>
      </c>
      <c r="C95" s="75">
        <f>IF(H95=0,"",'[5]2025-2026'!C94)</f>
        <v>11378.67</v>
      </c>
      <c r="D95" s="75">
        <f>+'[5]2026'!C95</f>
        <v>13238.8</v>
      </c>
      <c r="E95" s="75">
        <f>+'[5]2026'!D95</f>
        <v>12948.86</v>
      </c>
      <c r="F95" s="20">
        <f>+'[5]2026'!E95</f>
        <v>822</v>
      </c>
      <c r="G95" s="73">
        <f>+'[5]2026'!F95</f>
        <v>13600</v>
      </c>
      <c r="H95" s="42">
        <f>+'[5]2026'!G95</f>
        <v>13588.83</v>
      </c>
      <c r="I95" s="13">
        <f>+'[5]2026'!H95</f>
        <v>13238.74</v>
      </c>
      <c r="J95" s="14">
        <f>+'[5]2026'!I95</f>
        <v>725</v>
      </c>
      <c r="K95" s="15">
        <f>+'[5]2026'!J95</f>
        <v>132.69</v>
      </c>
      <c r="L95" s="15">
        <f>+'[5]2026'!K95</f>
        <v>141.82</v>
      </c>
      <c r="M95" s="15">
        <f>+'[5]2026'!L95</f>
        <v>73.760000000000005</v>
      </c>
      <c r="N95" s="16">
        <f t="shared" si="4"/>
        <v>5.571527199718403E-3</v>
      </c>
      <c r="O95" s="17">
        <f t="shared" si="5"/>
        <v>2.2386526690380402E-2</v>
      </c>
      <c r="P95" s="17">
        <f t="shared" si="5"/>
        <v>-0.11800486618004866</v>
      </c>
      <c r="Q95" s="18">
        <f t="shared" si="6"/>
        <v>99.77194965709549</v>
      </c>
      <c r="R95" s="18">
        <f t="shared" si="7"/>
        <v>93.348892962910739</v>
      </c>
      <c r="S95" s="34">
        <f>SUM(I94:I100)</f>
        <v>104957.98000000001</v>
      </c>
      <c r="T95" s="45" t="s">
        <v>41</v>
      </c>
      <c r="U95" s="1738"/>
    </row>
    <row r="96" spans="1:21">
      <c r="A96" s="10" t="s">
        <v>12</v>
      </c>
      <c r="B96" s="19">
        <f>+CHAMNORD!B96</f>
        <v>46113</v>
      </c>
      <c r="C96" s="75">
        <f>IF(H96=0,"",'[5]2025-2026'!C95)</f>
        <v>13238.8</v>
      </c>
      <c r="D96" s="75">
        <f>+'[5]2026'!C96</f>
        <v>17530.11</v>
      </c>
      <c r="E96" s="75">
        <f>+'[5]2026'!D96</f>
        <v>16992.5</v>
      </c>
      <c r="F96" s="20">
        <f>+'[5]2026'!E96</f>
        <v>947</v>
      </c>
      <c r="G96" s="73">
        <f>+'[5]2026'!F96</f>
        <v>17000</v>
      </c>
      <c r="H96" s="42">
        <f>+'[5]2026'!G96</f>
        <v>16649.77</v>
      </c>
      <c r="I96" s="13">
        <f>+'[5]2026'!H96</f>
        <v>16159.32</v>
      </c>
      <c r="J96" s="14">
        <f>+'[5]2026'!I96</f>
        <v>858</v>
      </c>
      <c r="K96" s="15">
        <f>+'[5]2026'!J96</f>
        <v>149.49</v>
      </c>
      <c r="L96" s="15">
        <f>+'[5]2026'!K96</f>
        <v>157.74</v>
      </c>
      <c r="M96" s="15">
        <f>+'[5]2026'!L96</f>
        <v>103.2</v>
      </c>
      <c r="N96" s="16">
        <f t="shared" si="4"/>
        <v>6.3864073488240844E-3</v>
      </c>
      <c r="O96" s="17">
        <f t="shared" si="5"/>
        <v>-4.9032220097101682E-2</v>
      </c>
      <c r="P96" s="17">
        <f t="shared" si="5"/>
        <v>-9.398099260823653E-2</v>
      </c>
      <c r="Q96" s="18">
        <f t="shared" si="6"/>
        <v>108.09632751354604</v>
      </c>
      <c r="R96" s="18">
        <f t="shared" si="7"/>
        <v>102.44275389882084</v>
      </c>
      <c r="S96" s="35">
        <f>(S95-SUM(E94:E100))/SUM(E94:E100)</f>
        <v>-8.7604834883374366E-2</v>
      </c>
      <c r="T96" s="48">
        <f>SUM(I94:I100)/SUM(K94:K100)</f>
        <v>99.941896228301545</v>
      </c>
      <c r="U96" s="1738"/>
    </row>
    <row r="97" spans="1:21">
      <c r="A97" s="10" t="s">
        <v>13</v>
      </c>
      <c r="B97" s="19">
        <f>+CHAMNORD!B97</f>
        <v>46114</v>
      </c>
      <c r="C97" s="75">
        <f>IF(H97=0,"",'[5]2025-2026'!C96)</f>
        <v>17530.11</v>
      </c>
      <c r="D97" s="75">
        <f>+'[5]2026'!C97</f>
        <v>14538.33</v>
      </c>
      <c r="E97" s="75">
        <f>+'[5]2026'!D97</f>
        <v>14281.78</v>
      </c>
      <c r="F97" s="20">
        <f>+'[5]2026'!E97</f>
        <v>846</v>
      </c>
      <c r="G97" s="73">
        <f>+'[5]2026'!F97</f>
        <v>14300</v>
      </c>
      <c r="H97" s="42">
        <f>+'[5]2026'!G97</f>
        <v>13917.18</v>
      </c>
      <c r="I97" s="13">
        <f>+'[5]2026'!H97</f>
        <v>13657.44</v>
      </c>
      <c r="J97" s="14">
        <f>+'[5]2026'!I97</f>
        <v>754</v>
      </c>
      <c r="K97" s="15">
        <f>+'[5]2026'!J97</f>
        <v>134.54</v>
      </c>
      <c r="L97" s="15">
        <f>+'[5]2026'!K97</f>
        <v>143.16999999999999</v>
      </c>
      <c r="M97" s="15">
        <f>+'[5]2026'!L97</f>
        <v>71.17</v>
      </c>
      <c r="N97" s="16">
        <f t="shared" si="4"/>
        <v>5.2110790894926134E-3</v>
      </c>
      <c r="O97" s="17">
        <f t="shared" si="5"/>
        <v>-4.3715839342154839E-2</v>
      </c>
      <c r="P97" s="17">
        <f t="shared" si="5"/>
        <v>-0.10874704491725769</v>
      </c>
      <c r="Q97" s="18">
        <f t="shared" si="6"/>
        <v>101.51211535602796</v>
      </c>
      <c r="R97" s="18">
        <f t="shared" si="7"/>
        <v>95.393168959977658</v>
      </c>
      <c r="S97" s="34"/>
      <c r="T97" s="29" t="s">
        <v>8</v>
      </c>
      <c r="U97" s="1738"/>
    </row>
    <row r="98" spans="1:21">
      <c r="A98" s="10" t="s">
        <v>14</v>
      </c>
      <c r="B98" s="19">
        <f>+CHAMNORD!B98</f>
        <v>46115</v>
      </c>
      <c r="C98" s="75">
        <f>IF(H98=0,"",'[5]2025-2026'!C97)</f>
        <v>14538.33</v>
      </c>
      <c r="D98" s="75">
        <f>+'[5]2026'!C98</f>
        <v>20086.259999999998</v>
      </c>
      <c r="E98" s="75">
        <f>+'[5]2026'!D98</f>
        <v>19724.060000000001</v>
      </c>
      <c r="F98" s="20">
        <f>+'[5]2026'!E98</f>
        <v>1150</v>
      </c>
      <c r="G98" s="73">
        <f>+'[5]2026'!F98</f>
        <v>20300</v>
      </c>
      <c r="H98" s="42">
        <f>+'[5]2026'!G98</f>
        <v>20401.03</v>
      </c>
      <c r="I98" s="13">
        <f>+'[5]2026'!H98</f>
        <v>19889.98</v>
      </c>
      <c r="J98" s="14">
        <f>+'[5]2026'!I98</f>
        <v>1028</v>
      </c>
      <c r="K98" s="15">
        <f>+'[5]2026'!J98</f>
        <v>184.75</v>
      </c>
      <c r="L98" s="15">
        <f>+'[5]2026'!K98</f>
        <v>193.68</v>
      </c>
      <c r="M98" s="15">
        <f>+'[5]2026'!L98</f>
        <v>100.98</v>
      </c>
      <c r="N98" s="16">
        <f t="shared" si="4"/>
        <v>5.0769281819287903E-3</v>
      </c>
      <c r="O98" s="17">
        <f t="shared" si="5"/>
        <v>8.412061208493497E-3</v>
      </c>
      <c r="P98" s="17">
        <f t="shared" si="5"/>
        <v>-0.10608695652173913</v>
      </c>
      <c r="Q98" s="18">
        <f t="shared" si="6"/>
        <v>107.65889039242219</v>
      </c>
      <c r="R98" s="18">
        <f t="shared" si="7"/>
        <v>102.69506402313093</v>
      </c>
      <c r="S98" s="36" t="s">
        <v>40</v>
      </c>
      <c r="T98" s="48">
        <f>SUM(I94:I100)/SUM(L94:L100)</f>
        <v>93.051154296251653</v>
      </c>
      <c r="U98" s="1738"/>
    </row>
    <row r="99" spans="1:21">
      <c r="A99" s="10" t="s">
        <v>15</v>
      </c>
      <c r="B99" s="19">
        <f>+CHAMNORD!B99</f>
        <v>46116</v>
      </c>
      <c r="C99" s="75">
        <f>IF(H99=0,"",'[5]2025-2026'!C98)</f>
        <v>20086.259999999998</v>
      </c>
      <c r="D99" s="75">
        <f>+'[5]2026'!C99</f>
        <v>20395.12</v>
      </c>
      <c r="E99" s="75">
        <f>+'[5]2026'!D99</f>
        <v>19991.810000000001</v>
      </c>
      <c r="F99" s="20">
        <f>+'[5]2026'!E99</f>
        <v>1090</v>
      </c>
      <c r="G99" s="73">
        <f>+'[5]2026'!F99</f>
        <v>17500</v>
      </c>
      <c r="H99" s="42">
        <f>+'[5]2026'!G99</f>
        <v>18543.080000000002</v>
      </c>
      <c r="I99" s="13">
        <f>+'[5]2026'!H99</f>
        <v>18127.3</v>
      </c>
      <c r="J99" s="14">
        <f>+'[5]2026'!I99</f>
        <v>921</v>
      </c>
      <c r="K99" s="15">
        <f>+'[5]2026'!J99</f>
        <v>159.72</v>
      </c>
      <c r="L99" s="15">
        <f>+'[5]2026'!K99</f>
        <v>168.45</v>
      </c>
      <c r="M99" s="15">
        <f>+'[5]2026'!L99</f>
        <v>121.64</v>
      </c>
      <c r="N99" s="16">
        <f t="shared" si="4"/>
        <v>6.7103208972102858E-3</v>
      </c>
      <c r="O99" s="17">
        <f t="shared" si="5"/>
        <v>-9.3263691481661831E-2</v>
      </c>
      <c r="P99" s="17">
        <f t="shared" si="5"/>
        <v>-0.15504587155963304</v>
      </c>
      <c r="Q99" s="18">
        <f t="shared" si="6"/>
        <v>113.49423991985975</v>
      </c>
      <c r="R99" s="18">
        <f t="shared" si="7"/>
        <v>107.61234787770852</v>
      </c>
      <c r="S99" s="36">
        <f>SUM(J94:J100)</f>
        <v>5572</v>
      </c>
      <c r="T99" s="30" t="s">
        <v>3</v>
      </c>
      <c r="U99" s="1738"/>
    </row>
    <row r="100" spans="1:21" ht="18" thickBot="1">
      <c r="A100" s="10" t="s">
        <v>16</v>
      </c>
      <c r="B100" s="19">
        <f>+CHAMNORD!B100</f>
        <v>46117</v>
      </c>
      <c r="C100" s="75">
        <f>IF(H100=0,"",'[5]2025-2026'!C99)</f>
        <v>20395.12</v>
      </c>
      <c r="D100" s="75">
        <f>+'[5]2026'!C100</f>
        <v>20308.84</v>
      </c>
      <c r="E100" s="75">
        <f>+'[5]2026'!D100</f>
        <v>19993.8</v>
      </c>
      <c r="F100" s="20">
        <f>+'[5]2026'!E100</f>
        <v>972</v>
      </c>
      <c r="G100" s="73">
        <f>+'[5]2026'!F100</f>
        <v>15100</v>
      </c>
      <c r="H100" s="42">
        <f>+'[5]2026'!G100</f>
        <v>13650.93</v>
      </c>
      <c r="I100" s="13">
        <f>+'[5]2026'!H100</f>
        <v>13351.1</v>
      </c>
      <c r="J100" s="14">
        <f>+'[5]2026'!I100</f>
        <v>689</v>
      </c>
      <c r="K100" s="15">
        <f>+'[5]2026'!J100</f>
        <v>161.35</v>
      </c>
      <c r="L100" s="15">
        <f>+'[5]2026'!K100</f>
        <v>178.95</v>
      </c>
      <c r="M100" s="15">
        <f>+'[5]2026'!L100</f>
        <v>76.55</v>
      </c>
      <c r="N100" s="16">
        <f t="shared" si="4"/>
        <v>5.7336099647220078E-3</v>
      </c>
      <c r="O100" s="17">
        <f t="shared" si="5"/>
        <v>-0.33223799377807117</v>
      </c>
      <c r="P100" s="17">
        <f t="shared" si="5"/>
        <v>-0.29115226337448558</v>
      </c>
      <c r="Q100" s="18">
        <f t="shared" si="6"/>
        <v>82.746203904555315</v>
      </c>
      <c r="R100" s="18">
        <f t="shared" si="7"/>
        <v>74.607991058955022</v>
      </c>
      <c r="S100" s="37">
        <f>(S99-SUM(F94:F100))/SUM(F94:F100)</f>
        <v>-0.14644607843137256</v>
      </c>
      <c r="T100" s="47">
        <f>SUM(M94:M100)/SUM(I94:I100)</f>
        <v>6.2393540729347111E-3</v>
      </c>
      <c r="U100" s="1739"/>
    </row>
    <row r="101" spans="1:21" ht="17" customHeight="1" thickTop="1">
      <c r="A101" s="10" t="s">
        <v>9</v>
      </c>
      <c r="B101" s="19">
        <f>+CHAMNORD!B101</f>
        <v>46118</v>
      </c>
      <c r="C101" s="75">
        <f>IF(H101=0,"",'[5]2025-2026'!C100)</f>
        <v>20308.84</v>
      </c>
      <c r="D101" s="75">
        <f>+'[5]2026'!C101</f>
        <v>10942.01</v>
      </c>
      <c r="E101" s="75">
        <f>+'[5]2026'!D101</f>
        <v>10815.85</v>
      </c>
      <c r="F101" s="20">
        <f>+'[5]2026'!E101</f>
        <v>681</v>
      </c>
      <c r="G101" s="73">
        <f>+'[5]2026'!F101</f>
        <v>15500</v>
      </c>
      <c r="H101" s="42">
        <f>+'[5]2026'!G101</f>
        <v>16333.4</v>
      </c>
      <c r="I101" s="13">
        <f>+'[5]2026'!H101</f>
        <v>15981.82</v>
      </c>
      <c r="J101" s="14">
        <f>+'[5]2026'!I101</f>
        <v>803</v>
      </c>
      <c r="K101" s="15">
        <f>+'[5]2026'!J101</f>
        <v>143.42999999999998</v>
      </c>
      <c r="L101" s="15">
        <f>+'[5]2026'!K101</f>
        <v>151.94999999999999</v>
      </c>
      <c r="M101" s="15">
        <f>+'[5]2026'!L101</f>
        <v>171.09</v>
      </c>
      <c r="N101" s="16">
        <f t="shared" si="4"/>
        <v>1.0705288884495007E-2</v>
      </c>
      <c r="O101" s="17">
        <f t="shared" si="5"/>
        <v>0.47762958990740434</v>
      </c>
      <c r="P101" s="17">
        <f t="shared" si="5"/>
        <v>0.17914831130690162</v>
      </c>
      <c r="Q101" s="18">
        <f t="shared" si="6"/>
        <v>111.42592205256921</v>
      </c>
      <c r="R101" s="18">
        <f t="shared" si="7"/>
        <v>105.17815070746957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19">
        <f>+CHAMNORD!B102</f>
        <v>46119</v>
      </c>
      <c r="C102" s="75">
        <f>IF(H102=0,"",'[5]2025-2026'!C101)</f>
        <v>10942.01</v>
      </c>
      <c r="D102" s="75">
        <f>+'[5]2026'!C102</f>
        <v>13031.05</v>
      </c>
      <c r="E102" s="75">
        <f>+'[5]2026'!D102</f>
        <v>12854.79</v>
      </c>
      <c r="F102" s="20">
        <f>+'[5]2026'!E102</f>
        <v>798</v>
      </c>
      <c r="G102" s="73">
        <f>+'[5]2026'!F102</f>
        <v>12800</v>
      </c>
      <c r="H102" s="42">
        <f>+'[5]2026'!G102</f>
        <v>13715.98</v>
      </c>
      <c r="I102" s="13">
        <f>+'[5]2026'!H102</f>
        <v>13372.16</v>
      </c>
      <c r="J102" s="14">
        <f>+'[5]2026'!I102</f>
        <v>735</v>
      </c>
      <c r="K102" s="15">
        <f>+'[5]2026'!J102</f>
        <v>115.84</v>
      </c>
      <c r="L102" s="15">
        <f>+'[5]2026'!K102</f>
        <v>124.77</v>
      </c>
      <c r="M102" s="15">
        <f>+'[5]2026'!L102</f>
        <v>110.86</v>
      </c>
      <c r="N102" s="16">
        <f t="shared" si="4"/>
        <v>8.2903584761175458E-3</v>
      </c>
      <c r="O102" s="17">
        <f t="shared" si="5"/>
        <v>4.0247254136395766E-2</v>
      </c>
      <c r="P102" s="17">
        <f t="shared" si="5"/>
        <v>-7.8947368421052627E-2</v>
      </c>
      <c r="Q102" s="18">
        <f t="shared" si="6"/>
        <v>115.43646408839778</v>
      </c>
      <c r="R102" s="18">
        <f t="shared" si="7"/>
        <v>107.17448104512303</v>
      </c>
      <c r="S102" s="34">
        <f>SUM(I101:I107)</f>
        <v>106131.33</v>
      </c>
      <c r="T102" s="45" t="s">
        <v>41</v>
      </c>
      <c r="U102" s="1738"/>
    </row>
    <row r="103" spans="1:21">
      <c r="A103" s="10" t="s">
        <v>12</v>
      </c>
      <c r="B103" s="19">
        <f>+CHAMNORD!B103</f>
        <v>46120</v>
      </c>
      <c r="C103" s="75">
        <f>IF(H103=0,"",'[5]2025-2026'!C102)</f>
        <v>13031.05</v>
      </c>
      <c r="D103" s="75">
        <f>+'[5]2026'!C103</f>
        <v>16192.63</v>
      </c>
      <c r="E103" s="75">
        <f>+'[5]2026'!D103</f>
        <v>15970.71</v>
      </c>
      <c r="F103" s="20">
        <f>+'[5]2026'!E103</f>
        <v>956</v>
      </c>
      <c r="G103" s="73">
        <f>+'[5]2026'!F103</f>
        <v>14300</v>
      </c>
      <c r="H103" s="42">
        <f>+'[5]2026'!G103</f>
        <v>13330.86</v>
      </c>
      <c r="I103" s="13">
        <f>+'[5]2026'!H103</f>
        <v>12953.06</v>
      </c>
      <c r="J103" s="14">
        <f>+'[5]2026'!I103</f>
        <v>709</v>
      </c>
      <c r="K103" s="15">
        <f>+'[5]2026'!J103</f>
        <v>148.97</v>
      </c>
      <c r="L103" s="15">
        <f>+'[5]2026'!K103</f>
        <v>157.97</v>
      </c>
      <c r="M103" s="15">
        <f>+'[5]2026'!L103</f>
        <v>106.21</v>
      </c>
      <c r="N103" s="16">
        <f t="shared" si="4"/>
        <v>8.1996068882565203E-3</v>
      </c>
      <c r="O103" s="17">
        <f t="shared" si="5"/>
        <v>-0.1889490197993702</v>
      </c>
      <c r="P103" s="17">
        <f t="shared" si="5"/>
        <v>-0.25836820083682011</v>
      </c>
      <c r="Q103" s="18">
        <f t="shared" si="6"/>
        <v>86.950795462173588</v>
      </c>
      <c r="R103" s="18">
        <f t="shared" si="7"/>
        <v>81.996961448376268</v>
      </c>
      <c r="S103" s="35">
        <f>(S102-SUM(E101:E107))/SUM(E101:E107)</f>
        <v>-5.0823460473816633E-2</v>
      </c>
      <c r="T103" s="48">
        <f>SUM(I101:I107)/SUM(K101:K107)</f>
        <v>107.58371008616321</v>
      </c>
      <c r="U103" s="1738"/>
    </row>
    <row r="104" spans="1:21">
      <c r="A104" s="10" t="s">
        <v>13</v>
      </c>
      <c r="B104" s="19">
        <f>+CHAMNORD!B104</f>
        <v>46121</v>
      </c>
      <c r="C104" s="75">
        <f>IF(H104=0,"",'[5]2025-2026'!C103)</f>
        <v>16192.63</v>
      </c>
      <c r="D104" s="75">
        <f>+'[5]2026'!C104</f>
        <v>13925.61</v>
      </c>
      <c r="E104" s="75">
        <f>+'[5]2026'!D104</f>
        <v>13781.8</v>
      </c>
      <c r="F104" s="20">
        <f>+'[5]2026'!E104</f>
        <v>839</v>
      </c>
      <c r="G104" s="73">
        <f>+'[5]2026'!F104</f>
        <v>13800</v>
      </c>
      <c r="H104" s="42">
        <f>+'[5]2026'!G104</f>
        <v>13756.46</v>
      </c>
      <c r="I104" s="13">
        <f>+'[5]2026'!H104</f>
        <v>13479.54</v>
      </c>
      <c r="J104" s="14">
        <f>+'[5]2026'!I104</f>
        <v>733</v>
      </c>
      <c r="K104" s="15">
        <f>+'[5]2026'!J104</f>
        <v>114.62</v>
      </c>
      <c r="L104" s="15">
        <f>+'[5]2026'!K104</f>
        <v>122.87</v>
      </c>
      <c r="M104" s="15">
        <f>+'[5]2026'!L104</f>
        <v>94.27</v>
      </c>
      <c r="N104" s="16">
        <f t="shared" si="4"/>
        <v>6.9935620948489334E-3</v>
      </c>
      <c r="O104" s="17">
        <f t="shared" si="5"/>
        <v>-2.1931823129054145E-2</v>
      </c>
      <c r="P104" s="17">
        <f t="shared" si="5"/>
        <v>-0.1263408820023838</v>
      </c>
      <c r="Q104" s="18">
        <f t="shared" si="6"/>
        <v>117.60198918164369</v>
      </c>
      <c r="R104" s="18">
        <f t="shared" si="7"/>
        <v>109.70570521689591</v>
      </c>
      <c r="S104" s="34"/>
      <c r="T104" s="29" t="s">
        <v>8</v>
      </c>
      <c r="U104" s="1738"/>
    </row>
    <row r="105" spans="1:21">
      <c r="A105" s="10" t="s">
        <v>14</v>
      </c>
      <c r="B105" s="19">
        <f>+CHAMNORD!B105</f>
        <v>46122</v>
      </c>
      <c r="C105" s="75">
        <f>IF(H105=0,"",'[5]2025-2026'!C104)</f>
        <v>13925.61</v>
      </c>
      <c r="D105" s="75">
        <f>+'[5]2026'!C105</f>
        <v>19475.03</v>
      </c>
      <c r="E105" s="75">
        <f>+'[5]2026'!D105</f>
        <v>19214.88</v>
      </c>
      <c r="F105" s="20">
        <f>+'[5]2026'!E105</f>
        <v>1054</v>
      </c>
      <c r="G105" s="73">
        <f>+'[5]2026'!F105</f>
        <v>15800</v>
      </c>
      <c r="H105" s="42">
        <f>+'[5]2026'!G105</f>
        <v>15965.2</v>
      </c>
      <c r="I105" s="13">
        <f>+'[5]2026'!H105</f>
        <v>15623.07</v>
      </c>
      <c r="J105" s="14">
        <f>+'[5]2026'!I105</f>
        <v>825</v>
      </c>
      <c r="K105" s="15">
        <f>+'[5]2026'!J105</f>
        <v>161.75</v>
      </c>
      <c r="L105" s="15">
        <f>+'[5]2026'!K105</f>
        <v>170.58</v>
      </c>
      <c r="M105" s="15">
        <f>+'[5]2026'!L105</f>
        <v>93.72</v>
      </c>
      <c r="N105" s="16">
        <f t="shared" si="4"/>
        <v>5.9988209743667541E-3</v>
      </c>
      <c r="O105" s="17">
        <f t="shared" si="5"/>
        <v>-0.18692856785990863</v>
      </c>
      <c r="P105" s="17">
        <f t="shared" si="5"/>
        <v>-0.21726755218216318</v>
      </c>
      <c r="Q105" s="18">
        <f t="shared" si="6"/>
        <v>96.58775888717156</v>
      </c>
      <c r="R105" s="18">
        <f t="shared" si="7"/>
        <v>91.587935279634181</v>
      </c>
      <c r="S105" s="36" t="s">
        <v>40</v>
      </c>
      <c r="T105" s="48">
        <f>SUM(I101:I107)/SUM(L101:L107)</f>
        <v>101.38838151282982</v>
      </c>
      <c r="U105" s="1738"/>
    </row>
    <row r="106" spans="1:21">
      <c r="A106" s="10" t="s">
        <v>15</v>
      </c>
      <c r="B106" s="19">
        <f>+CHAMNORD!B106</f>
        <v>46123</v>
      </c>
      <c r="C106" s="75">
        <f>IF(H106=0,"",'[5]2025-2026'!C105)</f>
        <v>19475.03</v>
      </c>
      <c r="D106" s="75">
        <f>+'[5]2026'!C106</f>
        <v>20791.71</v>
      </c>
      <c r="E106" s="75">
        <f>+'[5]2026'!D106</f>
        <v>20447.21</v>
      </c>
      <c r="F106" s="20">
        <f>+'[5]2026'!E106</f>
        <v>1067</v>
      </c>
      <c r="G106" s="73">
        <f>+'[5]2026'!F106</f>
        <v>15800</v>
      </c>
      <c r="H106" s="42">
        <f>+'[5]2026'!G106</f>
        <v>17134.86</v>
      </c>
      <c r="I106" s="13">
        <f>+'[5]2026'!H106</f>
        <v>16748.849999999999</v>
      </c>
      <c r="J106" s="14">
        <f>+'[5]2026'!I106</f>
        <v>885</v>
      </c>
      <c r="K106" s="15">
        <f>+'[5]2026'!J106</f>
        <v>157.35</v>
      </c>
      <c r="L106" s="15">
        <f>+'[5]2026'!K106</f>
        <v>165.67</v>
      </c>
      <c r="M106" s="15">
        <f>+'[5]2026'!L106</f>
        <v>54.12</v>
      </c>
      <c r="N106" s="16">
        <f t="shared" si="4"/>
        <v>3.2312666242756967E-3</v>
      </c>
      <c r="O106" s="17">
        <f t="shared" si="5"/>
        <v>-0.18087357639501922</v>
      </c>
      <c r="P106" s="17">
        <f t="shared" si="5"/>
        <v>-0.17057169634489222</v>
      </c>
      <c r="Q106" s="18">
        <f t="shared" si="6"/>
        <v>106.44327931363202</v>
      </c>
      <c r="R106" s="18">
        <f t="shared" si="7"/>
        <v>101.09766403090481</v>
      </c>
      <c r="S106" s="36">
        <f>SUM(J101:J107)</f>
        <v>5521</v>
      </c>
      <c r="T106" s="30" t="s">
        <v>3</v>
      </c>
      <c r="U106" s="1738"/>
    </row>
    <row r="107" spans="1:21" ht="18" thickBot="1">
      <c r="A107" s="10" t="s">
        <v>16</v>
      </c>
      <c r="B107" s="19">
        <f>+CHAMNORD!B107</f>
        <v>46124</v>
      </c>
      <c r="C107" s="75">
        <f>IF(H107=0,"",'[5]2025-2026'!C106)</f>
        <v>20791.71</v>
      </c>
      <c r="D107" s="75">
        <f>+'[5]2026'!C107</f>
        <v>19022.12</v>
      </c>
      <c r="E107" s="75">
        <f>+'[5]2026'!D107</f>
        <v>18728.87</v>
      </c>
      <c r="F107" s="20">
        <f>+'[5]2026'!E107</f>
        <v>874</v>
      </c>
      <c r="G107" s="73">
        <f>+'[5]2026'!F107</f>
        <v>18700</v>
      </c>
      <c r="H107" s="42">
        <f>+'[5]2026'!G107</f>
        <v>18423.419999999998</v>
      </c>
      <c r="I107" s="13">
        <f>+'[5]2026'!H107</f>
        <v>17972.830000000002</v>
      </c>
      <c r="J107" s="14">
        <f>+'[5]2026'!I107</f>
        <v>831</v>
      </c>
      <c r="K107" s="15">
        <f>+'[5]2026'!J107</f>
        <v>144.54</v>
      </c>
      <c r="L107" s="15">
        <f>+'[5]2026'!K107</f>
        <v>152.97</v>
      </c>
      <c r="M107" s="15">
        <f>+'[5]2026'!L107</f>
        <v>55.67</v>
      </c>
      <c r="N107" s="16">
        <f t="shared" si="4"/>
        <v>3.0974532113195305E-3</v>
      </c>
      <c r="O107" s="17">
        <f t="shared" si="5"/>
        <v>-4.0367624955483024E-2</v>
      </c>
      <c r="P107" s="17">
        <f t="shared" si="5"/>
        <v>-4.9199084668192221E-2</v>
      </c>
      <c r="Q107" s="18">
        <f t="shared" si="6"/>
        <v>124.34502559845028</v>
      </c>
      <c r="R107" s="18">
        <f t="shared" si="7"/>
        <v>117.49251487219718</v>
      </c>
      <c r="S107" s="37">
        <f>(S106-SUM(F101:F107))/SUM(F101:F107)</f>
        <v>-0.1193172754825331</v>
      </c>
      <c r="T107" s="47">
        <f>SUM(M101:M107)/SUM(I101:I107)</f>
        <v>6.4631245080976557E-3</v>
      </c>
      <c r="U107" s="1739"/>
    </row>
    <row r="108" spans="1:21" ht="17" customHeight="1" thickTop="1">
      <c r="A108" s="10" t="s">
        <v>9</v>
      </c>
      <c r="B108" s="19">
        <f>+CHAMNORD!B108</f>
        <v>46125</v>
      </c>
      <c r="C108" s="75">
        <f>IF(H108=0,"",'[5]2025-2026'!C107)</f>
        <v>19022.12</v>
      </c>
      <c r="D108" s="75">
        <f>+'[5]2026'!C108</f>
        <v>11634.99</v>
      </c>
      <c r="E108" s="75">
        <f>+'[5]2026'!D108</f>
        <v>11516.66</v>
      </c>
      <c r="F108" s="20">
        <f>+'[5]2026'!E108</f>
        <v>711</v>
      </c>
      <c r="G108" s="73">
        <f>+'[5]2026'!F108</f>
        <v>11900</v>
      </c>
      <c r="H108" s="42">
        <f>+'[5]2026'!G108</f>
        <v>11745.31</v>
      </c>
      <c r="I108" s="13">
        <f>+'[5]2026'!H108</f>
        <v>11499.02</v>
      </c>
      <c r="J108" s="14">
        <f>+'[5]2026'!I108</f>
        <v>636</v>
      </c>
      <c r="K108" s="15">
        <f>+'[5]2026'!J108</f>
        <v>117.7</v>
      </c>
      <c r="L108" s="15">
        <f>+'[5]2026'!K108</f>
        <v>125.95</v>
      </c>
      <c r="M108" s="15">
        <f>+'[5]2026'!L108</f>
        <v>100.87</v>
      </c>
      <c r="N108" s="16">
        <f t="shared" si="4"/>
        <v>8.7720518792036191E-3</v>
      </c>
      <c r="O108" s="17">
        <f t="shared" si="5"/>
        <v>-1.5316940849169306E-3</v>
      </c>
      <c r="P108" s="17">
        <f t="shared" si="5"/>
        <v>-0.10548523206751055</v>
      </c>
      <c r="Q108" s="18">
        <f t="shared" si="6"/>
        <v>97.697706032285467</v>
      </c>
      <c r="R108" s="18">
        <f t="shared" si="7"/>
        <v>91.298292973402141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19">
        <f>+CHAMNORD!B109</f>
        <v>46126</v>
      </c>
      <c r="C109" s="75">
        <f>IF(H109=0,"",'[5]2025-2026'!C108)</f>
        <v>11634.99</v>
      </c>
      <c r="D109" s="75">
        <f>+'[5]2026'!C109</f>
        <v>12958.29</v>
      </c>
      <c r="E109" s="75">
        <f>+'[5]2026'!D109</f>
        <v>12787.37</v>
      </c>
      <c r="F109" s="20">
        <f>+'[5]2026'!E109</f>
        <v>788</v>
      </c>
      <c r="G109" s="73">
        <f>+'[5]2026'!F109</f>
        <v>12800</v>
      </c>
      <c r="H109" s="42">
        <f>+'[5]2026'!G109</f>
        <v>13085.39</v>
      </c>
      <c r="I109" s="13">
        <f>+'[5]2026'!H109</f>
        <v>12735.56</v>
      </c>
      <c r="J109" s="14">
        <f>+'[5]2026'!I109</f>
        <v>728</v>
      </c>
      <c r="K109" s="15">
        <f>+'[5]2026'!J109</f>
        <v>119.44</v>
      </c>
      <c r="L109" s="15">
        <f>+'[5]2026'!K109</f>
        <v>127.77</v>
      </c>
      <c r="M109" s="15">
        <f>+'[5]2026'!L109</f>
        <v>85.55</v>
      </c>
      <c r="N109" s="16">
        <f t="shared" si="4"/>
        <v>6.717411719625992E-3</v>
      </c>
      <c r="O109" s="17">
        <f t="shared" si="5"/>
        <v>-4.0516540930622411E-3</v>
      </c>
      <c r="P109" s="17">
        <f t="shared" si="5"/>
        <v>-7.6142131979695438E-2</v>
      </c>
      <c r="Q109" s="18">
        <f t="shared" si="6"/>
        <v>106.62726054922973</v>
      </c>
      <c r="R109" s="18">
        <f t="shared" si="7"/>
        <v>99.675667214526101</v>
      </c>
      <c r="S109" s="34">
        <f>SUM(I108:I114)</f>
        <v>98325.98</v>
      </c>
      <c r="T109" s="45" t="s">
        <v>41</v>
      </c>
      <c r="U109" s="1738"/>
    </row>
    <row r="110" spans="1:21">
      <c r="A110" s="10" t="s">
        <v>12</v>
      </c>
      <c r="B110" s="19">
        <f>+CHAMNORD!B110</f>
        <v>46127</v>
      </c>
      <c r="C110" s="75">
        <f>IF(H110=0,"",'[5]2025-2026'!C109)</f>
        <v>12958.29</v>
      </c>
      <c r="D110" s="75">
        <f>+'[5]2026'!C110</f>
        <v>14755.68</v>
      </c>
      <c r="E110" s="75">
        <f>+'[5]2026'!D110</f>
        <v>14476.8</v>
      </c>
      <c r="F110" s="20">
        <f>+'[5]2026'!E110</f>
        <v>845</v>
      </c>
      <c r="G110" s="73">
        <f>+'[5]2026'!F110</f>
        <v>14500</v>
      </c>
      <c r="H110" s="42">
        <f>+'[5]2026'!G110</f>
        <v>12729.47</v>
      </c>
      <c r="I110" s="13">
        <f>+'[5]2026'!H110</f>
        <v>12439.77</v>
      </c>
      <c r="J110" s="14">
        <f>+'[5]2026'!I110</f>
        <v>689</v>
      </c>
      <c r="K110" s="15">
        <f>+'[5]2026'!J110</f>
        <v>164.89</v>
      </c>
      <c r="L110" s="15">
        <f>+'[5]2026'!K110</f>
        <v>173.32</v>
      </c>
      <c r="M110" s="15">
        <f>+'[5]2026'!L110</f>
        <v>73.28</v>
      </c>
      <c r="N110" s="16">
        <f t="shared" si="4"/>
        <v>5.8907841543694136E-3</v>
      </c>
      <c r="O110" s="17">
        <f t="shared" si="5"/>
        <v>-0.14070996352785139</v>
      </c>
      <c r="P110" s="17">
        <f t="shared" si="5"/>
        <v>-0.18461538461538463</v>
      </c>
      <c r="Q110" s="18">
        <f t="shared" si="6"/>
        <v>75.442840681666581</v>
      </c>
      <c r="R110" s="18">
        <f t="shared" si="7"/>
        <v>71.773424878836835</v>
      </c>
      <c r="S110" s="35">
        <f>(S109-SUM(E108:E114))/SUM(E108:E114)</f>
        <v>-9.0243646052529953E-3</v>
      </c>
      <c r="T110" s="48">
        <f>SUM(I108:I114)/SUM(K108:K114)</f>
        <v>94.409859046741175</v>
      </c>
      <c r="U110" s="1738"/>
    </row>
    <row r="111" spans="1:21">
      <c r="A111" s="10" t="s">
        <v>13</v>
      </c>
      <c r="B111" s="19">
        <f>+CHAMNORD!B111</f>
        <v>46128</v>
      </c>
      <c r="C111" s="75">
        <f>IF(H111=0,"",'[5]2025-2026'!C110)</f>
        <v>14755.68</v>
      </c>
      <c r="D111" s="75">
        <f>+'[5]2026'!C111</f>
        <v>13583.77</v>
      </c>
      <c r="E111" s="75">
        <f>+'[5]2026'!D111</f>
        <v>13437.5</v>
      </c>
      <c r="F111" s="20">
        <f>+'[5]2026'!E111</f>
        <v>817</v>
      </c>
      <c r="G111" s="73">
        <f>+'[5]2026'!F111</f>
        <v>13400</v>
      </c>
      <c r="H111" s="42">
        <f>+'[5]2026'!G111</f>
        <v>12647.64</v>
      </c>
      <c r="I111" s="13">
        <f>+'[5]2026'!H111</f>
        <v>12379.13</v>
      </c>
      <c r="J111" s="14">
        <f>+'[5]2026'!I111</f>
        <v>683</v>
      </c>
      <c r="K111" s="15">
        <f>+'[5]2026'!J111</f>
        <v>119.73999999999998</v>
      </c>
      <c r="L111" s="15">
        <f>+'[5]2026'!K111</f>
        <v>128.16999999999999</v>
      </c>
      <c r="M111" s="15">
        <f>+'[5]2026'!L111</f>
        <v>82.32</v>
      </c>
      <c r="N111" s="16">
        <f t="shared" si="4"/>
        <v>6.6499018913283893E-3</v>
      </c>
      <c r="O111" s="17">
        <f t="shared" si="5"/>
        <v>-7.8762418604651219E-2</v>
      </c>
      <c r="P111" s="17">
        <f t="shared" si="5"/>
        <v>-0.16401468788249693</v>
      </c>
      <c r="Q111" s="18">
        <f t="shared" si="6"/>
        <v>103.38341406380492</v>
      </c>
      <c r="R111" s="18">
        <f t="shared" si="7"/>
        <v>96.583677927752206</v>
      </c>
      <c r="S111" s="34"/>
      <c r="T111" s="29" t="s">
        <v>8</v>
      </c>
      <c r="U111" s="1738"/>
    </row>
    <row r="112" spans="1:21">
      <c r="A112" s="10" t="s">
        <v>14</v>
      </c>
      <c r="B112" s="19">
        <f>+CHAMNORD!B112</f>
        <v>46129</v>
      </c>
      <c r="C112" s="75">
        <f>IF(H112=0,"",'[5]2025-2026'!C111)</f>
        <v>13583.77</v>
      </c>
      <c r="D112" s="75">
        <f>+'[5]2026'!C112</f>
        <v>19016.66</v>
      </c>
      <c r="E112" s="75">
        <f>+'[5]2026'!D112</f>
        <v>18762.599999999999</v>
      </c>
      <c r="F112" s="20">
        <f>+'[5]2026'!E112</f>
        <v>1063</v>
      </c>
      <c r="G112" s="73">
        <f>+'[5]2026'!F112</f>
        <v>18700</v>
      </c>
      <c r="H112" s="42">
        <f>+'[5]2026'!G112</f>
        <v>17335.259999999998</v>
      </c>
      <c r="I112" s="13">
        <f>+'[5]2026'!H112</f>
        <v>16961.54</v>
      </c>
      <c r="J112" s="14">
        <f>+'[5]2026'!I112</f>
        <v>905</v>
      </c>
      <c r="K112" s="15">
        <f>+'[5]2026'!J112</f>
        <v>196.01000000000002</v>
      </c>
      <c r="L112" s="15">
        <f>+'[5]2026'!K112</f>
        <v>204.08</v>
      </c>
      <c r="M112" s="15">
        <f>+'[5]2026'!L112</f>
        <v>157.18</v>
      </c>
      <c r="N112" s="16">
        <f t="shared" si="4"/>
        <v>9.2668472320319977E-3</v>
      </c>
      <c r="O112" s="17">
        <f t="shared" si="5"/>
        <v>-9.5992026691396601E-2</v>
      </c>
      <c r="P112" s="17">
        <f t="shared" si="5"/>
        <v>-0.14863593603010347</v>
      </c>
      <c r="Q112" s="18">
        <f t="shared" si="6"/>
        <v>86.534054384980351</v>
      </c>
      <c r="R112" s="18">
        <f t="shared" si="7"/>
        <v>83.112210897687177</v>
      </c>
      <c r="S112" s="36" t="s">
        <v>40</v>
      </c>
      <c r="T112" s="48">
        <f>SUM(I108:I114)/SUM(L108:L114)</f>
        <v>89.26471843197065</v>
      </c>
      <c r="U112" s="1738"/>
    </row>
    <row r="113" spans="1:21">
      <c r="A113" s="10" t="s">
        <v>15</v>
      </c>
      <c r="B113" s="19">
        <f>+CHAMNORD!B113</f>
        <v>46130</v>
      </c>
      <c r="C113" s="75">
        <f>IF(H113=0,"",'[5]2025-2026'!C112)</f>
        <v>19016.66</v>
      </c>
      <c r="D113" s="75">
        <f>+'[5]2026'!C113</f>
        <v>15050.81</v>
      </c>
      <c r="E113" s="75">
        <f>+'[5]2026'!D113</f>
        <v>14780.77</v>
      </c>
      <c r="F113" s="20">
        <f>+'[5]2026'!E113</f>
        <v>799</v>
      </c>
      <c r="G113" s="73">
        <f>+'[5]2026'!F113</f>
        <v>17100</v>
      </c>
      <c r="H113" s="42">
        <f>+'[5]2026'!G113</f>
        <v>16417.689999999999</v>
      </c>
      <c r="I113" s="13">
        <f>+'[5]2026'!H113</f>
        <v>16003.82</v>
      </c>
      <c r="J113" s="14">
        <f>+'[5]2026'!I113</f>
        <v>835</v>
      </c>
      <c r="K113" s="15">
        <f>+'[5]2026'!J113</f>
        <v>163.28</v>
      </c>
      <c r="L113" s="15">
        <f>+'[5]2026'!K113</f>
        <v>172.55</v>
      </c>
      <c r="M113" s="15">
        <f>+'[5]2026'!L113</f>
        <v>108.22</v>
      </c>
      <c r="N113" s="16">
        <f t="shared" si="4"/>
        <v>6.7621355401397912E-3</v>
      </c>
      <c r="O113" s="17">
        <f t="shared" si="5"/>
        <v>8.2746027439707076E-2</v>
      </c>
      <c r="P113" s="17">
        <f t="shared" si="5"/>
        <v>4.5056320400500623E-2</v>
      </c>
      <c r="Q113" s="18">
        <f t="shared" si="6"/>
        <v>98.014576188143067</v>
      </c>
      <c r="R113" s="18">
        <f t="shared" si="7"/>
        <v>92.74888438133874</v>
      </c>
      <c r="S113" s="36">
        <f>SUM(J108:J114)</f>
        <v>5241</v>
      </c>
      <c r="T113" s="30" t="s">
        <v>3</v>
      </c>
      <c r="U113" s="1738"/>
    </row>
    <row r="114" spans="1:21" ht="18" thickBot="1">
      <c r="A114" s="10" t="s">
        <v>16</v>
      </c>
      <c r="B114" s="19">
        <f>+CHAMNORD!B114</f>
        <v>46131</v>
      </c>
      <c r="C114" s="75">
        <f>IF(H114=0,"",'[5]2025-2026'!C113)</f>
        <v>15050.81</v>
      </c>
      <c r="D114" s="75">
        <f>+'[5]2026'!C114</f>
        <v>16621.38</v>
      </c>
      <c r="E114" s="75">
        <f>+'[5]2026'!D114</f>
        <v>13459.69</v>
      </c>
      <c r="F114" s="20">
        <f>+'[5]2026'!E114</f>
        <v>650</v>
      </c>
      <c r="G114" s="73">
        <f>+'[5]2026'!F114</f>
        <v>18700</v>
      </c>
      <c r="H114" s="42">
        <f>+'[5]2026'!G114</f>
        <v>16616.72</v>
      </c>
      <c r="I114" s="13">
        <f>+'[5]2026'!H114</f>
        <v>16307.14</v>
      </c>
      <c r="J114" s="14">
        <f>+'[5]2026'!I114</f>
        <v>765</v>
      </c>
      <c r="K114" s="15">
        <f>+'[5]2026'!J114</f>
        <v>160.41999999999999</v>
      </c>
      <c r="L114" s="15">
        <f>+'[5]2026'!K114</f>
        <v>169.67</v>
      </c>
      <c r="M114" s="15">
        <f>+'[5]2026'!L114</f>
        <v>109.82</v>
      </c>
      <c r="N114" s="16">
        <f t="shared" si="4"/>
        <v>6.7344733656545539E-3</v>
      </c>
      <c r="O114" s="17">
        <f t="shared" si="5"/>
        <v>0.21155390651642042</v>
      </c>
      <c r="P114" s="17">
        <f t="shared" si="5"/>
        <v>0.17692307692307693</v>
      </c>
      <c r="Q114" s="18">
        <f t="shared" si="6"/>
        <v>101.65278643560654</v>
      </c>
      <c r="R114" s="18">
        <f t="shared" si="7"/>
        <v>96.110921199976431</v>
      </c>
      <c r="S114" s="37">
        <f>(S113-SUM(F108:F114))/SUM(F108:F114)</f>
        <v>-7.615018508725542E-2</v>
      </c>
      <c r="T114" s="47">
        <f>SUM(M108:M114)/SUM(I108:I114)</f>
        <v>7.2945115827983617E-3</v>
      </c>
      <c r="U114" s="1739"/>
    </row>
    <row r="115" spans="1:21" ht="17" customHeight="1" thickTop="1">
      <c r="A115" s="10" t="s">
        <v>9</v>
      </c>
      <c r="B115" s="19">
        <f>+CHAMNORD!B115</f>
        <v>46132</v>
      </c>
      <c r="C115" s="75">
        <f>IF(H115=0,"",'[5]2025-2026'!C114)</f>
        <v>16621.38</v>
      </c>
      <c r="D115" s="75">
        <f>+'[5]2026'!C115</f>
        <v>14313.07</v>
      </c>
      <c r="E115" s="75">
        <f>+'[5]2026'!D115</f>
        <v>14108.35</v>
      </c>
      <c r="F115" s="20">
        <f>+'[5]2026'!E115</f>
        <v>698</v>
      </c>
      <c r="G115" s="73">
        <f>+'[5]2026'!F115</f>
        <v>12600</v>
      </c>
      <c r="H115" s="42">
        <f>+'[5]2026'!G115</f>
        <v>9486.15</v>
      </c>
      <c r="I115" s="13">
        <f>+'[5]2026'!H115</f>
        <v>9331.51</v>
      </c>
      <c r="J115" s="14">
        <f>+'[5]2026'!I115</f>
        <v>577</v>
      </c>
      <c r="K115" s="15">
        <f>+'[5]2026'!J115</f>
        <v>138.52000000000001</v>
      </c>
      <c r="L115" s="15">
        <f>+'[5]2026'!K115</f>
        <v>147.22</v>
      </c>
      <c r="M115" s="15">
        <f>+'[5]2026'!L115</f>
        <v>106.41</v>
      </c>
      <c r="N115" s="16">
        <f t="shared" si="4"/>
        <v>1.1403299144511445E-2</v>
      </c>
      <c r="O115" s="17">
        <f t="shared" si="5"/>
        <v>-0.33858247066453556</v>
      </c>
      <c r="P115" s="17">
        <f t="shared" si="5"/>
        <v>-0.17335243553008595</v>
      </c>
      <c r="Q115" s="18">
        <f t="shared" si="6"/>
        <v>67.365795552988729</v>
      </c>
      <c r="R115" s="18">
        <f t="shared" si="7"/>
        <v>63.384798261105828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19">
        <f>+CHAMNORD!B116</f>
        <v>46133</v>
      </c>
      <c r="C116" s="75">
        <f>IF(H116=0,"",'[5]2025-2026'!C115)</f>
        <v>14313.07</v>
      </c>
      <c r="D116" s="75">
        <f>+'[5]2026'!C116</f>
        <v>12327.41</v>
      </c>
      <c r="E116" s="75">
        <f>+'[5]2026'!D116</f>
        <v>12108.42</v>
      </c>
      <c r="F116" s="20">
        <f>+'[5]2026'!E116</f>
        <v>762</v>
      </c>
      <c r="G116" s="73">
        <f>+'[5]2026'!F116</f>
        <v>12600</v>
      </c>
      <c r="H116" s="42">
        <f>+'[5]2026'!G116</f>
        <v>11528.81</v>
      </c>
      <c r="I116" s="13">
        <f>+'[5]2026'!H116</f>
        <v>11353.13</v>
      </c>
      <c r="J116" s="14">
        <f>+'[5]2026'!I116</f>
        <v>668</v>
      </c>
      <c r="K116" s="15">
        <f>+'[5]2026'!J116</f>
        <v>130.6</v>
      </c>
      <c r="L116" s="15">
        <f>+'[5]2026'!K116</f>
        <v>139.16999999999999</v>
      </c>
      <c r="M116" s="15">
        <f>+'[5]2026'!L116</f>
        <v>111.51</v>
      </c>
      <c r="N116" s="16">
        <f t="shared" si="4"/>
        <v>9.8219609922549998E-3</v>
      </c>
      <c r="O116" s="17">
        <f t="shared" si="5"/>
        <v>-6.2377254835891127E-2</v>
      </c>
      <c r="P116" s="17">
        <f t="shared" si="5"/>
        <v>-0.12335958005249344</v>
      </c>
      <c r="Q116" s="18">
        <f t="shared" si="6"/>
        <v>86.930551301684531</v>
      </c>
      <c r="R116" s="18">
        <f t="shared" si="7"/>
        <v>81.577423295250412</v>
      </c>
      <c r="S116" s="34">
        <f>SUM(I115:I121)</f>
        <v>98444.840000000011</v>
      </c>
      <c r="T116" s="45" t="s">
        <v>41</v>
      </c>
      <c r="U116" s="1738"/>
    </row>
    <row r="117" spans="1:21">
      <c r="A117" s="10" t="s">
        <v>12</v>
      </c>
      <c r="B117" s="19">
        <f>+CHAMNORD!B117</f>
        <v>46134</v>
      </c>
      <c r="C117" s="75">
        <f>IF(H117=0,"",'[5]2025-2026'!C116)</f>
        <v>12327.41</v>
      </c>
      <c r="D117" s="75">
        <f>+'[5]2026'!C117</f>
        <v>12512.87</v>
      </c>
      <c r="E117" s="75">
        <f>+'[5]2026'!D117</f>
        <v>12345.96</v>
      </c>
      <c r="F117" s="20">
        <f>+'[5]2026'!E117</f>
        <v>753</v>
      </c>
      <c r="G117" s="73">
        <f>+'[5]2026'!F117</f>
        <v>13900</v>
      </c>
      <c r="H117" s="42">
        <f>+'[5]2026'!G117</f>
        <v>13946.71</v>
      </c>
      <c r="I117" s="13">
        <f>+'[5]2026'!H117</f>
        <v>13661.07</v>
      </c>
      <c r="J117" s="14">
        <f>+'[5]2026'!I117</f>
        <v>786</v>
      </c>
      <c r="K117" s="15">
        <f>+'[5]2026'!J117</f>
        <v>155.26999999999998</v>
      </c>
      <c r="L117" s="15">
        <f>+'[5]2026'!K117</f>
        <v>166.82</v>
      </c>
      <c r="M117" s="15">
        <f>+'[5]2026'!L117</f>
        <v>-11.8</v>
      </c>
      <c r="N117" s="16">
        <f t="shared" si="4"/>
        <v>-8.6376835782263036E-4</v>
      </c>
      <c r="O117" s="17">
        <f t="shared" si="5"/>
        <v>0.10652148557098846</v>
      </c>
      <c r="P117" s="17">
        <f t="shared" si="5"/>
        <v>4.3824701195219126E-2</v>
      </c>
      <c r="Q117" s="18">
        <f t="shared" si="6"/>
        <v>87.982675339730804</v>
      </c>
      <c r="R117" s="18">
        <f t="shared" si="7"/>
        <v>81.89108020621029</v>
      </c>
      <c r="S117" s="35">
        <f>(S116-SUM(E115:E121))/SUM(E115:E121)</f>
        <v>1.2700099763132166E-2</v>
      </c>
      <c r="T117" s="48">
        <f>SUM(I115:I121)/SUM(K115:K121)</f>
        <v>91.88687381576861</v>
      </c>
      <c r="U117" s="1738"/>
    </row>
    <row r="118" spans="1:21">
      <c r="A118" s="10" t="s">
        <v>13</v>
      </c>
      <c r="B118" s="19">
        <f>+CHAMNORD!B118</f>
        <v>46135</v>
      </c>
      <c r="C118" s="75">
        <f>IF(H118=0,"",'[5]2025-2026'!C117)</f>
        <v>12512.87</v>
      </c>
      <c r="D118" s="75">
        <f>+'[5]2026'!C118</f>
        <v>13145.82</v>
      </c>
      <c r="E118" s="75">
        <f>+'[5]2026'!D118</f>
        <v>12946.42</v>
      </c>
      <c r="F118" s="20">
        <f>+'[5]2026'!E118</f>
        <v>728</v>
      </c>
      <c r="G118" s="73">
        <f>+'[5]2026'!F118</f>
        <v>12900</v>
      </c>
      <c r="H118" s="42">
        <f>+'[5]2026'!G118</f>
        <v>13783.41</v>
      </c>
      <c r="I118" s="13">
        <f>+'[5]2026'!H118</f>
        <v>13589.62</v>
      </c>
      <c r="J118" s="14">
        <f>+'[5]2026'!I118</f>
        <v>801</v>
      </c>
      <c r="K118" s="15">
        <f>+'[5]2026'!J118</f>
        <v>133.85</v>
      </c>
      <c r="L118" s="15">
        <f>+'[5]2026'!K118</f>
        <v>143.15</v>
      </c>
      <c r="M118" s="15">
        <f>+'[5]2026'!L118</f>
        <v>105.75</v>
      </c>
      <c r="N118" s="16">
        <f t="shared" si="4"/>
        <v>7.7816745427760304E-3</v>
      </c>
      <c r="O118" s="17">
        <f t="shared" si="5"/>
        <v>4.968168806511767E-2</v>
      </c>
      <c r="P118" s="17">
        <f t="shared" si="5"/>
        <v>0.10027472527472528</v>
      </c>
      <c r="Q118" s="18">
        <f t="shared" si="6"/>
        <v>101.52872618602915</v>
      </c>
      <c r="R118" s="18">
        <f t="shared" si="7"/>
        <v>94.93272790778903</v>
      </c>
      <c r="S118" s="34"/>
      <c r="T118" s="29" t="s">
        <v>8</v>
      </c>
      <c r="U118" s="1738"/>
    </row>
    <row r="119" spans="1:21">
      <c r="A119" s="10" t="s">
        <v>14</v>
      </c>
      <c r="B119" s="19">
        <f>+CHAMNORD!B119</f>
        <v>46136</v>
      </c>
      <c r="C119" s="75">
        <f>IF(H119=0,"",'[5]2025-2026'!C118)</f>
        <v>13145.82</v>
      </c>
      <c r="D119" s="75">
        <f>+'[5]2026'!C119</f>
        <v>14903.14</v>
      </c>
      <c r="E119" s="75">
        <f>+'[5]2026'!D119</f>
        <v>14717.11</v>
      </c>
      <c r="F119" s="20">
        <f>+'[5]2026'!E119</f>
        <v>848</v>
      </c>
      <c r="G119" s="73">
        <f>+'[5]2026'!F119</f>
        <v>18200</v>
      </c>
      <c r="H119" s="42">
        <f>+'[5]2026'!G119</f>
        <v>16261.36</v>
      </c>
      <c r="I119" s="13">
        <f>+'[5]2026'!H119</f>
        <v>15912.66</v>
      </c>
      <c r="J119" s="14">
        <f>+'[5]2026'!I119</f>
        <v>888</v>
      </c>
      <c r="K119" s="15">
        <f>+'[5]2026'!J119</f>
        <v>185.07</v>
      </c>
      <c r="L119" s="15">
        <f>+'[5]2026'!K119</f>
        <v>193.65</v>
      </c>
      <c r="M119" s="15">
        <f>+'[5]2026'!L119</f>
        <v>97.38</v>
      </c>
      <c r="N119" s="16">
        <f t="shared" si="4"/>
        <v>6.1196556703907454E-3</v>
      </c>
      <c r="O119" s="17">
        <f t="shared" si="5"/>
        <v>8.1235378413288969E-2</v>
      </c>
      <c r="P119" s="17">
        <f t="shared" si="5"/>
        <v>4.716981132075472E-2</v>
      </c>
      <c r="Q119" s="18">
        <f t="shared" si="6"/>
        <v>85.981844707408015</v>
      </c>
      <c r="R119" s="18">
        <f t="shared" si="7"/>
        <v>82.172269558481787</v>
      </c>
      <c r="S119" s="36" t="s">
        <v>40</v>
      </c>
      <c r="T119" s="48">
        <f>SUM(I115:I121)/SUM(L115:L121)</f>
        <v>86.708803452679803</v>
      </c>
      <c r="U119" s="1738"/>
    </row>
    <row r="120" spans="1:21">
      <c r="A120" s="10" t="s">
        <v>15</v>
      </c>
      <c r="B120" s="19">
        <f>+CHAMNORD!B120</f>
        <v>46137</v>
      </c>
      <c r="C120" s="75">
        <f>IF(H120=0,"",'[5]2025-2026'!C119)</f>
        <v>14903.14</v>
      </c>
      <c r="D120" s="75">
        <f>+'[5]2026'!C120</f>
        <v>15179.95</v>
      </c>
      <c r="E120" s="75">
        <f>+'[5]2026'!D120</f>
        <v>14948.72</v>
      </c>
      <c r="F120" s="20">
        <f>+'[5]2026'!E120</f>
        <v>746</v>
      </c>
      <c r="G120" s="73">
        <f>+'[5]2026'!F120</f>
        <v>18300</v>
      </c>
      <c r="H120" s="42">
        <f>+'[5]2026'!G120</f>
        <v>18010.72</v>
      </c>
      <c r="I120" s="13">
        <f>+'[5]2026'!H120</f>
        <v>17597.61</v>
      </c>
      <c r="J120" s="14">
        <f>+'[5]2026'!I120</f>
        <v>900</v>
      </c>
      <c r="K120" s="15">
        <f>+'[5]2026'!J120</f>
        <v>155.14000000000001</v>
      </c>
      <c r="L120" s="15">
        <f>+'[5]2026'!K120</f>
        <v>164.02</v>
      </c>
      <c r="M120" s="15">
        <f>+'[5]2026'!L120</f>
        <v>81.260000000000005</v>
      </c>
      <c r="N120" s="16">
        <f t="shared" si="4"/>
        <v>4.617672513483365E-3</v>
      </c>
      <c r="O120" s="17">
        <f t="shared" si="5"/>
        <v>0.17719844909798307</v>
      </c>
      <c r="P120" s="17">
        <f t="shared" si="5"/>
        <v>0.2064343163538874</v>
      </c>
      <c r="Q120" s="18">
        <f t="shared" si="6"/>
        <v>113.4305143741137</v>
      </c>
      <c r="R120" s="18">
        <f t="shared" si="7"/>
        <v>107.28941592488721</v>
      </c>
      <c r="S120" s="36">
        <f>SUM(J115:J121)</f>
        <v>5425</v>
      </c>
      <c r="T120" s="30" t="s">
        <v>3</v>
      </c>
      <c r="U120" s="1738"/>
    </row>
    <row r="121" spans="1:21" ht="18" thickBot="1">
      <c r="A121" s="10" t="s">
        <v>16</v>
      </c>
      <c r="B121" s="19">
        <f>+CHAMNORD!B121</f>
        <v>46138</v>
      </c>
      <c r="C121" s="75">
        <f>IF(H121=0,"",'[5]2025-2026'!C120)</f>
        <v>15179.95</v>
      </c>
      <c r="D121" s="75">
        <f>+'[5]2026'!C121</f>
        <v>16288.1</v>
      </c>
      <c r="E121" s="75">
        <f>+'[5]2026'!D121</f>
        <v>16035.28</v>
      </c>
      <c r="F121" s="20">
        <f>+'[5]2026'!E121</f>
        <v>790</v>
      </c>
      <c r="G121" s="73">
        <f>+'[5]2026'!F121</f>
        <v>17800</v>
      </c>
      <c r="H121" s="42">
        <f>+'[5]2026'!G121</f>
        <v>17405.330000000002</v>
      </c>
      <c r="I121" s="13">
        <f>+'[5]2026'!H121</f>
        <v>16999.240000000002</v>
      </c>
      <c r="J121" s="14">
        <f>+'[5]2026'!I121</f>
        <v>805</v>
      </c>
      <c r="K121" s="15">
        <f>+'[5]2026'!J121</f>
        <v>172.92</v>
      </c>
      <c r="L121" s="15">
        <f>+'[5]2026'!K121</f>
        <v>181.32</v>
      </c>
      <c r="M121" s="15">
        <f>+'[5]2026'!L121</f>
        <v>67.790000000000006</v>
      </c>
      <c r="N121" s="16">
        <f t="shared" si="4"/>
        <v>3.9878253380739373E-3</v>
      </c>
      <c r="O121" s="17">
        <f t="shared" si="5"/>
        <v>6.011494654287302E-2</v>
      </c>
      <c r="P121" s="17">
        <f t="shared" si="5"/>
        <v>1.8987341772151899E-2</v>
      </c>
      <c r="Q121" s="18">
        <f t="shared" si="6"/>
        <v>98.306962757344451</v>
      </c>
      <c r="R121" s="18">
        <f t="shared" si="7"/>
        <v>93.75270240458859</v>
      </c>
      <c r="S121" s="37">
        <f>(S120-SUM(F115:F121))/SUM(F115:F121)</f>
        <v>1.8779342723004695E-2</v>
      </c>
      <c r="T121" s="47">
        <f>SUM(M115:M121)/SUM(I115:I121)</f>
        <v>5.6711961744262051E-3</v>
      </c>
      <c r="U121" s="1739"/>
    </row>
    <row r="122" spans="1:21" ht="17" customHeight="1" thickTop="1">
      <c r="A122" s="10" t="s">
        <v>9</v>
      </c>
      <c r="B122" s="19">
        <f>+CHAMNORD!B122</f>
        <v>46139</v>
      </c>
      <c r="C122" s="75">
        <f>IF(H122=0,"",'[5]2025-2026'!C121)</f>
        <v>16288.1</v>
      </c>
      <c r="D122" s="75">
        <f>+'[5]2026'!C122</f>
        <v>12008.4</v>
      </c>
      <c r="E122" s="75">
        <f>+'[5]2026'!D122</f>
        <v>11832.48</v>
      </c>
      <c r="F122" s="20">
        <f>+'[5]2026'!E122</f>
        <v>703</v>
      </c>
      <c r="G122" s="73">
        <f>+'[5]2026'!F122</f>
        <v>11800</v>
      </c>
      <c r="H122" s="42">
        <f>+'[5]2026'!G122</f>
        <v>9617.5</v>
      </c>
      <c r="I122" s="13">
        <f>+'[5]2026'!H122</f>
        <v>9436.39</v>
      </c>
      <c r="J122" s="14">
        <f>+'[5]2026'!I122</f>
        <v>541</v>
      </c>
      <c r="K122" s="15">
        <f>+'[5]2026'!J122</f>
        <v>136.43</v>
      </c>
      <c r="L122" s="15">
        <f>+'[5]2026'!K122</f>
        <v>144.5</v>
      </c>
      <c r="M122" s="15">
        <f>+'[5]2026'!L122</f>
        <v>54.6</v>
      </c>
      <c r="N122" s="16">
        <f t="shared" si="4"/>
        <v>5.7861110021946958E-3</v>
      </c>
      <c r="O122" s="17">
        <f t="shared" si="5"/>
        <v>-0.20250108176815007</v>
      </c>
      <c r="P122" s="17">
        <f t="shared" si="5"/>
        <v>-0.23044096728307253</v>
      </c>
      <c r="Q122" s="18">
        <f t="shared" si="6"/>
        <v>69.166532287620015</v>
      </c>
      <c r="R122" s="18">
        <f t="shared" si="7"/>
        <v>65.303737024221448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19">
        <f>+CHAMNORD!B123</f>
        <v>46140</v>
      </c>
      <c r="C123" s="75">
        <f>IF(H123=0,"",'[5]2025-2026'!C122)</f>
        <v>12008.4</v>
      </c>
      <c r="D123" s="75">
        <f>+'[5]2026'!C123</f>
        <v>12474.41</v>
      </c>
      <c r="E123" s="75">
        <f>+'[5]2026'!D123</f>
        <v>12298.54</v>
      </c>
      <c r="F123" s="20">
        <f>+'[5]2026'!E123</f>
        <v>691</v>
      </c>
      <c r="G123" s="73">
        <f>+'[5]2026'!F123</f>
        <v>12300</v>
      </c>
      <c r="H123" s="42">
        <f>+'[5]2026'!G123</f>
        <v>12590.88</v>
      </c>
      <c r="I123" s="13">
        <f>+'[5]2026'!H123</f>
        <v>12330.16</v>
      </c>
      <c r="J123" s="14">
        <f>+'[5]2026'!I123</f>
        <v>756</v>
      </c>
      <c r="K123" s="15">
        <f>+'[5]2026'!J123</f>
        <v>131.26999999999998</v>
      </c>
      <c r="L123" s="15">
        <f>+'[5]2026'!K123</f>
        <v>148.15</v>
      </c>
      <c r="M123" s="15">
        <f>+'[5]2026'!L123</f>
        <v>64.02</v>
      </c>
      <c r="N123" s="16">
        <f t="shared" si="4"/>
        <v>5.1921467361331882E-3</v>
      </c>
      <c r="O123" s="17">
        <f t="shared" si="5"/>
        <v>2.5710368873052393E-3</v>
      </c>
      <c r="P123" s="17">
        <f t="shared" si="5"/>
        <v>9.4066570188133136E-2</v>
      </c>
      <c r="Q123" s="18">
        <f t="shared" si="6"/>
        <v>93.929763083720587</v>
      </c>
      <c r="R123" s="18">
        <f t="shared" si="7"/>
        <v>83.227539655754299</v>
      </c>
      <c r="S123" s="34">
        <f>SUM(I122:I128)</f>
        <v>105255.1</v>
      </c>
      <c r="T123" s="45" t="s">
        <v>41</v>
      </c>
      <c r="U123" s="1738"/>
    </row>
    <row r="124" spans="1:21">
      <c r="A124" s="10" t="s">
        <v>12</v>
      </c>
      <c r="B124" s="19">
        <f>+CHAMNORD!B124</f>
        <v>46141</v>
      </c>
      <c r="C124" s="75">
        <f>IF(H124=0,"",'[5]2025-2026'!C123)</f>
        <v>12474.41</v>
      </c>
      <c r="D124" s="75">
        <f>+'[5]2026'!C124</f>
        <v>14171.1</v>
      </c>
      <c r="E124" s="75">
        <f>+'[5]2026'!D124</f>
        <v>13933.68</v>
      </c>
      <c r="F124" s="20">
        <f>+'[5]2026'!E124</f>
        <v>811</v>
      </c>
      <c r="G124" s="73">
        <f>+'[5]2026'!F124</f>
        <v>14500</v>
      </c>
      <c r="H124" s="42">
        <f>+'[5]2026'!G124</f>
        <v>14703.64</v>
      </c>
      <c r="I124" s="13">
        <f>+'[5]2026'!H124</f>
        <v>14361.5</v>
      </c>
      <c r="J124" s="14">
        <f>+'[5]2026'!I124</f>
        <v>827</v>
      </c>
      <c r="K124" s="15">
        <f>+'[5]2026'!J124</f>
        <v>157.72</v>
      </c>
      <c r="L124" s="15">
        <f>+'[5]2026'!K124</f>
        <v>166.52</v>
      </c>
      <c r="M124" s="15">
        <f>+'[5]2026'!L124</f>
        <v>79.69</v>
      </c>
      <c r="N124" s="16">
        <f t="shared" si="4"/>
        <v>5.5488632802980185E-3</v>
      </c>
      <c r="O124" s="17">
        <f t="shared" si="5"/>
        <v>3.070402076120592E-2</v>
      </c>
      <c r="P124" s="17">
        <f t="shared" si="5"/>
        <v>1.9728729963008632E-2</v>
      </c>
      <c r="Q124" s="18">
        <f t="shared" si="6"/>
        <v>91.056936342886132</v>
      </c>
      <c r="R124" s="18">
        <f t="shared" si="7"/>
        <v>86.24489550804708</v>
      </c>
      <c r="S124" s="35">
        <f>(S123-SUM(E122:E128))/SUM(E122:E128)</f>
        <v>1.9651831685484632E-2</v>
      </c>
      <c r="T124" s="48">
        <f>SUM(I122:I128)/SUM(K122:K128)</f>
        <v>93.425556088122008</v>
      </c>
      <c r="U124" s="1738"/>
    </row>
    <row r="125" spans="1:21">
      <c r="A125" s="10" t="s">
        <v>13</v>
      </c>
      <c r="B125" s="19">
        <f>+CHAMNORD!B125</f>
        <v>46142</v>
      </c>
      <c r="C125" s="75">
        <f>IF(H125=0,"",'[5]2025-2026'!C124)</f>
        <v>14171.1</v>
      </c>
      <c r="D125" s="75">
        <f>+'[5]2026'!C125</f>
        <v>16686.439999999999</v>
      </c>
      <c r="E125" s="75">
        <f>+'[5]2026'!D125</f>
        <v>16446.41</v>
      </c>
      <c r="F125" s="20">
        <f>+'[5]2026'!E125</f>
        <v>846</v>
      </c>
      <c r="G125" s="73">
        <f>+'[5]2026'!F125</f>
        <v>17400</v>
      </c>
      <c r="H125" s="42">
        <f>+'[5]2026'!G125</f>
        <v>17253.86</v>
      </c>
      <c r="I125" s="13">
        <f>+'[5]2026'!H125</f>
        <v>16942.46</v>
      </c>
      <c r="J125" s="14">
        <f>+'[5]2026'!I125</f>
        <v>935</v>
      </c>
      <c r="K125" s="15">
        <f>+'[5]2026'!J125</f>
        <v>162.47</v>
      </c>
      <c r="L125" s="15">
        <f>+'[5]2026'!K125</f>
        <v>162.47</v>
      </c>
      <c r="M125" s="15">
        <f>+'[5]2026'!L125</f>
        <v>192.27</v>
      </c>
      <c r="N125" s="16">
        <f t="shared" si="4"/>
        <v>1.1348411033580721E-2</v>
      </c>
      <c r="O125" s="17">
        <f t="shared" si="5"/>
        <v>3.0161597576613939E-2</v>
      </c>
      <c r="P125" s="17">
        <f t="shared" si="5"/>
        <v>0.10520094562647754</v>
      </c>
      <c r="Q125" s="18">
        <f t="shared" si="6"/>
        <v>104.2805441004493</v>
      </c>
      <c r="R125" s="18">
        <f t="shared" si="7"/>
        <v>104.2805441004493</v>
      </c>
      <c r="S125" s="34"/>
      <c r="T125" s="29" t="s">
        <v>8</v>
      </c>
      <c r="U125" s="1738"/>
    </row>
    <row r="126" spans="1:21">
      <c r="A126" s="10" t="s">
        <v>14</v>
      </c>
      <c r="B126" s="19">
        <f>+CHAMNORD!B126</f>
        <v>46143</v>
      </c>
      <c r="C126" s="75">
        <f>IF(H126=0,"",'[5]2025-2026'!C125)</f>
        <v>16686.439999999999</v>
      </c>
      <c r="D126" s="75">
        <f>+'[5]2026'!C126</f>
        <v>15350.9</v>
      </c>
      <c r="E126" s="75">
        <f>+'[5]2026'!D126</f>
        <v>15142.34</v>
      </c>
      <c r="F126" s="20">
        <f>+'[5]2026'!E126</f>
        <v>823</v>
      </c>
      <c r="G126" s="73">
        <f>+'[5]2026'!F126</f>
        <v>14300</v>
      </c>
      <c r="H126" s="42">
        <f>+'[5]2026'!G126</f>
        <v>19011.2</v>
      </c>
      <c r="I126" s="13">
        <f>+'[5]2026'!H126</f>
        <v>18611.689999999999</v>
      </c>
      <c r="J126" s="14">
        <f>+'[5]2026'!I126</f>
        <v>897</v>
      </c>
      <c r="K126" s="15">
        <f>+'[5]2026'!J126</f>
        <v>198.33</v>
      </c>
      <c r="L126" s="15">
        <f>+'[5]2026'!K126</f>
        <v>206.8</v>
      </c>
      <c r="M126" s="15">
        <f>+'[5]2026'!L126</f>
        <v>92.11</v>
      </c>
      <c r="N126" s="16">
        <f t="shared" si="4"/>
        <v>4.9490400925439873E-3</v>
      </c>
      <c r="O126" s="17">
        <f t="shared" si="5"/>
        <v>0.22911584339012322</v>
      </c>
      <c r="P126" s="17">
        <f t="shared" si="5"/>
        <v>8.9914945321992706E-2</v>
      </c>
      <c r="Q126" s="18">
        <f t="shared" si="6"/>
        <v>93.842030958503486</v>
      </c>
      <c r="R126" s="18">
        <f t="shared" si="7"/>
        <v>89.998500967117977</v>
      </c>
      <c r="S126" s="36" t="s">
        <v>40</v>
      </c>
      <c r="T126" s="48">
        <f>SUM(I122:I128)/SUM(L122:L128)</f>
        <v>88.133420415818875</v>
      </c>
      <c r="U126" s="1738"/>
    </row>
    <row r="127" spans="1:21">
      <c r="A127" s="10" t="s">
        <v>15</v>
      </c>
      <c r="B127" s="19">
        <f>+CHAMNORD!B127</f>
        <v>46144</v>
      </c>
      <c r="C127" s="75">
        <f>IF(H127=0,"",'[5]2025-2026'!C126)</f>
        <v>15350.9</v>
      </c>
      <c r="D127" s="75">
        <f>+'[5]2026'!C127</f>
        <v>15285.7</v>
      </c>
      <c r="E127" s="75">
        <f>+'[5]2026'!D127</f>
        <v>15090.38</v>
      </c>
      <c r="F127" s="20">
        <f>+'[5]2026'!E127</f>
        <v>833</v>
      </c>
      <c r="G127" s="73">
        <f>+'[5]2026'!F127</f>
        <v>15100</v>
      </c>
      <c r="H127" s="42">
        <f>+'[5]2026'!G127</f>
        <v>17117.02</v>
      </c>
      <c r="I127" s="13">
        <f>+'[5]2026'!H127</f>
        <v>16740.939999999999</v>
      </c>
      <c r="J127" s="14">
        <f>+'[5]2026'!I127</f>
        <v>904</v>
      </c>
      <c r="K127" s="15">
        <f>+'[5]2026'!J127</f>
        <v>182.4</v>
      </c>
      <c r="L127" s="15">
        <f>+'[5]2026'!K127</f>
        <v>190.83</v>
      </c>
      <c r="M127" s="15">
        <f>+'[5]2026'!L127</f>
        <v>103.01</v>
      </c>
      <c r="N127" s="16">
        <f t="shared" si="4"/>
        <v>6.1531789732237269E-3</v>
      </c>
      <c r="O127" s="17">
        <f t="shared" si="5"/>
        <v>0.10937829266062217</v>
      </c>
      <c r="P127" s="17">
        <f t="shared" si="5"/>
        <v>8.5234093637454988E-2</v>
      </c>
      <c r="Q127" s="18">
        <f t="shared" si="6"/>
        <v>91.781469298245611</v>
      </c>
      <c r="R127" s="18">
        <f t="shared" si="7"/>
        <v>87.726982130692221</v>
      </c>
      <c r="S127" s="36">
        <f>SUM(J122:J128)</f>
        <v>5641</v>
      </c>
      <c r="T127" s="30" t="s">
        <v>3</v>
      </c>
      <c r="U127" s="1738"/>
    </row>
    <row r="128" spans="1:21" ht="18" thickBot="1">
      <c r="A128" s="10" t="s">
        <v>16</v>
      </c>
      <c r="B128" s="19">
        <f>+CHAMNORD!B128</f>
        <v>46145</v>
      </c>
      <c r="C128" s="75">
        <f>IF(H128=0,"",'[5]2025-2026'!C127)</f>
        <v>15285.7</v>
      </c>
      <c r="D128" s="75">
        <f>+'[5]2026'!C128</f>
        <v>18755.86</v>
      </c>
      <c r="E128" s="75">
        <f>+'[5]2026'!D128</f>
        <v>18482.68</v>
      </c>
      <c r="F128" s="20">
        <f>+'[5]2026'!E128</f>
        <v>885</v>
      </c>
      <c r="G128" s="73">
        <f>+'[5]2026'!F128</f>
        <v>18500</v>
      </c>
      <c r="H128" s="42">
        <f>+'[5]2026'!G128</f>
        <v>17226.080000000002</v>
      </c>
      <c r="I128" s="13">
        <f>+'[5]2026'!H128</f>
        <v>16831.96</v>
      </c>
      <c r="J128" s="14">
        <f>+'[5]2026'!I128</f>
        <v>781</v>
      </c>
      <c r="K128" s="15">
        <f>+'[5]2026'!J128</f>
        <v>158</v>
      </c>
      <c r="L128" s="15">
        <f>+'[5]2026'!K128</f>
        <v>175</v>
      </c>
      <c r="M128" s="15">
        <f>+'[5]2026'!L128</f>
        <v>65.790000000000006</v>
      </c>
      <c r="N128" s="16">
        <f t="shared" si="4"/>
        <v>3.9086357144384855E-3</v>
      </c>
      <c r="O128" s="17">
        <f t="shared" si="5"/>
        <v>-8.9311723191658421E-2</v>
      </c>
      <c r="P128" s="17">
        <f t="shared" si="5"/>
        <v>-0.11751412429378531</v>
      </c>
      <c r="Q128" s="18">
        <f t="shared" si="6"/>
        <v>106.53139240506329</v>
      </c>
      <c r="R128" s="18">
        <f t="shared" si="7"/>
        <v>96.182628571428566</v>
      </c>
      <c r="S128" s="37">
        <f>(S127-SUM(F122:F128))/SUM(F122:F128)</f>
        <v>8.762517882689556E-3</v>
      </c>
      <c r="T128" s="47">
        <f>SUM(M122:M128)/SUM(I122:I128)</f>
        <v>6.1896288160858707E-3</v>
      </c>
      <c r="U128" s="1739"/>
    </row>
    <row r="129" spans="1:21" ht="17" customHeight="1" thickTop="1">
      <c r="A129" s="10" t="s">
        <v>9</v>
      </c>
      <c r="B129" s="19">
        <f>+CHAMNORD!B129</f>
        <v>46146</v>
      </c>
      <c r="C129" s="75">
        <f>IF(H129=0,"",'[5]2025-2026'!C128)</f>
        <v>18755.86</v>
      </c>
      <c r="D129" s="75">
        <f>+'[5]2026'!C129</f>
        <v>11796.5</v>
      </c>
      <c r="E129" s="75">
        <f>+'[5]2026'!D129</f>
        <v>11670.88</v>
      </c>
      <c r="F129" s="20">
        <f>+'[5]2026'!E129</f>
        <v>721</v>
      </c>
      <c r="G129" s="73">
        <f>+'[5]2026'!F129</f>
        <v>11700</v>
      </c>
      <c r="H129" s="42">
        <f>+'[5]2026'!G129</f>
        <v>10429.030000000001</v>
      </c>
      <c r="I129" s="13">
        <f>+'[5]2026'!H129</f>
        <v>10265.94</v>
      </c>
      <c r="J129" s="14">
        <f>+'[5]2026'!I129</f>
        <v>600</v>
      </c>
      <c r="K129" s="15">
        <f>+'[5]2026'!J129</f>
        <v>136.43</v>
      </c>
      <c r="L129" s="15">
        <f>+'[5]2026'!K129</f>
        <v>145.08000000000001</v>
      </c>
      <c r="M129" s="15">
        <f>+'[5]2026'!L129</f>
        <v>115.19</v>
      </c>
      <c r="N129" s="16">
        <f t="shared" si="4"/>
        <v>1.1220599380085992E-2</v>
      </c>
      <c r="O129" s="17">
        <f t="shared" si="5"/>
        <v>-0.12037995421082205</v>
      </c>
      <c r="P129" s="17">
        <f t="shared" si="5"/>
        <v>-0.16782246879334259</v>
      </c>
      <c r="Q129" s="18">
        <f t="shared" si="6"/>
        <v>75.246939822619652</v>
      </c>
      <c r="R129" s="18">
        <f t="shared" si="7"/>
        <v>70.76054590570719</v>
      </c>
      <c r="S129" s="33" t="s">
        <v>39</v>
      </c>
      <c r="T129" s="31" t="s">
        <v>42</v>
      </c>
      <c r="U129" s="1737" t="s">
        <v>101</v>
      </c>
    </row>
    <row r="130" spans="1:21">
      <c r="A130" s="10" t="s">
        <v>11</v>
      </c>
      <c r="B130" s="19">
        <f>+CHAMNORD!B130</f>
        <v>46147</v>
      </c>
      <c r="C130" s="75">
        <f>IF(H130=0,"",'[5]2025-2026'!C129)</f>
        <v>11796.5</v>
      </c>
      <c r="D130" s="75">
        <f>+'[5]2026'!C130</f>
        <v>12183.9</v>
      </c>
      <c r="E130" s="75">
        <f>+'[5]2026'!D130</f>
        <v>12055.7</v>
      </c>
      <c r="F130" s="20">
        <f>+'[5]2026'!E130</f>
        <v>753</v>
      </c>
      <c r="G130" s="73">
        <f>+'[5]2026'!F130</f>
        <v>12000</v>
      </c>
      <c r="H130" s="42">
        <f>+'[5]2026'!G130</f>
        <v>13450.12</v>
      </c>
      <c r="I130" s="13">
        <f>+'[5]2026'!H130</f>
        <v>13199.57</v>
      </c>
      <c r="J130" s="14">
        <f>+'[5]2026'!I130</f>
        <v>765</v>
      </c>
      <c r="K130" s="15">
        <f>+'[5]2026'!J130</f>
        <v>146.91999999999999</v>
      </c>
      <c r="L130" s="15">
        <f>+'[5]2026'!K130</f>
        <v>155.91999999999999</v>
      </c>
      <c r="M130" s="15">
        <f>+'[5]2026'!L130</f>
        <v>56.11</v>
      </c>
      <c r="N130" s="16">
        <f t="shared" si="4"/>
        <v>4.2508960519168429E-3</v>
      </c>
      <c r="O130" s="17">
        <f t="shared" si="5"/>
        <v>9.4882088970362474E-2</v>
      </c>
      <c r="P130" s="17">
        <f t="shared" si="5"/>
        <v>1.5936254980079681E-2</v>
      </c>
      <c r="Q130" s="18">
        <f t="shared" si="6"/>
        <v>89.841886741083584</v>
      </c>
      <c r="R130" s="18">
        <f t="shared" si="7"/>
        <v>84.656041559774252</v>
      </c>
      <c r="S130" s="34">
        <f>SUM(I129:I135)</f>
        <v>104499.19</v>
      </c>
      <c r="T130" s="45" t="s">
        <v>41</v>
      </c>
      <c r="U130" s="1738"/>
    </row>
    <row r="131" spans="1:21">
      <c r="A131" s="10" t="s">
        <v>12</v>
      </c>
      <c r="B131" s="19">
        <f>+CHAMNORD!B131</f>
        <v>46148</v>
      </c>
      <c r="C131" s="75">
        <f>IF(H131=0,"",'[5]2025-2026'!C130)</f>
        <v>12183.9</v>
      </c>
      <c r="D131" s="75">
        <f>+'[5]2026'!C131</f>
        <v>17410.55</v>
      </c>
      <c r="E131" s="75">
        <f>+'[5]2026'!D131</f>
        <v>17192.490000000002</v>
      </c>
      <c r="F131" s="20">
        <f>+'[5]2026'!E131</f>
        <v>997</v>
      </c>
      <c r="G131" s="73">
        <f>+'[5]2026'!F131</f>
        <v>16000</v>
      </c>
      <c r="H131" s="42">
        <f>+'[5]2026'!G131</f>
        <v>16559.78</v>
      </c>
      <c r="I131" s="13">
        <f>+'[5]2026'!H131</f>
        <v>16190.85</v>
      </c>
      <c r="J131" s="14">
        <f>+'[5]2026'!I131</f>
        <v>918</v>
      </c>
      <c r="K131" s="15">
        <f>+'[5]2026'!J131</f>
        <v>166.06999999999996</v>
      </c>
      <c r="L131" s="15">
        <f>+'[5]2026'!K131</f>
        <v>181.7</v>
      </c>
      <c r="M131" s="15">
        <f>+'[5]2026'!L131</f>
        <v>108.08</v>
      </c>
      <c r="N131" s="16">
        <f t="shared" si="4"/>
        <v>6.675375289129354E-3</v>
      </c>
      <c r="O131" s="17">
        <f t="shared" si="5"/>
        <v>-5.8260321803299063E-2</v>
      </c>
      <c r="P131" s="17">
        <f t="shared" si="5"/>
        <v>-7.9237713139418256E-2</v>
      </c>
      <c r="Q131" s="18">
        <f t="shared" si="6"/>
        <v>97.494128981754699</v>
      </c>
      <c r="R131" s="18">
        <f t="shared" si="7"/>
        <v>89.107594936708864</v>
      </c>
      <c r="S131" s="35">
        <f>(S130-SUM(E129:E135))/SUM(E129:E135)</f>
        <v>2.2950688402204121E-2</v>
      </c>
      <c r="T131" s="48">
        <f>SUM(I129:I135)/SUM(K129:K135)</f>
        <v>92.939388818726783</v>
      </c>
      <c r="U131" s="1738"/>
    </row>
    <row r="132" spans="1:21">
      <c r="A132" s="10" t="s">
        <v>13</v>
      </c>
      <c r="B132" s="19">
        <f>+CHAMNORD!B132</f>
        <v>46149</v>
      </c>
      <c r="C132" s="75">
        <f>IF(H132=0,"",'[5]2025-2026'!C131)</f>
        <v>17410.55</v>
      </c>
      <c r="D132" s="75">
        <f>+'[5]2026'!C132</f>
        <v>15948.05</v>
      </c>
      <c r="E132" s="75">
        <f>+'[5]2026'!D132</f>
        <v>15695.99</v>
      </c>
      <c r="F132" s="20">
        <f>+'[5]2026'!E132</f>
        <v>809</v>
      </c>
      <c r="G132" s="73">
        <f>+'[5]2026'!F132</f>
        <v>17500</v>
      </c>
      <c r="H132" s="42">
        <f>+'[5]2026'!G132</f>
        <v>16452.48</v>
      </c>
      <c r="I132" s="13">
        <f>+'[5]2026'!H132</f>
        <v>16202.14</v>
      </c>
      <c r="J132" s="14">
        <f>+'[5]2026'!I132</f>
        <v>958</v>
      </c>
      <c r="K132" s="15">
        <f>+'[5]2026'!J132</f>
        <v>149.93</v>
      </c>
      <c r="L132" s="15">
        <f>+'[5]2026'!K132</f>
        <v>158.43</v>
      </c>
      <c r="M132" s="15">
        <f>+'[5]2026'!L132</f>
        <v>159.58000000000001</v>
      </c>
      <c r="N132" s="16">
        <f t="shared" ref="N132:N195" si="8">IF(M132=0,"",M132/I132)</f>
        <v>9.8493162014400577E-3</v>
      </c>
      <c r="O132" s="17">
        <f t="shared" ref="O132:P195" si="9">IF(I132=0,"",(I132-E132)/E132)</f>
        <v>3.2247089861805446E-2</v>
      </c>
      <c r="P132" s="17">
        <f t="shared" si="9"/>
        <v>0.18417799752781211</v>
      </c>
      <c r="Q132" s="18">
        <f t="shared" ref="Q132:Q195" si="10">IF(I132=0,"",I132/K132)</f>
        <v>108.06469685853398</v>
      </c>
      <c r="R132" s="18">
        <f t="shared" ref="R132:R195" si="11">I132/L132</f>
        <v>102.26686864861452</v>
      </c>
      <c r="S132" s="34"/>
      <c r="T132" s="29" t="s">
        <v>8</v>
      </c>
      <c r="U132" s="1738"/>
    </row>
    <row r="133" spans="1:21">
      <c r="A133" s="10" t="s">
        <v>14</v>
      </c>
      <c r="B133" s="19">
        <f>+CHAMNORD!B133</f>
        <v>46150</v>
      </c>
      <c r="C133" s="75">
        <f>IF(H133=0,"",'[5]2025-2026'!C132)</f>
        <v>15948.05</v>
      </c>
      <c r="D133" s="75">
        <f>+'[5]2026'!C133</f>
        <v>13559.01</v>
      </c>
      <c r="E133" s="75">
        <f>+'[5]2026'!D133</f>
        <v>13325.15</v>
      </c>
      <c r="F133" s="20">
        <f>+'[5]2026'!E133</f>
        <v>809</v>
      </c>
      <c r="G133" s="73">
        <f>+'[5]2026'!F133</f>
        <v>16500</v>
      </c>
      <c r="H133" s="42">
        <f>+'[5]2026'!G133</f>
        <v>17090.86</v>
      </c>
      <c r="I133" s="13">
        <f>+'[5]2026'!H133</f>
        <v>16736.169999999998</v>
      </c>
      <c r="J133" s="14">
        <f>+'[5]2026'!I133</f>
        <v>869</v>
      </c>
      <c r="K133" s="15">
        <f>+'[5]2026'!J133</f>
        <v>195.35</v>
      </c>
      <c r="L133" s="15">
        <f>+'[5]2026'!K133</f>
        <v>195.35</v>
      </c>
      <c r="M133" s="15">
        <f>+'[5]2026'!L133</f>
        <v>125.48</v>
      </c>
      <c r="N133" s="16">
        <f t="shared" si="8"/>
        <v>7.4975337846114147E-3</v>
      </c>
      <c r="O133" s="17">
        <f t="shared" si="9"/>
        <v>0.25598360994060093</v>
      </c>
      <c r="P133" s="17">
        <f t="shared" si="9"/>
        <v>7.4165636588380712E-2</v>
      </c>
      <c r="Q133" s="18">
        <f t="shared" si="10"/>
        <v>85.672741233683126</v>
      </c>
      <c r="R133" s="18">
        <f t="shared" si="11"/>
        <v>85.672741233683126</v>
      </c>
      <c r="S133" s="36" t="s">
        <v>40</v>
      </c>
      <c r="T133" s="48">
        <f>SUM(I129:I135)/SUM(L129:L135)</f>
        <v>88.955921786282801</v>
      </c>
      <c r="U133" s="1738"/>
    </row>
    <row r="134" spans="1:21">
      <c r="A134" s="10" t="s">
        <v>15</v>
      </c>
      <c r="B134" s="19">
        <f>+CHAMNORD!B134</f>
        <v>46151</v>
      </c>
      <c r="C134" s="75">
        <f>IF(H134=0,"",'[5]2025-2026'!C133)</f>
        <v>13559.01</v>
      </c>
      <c r="D134" s="75">
        <f>+'[5]2026'!C134</f>
        <v>15899.82</v>
      </c>
      <c r="E134" s="75">
        <f>+'[5]2026'!D134</f>
        <v>15682</v>
      </c>
      <c r="F134" s="20">
        <f>+'[5]2026'!E134</f>
        <v>910</v>
      </c>
      <c r="G134" s="73">
        <f>+'[5]2026'!F134</f>
        <v>15700</v>
      </c>
      <c r="H134" s="42">
        <f>+'[5]2026'!G134</f>
        <v>15560.15</v>
      </c>
      <c r="I134" s="13">
        <f>+'[5]2026'!H134</f>
        <v>15328.86</v>
      </c>
      <c r="J134" s="14">
        <f>+'[5]2026'!I134</f>
        <v>875</v>
      </c>
      <c r="K134" s="15">
        <f>+'[5]2026'!J134</f>
        <v>175.43</v>
      </c>
      <c r="L134" s="15">
        <f>+'[5]2026'!K134</f>
        <v>184</v>
      </c>
      <c r="M134" s="15">
        <f>+'[5]2026'!L134</f>
        <v>95.29</v>
      </c>
      <c r="N134" s="16">
        <f t="shared" si="8"/>
        <v>6.2163787783305483E-3</v>
      </c>
      <c r="O134" s="17">
        <f t="shared" si="9"/>
        <v>-2.2518811376099949E-2</v>
      </c>
      <c r="P134" s="17">
        <f t="shared" si="9"/>
        <v>-3.8461538461538464E-2</v>
      </c>
      <c r="Q134" s="18">
        <f t="shared" si="10"/>
        <v>87.378783560394453</v>
      </c>
      <c r="R134" s="18">
        <f t="shared" si="11"/>
        <v>83.309021739130444</v>
      </c>
      <c r="S134" s="36">
        <f>SUM(J129:J135)</f>
        <v>5808</v>
      </c>
      <c r="T134" s="30" t="s">
        <v>3</v>
      </c>
      <c r="U134" s="1738"/>
    </row>
    <row r="135" spans="1:21" ht="18" thickBot="1">
      <c r="A135" s="10" t="s">
        <v>16</v>
      </c>
      <c r="B135" s="19">
        <f>+CHAMNORD!B135</f>
        <v>46152</v>
      </c>
      <c r="C135" s="75">
        <f>IF(H135=0,"",'[5]2025-2026'!C134)</f>
        <v>15899.82</v>
      </c>
      <c r="D135" s="75">
        <f>+'[5]2026'!C135</f>
        <v>16782.28</v>
      </c>
      <c r="E135" s="75">
        <f>+'[5]2026'!D135</f>
        <v>16532.46</v>
      </c>
      <c r="F135" s="20">
        <f>+'[5]2026'!E135</f>
        <v>842</v>
      </c>
      <c r="G135" s="73">
        <f>+'[5]2026'!F135</f>
        <v>16500</v>
      </c>
      <c r="H135" s="42">
        <f>+'[5]2026'!G135</f>
        <v>16882.419999999998</v>
      </c>
      <c r="I135" s="13">
        <f>+'[5]2026'!H135</f>
        <v>16575.66</v>
      </c>
      <c r="J135" s="14">
        <f>+'[5]2026'!I135</f>
        <v>823</v>
      </c>
      <c r="K135" s="15">
        <f>+'[5]2026'!J135</f>
        <v>154.25</v>
      </c>
      <c r="L135" s="15">
        <f>+'[5]2026'!K135</f>
        <v>154.25</v>
      </c>
      <c r="M135" s="15">
        <f>+'[5]2026'!L135</f>
        <v>106.08</v>
      </c>
      <c r="N135" s="16">
        <f t="shared" si="8"/>
        <v>6.3997451685181769E-3</v>
      </c>
      <c r="O135" s="17">
        <f t="shared" si="9"/>
        <v>2.613041253388832E-3</v>
      </c>
      <c r="P135" s="17">
        <f t="shared" si="9"/>
        <v>-2.2565320665083134E-2</v>
      </c>
      <c r="Q135" s="18">
        <f t="shared" si="10"/>
        <v>107.45970826580226</v>
      </c>
      <c r="R135" s="18">
        <f t="shared" si="11"/>
        <v>107.45970826580226</v>
      </c>
      <c r="S135" s="37">
        <f>(S134-SUM(F129:F135))/SUM(F129:F135)</f>
        <v>-5.6497175141242938E-3</v>
      </c>
      <c r="T135" s="47">
        <f>SUM(M129:M135)/SUM(I129:I135)</f>
        <v>7.3283821625794426E-3</v>
      </c>
      <c r="U135" s="1739"/>
    </row>
    <row r="136" spans="1:21" ht="17" customHeight="1" thickTop="1">
      <c r="A136" s="10" t="s">
        <v>9</v>
      </c>
      <c r="B136" s="19">
        <f>+CHAMNORD!B136</f>
        <v>46153</v>
      </c>
      <c r="C136" s="75">
        <f>IF(H136=0,"",'[5]2025-2026'!C135)</f>
        <v>16782.28</v>
      </c>
      <c r="D136" s="75">
        <f>+'[5]2026'!C136</f>
        <v>11176.76</v>
      </c>
      <c r="E136" s="75">
        <f>+'[5]2026'!D136</f>
        <v>11094.89</v>
      </c>
      <c r="F136" s="20">
        <f>+'[5]2026'!E136</f>
        <v>717</v>
      </c>
      <c r="G136" s="73">
        <f>+'[5]2026'!F136</f>
        <v>11100</v>
      </c>
      <c r="H136" s="42">
        <f>+'[5]2026'!G136</f>
        <v>10135.09</v>
      </c>
      <c r="I136" s="13">
        <f>+'[5]2026'!H136</f>
        <v>9919.1200000000008</v>
      </c>
      <c r="J136" s="14">
        <f>+'[5]2026'!I136</f>
        <v>620</v>
      </c>
      <c r="K136" s="15">
        <f>+'[5]2026'!J136</f>
        <v>125.53</v>
      </c>
      <c r="L136" s="15">
        <f>+'[5]2026'!K136</f>
        <v>125.53</v>
      </c>
      <c r="M136" s="15">
        <f>+'[5]2026'!L136</f>
        <v>129.86000000000001</v>
      </c>
      <c r="N136" s="16">
        <f t="shared" si="8"/>
        <v>1.3091887183540476E-2</v>
      </c>
      <c r="O136" s="17">
        <f t="shared" si="9"/>
        <v>-0.10597401145932936</v>
      </c>
      <c r="P136" s="17">
        <f t="shared" si="9"/>
        <v>-0.13528591352859135</v>
      </c>
      <c r="Q136" s="18">
        <f t="shared" si="10"/>
        <v>79.017924002230544</v>
      </c>
      <c r="R136" s="18">
        <f t="shared" si="11"/>
        <v>79.017924002230544</v>
      </c>
      <c r="S136" s="33" t="s">
        <v>39</v>
      </c>
      <c r="T136" s="31" t="s">
        <v>42</v>
      </c>
      <c r="U136" s="1737" t="s">
        <v>102</v>
      </c>
    </row>
    <row r="137" spans="1:21">
      <c r="A137" s="10" t="s">
        <v>11</v>
      </c>
      <c r="B137" s="19">
        <f>+CHAMNORD!B137</f>
        <v>46154</v>
      </c>
      <c r="C137" s="75">
        <f>IF(H137=0,"",'[5]2025-2026'!C136)</f>
        <v>11176.76</v>
      </c>
      <c r="D137" s="75">
        <f>+'[5]2026'!C137</f>
        <v>13556.11</v>
      </c>
      <c r="E137" s="75">
        <f>+'[5]2026'!D137</f>
        <v>13350.26</v>
      </c>
      <c r="F137" s="20">
        <f>+'[5]2026'!E137</f>
        <v>792</v>
      </c>
      <c r="G137" s="73">
        <f>+'[5]2026'!F137</f>
        <v>13300</v>
      </c>
      <c r="H137" s="42">
        <f>+'[5]2026'!G137</f>
        <v>11361.33</v>
      </c>
      <c r="I137" s="13">
        <f>+'[5]2026'!H137</f>
        <v>11169.72</v>
      </c>
      <c r="J137" s="14">
        <f>+'[5]2026'!I137</f>
        <v>682</v>
      </c>
      <c r="K137" s="15">
        <f>+'[5]2026'!J137</f>
        <v>157.47</v>
      </c>
      <c r="L137" s="15">
        <f>+'[5]2026'!K137</f>
        <v>157.47</v>
      </c>
      <c r="M137" s="15">
        <f>+'[5]2026'!L137</f>
        <v>72.83</v>
      </c>
      <c r="N137" s="16">
        <f t="shared" si="8"/>
        <v>6.5203066862911515E-3</v>
      </c>
      <c r="O137" s="17">
        <f t="shared" si="9"/>
        <v>-0.16333314856789313</v>
      </c>
      <c r="P137" s="17">
        <f t="shared" si="9"/>
        <v>-0.1388888888888889</v>
      </c>
      <c r="Q137" s="18">
        <f t="shared" si="10"/>
        <v>70.932368070108595</v>
      </c>
      <c r="R137" s="18">
        <f t="shared" si="11"/>
        <v>70.932368070108595</v>
      </c>
      <c r="S137" s="34">
        <f>SUM(I136:I142)</f>
        <v>95148.479999999996</v>
      </c>
      <c r="T137" s="45" t="s">
        <v>41</v>
      </c>
      <c r="U137" s="1738"/>
    </row>
    <row r="138" spans="1:21">
      <c r="A138" s="10" t="s">
        <v>12</v>
      </c>
      <c r="B138" s="19">
        <f>+CHAMNORD!B138</f>
        <v>46155</v>
      </c>
      <c r="C138" s="75">
        <f>IF(H138=0,"",'[5]2025-2026'!C137)</f>
        <v>13556.11</v>
      </c>
      <c r="D138" s="75">
        <f>+'[5]2026'!C138</f>
        <v>14527.89</v>
      </c>
      <c r="E138" s="75">
        <f>+'[5]2026'!D138</f>
        <v>14366.64</v>
      </c>
      <c r="F138" s="20">
        <f>+'[5]2026'!E138</f>
        <v>907</v>
      </c>
      <c r="G138" s="73">
        <f>+'[5]2026'!F138</f>
        <v>17000</v>
      </c>
      <c r="H138" s="42">
        <f>+'[5]2026'!G138</f>
        <v>16794.439999999999</v>
      </c>
      <c r="I138" s="13">
        <f>+'[5]2026'!H138</f>
        <v>16447.990000000002</v>
      </c>
      <c r="J138" s="14">
        <f>+'[5]2026'!I138</f>
        <v>922</v>
      </c>
      <c r="K138" s="15">
        <f>+'[5]2026'!J138</f>
        <v>202.75</v>
      </c>
      <c r="L138" s="15">
        <f>+'[5]2026'!K138</f>
        <v>202.75</v>
      </c>
      <c r="M138" s="15">
        <f>+'[5]2026'!L138</f>
        <v>77.59</v>
      </c>
      <c r="N138" s="16">
        <f t="shared" si="8"/>
        <v>4.7172937240355806E-3</v>
      </c>
      <c r="O138" s="17">
        <f t="shared" si="9"/>
        <v>0.14487381879131114</v>
      </c>
      <c r="P138" s="17">
        <f t="shared" si="9"/>
        <v>1.6538037486218304E-2</v>
      </c>
      <c r="Q138" s="18">
        <f t="shared" si="10"/>
        <v>81.124488286066594</v>
      </c>
      <c r="R138" s="18">
        <f t="shared" si="11"/>
        <v>81.124488286066594</v>
      </c>
      <c r="S138" s="35">
        <f>(S137-SUM(E136:E142))/SUM(E136:E142)</f>
        <v>-5.0675293437312717E-2</v>
      </c>
      <c r="T138" s="48">
        <f>SUM(I136:I142)/SUM(K136:K142)</f>
        <v>78.454855785880369</v>
      </c>
      <c r="U138" s="1738"/>
    </row>
    <row r="139" spans="1:21">
      <c r="A139" s="10" t="s">
        <v>13</v>
      </c>
      <c r="B139" s="19">
        <f>+CHAMNORD!B139</f>
        <v>46156</v>
      </c>
      <c r="C139" s="75">
        <f>IF(H139=0,"",'[5]2025-2026'!C138)</f>
        <v>14527.89</v>
      </c>
      <c r="D139" s="75">
        <f>+'[5]2026'!C139</f>
        <v>11781.81</v>
      </c>
      <c r="E139" s="75">
        <f>+'[5]2026'!D139</f>
        <v>11704.32</v>
      </c>
      <c r="F139" s="20">
        <f>+'[5]2026'!E139</f>
        <v>765</v>
      </c>
      <c r="G139" s="73">
        <f>+'[5]2026'!F139</f>
        <v>15700</v>
      </c>
      <c r="H139" s="42">
        <f>+'[5]2026'!G139</f>
        <v>15656.11</v>
      </c>
      <c r="I139" s="13">
        <f>+'[5]2026'!H139</f>
        <v>15357.64</v>
      </c>
      <c r="J139" s="14">
        <f>+'[5]2026'!I139</f>
        <v>785</v>
      </c>
      <c r="K139" s="15">
        <f>+'[5]2026'!J139</f>
        <v>162.54999999999998</v>
      </c>
      <c r="L139" s="15">
        <f>+'[5]2026'!K139</f>
        <v>170.98</v>
      </c>
      <c r="M139" s="15">
        <f>+'[5]2026'!L139</f>
        <v>140.91</v>
      </c>
      <c r="N139" s="16">
        <f t="shared" si="8"/>
        <v>9.1752378620673491E-3</v>
      </c>
      <c r="O139" s="17">
        <f t="shared" si="9"/>
        <v>0.3121343230533683</v>
      </c>
      <c r="P139" s="17">
        <f t="shared" si="9"/>
        <v>2.6143790849673203E-2</v>
      </c>
      <c r="Q139" s="18">
        <f t="shared" si="10"/>
        <v>94.479483235927418</v>
      </c>
      <c r="R139" s="18">
        <f t="shared" si="11"/>
        <v>89.821265645104688</v>
      </c>
      <c r="S139" s="34"/>
      <c r="T139" s="29" t="s">
        <v>8</v>
      </c>
      <c r="U139" s="1738"/>
    </row>
    <row r="140" spans="1:21">
      <c r="A140" s="10" t="s">
        <v>14</v>
      </c>
      <c r="B140" s="19">
        <f>+CHAMNORD!B140</f>
        <v>46157</v>
      </c>
      <c r="C140" s="75">
        <f>IF(H140=0,"",'[5]2025-2026'!C139)</f>
        <v>11781.81</v>
      </c>
      <c r="D140" s="75">
        <f>+'[5]2026'!C140</f>
        <v>15412.83</v>
      </c>
      <c r="E140" s="75">
        <f>+'[5]2026'!D140</f>
        <v>15306.17</v>
      </c>
      <c r="F140" s="20">
        <f>+'[5]2026'!E140</f>
        <v>1007</v>
      </c>
      <c r="G140" s="73">
        <f>+'[5]2026'!F140</f>
        <v>15300</v>
      </c>
      <c r="H140" s="42">
        <f>+'[5]2026'!G140</f>
        <v>13120.94</v>
      </c>
      <c r="I140" s="13">
        <f>+'[5]2026'!H140</f>
        <v>12845.51</v>
      </c>
      <c r="J140" s="14">
        <f>+'[5]2026'!I140</f>
        <v>719</v>
      </c>
      <c r="K140" s="15">
        <f>+'[5]2026'!J140</f>
        <v>205.15</v>
      </c>
      <c r="L140" s="15">
        <f>+'[5]2026'!K140</f>
        <v>213.78</v>
      </c>
      <c r="M140" s="15">
        <f>+'[5]2026'!L140</f>
        <v>72.09</v>
      </c>
      <c r="N140" s="16">
        <f t="shared" si="8"/>
        <v>5.6120776831748995E-3</v>
      </c>
      <c r="O140" s="17">
        <f t="shared" si="9"/>
        <v>-0.16076262056412544</v>
      </c>
      <c r="P140" s="17">
        <f t="shared" si="9"/>
        <v>-0.28599801390268126</v>
      </c>
      <c r="Q140" s="18">
        <f t="shared" si="10"/>
        <v>62.615208384109188</v>
      </c>
      <c r="R140" s="18">
        <f t="shared" si="11"/>
        <v>60.087519880250724</v>
      </c>
      <c r="S140" s="36" t="s">
        <v>40</v>
      </c>
      <c r="T140" s="48">
        <f>SUM(I136:I142)/SUM(L136:L142)</f>
        <v>76.302520469290045</v>
      </c>
      <c r="U140" s="1738"/>
    </row>
    <row r="141" spans="1:21">
      <c r="A141" s="10" t="s">
        <v>15</v>
      </c>
      <c r="B141" s="19">
        <f>+CHAMNORD!B141</f>
        <v>46158</v>
      </c>
      <c r="C141" s="75">
        <f>IF(H141=0,"",'[5]2025-2026'!C140)</f>
        <v>15412.83</v>
      </c>
      <c r="D141" s="75">
        <f>+'[5]2026'!C141</f>
        <v>17547.03</v>
      </c>
      <c r="E141" s="75">
        <f>+'[5]2026'!D141</f>
        <v>17376.45</v>
      </c>
      <c r="F141" s="20">
        <f>+'[5]2026'!E141</f>
        <v>977</v>
      </c>
      <c r="G141" s="73">
        <f>+'[5]2026'!F141</f>
        <v>17400</v>
      </c>
      <c r="H141" s="42">
        <f>+'[5]2026'!G141</f>
        <v>13498.95</v>
      </c>
      <c r="I141" s="13">
        <f>+'[5]2026'!H141</f>
        <v>13228.97</v>
      </c>
      <c r="J141" s="14">
        <f>+'[5]2026'!I141</f>
        <v>708</v>
      </c>
      <c r="K141" s="15">
        <f>+'[5]2026'!J141</f>
        <v>188.03</v>
      </c>
      <c r="L141" s="15">
        <f>+'[5]2026'!K141</f>
        <v>196.68</v>
      </c>
      <c r="M141" s="15">
        <f>+'[5]2026'!L141</f>
        <v>77.459999999999994</v>
      </c>
      <c r="N141" s="16">
        <f t="shared" si="8"/>
        <v>5.8553311406708154E-3</v>
      </c>
      <c r="O141" s="17">
        <f t="shared" si="9"/>
        <v>-0.23868396594241062</v>
      </c>
      <c r="P141" s="17">
        <f t="shared" si="9"/>
        <v>-0.27533265097236437</v>
      </c>
      <c r="Q141" s="18">
        <f t="shared" si="10"/>
        <v>70.355634739137372</v>
      </c>
      <c r="R141" s="18">
        <f t="shared" si="11"/>
        <v>67.26138905836892</v>
      </c>
      <c r="S141" s="36">
        <f>SUM(J136:J142)</f>
        <v>5187</v>
      </c>
      <c r="T141" s="30" t="s">
        <v>3</v>
      </c>
      <c r="U141" s="1738"/>
    </row>
    <row r="142" spans="1:21" ht="18" thickBot="1">
      <c r="A142" s="10" t="s">
        <v>16</v>
      </c>
      <c r="B142" s="19">
        <f>+CHAMNORD!B142</f>
        <v>46159</v>
      </c>
      <c r="C142" s="75">
        <f>IF(H142=0,"",'[5]2025-2026'!C141)</f>
        <v>17547.03</v>
      </c>
      <c r="D142" s="75">
        <f>+'[5]2026'!C142</f>
        <v>17132.28</v>
      </c>
      <c r="E142" s="75">
        <f>+'[5]2026'!D142</f>
        <v>17028.810000000001</v>
      </c>
      <c r="F142" s="20">
        <f>+'[5]2026'!E142</f>
        <v>877</v>
      </c>
      <c r="G142" s="73">
        <f>+'[5]2026'!F142</f>
        <v>19300</v>
      </c>
      <c r="H142" s="42">
        <f>+'[5]2026'!G142</f>
        <v>16462.63</v>
      </c>
      <c r="I142" s="13">
        <f>+'[5]2026'!H142</f>
        <v>16179.53</v>
      </c>
      <c r="J142" s="14">
        <f>+'[5]2026'!I142</f>
        <v>751</v>
      </c>
      <c r="K142" s="15">
        <f>+'[5]2026'!J142</f>
        <v>171.3</v>
      </c>
      <c r="L142" s="15">
        <f>+'[5]2026'!K142</f>
        <v>179.8</v>
      </c>
      <c r="M142" s="15">
        <f>+'[5]2026'!L142</f>
        <v>70.38</v>
      </c>
      <c r="N142" s="16">
        <f t="shared" si="8"/>
        <v>4.3499409438963917E-3</v>
      </c>
      <c r="O142" s="17">
        <f t="shared" si="9"/>
        <v>-4.98731267775024E-2</v>
      </c>
      <c r="P142" s="17">
        <f t="shared" si="9"/>
        <v>-0.14367160775370583</v>
      </c>
      <c r="Q142" s="18">
        <f t="shared" si="10"/>
        <v>94.45143023934618</v>
      </c>
      <c r="R142" s="18">
        <f t="shared" si="11"/>
        <v>89.986262513904336</v>
      </c>
      <c r="S142" s="37">
        <f>(S141-SUM(F136:F142))/SUM(F136:F142)</f>
        <v>-0.14150943396226415</v>
      </c>
      <c r="T142" s="47">
        <f>SUM(M136:M142)/SUM(I136:I142)</f>
        <v>6.7381002828421433E-3</v>
      </c>
      <c r="U142" s="1739"/>
    </row>
    <row r="143" spans="1:21" ht="17" customHeight="1" thickTop="1">
      <c r="A143" s="10" t="s">
        <v>9</v>
      </c>
      <c r="B143" s="19">
        <f>+CHAMNORD!B143</f>
        <v>46160</v>
      </c>
      <c r="C143" s="75">
        <f>IF(H143=0,"",'[5]2025-2026'!C142)</f>
        <v>17132.28</v>
      </c>
      <c r="D143" s="75">
        <f>+'[5]2026'!C143</f>
        <v>10519.62</v>
      </c>
      <c r="E143" s="75">
        <f>+'[5]2026'!D143</f>
        <v>10397.19</v>
      </c>
      <c r="F143" s="20">
        <f>+'[5]2026'!E143</f>
        <v>624</v>
      </c>
      <c r="G143" s="73">
        <f>+'[5]2026'!F143</f>
        <v>10400</v>
      </c>
      <c r="H143" s="42">
        <f>+'[5]2026'!G143</f>
        <v>10481.15</v>
      </c>
      <c r="I143" s="13">
        <f>+'[5]2026'!H143</f>
        <v>10332.959999999999</v>
      </c>
      <c r="J143" s="14">
        <f>+'[5]2026'!I143</f>
        <v>648</v>
      </c>
      <c r="K143" s="15">
        <f>+'[5]2026'!J143</f>
        <v>138.97999999999999</v>
      </c>
      <c r="L143" s="15">
        <f>+'[5]2026'!K143</f>
        <v>138.97999999999999</v>
      </c>
      <c r="M143" s="15">
        <f>+'[5]2026'!L143</f>
        <v>295.52999999999997</v>
      </c>
      <c r="N143" s="16">
        <f t="shared" si="8"/>
        <v>2.8600710735355601E-2</v>
      </c>
      <c r="O143" s="17">
        <f t="shared" si="9"/>
        <v>-6.1776306867529955E-3</v>
      </c>
      <c r="P143" s="17">
        <f t="shared" si="9"/>
        <v>3.8461538461538464E-2</v>
      </c>
      <c r="Q143" s="18">
        <f t="shared" si="10"/>
        <v>74.348539358181029</v>
      </c>
      <c r="R143" s="18">
        <f t="shared" si="11"/>
        <v>74.348539358181029</v>
      </c>
      <c r="S143" s="33" t="s">
        <v>39</v>
      </c>
      <c r="T143" s="31" t="s">
        <v>42</v>
      </c>
      <c r="U143" s="1737" t="s">
        <v>103</v>
      </c>
    </row>
    <row r="144" spans="1:21">
      <c r="A144" s="10" t="s">
        <v>11</v>
      </c>
      <c r="B144" s="19">
        <f>+CHAMNORD!B144</f>
        <v>46161</v>
      </c>
      <c r="C144" s="75">
        <f>IF(H144=0,"",'[5]2025-2026'!C143)</f>
        <v>10519.62</v>
      </c>
      <c r="D144" s="75">
        <f>+'[5]2026'!C144</f>
        <v>11727.93</v>
      </c>
      <c r="E144" s="75">
        <f>+'[5]2026'!D144</f>
        <v>11562.16</v>
      </c>
      <c r="F144" s="20">
        <f>+'[5]2026'!E144</f>
        <v>734</v>
      </c>
      <c r="G144" s="73">
        <f>+'[5]2026'!F144</f>
        <v>11600</v>
      </c>
      <c r="H144" s="42">
        <f>+'[5]2026'!G144</f>
        <v>12024.68</v>
      </c>
      <c r="I144" s="13">
        <f>+'[5]2026'!H144</f>
        <v>11807.87</v>
      </c>
      <c r="J144" s="14">
        <f>+'[5]2026'!I144</f>
        <v>700</v>
      </c>
      <c r="K144" s="15">
        <f>+'[5]2026'!J144</f>
        <v>151.80000000000001</v>
      </c>
      <c r="L144" s="15">
        <f>+'[5]2026'!K144</f>
        <v>160.77000000000001</v>
      </c>
      <c r="M144" s="15">
        <f>+'[5]2026'!L144</f>
        <v>39.729999999999997</v>
      </c>
      <c r="N144" s="16">
        <f t="shared" si="8"/>
        <v>3.3647050653504819E-3</v>
      </c>
      <c r="O144" s="17">
        <f t="shared" si="9"/>
        <v>2.1251219495319294E-2</v>
      </c>
      <c r="P144" s="17">
        <f t="shared" si="9"/>
        <v>-4.632152588555858E-2</v>
      </c>
      <c r="Q144" s="18">
        <f t="shared" si="10"/>
        <v>77.785704874835304</v>
      </c>
      <c r="R144" s="18">
        <f t="shared" si="11"/>
        <v>73.445729924737208</v>
      </c>
      <c r="S144" s="34">
        <f>SUM(I143:I149)</f>
        <v>88832.16</v>
      </c>
      <c r="T144" s="45" t="s">
        <v>41</v>
      </c>
      <c r="U144" s="1738"/>
    </row>
    <row r="145" spans="1:21">
      <c r="A145" s="10" t="s">
        <v>12</v>
      </c>
      <c r="B145" s="19">
        <f>+CHAMNORD!B145</f>
        <v>46162</v>
      </c>
      <c r="C145" s="75">
        <f>IF(H145=0,"",'[5]2025-2026'!C144)</f>
        <v>11727.93</v>
      </c>
      <c r="D145" s="75">
        <f>+'[5]2026'!C145</f>
        <v>14478.91</v>
      </c>
      <c r="E145" s="75">
        <f>+'[5]2026'!D145</f>
        <v>14287.28</v>
      </c>
      <c r="F145" s="20">
        <f>+'[5]2026'!E145</f>
        <v>854</v>
      </c>
      <c r="G145" s="73">
        <f>+'[5]2026'!F145</f>
        <v>14300</v>
      </c>
      <c r="H145" s="42">
        <f>+'[5]2026'!G145</f>
        <v>12384.58</v>
      </c>
      <c r="I145" s="13">
        <f>+'[5]2026'!H145</f>
        <v>12174.54</v>
      </c>
      <c r="J145" s="14">
        <f>+'[5]2026'!I145</f>
        <v>761</v>
      </c>
      <c r="K145" s="15">
        <f>+'[5]2026'!J145</f>
        <v>179.42</v>
      </c>
      <c r="L145" s="15">
        <f>+'[5]2026'!K145</f>
        <v>187.7</v>
      </c>
      <c r="M145" s="15">
        <f>+'[5]2026'!L145</f>
        <v>82.19</v>
      </c>
      <c r="N145" s="16">
        <f t="shared" si="8"/>
        <v>6.7509737534231264E-3</v>
      </c>
      <c r="O145" s="17">
        <f t="shared" si="9"/>
        <v>-0.14787559283502527</v>
      </c>
      <c r="P145" s="17">
        <f t="shared" si="9"/>
        <v>-0.10889929742388758</v>
      </c>
      <c r="Q145" s="18">
        <f t="shared" si="10"/>
        <v>67.85497714858991</v>
      </c>
      <c r="R145" s="18">
        <f t="shared" si="11"/>
        <v>64.861694192860952</v>
      </c>
      <c r="S145" s="35">
        <f>(S144-SUM(E143:E149))/SUM(E143:E149)</f>
        <v>-9.431109061134485E-2</v>
      </c>
      <c r="T145" s="48">
        <f>SUM(I143:I149)/SUM(K143:K149)</f>
        <v>78.686342941166046</v>
      </c>
      <c r="U145" s="1738"/>
    </row>
    <row r="146" spans="1:21">
      <c r="A146" s="10" t="s">
        <v>13</v>
      </c>
      <c r="B146" s="19">
        <f>+CHAMNORD!B146</f>
        <v>46163</v>
      </c>
      <c r="C146" s="75">
        <f>IF(H146=0,"",'[5]2025-2026'!C145)</f>
        <v>14478.91</v>
      </c>
      <c r="D146" s="75">
        <f>+'[5]2026'!C146</f>
        <v>10486.24</v>
      </c>
      <c r="E146" s="75">
        <f>+'[5]2026'!D146</f>
        <v>10377.14</v>
      </c>
      <c r="F146" s="20">
        <f>+'[5]2026'!E146</f>
        <v>680</v>
      </c>
      <c r="G146" s="73">
        <f>+'[5]2026'!F146</f>
        <v>11800</v>
      </c>
      <c r="H146" s="42">
        <f>+'[5]2026'!G146</f>
        <v>11072.52</v>
      </c>
      <c r="I146" s="13">
        <f>+'[5]2026'!H146</f>
        <v>10888.93</v>
      </c>
      <c r="J146" s="14">
        <f>+'[5]2026'!I146</f>
        <v>688</v>
      </c>
      <c r="K146" s="15">
        <f>+'[5]2026'!J146</f>
        <v>148.45000000000002</v>
      </c>
      <c r="L146" s="15">
        <f>+'[5]2026'!K146</f>
        <v>165.43</v>
      </c>
      <c r="M146" s="15">
        <f>+'[5]2026'!L146</f>
        <v>54.31</v>
      </c>
      <c r="N146" s="16">
        <f t="shared" si="8"/>
        <v>4.9876342303605591E-3</v>
      </c>
      <c r="O146" s="17">
        <f t="shared" si="9"/>
        <v>4.9318983843332644E-2</v>
      </c>
      <c r="P146" s="17">
        <f t="shared" si="9"/>
        <v>1.1764705882352941E-2</v>
      </c>
      <c r="Q146" s="18">
        <f t="shared" si="10"/>
        <v>73.350825193667902</v>
      </c>
      <c r="R146" s="18">
        <f t="shared" si="11"/>
        <v>65.821979084809286</v>
      </c>
      <c r="S146" s="34"/>
      <c r="T146" s="29" t="s">
        <v>8</v>
      </c>
      <c r="U146" s="1738"/>
    </row>
    <row r="147" spans="1:21">
      <c r="A147" s="10" t="s">
        <v>14</v>
      </c>
      <c r="B147" s="19">
        <f>+CHAMNORD!B147</f>
        <v>46164</v>
      </c>
      <c r="C147" s="75">
        <f>IF(H147=0,"",'[5]2025-2026'!C146)</f>
        <v>10486.24</v>
      </c>
      <c r="D147" s="75">
        <f>+'[5]2026'!C147</f>
        <v>18850.71</v>
      </c>
      <c r="E147" s="75">
        <f>+'[5]2026'!D147</f>
        <v>18677.919999999998</v>
      </c>
      <c r="F147" s="20">
        <f>+'[5]2026'!E147</f>
        <v>1063</v>
      </c>
      <c r="G147" s="73">
        <f>+'[5]2026'!F147</f>
        <v>20200</v>
      </c>
      <c r="H147" s="42">
        <f>+'[5]2026'!G147</f>
        <v>15686.66</v>
      </c>
      <c r="I147" s="13">
        <f>+'[5]2026'!H147</f>
        <v>15439.87</v>
      </c>
      <c r="J147" s="14">
        <f>+'[5]2026'!I147</f>
        <v>864</v>
      </c>
      <c r="K147" s="15">
        <f>+'[5]2026'!J147</f>
        <v>188.3</v>
      </c>
      <c r="L147" s="15">
        <f>+'[5]2026'!K147</f>
        <v>206.12</v>
      </c>
      <c r="M147" s="15">
        <f>+'[5]2026'!L147</f>
        <v>80.3</v>
      </c>
      <c r="N147" s="16">
        <f t="shared" si="8"/>
        <v>5.2008209913684501E-3</v>
      </c>
      <c r="O147" s="17">
        <f t="shared" si="9"/>
        <v>-0.17336245149352808</v>
      </c>
      <c r="P147" s="17">
        <f t="shared" si="9"/>
        <v>-0.18720602069614301</v>
      </c>
      <c r="Q147" s="18">
        <f t="shared" si="10"/>
        <v>81.996123207647372</v>
      </c>
      <c r="R147" s="18">
        <f t="shared" si="11"/>
        <v>74.907189986415688</v>
      </c>
      <c r="S147" s="36" t="s">
        <v>40</v>
      </c>
      <c r="T147" s="48">
        <f>SUM(I143:I149)/SUM(L143:L149)</f>
        <v>74.073095684803008</v>
      </c>
      <c r="U147" s="1738"/>
    </row>
    <row r="148" spans="1:21">
      <c r="A148" s="10" t="s">
        <v>15</v>
      </c>
      <c r="B148" s="19">
        <f>+CHAMNORD!B148</f>
        <v>46165</v>
      </c>
      <c r="C148" s="75">
        <f>IF(H148=0,"",'[5]2025-2026'!C147)</f>
        <v>18850.71</v>
      </c>
      <c r="D148" s="75">
        <f>+'[5]2026'!C148</f>
        <v>17839.93</v>
      </c>
      <c r="E148" s="75">
        <f>+'[5]2026'!D148</f>
        <v>17567.669999999998</v>
      </c>
      <c r="F148" s="20">
        <f>+'[5]2026'!E148</f>
        <v>933</v>
      </c>
      <c r="G148" s="73">
        <f>+'[5]2026'!F148</f>
        <v>15400</v>
      </c>
      <c r="H148" s="42">
        <f>+'[5]2026'!G148</f>
        <v>14147.05</v>
      </c>
      <c r="I148" s="13">
        <f>+'[5]2026'!H148</f>
        <v>13933.3</v>
      </c>
      <c r="J148" s="14">
        <f>+'[5]2026'!I148</f>
        <v>766</v>
      </c>
      <c r="K148" s="15">
        <f>+'[5]2026'!J148</f>
        <v>167.85</v>
      </c>
      <c r="L148" s="15">
        <f>+'[5]2026'!K148</f>
        <v>176.53</v>
      </c>
      <c r="M148" s="15">
        <f>+'[5]2026'!L148</f>
        <v>68.209999999999994</v>
      </c>
      <c r="N148" s="16">
        <f t="shared" si="8"/>
        <v>4.8954662570963089E-3</v>
      </c>
      <c r="O148" s="17">
        <f t="shared" si="9"/>
        <v>-0.20687831681719882</v>
      </c>
      <c r="P148" s="17">
        <f t="shared" si="9"/>
        <v>-0.17899249732047159</v>
      </c>
      <c r="Q148" s="18">
        <f t="shared" si="10"/>
        <v>83.010425975573426</v>
      </c>
      <c r="R148" s="18">
        <f t="shared" si="11"/>
        <v>78.928793972695857</v>
      </c>
      <c r="S148" s="36">
        <f>SUM(J143:J149)</f>
        <v>5153</v>
      </c>
      <c r="T148" s="30" t="s">
        <v>3</v>
      </c>
      <c r="U148" s="1738"/>
    </row>
    <row r="149" spans="1:21" ht="18" thickBot="1">
      <c r="A149" s="10" t="s">
        <v>16</v>
      </c>
      <c r="B149" s="19">
        <f>+CHAMNORD!B149</f>
        <v>46166</v>
      </c>
      <c r="C149" s="75">
        <f>IF(H149=0,"",'[5]2025-2026'!C148)</f>
        <v>17839.93</v>
      </c>
      <c r="D149" s="75">
        <f>+'[5]2026'!C149</f>
        <v>15496.28</v>
      </c>
      <c r="E149" s="75">
        <f>+'[5]2026'!D149</f>
        <v>15213.06</v>
      </c>
      <c r="F149" s="20">
        <f>+'[5]2026'!E149</f>
        <v>725</v>
      </c>
      <c r="G149" s="73">
        <f>+'[5]2026'!F149</f>
        <v>15200</v>
      </c>
      <c r="H149" s="42">
        <f>+'[5]2026'!G149</f>
        <v>14571.09</v>
      </c>
      <c r="I149" s="13">
        <f>+'[5]2026'!H149</f>
        <v>14254.69</v>
      </c>
      <c r="J149" s="14">
        <f>+'[5]2026'!I149</f>
        <v>726</v>
      </c>
      <c r="K149" s="15">
        <f>+'[5]2026'!J149</f>
        <v>154.13999999999999</v>
      </c>
      <c r="L149" s="15">
        <f>+'[5]2026'!K149</f>
        <v>163.72</v>
      </c>
      <c r="M149" s="15">
        <f>+'[5]2026'!L149</f>
        <v>56.82</v>
      </c>
      <c r="N149" s="16">
        <f t="shared" si="8"/>
        <v>3.9860565189421869E-3</v>
      </c>
      <c r="O149" s="17">
        <f t="shared" si="9"/>
        <v>-6.2996530612513132E-2</v>
      </c>
      <c r="P149" s="17">
        <f t="shared" si="9"/>
        <v>1.3793103448275861E-3</v>
      </c>
      <c r="Q149" s="18">
        <f t="shared" si="10"/>
        <v>92.478850395744146</v>
      </c>
      <c r="R149" s="18">
        <f t="shared" si="11"/>
        <v>87.067493281211824</v>
      </c>
      <c r="S149" s="37">
        <f>(S148-SUM(F143:F149))/SUM(F143:F149)</f>
        <v>-8.1952610012471047E-2</v>
      </c>
      <c r="T149" s="47">
        <f>SUM(M143:M149)/SUM(I143:I149)</f>
        <v>7.6221269414140109E-3</v>
      </c>
      <c r="U149" s="1739"/>
    </row>
    <row r="150" spans="1:21" ht="17" customHeight="1" thickTop="1">
      <c r="A150" s="10" t="s">
        <v>9</v>
      </c>
      <c r="B150" s="19">
        <f>+CHAMNORD!B150</f>
        <v>46167</v>
      </c>
      <c r="C150" s="75">
        <f>IF(H150=0,"",'[5]2025-2026'!C149)</f>
        <v>15496.28</v>
      </c>
      <c r="D150" s="75">
        <f>+'[5]2026'!C150</f>
        <v>11384.93</v>
      </c>
      <c r="E150" s="75">
        <f>+'[5]2026'!D150</f>
        <v>11275.8</v>
      </c>
      <c r="F150" s="20">
        <f>+'[5]2026'!E150</f>
        <v>699</v>
      </c>
      <c r="G150" s="73">
        <f>+'[5]2026'!F150</f>
        <v>18600</v>
      </c>
      <c r="H150" s="42">
        <f>+'[5]2026'!G150</f>
        <v>15139.1</v>
      </c>
      <c r="I150" s="13">
        <f>+'[5]2026'!H150</f>
        <v>14905.21</v>
      </c>
      <c r="J150" s="14">
        <f>+'[5]2026'!I150</f>
        <v>766</v>
      </c>
      <c r="K150" s="15">
        <f>+'[5]2026'!J150</f>
        <v>153.44999999999999</v>
      </c>
      <c r="L150" s="15">
        <f>+'[5]2026'!K150</f>
        <v>162.72999999999999</v>
      </c>
      <c r="M150" s="15">
        <f>+'[5]2026'!L150</f>
        <v>69.92</v>
      </c>
      <c r="N150" s="16">
        <f t="shared" si="8"/>
        <v>4.6909771818042147E-3</v>
      </c>
      <c r="O150" s="17">
        <f t="shared" si="9"/>
        <v>0.32187605314035367</v>
      </c>
      <c r="P150" s="17">
        <f t="shared" si="9"/>
        <v>9.5851216022889846E-2</v>
      </c>
      <c r="Q150" s="18">
        <f t="shared" si="10"/>
        <v>97.133985011404363</v>
      </c>
      <c r="R150" s="18">
        <f t="shared" si="11"/>
        <v>91.594727462668217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19">
        <f>+CHAMNORD!B151</f>
        <v>46168</v>
      </c>
      <c r="C151" s="75">
        <f>IF(H151=0,"",'[5]2025-2026'!C150)</f>
        <v>11384.93</v>
      </c>
      <c r="D151" s="75">
        <f>+'[5]2026'!C151</f>
        <v>14016.98</v>
      </c>
      <c r="E151" s="75">
        <f>+'[5]2026'!D151</f>
        <v>13870.96</v>
      </c>
      <c r="F151" s="20">
        <f>+'[5]2026'!E151</f>
        <v>856</v>
      </c>
      <c r="G151" s="73">
        <f>+'[5]2026'!F151</f>
        <v>11400</v>
      </c>
      <c r="H151" s="42">
        <f>+'[5]2026'!G151</f>
        <v>10679.47</v>
      </c>
      <c r="I151" s="13">
        <f>+'[5]2026'!H151</f>
        <v>10505.94</v>
      </c>
      <c r="J151" s="14">
        <f>+'[5]2026'!I151</f>
        <v>630</v>
      </c>
      <c r="K151" s="15">
        <f>+'[5]2026'!J151</f>
        <v>142.60000000000002</v>
      </c>
      <c r="L151" s="15">
        <f>+'[5]2026'!K151</f>
        <v>151.77000000000001</v>
      </c>
      <c r="M151" s="15">
        <f>+'[5]2026'!L151</f>
        <v>82.48</v>
      </c>
      <c r="N151" s="16">
        <f t="shared" si="8"/>
        <v>7.8507967873412566E-3</v>
      </c>
      <c r="O151" s="17">
        <f t="shared" si="9"/>
        <v>-0.24259460051791648</v>
      </c>
      <c r="P151" s="17">
        <f t="shared" si="9"/>
        <v>-0.26401869158878505</v>
      </c>
      <c r="Q151" s="18">
        <f t="shared" si="10"/>
        <v>73.674193548387095</v>
      </c>
      <c r="R151" s="18">
        <f t="shared" si="11"/>
        <v>69.222771298675625</v>
      </c>
      <c r="S151" s="34">
        <f>SUM(I150:I156)</f>
        <v>101722.38</v>
      </c>
      <c r="T151" s="45" t="s">
        <v>41</v>
      </c>
      <c r="U151" s="1738"/>
    </row>
    <row r="152" spans="1:21">
      <c r="A152" s="10" t="s">
        <v>12</v>
      </c>
      <c r="B152" s="19">
        <f>+CHAMNORD!B152</f>
        <v>46169</v>
      </c>
      <c r="C152" s="75">
        <f>IF(H152=0,"",'[5]2025-2026'!C151)</f>
        <v>14016.98</v>
      </c>
      <c r="D152" s="75">
        <f>+'[5]2026'!C152</f>
        <v>17970.259999999998</v>
      </c>
      <c r="E152" s="75">
        <f>+'[5]2026'!D152</f>
        <v>17714.11</v>
      </c>
      <c r="F152" s="20">
        <f>+'[5]2026'!E152</f>
        <v>949</v>
      </c>
      <c r="G152" s="73">
        <f>+'[5]2026'!F152</f>
        <v>15500</v>
      </c>
      <c r="H152" s="42">
        <f>+'[5]2026'!G152</f>
        <v>13522.8</v>
      </c>
      <c r="I152" s="13">
        <f>+'[5]2026'!H152</f>
        <v>13260.49</v>
      </c>
      <c r="J152" s="14">
        <f>+'[5]2026'!I152</f>
        <v>779</v>
      </c>
      <c r="K152" s="15">
        <f>+'[5]2026'!J152</f>
        <v>187.95</v>
      </c>
      <c r="L152" s="15">
        <f>+'[5]2026'!K152</f>
        <v>206.35</v>
      </c>
      <c r="M152" s="15">
        <f>+'[5]2026'!L152</f>
        <v>120.97</v>
      </c>
      <c r="N152" s="16">
        <f t="shared" si="8"/>
        <v>9.1225889842683032E-3</v>
      </c>
      <c r="O152" s="17">
        <f t="shared" si="9"/>
        <v>-0.25141652614779975</v>
      </c>
      <c r="P152" s="17">
        <f t="shared" si="9"/>
        <v>-0.1791359325605901</v>
      </c>
      <c r="Q152" s="18">
        <f t="shared" si="10"/>
        <v>70.553285448257512</v>
      </c>
      <c r="R152" s="18">
        <f t="shared" si="11"/>
        <v>64.262127453355944</v>
      </c>
      <c r="S152" s="35">
        <f>(S151-SUM(E150:E156))/SUM(E150:E156)</f>
        <v>-3.950042348995373E-2</v>
      </c>
      <c r="T152" s="48">
        <f>SUM(I150:I156)/SUM(K150:K156)</f>
        <v>91.915044727568443</v>
      </c>
      <c r="U152" s="1738"/>
    </row>
    <row r="153" spans="1:21">
      <c r="A153" s="10" t="s">
        <v>13</v>
      </c>
      <c r="B153" s="19">
        <f>+CHAMNORD!B153</f>
        <v>46170</v>
      </c>
      <c r="C153" s="75">
        <f>IF(H153=0,"",'[5]2025-2026'!C152)</f>
        <v>17970.259999999998</v>
      </c>
      <c r="D153" s="75">
        <f>+'[5]2026'!C153</f>
        <v>14813.47</v>
      </c>
      <c r="E153" s="75">
        <f>+'[5]2026'!D153</f>
        <v>14629.48</v>
      </c>
      <c r="F153" s="20">
        <f>+'[5]2026'!E153</f>
        <v>781</v>
      </c>
      <c r="G153" s="73">
        <f>+'[5]2026'!F153</f>
        <v>13600</v>
      </c>
      <c r="H153" s="42">
        <f>+'[5]2026'!G153</f>
        <v>11460.29</v>
      </c>
      <c r="I153" s="13">
        <f>+'[5]2026'!H153</f>
        <v>11319.19</v>
      </c>
      <c r="J153" s="14">
        <f>+'[5]2026'!I153</f>
        <v>689</v>
      </c>
      <c r="K153" s="15">
        <f>+'[5]2026'!J153</f>
        <v>131.91</v>
      </c>
      <c r="L153" s="15">
        <f>+'[5]2026'!K153</f>
        <v>141.18</v>
      </c>
      <c r="M153" s="15">
        <f>+'[5]2026'!L153</f>
        <v>69.2</v>
      </c>
      <c r="N153" s="16">
        <f t="shared" si="8"/>
        <v>6.1135116558693687E-3</v>
      </c>
      <c r="O153" s="17">
        <f t="shared" si="9"/>
        <v>-0.22627530165118645</v>
      </c>
      <c r="P153" s="17">
        <f t="shared" si="9"/>
        <v>-0.117797695262484</v>
      </c>
      <c r="Q153" s="18">
        <f t="shared" si="10"/>
        <v>85.809946175422638</v>
      </c>
      <c r="R153" s="18">
        <f t="shared" si="11"/>
        <v>80.175591443547248</v>
      </c>
      <c r="S153" s="34"/>
      <c r="T153" s="29" t="s">
        <v>8</v>
      </c>
      <c r="U153" s="1738"/>
    </row>
    <row r="154" spans="1:21">
      <c r="A154" s="10" t="s">
        <v>14</v>
      </c>
      <c r="B154" s="19">
        <f>+CHAMNORD!B154</f>
        <v>46171</v>
      </c>
      <c r="C154" s="75">
        <f>IF(H154=0,"",'[5]2025-2026'!C153)</f>
        <v>14813.47</v>
      </c>
      <c r="D154" s="75">
        <f>+'[5]2026'!C154</f>
        <v>15369.01</v>
      </c>
      <c r="E154" s="75">
        <f>+'[5]2026'!D154</f>
        <v>15147.5</v>
      </c>
      <c r="F154" s="20">
        <f>+'[5]2026'!E154</f>
        <v>832</v>
      </c>
      <c r="G154" s="73">
        <f>+'[5]2026'!F154</f>
        <v>17200</v>
      </c>
      <c r="H154" s="42">
        <f>+'[5]2026'!G154</f>
        <v>17213.77</v>
      </c>
      <c r="I154" s="13">
        <f>+'[5]2026'!H154</f>
        <v>16840.18</v>
      </c>
      <c r="J154" s="14">
        <f>+'[5]2026'!I154</f>
        <v>971</v>
      </c>
      <c r="K154" s="15">
        <f>+'[5]2026'!J154</f>
        <v>192.56000000000003</v>
      </c>
      <c r="L154" s="15">
        <f>+'[5]2026'!K154</f>
        <v>193.68</v>
      </c>
      <c r="M154" s="15">
        <f>+'[5]2026'!L154</f>
        <v>92.25</v>
      </c>
      <c r="N154" s="16">
        <f t="shared" si="8"/>
        <v>5.4779699504399594E-3</v>
      </c>
      <c r="O154" s="17">
        <f t="shared" si="9"/>
        <v>0.11174649282059748</v>
      </c>
      <c r="P154" s="17">
        <f t="shared" si="9"/>
        <v>0.16706730769230768</v>
      </c>
      <c r="Q154" s="18">
        <f t="shared" si="10"/>
        <v>87.454196094723713</v>
      </c>
      <c r="R154" s="18">
        <f t="shared" si="11"/>
        <v>86.948471705906655</v>
      </c>
      <c r="S154" s="36" t="s">
        <v>40</v>
      </c>
      <c r="T154" s="48">
        <f>SUM(I150:I156)/SUM(L150:L156)</f>
        <v>86.184225910581304</v>
      </c>
      <c r="U154" s="1738"/>
    </row>
    <row r="155" spans="1:21">
      <c r="A155" s="10" t="s">
        <v>15</v>
      </c>
      <c r="B155" s="19">
        <f>+CHAMNORD!B155</f>
        <v>46172</v>
      </c>
      <c r="C155" s="75">
        <f>IF(H155=0,"",'[5]2025-2026'!C154)</f>
        <v>15369.01</v>
      </c>
      <c r="D155" s="75">
        <f>+'[5]2026'!C155</f>
        <v>13379.8</v>
      </c>
      <c r="E155" s="75">
        <f>+'[5]2026'!D155</f>
        <v>13200.86</v>
      </c>
      <c r="F155" s="20">
        <f>+'[5]2026'!E155</f>
        <v>724</v>
      </c>
      <c r="G155" s="73">
        <f>+'[5]2026'!F155</f>
        <v>17000</v>
      </c>
      <c r="H155" s="42">
        <f>+'[5]2026'!G155</f>
        <v>18975.09</v>
      </c>
      <c r="I155" s="13">
        <f>+'[5]2026'!H155</f>
        <v>18640.23</v>
      </c>
      <c r="J155" s="14">
        <f>+'[5]2026'!I155</f>
        <v>990</v>
      </c>
      <c r="K155" s="15">
        <f>+'[5]2026'!J155</f>
        <v>154.58000000000001</v>
      </c>
      <c r="L155" s="15">
        <f>+'[5]2026'!K155</f>
        <v>171.25</v>
      </c>
      <c r="M155" s="15">
        <f>+'[5]2026'!L155</f>
        <v>66.75</v>
      </c>
      <c r="N155" s="16">
        <f t="shared" si="8"/>
        <v>3.5809643979714842E-3</v>
      </c>
      <c r="O155" s="17">
        <f t="shared" si="9"/>
        <v>0.4120466393856157</v>
      </c>
      <c r="P155" s="17">
        <f t="shared" si="9"/>
        <v>0.36740331491712708</v>
      </c>
      <c r="Q155" s="18">
        <f t="shared" si="10"/>
        <v>120.58629835683787</v>
      </c>
      <c r="R155" s="18">
        <f t="shared" si="11"/>
        <v>108.84805839416057</v>
      </c>
      <c r="S155" s="36">
        <f>SUM(J150:J156)</f>
        <v>5584</v>
      </c>
      <c r="T155" s="30" t="s">
        <v>3</v>
      </c>
      <c r="U155" s="1738"/>
    </row>
    <row r="156" spans="1:21" ht="18" thickBot="1">
      <c r="A156" s="10" t="s">
        <v>16</v>
      </c>
      <c r="B156" s="19">
        <f>+CHAMNORD!B156</f>
        <v>46173</v>
      </c>
      <c r="C156" s="75">
        <f>IF(H156=0,"",'[5]2025-2026'!C155)</f>
        <v>13379.8</v>
      </c>
      <c r="D156" s="75">
        <f>+'[5]2026'!C156</f>
        <v>20373.48</v>
      </c>
      <c r="E156" s="75">
        <f>+'[5]2026'!D156</f>
        <v>20066.990000000002</v>
      </c>
      <c r="F156" s="20">
        <f>+'[5]2026'!E156</f>
        <v>949</v>
      </c>
      <c r="G156" s="73">
        <f>+'[5]2026'!F156</f>
        <v>19600</v>
      </c>
      <c r="H156" s="42">
        <f>+'[5]2026'!G156</f>
        <v>16558.990000000002</v>
      </c>
      <c r="I156" s="13">
        <f>+'[5]2026'!H156</f>
        <v>16251.14</v>
      </c>
      <c r="J156" s="14">
        <f>+'[5]2026'!I156</f>
        <v>759</v>
      </c>
      <c r="K156" s="15">
        <f>+'[5]2026'!J156</f>
        <v>143.65</v>
      </c>
      <c r="L156" s="15">
        <f>+'[5]2026'!K156</f>
        <v>153.33000000000001</v>
      </c>
      <c r="M156" s="15">
        <f>+'[5]2026'!L156</f>
        <v>185.73</v>
      </c>
      <c r="N156" s="16">
        <f t="shared" si="8"/>
        <v>1.1428736691702858E-2</v>
      </c>
      <c r="O156" s="17">
        <f t="shared" si="9"/>
        <v>-0.1901555739052046</v>
      </c>
      <c r="P156" s="17">
        <f t="shared" si="9"/>
        <v>-0.20021074815595363</v>
      </c>
      <c r="Q156" s="18">
        <f t="shared" si="10"/>
        <v>113.13010790114862</v>
      </c>
      <c r="R156" s="18">
        <f t="shared" si="11"/>
        <v>105.98799973912475</v>
      </c>
      <c r="S156" s="37">
        <f>(S155-SUM(F150:F156))/SUM(F150:F156)</f>
        <v>-3.5578583765112262E-2</v>
      </c>
      <c r="T156" s="47">
        <f>SUM(M150:M156)/SUM(I150:I156)</f>
        <v>6.7566252382219123E-3</v>
      </c>
      <c r="U156" s="1739"/>
    </row>
    <row r="157" spans="1:21" ht="17" customHeight="1" thickTop="1">
      <c r="A157" s="10" t="s">
        <v>9</v>
      </c>
      <c r="B157" s="19">
        <f>+CHAMNORD!B157</f>
        <v>46174</v>
      </c>
      <c r="C157" s="75">
        <f>IF(H157=0,"",'[5]2025-2026'!C156)</f>
        <v>20373.48</v>
      </c>
      <c r="D157" s="75">
        <f>+'[5]2026'!C157</f>
        <v>11972.96</v>
      </c>
      <c r="E157" s="75">
        <f>+'[5]2026'!D157</f>
        <v>11791.76</v>
      </c>
      <c r="F157" s="20">
        <f>+'[5]2026'!E157</f>
        <v>692</v>
      </c>
      <c r="G157" s="73">
        <f>+'[5]2026'!F157</f>
        <v>10800</v>
      </c>
      <c r="H157" s="42">
        <f>+'[5]2026'!G157</f>
        <v>11172.19</v>
      </c>
      <c r="I157" s="13">
        <f>+'[5]2026'!H157</f>
        <v>11015.45</v>
      </c>
      <c r="J157" s="14">
        <f>+'[5]2026'!I157</f>
        <v>677</v>
      </c>
      <c r="K157" s="15">
        <f>+'[5]2026'!J157</f>
        <v>135.62</v>
      </c>
      <c r="L157" s="15">
        <f>+'[5]2026'!K157</f>
        <v>144.55000000000001</v>
      </c>
      <c r="M157" s="15">
        <f>+'[5]2026'!L157</f>
        <v>97.03</v>
      </c>
      <c r="N157" s="16">
        <f t="shared" si="8"/>
        <v>8.8085371001638598E-3</v>
      </c>
      <c r="O157" s="17">
        <f t="shared" si="9"/>
        <v>-6.5834955935331063E-2</v>
      </c>
      <c r="P157" s="17">
        <f t="shared" si="9"/>
        <v>-2.1676300578034682E-2</v>
      </c>
      <c r="Q157" s="18">
        <f t="shared" si="10"/>
        <v>81.222902226810206</v>
      </c>
      <c r="R157" s="18">
        <f t="shared" si="11"/>
        <v>76.205119335869938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19">
        <f>+CHAMNORD!B158</f>
        <v>46175</v>
      </c>
      <c r="C158" s="75">
        <f>IF(H158=0,"",'[5]2025-2026'!C157)</f>
        <v>11972.96</v>
      </c>
      <c r="D158" s="75">
        <f>+'[5]2026'!C158</f>
        <v>13432.34</v>
      </c>
      <c r="E158" s="75">
        <f>+'[5]2026'!D158</f>
        <v>13285.7</v>
      </c>
      <c r="F158" s="20">
        <f>+'[5]2026'!E158</f>
        <v>811</v>
      </c>
      <c r="G158" s="73">
        <f>+'[5]2026'!F158</f>
        <v>12000</v>
      </c>
      <c r="H158" s="42">
        <f>+'[5]2026'!G158</f>
        <v>12502.26</v>
      </c>
      <c r="I158" s="13">
        <f>+'[5]2026'!H158</f>
        <v>12268.66</v>
      </c>
      <c r="J158" s="14">
        <f>+'[5]2026'!I158</f>
        <v>704</v>
      </c>
      <c r="K158" s="15">
        <f>+'[5]2026'!J158</f>
        <v>136.41</v>
      </c>
      <c r="L158" s="15">
        <f>+'[5]2026'!K158</f>
        <v>153.68</v>
      </c>
      <c r="M158" s="15">
        <f>+'[5]2026'!L158</f>
        <v>70.2</v>
      </c>
      <c r="N158" s="16">
        <f t="shared" si="8"/>
        <v>5.7218962788112152E-3</v>
      </c>
      <c r="O158" s="17">
        <f t="shared" si="9"/>
        <v>-7.6551480162881963E-2</v>
      </c>
      <c r="P158" s="17">
        <f t="shared" si="9"/>
        <v>-0.13193588162762021</v>
      </c>
      <c r="Q158" s="18">
        <f t="shared" si="10"/>
        <v>89.93959387141706</v>
      </c>
      <c r="R158" s="18">
        <f t="shared" si="11"/>
        <v>79.832509109838625</v>
      </c>
      <c r="S158" s="34">
        <f>SUM(I157:I163)</f>
        <v>106221.75999999999</v>
      </c>
      <c r="T158" s="45" t="s">
        <v>41</v>
      </c>
      <c r="U158" s="1738"/>
    </row>
    <row r="159" spans="1:21">
      <c r="A159" s="10" t="s">
        <v>12</v>
      </c>
      <c r="B159" s="19">
        <f>+CHAMNORD!B159</f>
        <v>46176</v>
      </c>
      <c r="C159" s="75">
        <f>IF(H159=0,"",'[5]2025-2026'!C158)</f>
        <v>13432.34</v>
      </c>
      <c r="D159" s="75">
        <f>+'[5]2026'!C159</f>
        <v>16144.49</v>
      </c>
      <c r="E159" s="75">
        <f>+'[5]2026'!D159</f>
        <v>15879.44</v>
      </c>
      <c r="F159" s="20">
        <f>+'[5]2026'!E159</f>
        <v>943</v>
      </c>
      <c r="G159" s="73">
        <f>+'[5]2026'!F159</f>
        <v>15000</v>
      </c>
      <c r="H159" s="42">
        <f>+'[5]2026'!G159</f>
        <v>15467.75</v>
      </c>
      <c r="I159" s="13">
        <f>+'[5]2026'!H159</f>
        <v>15096.11</v>
      </c>
      <c r="J159" s="14">
        <f>+'[5]2026'!I159</f>
        <v>912</v>
      </c>
      <c r="K159" s="15">
        <f>+'[5]2026'!J159</f>
        <v>181.07</v>
      </c>
      <c r="L159" s="15">
        <f>+'[5]2026'!K159</f>
        <v>198.12</v>
      </c>
      <c r="M159" s="15">
        <f>+'[5]2026'!L159</f>
        <v>111.16</v>
      </c>
      <c r="N159" s="16">
        <f t="shared" si="8"/>
        <v>7.3634863550941267E-3</v>
      </c>
      <c r="O159" s="17">
        <f t="shared" si="9"/>
        <v>-4.932982523313164E-2</v>
      </c>
      <c r="P159" s="17">
        <f t="shared" si="9"/>
        <v>-3.2873806998939555E-2</v>
      </c>
      <c r="Q159" s="18">
        <f t="shared" si="10"/>
        <v>83.371679460981952</v>
      </c>
      <c r="R159" s="18">
        <f t="shared" si="11"/>
        <v>76.19679991924086</v>
      </c>
      <c r="S159" s="35">
        <f>(S158-SUM(E157:E163))/SUM(E157:E163)</f>
        <v>-7.4650477703122248E-2</v>
      </c>
      <c r="T159" s="48">
        <f>SUM(I157:I163)/SUM(K157:K163)</f>
        <v>95.349957810452239</v>
      </c>
      <c r="U159" s="1738"/>
    </row>
    <row r="160" spans="1:21">
      <c r="A160" s="10" t="s">
        <v>13</v>
      </c>
      <c r="B160" s="19">
        <f>+CHAMNORD!B160</f>
        <v>46177</v>
      </c>
      <c r="C160" s="75">
        <f>IF(H160=0,"",'[5]2025-2026'!C159)</f>
        <v>16144.49</v>
      </c>
      <c r="D160" s="75">
        <f>+'[5]2026'!C160</f>
        <v>16527.82</v>
      </c>
      <c r="E160" s="75">
        <f>+'[5]2026'!D160</f>
        <v>16293.23</v>
      </c>
      <c r="F160" s="20">
        <f>+'[5]2026'!E160</f>
        <v>940</v>
      </c>
      <c r="G160" s="73">
        <f>+'[5]2026'!F160</f>
        <v>12000</v>
      </c>
      <c r="H160" s="42">
        <f>+'[5]2026'!G160</f>
        <v>12174.59</v>
      </c>
      <c r="I160" s="13">
        <f>+'[5]2026'!H160</f>
        <v>11928.19</v>
      </c>
      <c r="J160" s="14">
        <f>+'[5]2026'!I160</f>
        <v>727</v>
      </c>
      <c r="K160" s="15">
        <f>+'[5]2026'!J160</f>
        <v>151.29999999999998</v>
      </c>
      <c r="L160" s="15">
        <f>+'[5]2026'!K160</f>
        <v>168.17</v>
      </c>
      <c r="M160" s="15">
        <f>+'[5]2026'!L160</f>
        <v>63.64</v>
      </c>
      <c r="N160" s="16">
        <f t="shared" si="8"/>
        <v>5.3352604209020811E-3</v>
      </c>
      <c r="O160" s="17">
        <f t="shared" si="9"/>
        <v>-0.26790513605957805</v>
      </c>
      <c r="P160" s="17">
        <f t="shared" si="9"/>
        <v>-0.22659574468085106</v>
      </c>
      <c r="Q160" s="18">
        <f t="shared" si="10"/>
        <v>78.838003965631202</v>
      </c>
      <c r="R160" s="18">
        <f t="shared" si="11"/>
        <v>70.92935719807339</v>
      </c>
      <c r="S160" s="34"/>
      <c r="T160" s="29" t="s">
        <v>8</v>
      </c>
      <c r="U160" s="1738"/>
    </row>
    <row r="161" spans="1:21">
      <c r="A161" s="10" t="s">
        <v>14</v>
      </c>
      <c r="B161" s="19">
        <f>+CHAMNORD!B161</f>
        <v>46178</v>
      </c>
      <c r="C161" s="75">
        <f>IF(H161=0,"",'[5]2025-2026'!C160)</f>
        <v>16527.82</v>
      </c>
      <c r="D161" s="75">
        <f>+'[5]2026'!C161</f>
        <v>20270.68</v>
      </c>
      <c r="E161" s="75">
        <f>+'[5]2026'!D161</f>
        <v>19996.580000000002</v>
      </c>
      <c r="F161" s="20">
        <f>+'[5]2026'!E161</f>
        <v>1185</v>
      </c>
      <c r="G161" s="73">
        <f>+'[5]2026'!F161</f>
        <v>19000</v>
      </c>
      <c r="H161" s="42">
        <f>+'[5]2026'!G161</f>
        <v>19835.22</v>
      </c>
      <c r="I161" s="13">
        <f>+'[5]2026'!H161</f>
        <v>19482.810000000001</v>
      </c>
      <c r="J161" s="14">
        <f>+'[5]2026'!I161</f>
        <v>1070</v>
      </c>
      <c r="K161" s="15">
        <f>+'[5]2026'!J161</f>
        <v>189</v>
      </c>
      <c r="L161" s="15">
        <f>+'[5]2026'!K161</f>
        <v>197.52</v>
      </c>
      <c r="M161" s="15">
        <f>+'[5]2026'!L161</f>
        <v>64.38</v>
      </c>
      <c r="N161" s="16">
        <f t="shared" si="8"/>
        <v>3.3044514625970274E-3</v>
      </c>
      <c r="O161" s="17">
        <f t="shared" si="9"/>
        <v>-2.5692893484785918E-2</v>
      </c>
      <c r="P161" s="17">
        <f t="shared" si="9"/>
        <v>-9.7046413502109699E-2</v>
      </c>
      <c r="Q161" s="18">
        <f t="shared" si="10"/>
        <v>103.0836507936508</v>
      </c>
      <c r="R161" s="18">
        <f t="shared" si="11"/>
        <v>98.63715066828675</v>
      </c>
      <c r="S161" s="36" t="s">
        <v>40</v>
      </c>
      <c r="T161" s="48">
        <f>SUM(I157:I163)/SUM(L157:L163)</f>
        <v>88.463580791845018</v>
      </c>
      <c r="U161" s="1738"/>
    </row>
    <row r="162" spans="1:21">
      <c r="A162" s="10" t="s">
        <v>15</v>
      </c>
      <c r="B162" s="19">
        <f>+CHAMNORD!B162</f>
        <v>46179</v>
      </c>
      <c r="C162" s="75">
        <f>IF(H162=0,"",'[5]2025-2026'!C161)</f>
        <v>20270.68</v>
      </c>
      <c r="D162" s="75">
        <f>+'[5]2026'!C162</f>
        <v>19425.45</v>
      </c>
      <c r="E162" s="75">
        <f>+'[5]2026'!D162</f>
        <v>19191.07</v>
      </c>
      <c r="F162" s="20">
        <f>+'[5]2026'!E162</f>
        <v>1025</v>
      </c>
      <c r="G162" s="73">
        <f>+'[5]2026'!F162</f>
        <v>16000</v>
      </c>
      <c r="H162" s="42">
        <f>+'[5]2026'!G162</f>
        <v>17588.84</v>
      </c>
      <c r="I162" s="13">
        <f>+'[5]2026'!H162</f>
        <v>17253.78</v>
      </c>
      <c r="J162" s="14">
        <f>+'[5]2026'!I162</f>
        <v>905</v>
      </c>
      <c r="K162" s="15">
        <f>+'[5]2026'!J162</f>
        <v>176.14000000000001</v>
      </c>
      <c r="L162" s="15">
        <f>+'[5]2026'!K162</f>
        <v>185.52</v>
      </c>
      <c r="M162" s="15">
        <f>+'[5]2026'!L162</f>
        <v>70.63</v>
      </c>
      <c r="N162" s="16">
        <f t="shared" si="8"/>
        <v>4.093595722212756E-3</v>
      </c>
      <c r="O162" s="17">
        <f t="shared" si="9"/>
        <v>-0.1009474719231393</v>
      </c>
      <c r="P162" s="17">
        <f t="shared" si="9"/>
        <v>-0.11707317073170732</v>
      </c>
      <c r="Q162" s="18">
        <f t="shared" si="10"/>
        <v>97.954922220960583</v>
      </c>
      <c r="R162" s="18">
        <f t="shared" si="11"/>
        <v>93.002263906856399</v>
      </c>
      <c r="S162" s="36">
        <f>SUM(J157:J163)</f>
        <v>5891</v>
      </c>
      <c r="T162" s="30" t="s">
        <v>3</v>
      </c>
      <c r="U162" s="1738"/>
    </row>
    <row r="163" spans="1:21" ht="18" thickBot="1">
      <c r="A163" s="10" t="s">
        <v>16</v>
      </c>
      <c r="B163" s="19">
        <f>+CHAMNORD!B163</f>
        <v>46180</v>
      </c>
      <c r="C163" s="75">
        <f>IF(H163=0,"",'[5]2025-2026'!C162)</f>
        <v>19425.45</v>
      </c>
      <c r="D163" s="75">
        <f>+'[5]2026'!C163</f>
        <v>18663.560000000001</v>
      </c>
      <c r="E163" s="75">
        <f>+'[5]2026'!D163</f>
        <v>18353.18</v>
      </c>
      <c r="F163" s="20">
        <f>+'[5]2026'!E163</f>
        <v>913</v>
      </c>
      <c r="G163" s="73">
        <f>+'[5]2026'!F163</f>
        <v>17000</v>
      </c>
      <c r="H163" s="42">
        <f>+'[5]2026'!G163</f>
        <v>19471.099999999999</v>
      </c>
      <c r="I163" s="13">
        <f>+'[5]2026'!H163</f>
        <v>19176.759999999998</v>
      </c>
      <c r="J163" s="14">
        <f>+'[5]2026'!I163</f>
        <v>896</v>
      </c>
      <c r="K163" s="15">
        <f>+'[5]2026'!J163</f>
        <v>144.48000000000002</v>
      </c>
      <c r="L163" s="15">
        <f>+'[5]2026'!K163</f>
        <v>153.18</v>
      </c>
      <c r="M163" s="15">
        <f>+'[5]2026'!L163</f>
        <v>79.42</v>
      </c>
      <c r="N163" s="16">
        <f t="shared" si="8"/>
        <v>4.1414712391457161E-3</v>
      </c>
      <c r="O163" s="17">
        <f t="shared" si="9"/>
        <v>4.4873967345168415E-2</v>
      </c>
      <c r="P163" s="17">
        <f t="shared" si="9"/>
        <v>-1.8619934282584884E-2</v>
      </c>
      <c r="Q163" s="18">
        <f t="shared" si="10"/>
        <v>132.72951273532667</v>
      </c>
      <c r="R163" s="18">
        <f t="shared" si="11"/>
        <v>125.19101710406056</v>
      </c>
      <c r="S163" s="37">
        <f>(S162-SUM(F157:F163))/SUM(F157:F163)</f>
        <v>-9.4945460132124751E-2</v>
      </c>
      <c r="T163" s="47">
        <f>SUM(M157:M163)/SUM(I157:I163)</f>
        <v>5.2386629632195881E-3</v>
      </c>
      <c r="U163" s="1739"/>
    </row>
    <row r="164" spans="1:21" ht="17" customHeight="1" thickTop="1">
      <c r="A164" s="10" t="s">
        <v>9</v>
      </c>
      <c r="B164" s="19">
        <f>+CHAMNORD!B164</f>
        <v>46181</v>
      </c>
      <c r="C164" s="75" t="str">
        <f>IF(H164=0,"",'[5]2025-2026'!C163)</f>
        <v/>
      </c>
      <c r="D164" s="75" t="str">
        <f>+'[5]2026'!C164</f>
        <v/>
      </c>
      <c r="E164" s="75" t="str">
        <f>+'[5]2026'!D164</f>
        <v/>
      </c>
      <c r="F164" s="20" t="str">
        <f>+'[5]2026'!E164</f>
        <v/>
      </c>
      <c r="G164" s="73" t="str">
        <f>+'[5]2026'!F164</f>
        <v/>
      </c>
      <c r="H164" s="42">
        <f>+'[5]2026'!G164</f>
        <v>0</v>
      </c>
      <c r="I164" s="13">
        <f>+'[5]2026'!H164</f>
        <v>0</v>
      </c>
      <c r="J164" s="14">
        <f>+'[5]2026'!I164</f>
        <v>0</v>
      </c>
      <c r="K164" s="15">
        <f>+'[5]2026'!J164</f>
        <v>0</v>
      </c>
      <c r="L164" s="15">
        <f>+'[5]2026'!K164</f>
        <v>0</v>
      </c>
      <c r="M164" s="15">
        <f>+'[5]2026'!L164</f>
        <v>0</v>
      </c>
      <c r="N164" s="16" t="str">
        <f t="shared" si="8"/>
        <v/>
      </c>
      <c r="O164" s="17" t="str">
        <f t="shared" si="9"/>
        <v/>
      </c>
      <c r="P164" s="17" t="str">
        <f t="shared" si="9"/>
        <v/>
      </c>
      <c r="Q164" s="18" t="str">
        <f t="shared" si="10"/>
        <v/>
      </c>
      <c r="R164" s="18" t="e">
        <f t="shared" si="11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19">
        <f>+CHAMNORD!B165</f>
        <v>46182</v>
      </c>
      <c r="C165" s="75" t="str">
        <f>IF(H165=0,"",'[5]2025-2026'!C164)</f>
        <v/>
      </c>
      <c r="D165" s="75" t="str">
        <f>+'[5]2026'!C165</f>
        <v/>
      </c>
      <c r="E165" s="75" t="str">
        <f>+'[5]2026'!D165</f>
        <v/>
      </c>
      <c r="F165" s="20" t="str">
        <f>+'[5]2026'!E165</f>
        <v/>
      </c>
      <c r="G165" s="73" t="str">
        <f>+'[5]2026'!F165</f>
        <v/>
      </c>
      <c r="H165" s="42">
        <f>+'[5]2026'!G165</f>
        <v>0</v>
      </c>
      <c r="I165" s="13">
        <f>+'[5]2026'!H165</f>
        <v>0</v>
      </c>
      <c r="J165" s="14">
        <f>+'[5]2026'!I165</f>
        <v>0</v>
      </c>
      <c r="K165" s="15">
        <f>+'[5]2026'!J165</f>
        <v>0</v>
      </c>
      <c r="L165" s="15">
        <f>+'[5]2026'!K165</f>
        <v>0</v>
      </c>
      <c r="M165" s="15">
        <f>+'[5]2026'!L165</f>
        <v>0</v>
      </c>
      <c r="N165" s="16" t="str">
        <f t="shared" si="8"/>
        <v/>
      </c>
      <c r="O165" s="17" t="str">
        <f t="shared" si="9"/>
        <v/>
      </c>
      <c r="P165" s="17" t="str">
        <f t="shared" si="9"/>
        <v/>
      </c>
      <c r="Q165" s="18" t="str">
        <f t="shared" si="10"/>
        <v/>
      </c>
      <c r="R165" s="18" t="e">
        <f t="shared" si="11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19">
        <f>+CHAMNORD!B166</f>
        <v>46183</v>
      </c>
      <c r="C166" s="75" t="str">
        <f>IF(H166=0,"",'[5]2025-2026'!C165)</f>
        <v/>
      </c>
      <c r="D166" s="75" t="str">
        <f>+'[5]2026'!C166</f>
        <v/>
      </c>
      <c r="E166" s="75" t="str">
        <f>+'[5]2026'!D166</f>
        <v/>
      </c>
      <c r="F166" s="20" t="str">
        <f>+'[5]2026'!E166</f>
        <v/>
      </c>
      <c r="G166" s="73" t="str">
        <f>+'[5]2026'!F166</f>
        <v/>
      </c>
      <c r="H166" s="42">
        <f>+'[5]2026'!G166</f>
        <v>0</v>
      </c>
      <c r="I166" s="13">
        <f>+'[5]2026'!H166</f>
        <v>0</v>
      </c>
      <c r="J166" s="14">
        <f>+'[5]2026'!I166</f>
        <v>0</v>
      </c>
      <c r="K166" s="15">
        <f>+'[5]2026'!J166</f>
        <v>0</v>
      </c>
      <c r="L166" s="15">
        <f>+'[5]2026'!K166</f>
        <v>0</v>
      </c>
      <c r="M166" s="15">
        <f>+'[5]2026'!L166</f>
        <v>0</v>
      </c>
      <c r="N166" s="16" t="str">
        <f t="shared" si="8"/>
        <v/>
      </c>
      <c r="O166" s="17" t="str">
        <f t="shared" si="9"/>
        <v/>
      </c>
      <c r="P166" s="17" t="str">
        <f t="shared" si="9"/>
        <v/>
      </c>
      <c r="Q166" s="18" t="str">
        <f t="shared" si="10"/>
        <v/>
      </c>
      <c r="R166" s="18" t="e">
        <f t="shared" si="11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19">
        <f>+CHAMNORD!B167</f>
        <v>46184</v>
      </c>
      <c r="C167" s="75" t="str">
        <f>IF(H167=0,"",'[5]2025-2026'!C166)</f>
        <v/>
      </c>
      <c r="D167" s="75" t="str">
        <f>+'[5]2026'!C167</f>
        <v/>
      </c>
      <c r="E167" s="75" t="str">
        <f>+'[5]2026'!D167</f>
        <v/>
      </c>
      <c r="F167" s="20" t="str">
        <f>+'[5]2026'!E167</f>
        <v/>
      </c>
      <c r="G167" s="73" t="str">
        <f>+'[5]2026'!F167</f>
        <v/>
      </c>
      <c r="H167" s="42">
        <f>+'[5]2026'!G167</f>
        <v>0</v>
      </c>
      <c r="I167" s="13">
        <f>+'[5]2026'!H167</f>
        <v>0</v>
      </c>
      <c r="J167" s="14">
        <f>+'[5]2026'!I167</f>
        <v>0</v>
      </c>
      <c r="K167" s="15">
        <f>+'[5]2026'!J167</f>
        <v>0</v>
      </c>
      <c r="L167" s="15">
        <f>+'[5]2026'!K167</f>
        <v>0</v>
      </c>
      <c r="M167" s="15">
        <f>+'[5]2026'!L167</f>
        <v>0</v>
      </c>
      <c r="N167" s="16" t="str">
        <f t="shared" si="8"/>
        <v/>
      </c>
      <c r="O167" s="17" t="str">
        <f t="shared" si="9"/>
        <v/>
      </c>
      <c r="P167" s="17" t="str">
        <f t="shared" si="9"/>
        <v/>
      </c>
      <c r="Q167" s="18" t="str">
        <f t="shared" si="10"/>
        <v/>
      </c>
      <c r="R167" s="18" t="e">
        <f t="shared" si="11"/>
        <v>#DIV/0!</v>
      </c>
      <c r="S167" s="34"/>
      <c r="T167" s="29" t="s">
        <v>8</v>
      </c>
      <c r="U167" s="1738"/>
    </row>
    <row r="168" spans="1:21">
      <c r="A168" s="10" t="s">
        <v>14</v>
      </c>
      <c r="B168" s="19">
        <f>+CHAMNORD!B168</f>
        <v>46185</v>
      </c>
      <c r="C168" s="75" t="str">
        <f>IF(H168=0,"",'[5]2025-2026'!C167)</f>
        <v/>
      </c>
      <c r="D168" s="75" t="str">
        <f>+'[5]2026'!C168</f>
        <v/>
      </c>
      <c r="E168" s="75" t="str">
        <f>+'[5]2026'!D168</f>
        <v/>
      </c>
      <c r="F168" s="20" t="str">
        <f>+'[5]2026'!E168</f>
        <v/>
      </c>
      <c r="G168" s="73" t="str">
        <f>+'[5]2026'!F168</f>
        <v/>
      </c>
      <c r="H168" s="42">
        <f>+'[5]2026'!G168</f>
        <v>0</v>
      </c>
      <c r="I168" s="13">
        <f>+'[5]2026'!H168</f>
        <v>0</v>
      </c>
      <c r="J168" s="14">
        <f>+'[5]2026'!I168</f>
        <v>0</v>
      </c>
      <c r="K168" s="15">
        <f>+'[5]2026'!J168</f>
        <v>0</v>
      </c>
      <c r="L168" s="15">
        <f>+'[5]2026'!K168</f>
        <v>0</v>
      </c>
      <c r="M168" s="15">
        <f>+'[5]2026'!L168</f>
        <v>0</v>
      </c>
      <c r="N168" s="16" t="str">
        <f t="shared" si="8"/>
        <v/>
      </c>
      <c r="O168" s="17" t="str">
        <f t="shared" si="9"/>
        <v/>
      </c>
      <c r="P168" s="17" t="str">
        <f t="shared" si="9"/>
        <v/>
      </c>
      <c r="Q168" s="18" t="str">
        <f t="shared" si="10"/>
        <v/>
      </c>
      <c r="R168" s="18" t="e">
        <f t="shared" si="11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19">
        <f>+CHAMNORD!B169</f>
        <v>46186</v>
      </c>
      <c r="C169" s="75" t="str">
        <f>IF(H169=0,"",'[5]2025-2026'!C168)</f>
        <v/>
      </c>
      <c r="D169" s="75" t="str">
        <f>+'[5]2026'!C169</f>
        <v/>
      </c>
      <c r="E169" s="75" t="str">
        <f>+'[5]2026'!D169</f>
        <v/>
      </c>
      <c r="F169" s="20" t="str">
        <f>+'[5]2026'!E169</f>
        <v/>
      </c>
      <c r="G169" s="73" t="str">
        <f>+'[5]2026'!F169</f>
        <v/>
      </c>
      <c r="H169" s="42">
        <f>+'[5]2026'!G169</f>
        <v>0</v>
      </c>
      <c r="I169" s="13">
        <f>+'[5]2026'!H169</f>
        <v>0</v>
      </c>
      <c r="J169" s="14">
        <f>+'[5]2026'!I169</f>
        <v>0</v>
      </c>
      <c r="K169" s="15">
        <f>+'[5]2026'!J169</f>
        <v>0</v>
      </c>
      <c r="L169" s="15">
        <f>+'[5]2026'!K169</f>
        <v>0</v>
      </c>
      <c r="M169" s="15">
        <f>+'[5]2026'!L169</f>
        <v>0</v>
      </c>
      <c r="N169" s="16" t="str">
        <f t="shared" si="8"/>
        <v/>
      </c>
      <c r="O169" s="17" t="str">
        <f t="shared" si="9"/>
        <v/>
      </c>
      <c r="P169" s="17" t="str">
        <f t="shared" si="9"/>
        <v/>
      </c>
      <c r="Q169" s="18" t="str">
        <f t="shared" si="10"/>
        <v/>
      </c>
      <c r="R169" s="18" t="e">
        <f t="shared" si="11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19">
        <f>+CHAMNORD!B170</f>
        <v>46187</v>
      </c>
      <c r="C170" s="75" t="str">
        <f>IF(H170=0,"",'[5]2025-2026'!C169)</f>
        <v/>
      </c>
      <c r="D170" s="75" t="str">
        <f>+'[5]2026'!C170</f>
        <v/>
      </c>
      <c r="E170" s="75" t="str">
        <f>+'[5]2026'!D170</f>
        <v/>
      </c>
      <c r="F170" s="20" t="str">
        <f>+'[5]2026'!E170</f>
        <v/>
      </c>
      <c r="G170" s="73" t="str">
        <f>+'[5]2026'!F170</f>
        <v/>
      </c>
      <c r="H170" s="42">
        <f>+'[5]2026'!G170</f>
        <v>0</v>
      </c>
      <c r="I170" s="13">
        <f>+'[5]2026'!H170</f>
        <v>0</v>
      </c>
      <c r="J170" s="14">
        <f>+'[5]2026'!I170</f>
        <v>0</v>
      </c>
      <c r="K170" s="15">
        <f>+'[5]2026'!J170</f>
        <v>0</v>
      </c>
      <c r="L170" s="15">
        <f>+'[5]2026'!K170</f>
        <v>0</v>
      </c>
      <c r="M170" s="15">
        <f>+'[5]2026'!L170</f>
        <v>0</v>
      </c>
      <c r="N170" s="16" t="str">
        <f t="shared" si="8"/>
        <v/>
      </c>
      <c r="O170" s="17" t="str">
        <f t="shared" si="9"/>
        <v/>
      </c>
      <c r="P170" s="17" t="str">
        <f t="shared" si="9"/>
        <v/>
      </c>
      <c r="Q170" s="18" t="str">
        <f t="shared" si="10"/>
        <v/>
      </c>
      <c r="R170" s="18" t="e">
        <f t="shared" si="11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19">
        <f>+CHAMNORD!B171</f>
        <v>46188</v>
      </c>
      <c r="C171" s="75" t="str">
        <f>IF(H171=0,"",'[5]2025-2026'!C170)</f>
        <v/>
      </c>
      <c r="D171" s="75" t="str">
        <f>+'[5]2026'!C171</f>
        <v/>
      </c>
      <c r="E171" s="75" t="str">
        <f>+'[5]2026'!D171</f>
        <v/>
      </c>
      <c r="F171" s="20" t="str">
        <f>+'[5]2026'!E171</f>
        <v/>
      </c>
      <c r="G171" s="73" t="str">
        <f>+'[5]2026'!F171</f>
        <v/>
      </c>
      <c r="H171" s="42">
        <f>+'[5]2026'!G171</f>
        <v>0</v>
      </c>
      <c r="I171" s="13">
        <f>+'[5]2026'!H171</f>
        <v>0</v>
      </c>
      <c r="J171" s="14">
        <f>+'[5]2026'!I171</f>
        <v>0</v>
      </c>
      <c r="K171" s="15">
        <f>+'[5]2026'!J171</f>
        <v>0</v>
      </c>
      <c r="L171" s="15">
        <f>+'[5]2026'!K171</f>
        <v>0</v>
      </c>
      <c r="M171" s="15">
        <f>+'[5]2026'!L171</f>
        <v>0</v>
      </c>
      <c r="N171" s="16" t="str">
        <f t="shared" si="8"/>
        <v/>
      </c>
      <c r="O171" s="17" t="str">
        <f t="shared" si="9"/>
        <v/>
      </c>
      <c r="P171" s="17" t="str">
        <f t="shared" si="9"/>
        <v/>
      </c>
      <c r="Q171" s="18" t="str">
        <f t="shared" si="10"/>
        <v/>
      </c>
      <c r="R171" s="18" t="e">
        <f t="shared" si="11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19">
        <f>+CHAMNORD!B172</f>
        <v>46189</v>
      </c>
      <c r="C172" s="75" t="str">
        <f>IF(H172=0,"",'[5]2025-2026'!C171)</f>
        <v/>
      </c>
      <c r="D172" s="75" t="str">
        <f>+'[5]2026'!C172</f>
        <v/>
      </c>
      <c r="E172" s="75" t="str">
        <f>+'[5]2026'!D172</f>
        <v/>
      </c>
      <c r="F172" s="20" t="str">
        <f>+'[5]2026'!E172</f>
        <v/>
      </c>
      <c r="G172" s="73" t="str">
        <f>+'[5]2026'!F172</f>
        <v/>
      </c>
      <c r="H172" s="42">
        <f>+'[5]2026'!G172</f>
        <v>0</v>
      </c>
      <c r="I172" s="13">
        <f>+'[5]2026'!H172</f>
        <v>0</v>
      </c>
      <c r="J172" s="14">
        <f>+'[5]2026'!I172</f>
        <v>0</v>
      </c>
      <c r="K172" s="15">
        <f>+'[5]2026'!J172</f>
        <v>0</v>
      </c>
      <c r="L172" s="15">
        <f>+'[5]2026'!K172</f>
        <v>0</v>
      </c>
      <c r="M172" s="15">
        <f>+'[5]2026'!L172</f>
        <v>0</v>
      </c>
      <c r="N172" s="16" t="str">
        <f t="shared" si="8"/>
        <v/>
      </c>
      <c r="O172" s="17" t="str">
        <f t="shared" si="9"/>
        <v/>
      </c>
      <c r="P172" s="17" t="str">
        <f t="shared" si="9"/>
        <v/>
      </c>
      <c r="Q172" s="18" t="str">
        <f t="shared" si="10"/>
        <v/>
      </c>
      <c r="R172" s="18" t="e">
        <f t="shared" si="11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19">
        <f>+CHAMNORD!B173</f>
        <v>46190</v>
      </c>
      <c r="C173" s="75" t="str">
        <f>IF(H173=0,"",'[5]2025-2026'!C172)</f>
        <v/>
      </c>
      <c r="D173" s="75" t="str">
        <f>+'[5]2026'!C173</f>
        <v/>
      </c>
      <c r="E173" s="75" t="str">
        <f>+'[5]2026'!D173</f>
        <v/>
      </c>
      <c r="F173" s="20" t="str">
        <f>+'[5]2026'!E173</f>
        <v/>
      </c>
      <c r="G173" s="73" t="str">
        <f>+'[5]2026'!F173</f>
        <v/>
      </c>
      <c r="H173" s="42">
        <f>+'[5]2026'!G173</f>
        <v>0</v>
      </c>
      <c r="I173" s="13">
        <f>+'[5]2026'!H173</f>
        <v>0</v>
      </c>
      <c r="J173" s="14">
        <f>+'[5]2026'!I173</f>
        <v>0</v>
      </c>
      <c r="K173" s="15">
        <f>+'[5]2026'!J173</f>
        <v>0</v>
      </c>
      <c r="L173" s="15">
        <f>+'[5]2026'!K173</f>
        <v>0</v>
      </c>
      <c r="M173" s="15">
        <f>+'[5]2026'!L173</f>
        <v>0</v>
      </c>
      <c r="N173" s="16" t="str">
        <f t="shared" si="8"/>
        <v/>
      </c>
      <c r="O173" s="17" t="str">
        <f t="shared" si="9"/>
        <v/>
      </c>
      <c r="P173" s="17" t="str">
        <f t="shared" si="9"/>
        <v/>
      </c>
      <c r="Q173" s="18" t="str">
        <f t="shared" si="10"/>
        <v/>
      </c>
      <c r="R173" s="18" t="e">
        <f t="shared" si="11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19">
        <f>+CHAMNORD!B174</f>
        <v>46191</v>
      </c>
      <c r="C174" s="75" t="str">
        <f>IF(H174=0,"",'[5]2025-2026'!C173)</f>
        <v/>
      </c>
      <c r="D174" s="75" t="str">
        <f>+'[5]2026'!C174</f>
        <v/>
      </c>
      <c r="E174" s="75" t="str">
        <f>+'[5]2026'!D174</f>
        <v/>
      </c>
      <c r="F174" s="20" t="str">
        <f>+'[5]2026'!E174</f>
        <v/>
      </c>
      <c r="G174" s="73" t="str">
        <f>+'[5]2026'!F174</f>
        <v/>
      </c>
      <c r="H174" s="42">
        <f>+'[5]2026'!G174</f>
        <v>0</v>
      </c>
      <c r="I174" s="13">
        <f>+'[5]2026'!H174</f>
        <v>0</v>
      </c>
      <c r="J174" s="14">
        <f>+'[5]2026'!I174</f>
        <v>0</v>
      </c>
      <c r="K174" s="15">
        <f>+'[5]2026'!J174</f>
        <v>0</v>
      </c>
      <c r="L174" s="15">
        <f>+'[5]2026'!K174</f>
        <v>0</v>
      </c>
      <c r="M174" s="15">
        <f>+'[5]2026'!L174</f>
        <v>0</v>
      </c>
      <c r="N174" s="16" t="str">
        <f t="shared" si="8"/>
        <v/>
      </c>
      <c r="O174" s="17" t="str">
        <f t="shared" si="9"/>
        <v/>
      </c>
      <c r="P174" s="17" t="str">
        <f t="shared" si="9"/>
        <v/>
      </c>
      <c r="Q174" s="18" t="str">
        <f t="shared" si="10"/>
        <v/>
      </c>
      <c r="R174" s="18" t="e">
        <f t="shared" si="11"/>
        <v>#DIV/0!</v>
      </c>
      <c r="S174" s="34"/>
      <c r="T174" s="29" t="s">
        <v>8</v>
      </c>
      <c r="U174" s="1738"/>
    </row>
    <row r="175" spans="1:21">
      <c r="A175" s="10" t="s">
        <v>14</v>
      </c>
      <c r="B175" s="19">
        <f>+CHAMNORD!B175</f>
        <v>46192</v>
      </c>
      <c r="C175" s="75" t="str">
        <f>IF(H175=0,"",'[5]2025-2026'!C174)</f>
        <v/>
      </c>
      <c r="D175" s="75" t="str">
        <f>+'[5]2026'!C175</f>
        <v/>
      </c>
      <c r="E175" s="75" t="str">
        <f>+'[5]2026'!D175</f>
        <v/>
      </c>
      <c r="F175" s="20" t="str">
        <f>+'[5]2026'!E175</f>
        <v/>
      </c>
      <c r="G175" s="73" t="str">
        <f>+'[5]2026'!F175</f>
        <v/>
      </c>
      <c r="H175" s="42">
        <f>+'[5]2026'!G175</f>
        <v>0</v>
      </c>
      <c r="I175" s="13">
        <f>+'[5]2026'!H175</f>
        <v>0</v>
      </c>
      <c r="J175" s="14">
        <f>+'[5]2026'!I175</f>
        <v>0</v>
      </c>
      <c r="K175" s="15">
        <f>+'[5]2026'!J175</f>
        <v>0</v>
      </c>
      <c r="L175" s="15">
        <f>+'[5]2026'!K175</f>
        <v>0</v>
      </c>
      <c r="M175" s="15">
        <f>+'[5]2026'!L175</f>
        <v>0</v>
      </c>
      <c r="N175" s="16" t="str">
        <f t="shared" si="8"/>
        <v/>
      </c>
      <c r="O175" s="17" t="str">
        <f t="shared" si="9"/>
        <v/>
      </c>
      <c r="P175" s="17" t="str">
        <f t="shared" si="9"/>
        <v/>
      </c>
      <c r="Q175" s="18" t="str">
        <f t="shared" si="10"/>
        <v/>
      </c>
      <c r="R175" s="18" t="e">
        <f t="shared" si="11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19">
        <f>+CHAMNORD!B176</f>
        <v>46193</v>
      </c>
      <c r="C176" s="75" t="str">
        <f>IF(H176=0,"",'[5]2025-2026'!C175)</f>
        <v/>
      </c>
      <c r="D176" s="75" t="str">
        <f>+'[5]2026'!C176</f>
        <v/>
      </c>
      <c r="E176" s="75" t="str">
        <f>+'[5]2026'!D176</f>
        <v/>
      </c>
      <c r="F176" s="20" t="str">
        <f>+'[5]2026'!E176</f>
        <v/>
      </c>
      <c r="G176" s="73" t="str">
        <f>+'[5]2026'!F176</f>
        <v/>
      </c>
      <c r="H176" s="42">
        <f>+'[5]2026'!G176</f>
        <v>0</v>
      </c>
      <c r="I176" s="13">
        <f>+'[5]2026'!H176</f>
        <v>0</v>
      </c>
      <c r="J176" s="14">
        <f>+'[5]2026'!I176</f>
        <v>0</v>
      </c>
      <c r="K176" s="15">
        <f>+'[5]2026'!J176</f>
        <v>0</v>
      </c>
      <c r="L176" s="15">
        <f>+'[5]2026'!K176</f>
        <v>0</v>
      </c>
      <c r="M176" s="15">
        <f>+'[5]2026'!L176</f>
        <v>0</v>
      </c>
      <c r="N176" s="16" t="str">
        <f t="shared" si="8"/>
        <v/>
      </c>
      <c r="O176" s="17" t="str">
        <f t="shared" si="9"/>
        <v/>
      </c>
      <c r="P176" s="17" t="str">
        <f t="shared" si="9"/>
        <v/>
      </c>
      <c r="Q176" s="18" t="str">
        <f t="shared" si="10"/>
        <v/>
      </c>
      <c r="R176" s="18" t="e">
        <f t="shared" si="11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19">
        <f>+CHAMNORD!B177</f>
        <v>46194</v>
      </c>
      <c r="C177" s="75" t="str">
        <f>IF(H177=0,"",'[5]2025-2026'!C176)</f>
        <v/>
      </c>
      <c r="D177" s="75" t="str">
        <f>+'[5]2026'!C177</f>
        <v/>
      </c>
      <c r="E177" s="75" t="str">
        <f>+'[5]2026'!D177</f>
        <v/>
      </c>
      <c r="F177" s="20" t="str">
        <f>+'[5]2026'!E177</f>
        <v/>
      </c>
      <c r="G177" s="73" t="str">
        <f>+'[5]2026'!F177</f>
        <v/>
      </c>
      <c r="H177" s="42">
        <f>+'[5]2026'!G177</f>
        <v>0</v>
      </c>
      <c r="I177" s="13">
        <f>+'[5]2026'!H177</f>
        <v>0</v>
      </c>
      <c r="J177" s="14">
        <f>+'[5]2026'!I177</f>
        <v>0</v>
      </c>
      <c r="K177" s="15">
        <f>+'[5]2026'!J177</f>
        <v>0</v>
      </c>
      <c r="L177" s="15">
        <f>+'[5]2026'!K177</f>
        <v>0</v>
      </c>
      <c r="M177" s="15">
        <f>+'[5]2026'!L177</f>
        <v>0</v>
      </c>
      <c r="N177" s="16" t="str">
        <f t="shared" si="8"/>
        <v/>
      </c>
      <c r="O177" s="17" t="str">
        <f t="shared" si="9"/>
        <v/>
      </c>
      <c r="P177" s="17" t="str">
        <f t="shared" si="9"/>
        <v/>
      </c>
      <c r="Q177" s="18" t="str">
        <f t="shared" si="10"/>
        <v/>
      </c>
      <c r="R177" s="18" t="e">
        <f t="shared" si="11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19">
        <f>+CHAMNORD!B178</f>
        <v>46195</v>
      </c>
      <c r="C178" s="75" t="str">
        <f>IF(H178=0,"",'[5]2025-2026'!C177)</f>
        <v/>
      </c>
      <c r="D178" s="75" t="str">
        <f>+'[5]2026'!C178</f>
        <v/>
      </c>
      <c r="E178" s="75" t="str">
        <f>+'[5]2026'!D178</f>
        <v/>
      </c>
      <c r="F178" s="20" t="str">
        <f>+'[5]2026'!E178</f>
        <v/>
      </c>
      <c r="G178" s="73" t="str">
        <f>+'[5]2026'!F178</f>
        <v/>
      </c>
      <c r="H178" s="42">
        <f>+'[5]2026'!G178</f>
        <v>0</v>
      </c>
      <c r="I178" s="13">
        <f>+'[5]2026'!H178</f>
        <v>0</v>
      </c>
      <c r="J178" s="14">
        <f>+'[5]2026'!I178</f>
        <v>0</v>
      </c>
      <c r="K178" s="15">
        <f>+'[5]2026'!J178</f>
        <v>0</v>
      </c>
      <c r="L178" s="15">
        <f>+'[5]2026'!K178</f>
        <v>0</v>
      </c>
      <c r="M178" s="15">
        <f>+'[5]2026'!L178</f>
        <v>0</v>
      </c>
      <c r="N178" s="16" t="str">
        <f t="shared" si="8"/>
        <v/>
      </c>
      <c r="O178" s="17" t="str">
        <f t="shared" si="9"/>
        <v/>
      </c>
      <c r="P178" s="17" t="str">
        <f t="shared" si="9"/>
        <v/>
      </c>
      <c r="Q178" s="18" t="str">
        <f t="shared" si="10"/>
        <v/>
      </c>
      <c r="R178" s="18" t="e">
        <f t="shared" si="11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19">
        <f>+CHAMNORD!B179</f>
        <v>46196</v>
      </c>
      <c r="C179" s="75" t="str">
        <f>IF(H179=0,"",'[5]2025-2026'!C178)</f>
        <v/>
      </c>
      <c r="D179" s="75" t="str">
        <f>+'[5]2026'!C179</f>
        <v/>
      </c>
      <c r="E179" s="75" t="str">
        <f>+'[5]2026'!D179</f>
        <v/>
      </c>
      <c r="F179" s="20" t="str">
        <f>+'[5]2026'!E179</f>
        <v/>
      </c>
      <c r="G179" s="73" t="str">
        <f>+'[5]2026'!F179</f>
        <v/>
      </c>
      <c r="H179" s="42">
        <f>+'[5]2026'!G179</f>
        <v>0</v>
      </c>
      <c r="I179" s="13">
        <f>+'[5]2026'!H179</f>
        <v>0</v>
      </c>
      <c r="J179" s="14">
        <f>+'[5]2026'!I179</f>
        <v>0</v>
      </c>
      <c r="K179" s="15">
        <f>+'[5]2026'!J179</f>
        <v>0</v>
      </c>
      <c r="L179" s="15">
        <f>+'[5]2026'!K179</f>
        <v>0</v>
      </c>
      <c r="M179" s="15">
        <f>+'[5]2026'!L179</f>
        <v>0</v>
      </c>
      <c r="N179" s="16" t="str">
        <f t="shared" si="8"/>
        <v/>
      </c>
      <c r="O179" s="17" t="str">
        <f t="shared" si="9"/>
        <v/>
      </c>
      <c r="P179" s="17" t="str">
        <f t="shared" si="9"/>
        <v/>
      </c>
      <c r="Q179" s="18" t="str">
        <f t="shared" si="10"/>
        <v/>
      </c>
      <c r="R179" s="18" t="e">
        <f t="shared" si="11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19">
        <f>+CHAMNORD!B180</f>
        <v>46197</v>
      </c>
      <c r="C180" s="75" t="str">
        <f>IF(H180=0,"",'[5]2025-2026'!C179)</f>
        <v/>
      </c>
      <c r="D180" s="75" t="str">
        <f>+'[5]2026'!C180</f>
        <v/>
      </c>
      <c r="E180" s="75" t="str">
        <f>+'[5]2026'!D180</f>
        <v/>
      </c>
      <c r="F180" s="20" t="str">
        <f>+'[5]2026'!E180</f>
        <v/>
      </c>
      <c r="G180" s="73" t="str">
        <f>+'[5]2026'!F180</f>
        <v/>
      </c>
      <c r="H180" s="42">
        <f>+'[5]2026'!G180</f>
        <v>0</v>
      </c>
      <c r="I180" s="13">
        <f>+'[5]2026'!H180</f>
        <v>0</v>
      </c>
      <c r="J180" s="14">
        <f>+'[5]2026'!I180</f>
        <v>0</v>
      </c>
      <c r="K180" s="15">
        <f>+'[5]2026'!J180</f>
        <v>0</v>
      </c>
      <c r="L180" s="15">
        <f>+'[5]2026'!K180</f>
        <v>0</v>
      </c>
      <c r="M180" s="15">
        <f>+'[5]2026'!L180</f>
        <v>0</v>
      </c>
      <c r="N180" s="16" t="str">
        <f t="shared" si="8"/>
        <v/>
      </c>
      <c r="O180" s="17" t="str">
        <f t="shared" si="9"/>
        <v/>
      </c>
      <c r="P180" s="17" t="str">
        <f t="shared" si="9"/>
        <v/>
      </c>
      <c r="Q180" s="18" t="str">
        <f t="shared" si="10"/>
        <v/>
      </c>
      <c r="R180" s="18" t="e">
        <f t="shared" si="11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19">
        <f>+CHAMNORD!B181</f>
        <v>46198</v>
      </c>
      <c r="C181" s="75" t="str">
        <f>IF(H181=0,"",'[5]2025-2026'!C180)</f>
        <v/>
      </c>
      <c r="D181" s="75" t="str">
        <f>+'[5]2026'!C181</f>
        <v/>
      </c>
      <c r="E181" s="75" t="str">
        <f>+'[5]2026'!D181</f>
        <v/>
      </c>
      <c r="F181" s="20" t="str">
        <f>+'[5]2026'!E181</f>
        <v/>
      </c>
      <c r="G181" s="73" t="str">
        <f>+'[5]2026'!F181</f>
        <v/>
      </c>
      <c r="H181" s="42">
        <f>+'[5]2026'!G181</f>
        <v>0</v>
      </c>
      <c r="I181" s="13">
        <f>+'[5]2026'!H181</f>
        <v>0</v>
      </c>
      <c r="J181" s="14">
        <f>+'[5]2026'!I181</f>
        <v>0</v>
      </c>
      <c r="K181" s="15">
        <f>+'[5]2026'!J181</f>
        <v>0</v>
      </c>
      <c r="L181" s="15">
        <f>+'[5]2026'!K181</f>
        <v>0</v>
      </c>
      <c r="M181" s="15">
        <f>+'[5]2026'!L181</f>
        <v>0</v>
      </c>
      <c r="N181" s="16" t="str">
        <f t="shared" si="8"/>
        <v/>
      </c>
      <c r="O181" s="17" t="str">
        <f t="shared" si="9"/>
        <v/>
      </c>
      <c r="P181" s="17" t="str">
        <f t="shared" si="9"/>
        <v/>
      </c>
      <c r="Q181" s="18" t="str">
        <f t="shared" si="10"/>
        <v/>
      </c>
      <c r="R181" s="18" t="e">
        <f t="shared" si="11"/>
        <v>#DIV/0!</v>
      </c>
      <c r="S181" s="34"/>
      <c r="T181" s="29" t="s">
        <v>8</v>
      </c>
      <c r="U181" s="1738"/>
    </row>
    <row r="182" spans="1:21">
      <c r="A182" s="10" t="s">
        <v>14</v>
      </c>
      <c r="B182" s="19">
        <f>+CHAMNORD!B182</f>
        <v>46199</v>
      </c>
      <c r="C182" s="75" t="str">
        <f>IF(H182=0,"",'[5]2025-2026'!C181)</f>
        <v/>
      </c>
      <c r="D182" s="75" t="str">
        <f>+'[5]2026'!C182</f>
        <v/>
      </c>
      <c r="E182" s="75" t="str">
        <f>+'[5]2026'!D182</f>
        <v/>
      </c>
      <c r="F182" s="20" t="str">
        <f>+'[5]2026'!E182</f>
        <v/>
      </c>
      <c r="G182" s="73" t="str">
        <f>+'[5]2026'!F182</f>
        <v/>
      </c>
      <c r="H182" s="42">
        <f>+'[5]2026'!G182</f>
        <v>0</v>
      </c>
      <c r="I182" s="13">
        <f>+'[5]2026'!H182</f>
        <v>0</v>
      </c>
      <c r="J182" s="14">
        <f>+'[5]2026'!I182</f>
        <v>0</v>
      </c>
      <c r="K182" s="15">
        <f>+'[5]2026'!J182</f>
        <v>0</v>
      </c>
      <c r="L182" s="15">
        <f>+'[5]2026'!K182</f>
        <v>0</v>
      </c>
      <c r="M182" s="15">
        <f>+'[5]2026'!L182</f>
        <v>0</v>
      </c>
      <c r="N182" s="16" t="str">
        <f t="shared" si="8"/>
        <v/>
      </c>
      <c r="O182" s="17" t="str">
        <f t="shared" si="9"/>
        <v/>
      </c>
      <c r="P182" s="17" t="str">
        <f t="shared" si="9"/>
        <v/>
      </c>
      <c r="Q182" s="18" t="str">
        <f t="shared" si="10"/>
        <v/>
      </c>
      <c r="R182" s="18" t="e">
        <f t="shared" si="11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19">
        <f>+CHAMNORD!B183</f>
        <v>46200</v>
      </c>
      <c r="C183" s="75" t="str">
        <f>IF(H183=0,"",'[5]2025-2026'!C182)</f>
        <v/>
      </c>
      <c r="D183" s="75" t="str">
        <f>+'[5]2026'!C183</f>
        <v/>
      </c>
      <c r="E183" s="75" t="str">
        <f>+'[5]2026'!D183</f>
        <v/>
      </c>
      <c r="F183" s="20" t="str">
        <f>+'[5]2026'!E183</f>
        <v/>
      </c>
      <c r="G183" s="73" t="str">
        <f>+'[5]2026'!F183</f>
        <v/>
      </c>
      <c r="H183" s="42">
        <f>+'[5]2026'!G183</f>
        <v>0</v>
      </c>
      <c r="I183" s="13">
        <f>+'[5]2026'!H183</f>
        <v>0</v>
      </c>
      <c r="J183" s="14">
        <f>+'[5]2026'!I183</f>
        <v>0</v>
      </c>
      <c r="K183" s="15">
        <f>+'[5]2026'!J183</f>
        <v>0</v>
      </c>
      <c r="L183" s="15">
        <f>+'[5]2026'!K183</f>
        <v>0</v>
      </c>
      <c r="M183" s="15">
        <f>+'[5]2026'!L183</f>
        <v>0</v>
      </c>
      <c r="N183" s="16" t="str">
        <f t="shared" si="8"/>
        <v/>
      </c>
      <c r="O183" s="17" t="str">
        <f t="shared" si="9"/>
        <v/>
      </c>
      <c r="P183" s="17" t="str">
        <f t="shared" si="9"/>
        <v/>
      </c>
      <c r="Q183" s="18" t="str">
        <f t="shared" si="10"/>
        <v/>
      </c>
      <c r="R183" s="18" t="e">
        <f t="shared" si="11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19">
        <f>+CHAMNORD!B184</f>
        <v>46201</v>
      </c>
      <c r="C184" s="75" t="str">
        <f>IF(H184=0,"",'[5]2025-2026'!C183)</f>
        <v/>
      </c>
      <c r="D184" s="75" t="str">
        <f>+'[5]2026'!C184</f>
        <v/>
      </c>
      <c r="E184" s="75" t="str">
        <f>+'[5]2026'!D184</f>
        <v/>
      </c>
      <c r="F184" s="20" t="str">
        <f>+'[5]2026'!E184</f>
        <v/>
      </c>
      <c r="G184" s="73" t="str">
        <f>+'[5]2026'!F184</f>
        <v/>
      </c>
      <c r="H184" s="42">
        <f>+'[5]2026'!G184</f>
        <v>0</v>
      </c>
      <c r="I184" s="13">
        <f>+'[5]2026'!H184</f>
        <v>0</v>
      </c>
      <c r="J184" s="14">
        <f>+'[5]2026'!I184</f>
        <v>0</v>
      </c>
      <c r="K184" s="15">
        <f>+'[5]2026'!J184</f>
        <v>0</v>
      </c>
      <c r="L184" s="15">
        <f>+'[5]2026'!K184</f>
        <v>0</v>
      </c>
      <c r="M184" s="15">
        <f>+'[5]2026'!L184</f>
        <v>0</v>
      </c>
      <c r="N184" s="16" t="str">
        <f t="shared" si="8"/>
        <v/>
      </c>
      <c r="O184" s="17" t="str">
        <f t="shared" si="9"/>
        <v/>
      </c>
      <c r="P184" s="17" t="str">
        <f t="shared" si="9"/>
        <v/>
      </c>
      <c r="Q184" s="18" t="str">
        <f t="shared" si="10"/>
        <v/>
      </c>
      <c r="R184" s="18" t="e">
        <f t="shared" si="11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19">
        <f>+CHAMNORD!B185</f>
        <v>46202</v>
      </c>
      <c r="C185" s="75" t="str">
        <f>IF(H185=0,"",'[5]2025-2026'!C184)</f>
        <v/>
      </c>
      <c r="D185" s="75" t="str">
        <f>+'[5]2026'!C185</f>
        <v/>
      </c>
      <c r="E185" s="75" t="str">
        <f>+'[5]2026'!D185</f>
        <v/>
      </c>
      <c r="F185" s="20" t="str">
        <f>+'[5]2026'!E185</f>
        <v/>
      </c>
      <c r="G185" s="73" t="str">
        <f>+'[5]2026'!F185</f>
        <v/>
      </c>
      <c r="H185" s="42">
        <f>+'[5]2026'!G185</f>
        <v>0</v>
      </c>
      <c r="I185" s="13">
        <f>+'[5]2026'!H185</f>
        <v>0</v>
      </c>
      <c r="J185" s="14">
        <f>+'[5]2026'!I185</f>
        <v>0</v>
      </c>
      <c r="K185" s="15">
        <f>+'[5]2026'!J185</f>
        <v>0</v>
      </c>
      <c r="L185" s="15">
        <f>+'[5]2026'!K185</f>
        <v>0</v>
      </c>
      <c r="M185" s="15">
        <f>+'[5]2026'!L185</f>
        <v>0</v>
      </c>
      <c r="N185" s="16" t="str">
        <f t="shared" si="8"/>
        <v/>
      </c>
      <c r="O185" s="17" t="str">
        <f t="shared" si="9"/>
        <v/>
      </c>
      <c r="P185" s="17" t="str">
        <f t="shared" si="9"/>
        <v/>
      </c>
      <c r="Q185" s="18" t="str">
        <f t="shared" si="10"/>
        <v/>
      </c>
      <c r="R185" s="18" t="e">
        <f t="shared" si="11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19">
        <f>+CHAMNORD!B186</f>
        <v>46203</v>
      </c>
      <c r="C186" s="75" t="str">
        <f>IF(H186=0,"",'[5]2025-2026'!C185)</f>
        <v/>
      </c>
      <c r="D186" s="75" t="str">
        <f>+'[5]2026'!C186</f>
        <v/>
      </c>
      <c r="E186" s="75" t="str">
        <f>+'[5]2026'!D186</f>
        <v/>
      </c>
      <c r="F186" s="20" t="str">
        <f>+'[5]2026'!E186</f>
        <v/>
      </c>
      <c r="G186" s="73" t="str">
        <f>+'[5]2026'!F186</f>
        <v/>
      </c>
      <c r="H186" s="42">
        <f>+'[5]2026'!G186</f>
        <v>0</v>
      </c>
      <c r="I186" s="13">
        <f>+'[5]2026'!H186</f>
        <v>0</v>
      </c>
      <c r="J186" s="14">
        <f>+'[5]2026'!I186</f>
        <v>0</v>
      </c>
      <c r="K186" s="15">
        <f>+'[5]2026'!J186</f>
        <v>0</v>
      </c>
      <c r="L186" s="15">
        <f>+'[5]2026'!K186</f>
        <v>0</v>
      </c>
      <c r="M186" s="15">
        <f>+'[5]2026'!L186</f>
        <v>0</v>
      </c>
      <c r="N186" s="16" t="str">
        <f t="shared" si="8"/>
        <v/>
      </c>
      <c r="O186" s="17" t="str">
        <f t="shared" si="9"/>
        <v/>
      </c>
      <c r="P186" s="17" t="str">
        <f t="shared" si="9"/>
        <v/>
      </c>
      <c r="Q186" s="18" t="str">
        <f t="shared" si="10"/>
        <v/>
      </c>
      <c r="R186" s="18" t="e">
        <f t="shared" si="11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19">
        <f>+CHAMNORD!B187</f>
        <v>46204</v>
      </c>
      <c r="C187" s="75" t="str">
        <f>IF(H187=0,"",'[5]2025-2026'!C186)</f>
        <v/>
      </c>
      <c r="D187" s="75" t="str">
        <f>+'[5]2026'!C187</f>
        <v/>
      </c>
      <c r="E187" s="75" t="str">
        <f>+'[5]2026'!D187</f>
        <v/>
      </c>
      <c r="F187" s="20" t="str">
        <f>+'[5]2026'!E187</f>
        <v/>
      </c>
      <c r="G187" s="73" t="str">
        <f>+'[5]2026'!F187</f>
        <v/>
      </c>
      <c r="H187" s="42">
        <f>+'[5]2026'!G187</f>
        <v>0</v>
      </c>
      <c r="I187" s="13">
        <f>+'[5]2026'!H187</f>
        <v>0</v>
      </c>
      <c r="J187" s="14">
        <f>+'[5]2026'!I187</f>
        <v>0</v>
      </c>
      <c r="K187" s="15">
        <f>+'[5]2026'!J187</f>
        <v>0</v>
      </c>
      <c r="L187" s="15">
        <f>+'[5]2026'!K187</f>
        <v>0</v>
      </c>
      <c r="M187" s="15">
        <f>+'[5]2026'!L187</f>
        <v>0</v>
      </c>
      <c r="N187" s="16" t="str">
        <f t="shared" si="8"/>
        <v/>
      </c>
      <c r="O187" s="17" t="str">
        <f t="shared" si="9"/>
        <v/>
      </c>
      <c r="P187" s="17" t="str">
        <f t="shared" si="9"/>
        <v/>
      </c>
      <c r="Q187" s="18" t="str">
        <f t="shared" si="10"/>
        <v/>
      </c>
      <c r="R187" s="18" t="e">
        <f t="shared" si="11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19">
        <f>+CHAMNORD!B188</f>
        <v>46205</v>
      </c>
      <c r="C188" s="75" t="str">
        <f>IF(H188=0,"",'[5]2025-2026'!C187)</f>
        <v/>
      </c>
      <c r="D188" s="75" t="str">
        <f>+'[5]2026'!C188</f>
        <v/>
      </c>
      <c r="E188" s="75" t="str">
        <f>+'[5]2026'!D188</f>
        <v/>
      </c>
      <c r="F188" s="20" t="str">
        <f>+'[5]2026'!E188</f>
        <v/>
      </c>
      <c r="G188" s="73" t="str">
        <f>+'[5]2026'!F188</f>
        <v/>
      </c>
      <c r="H188" s="42">
        <f>+'[5]2026'!G188</f>
        <v>0</v>
      </c>
      <c r="I188" s="13">
        <f>+'[5]2026'!H188</f>
        <v>0</v>
      </c>
      <c r="J188" s="14">
        <f>+'[5]2026'!I188</f>
        <v>0</v>
      </c>
      <c r="K188" s="15">
        <f>+'[5]2026'!J188</f>
        <v>0</v>
      </c>
      <c r="L188" s="15">
        <f>+'[5]2026'!K188</f>
        <v>0</v>
      </c>
      <c r="M188" s="15">
        <f>+'[5]2026'!L188</f>
        <v>0</v>
      </c>
      <c r="N188" s="16" t="str">
        <f t="shared" si="8"/>
        <v/>
      </c>
      <c r="O188" s="17" t="str">
        <f t="shared" si="9"/>
        <v/>
      </c>
      <c r="P188" s="17" t="str">
        <f t="shared" si="9"/>
        <v/>
      </c>
      <c r="Q188" s="18" t="str">
        <f t="shared" si="10"/>
        <v/>
      </c>
      <c r="R188" s="18" t="e">
        <f t="shared" si="11"/>
        <v>#DIV/0!</v>
      </c>
      <c r="S188" s="34"/>
      <c r="T188" s="29" t="s">
        <v>8</v>
      </c>
      <c r="U188" s="1738"/>
    </row>
    <row r="189" spans="1:21">
      <c r="A189" s="10" t="s">
        <v>14</v>
      </c>
      <c r="B189" s="19">
        <f>+CHAMNORD!B189</f>
        <v>46206</v>
      </c>
      <c r="C189" s="75" t="str">
        <f>IF(H189=0,"",'[5]2025-2026'!C188)</f>
        <v/>
      </c>
      <c r="D189" s="75" t="str">
        <f>+'[5]2026'!C189</f>
        <v/>
      </c>
      <c r="E189" s="75" t="str">
        <f>+'[5]2026'!D189</f>
        <v/>
      </c>
      <c r="F189" s="20" t="str">
        <f>+'[5]2026'!E189</f>
        <v/>
      </c>
      <c r="G189" s="73" t="str">
        <f>+'[5]2026'!F189</f>
        <v/>
      </c>
      <c r="H189" s="42">
        <f>+'[5]2026'!G189</f>
        <v>0</v>
      </c>
      <c r="I189" s="13">
        <f>+'[5]2026'!H189</f>
        <v>0</v>
      </c>
      <c r="J189" s="14">
        <f>+'[5]2026'!I189</f>
        <v>0</v>
      </c>
      <c r="K189" s="15">
        <f>+'[5]2026'!J189</f>
        <v>0</v>
      </c>
      <c r="L189" s="15">
        <f>+'[5]2026'!K189</f>
        <v>0</v>
      </c>
      <c r="M189" s="15">
        <f>+'[5]2026'!L189</f>
        <v>0</v>
      </c>
      <c r="N189" s="16" t="str">
        <f t="shared" si="8"/>
        <v/>
      </c>
      <c r="O189" s="17" t="str">
        <f t="shared" si="9"/>
        <v/>
      </c>
      <c r="P189" s="17" t="str">
        <f t="shared" si="9"/>
        <v/>
      </c>
      <c r="Q189" s="18" t="str">
        <f t="shared" si="10"/>
        <v/>
      </c>
      <c r="R189" s="18" t="e">
        <f t="shared" si="11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19">
        <f>+CHAMNORD!B190</f>
        <v>46207</v>
      </c>
      <c r="C190" s="75" t="str">
        <f>IF(H190=0,"",'[5]2025-2026'!C189)</f>
        <v/>
      </c>
      <c r="D190" s="75" t="str">
        <f>+'[5]2026'!C190</f>
        <v/>
      </c>
      <c r="E190" s="75" t="str">
        <f>+'[5]2026'!D190</f>
        <v/>
      </c>
      <c r="F190" s="20" t="str">
        <f>+'[5]2026'!E190</f>
        <v/>
      </c>
      <c r="G190" s="73" t="str">
        <f>+'[5]2026'!F190</f>
        <v/>
      </c>
      <c r="H190" s="42">
        <f>+'[5]2026'!G190</f>
        <v>0</v>
      </c>
      <c r="I190" s="13">
        <f>+'[5]2026'!H190</f>
        <v>0</v>
      </c>
      <c r="J190" s="14">
        <f>+'[5]2026'!I190</f>
        <v>0</v>
      </c>
      <c r="K190" s="15">
        <f>+'[5]2026'!J190</f>
        <v>0</v>
      </c>
      <c r="L190" s="15">
        <f>+'[5]2026'!K190</f>
        <v>0</v>
      </c>
      <c r="M190" s="15">
        <f>+'[5]2026'!L190</f>
        <v>0</v>
      </c>
      <c r="N190" s="16" t="str">
        <f t="shared" si="8"/>
        <v/>
      </c>
      <c r="O190" s="17" t="str">
        <f t="shared" si="9"/>
        <v/>
      </c>
      <c r="P190" s="17" t="str">
        <f t="shared" si="9"/>
        <v/>
      </c>
      <c r="Q190" s="18" t="str">
        <f t="shared" si="10"/>
        <v/>
      </c>
      <c r="R190" s="18" t="e">
        <f t="shared" si="11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19">
        <f>+CHAMNORD!B191</f>
        <v>46208</v>
      </c>
      <c r="C191" s="75" t="str">
        <f>IF(H191=0,"",'[5]2025-2026'!C190)</f>
        <v/>
      </c>
      <c r="D191" s="75" t="str">
        <f>+'[5]2026'!C191</f>
        <v/>
      </c>
      <c r="E191" s="75" t="str">
        <f>+'[5]2026'!D191</f>
        <v/>
      </c>
      <c r="F191" s="20" t="str">
        <f>+'[5]2026'!E191</f>
        <v/>
      </c>
      <c r="G191" s="73" t="str">
        <f>+'[5]2026'!F191</f>
        <v/>
      </c>
      <c r="H191" s="42">
        <f>+'[5]2026'!G191</f>
        <v>0</v>
      </c>
      <c r="I191" s="13">
        <f>+'[5]2026'!H191</f>
        <v>0</v>
      </c>
      <c r="J191" s="14">
        <f>+'[5]2026'!I191</f>
        <v>0</v>
      </c>
      <c r="K191" s="15">
        <f>+'[5]2026'!J191</f>
        <v>0</v>
      </c>
      <c r="L191" s="15">
        <f>+'[5]2026'!K191</f>
        <v>0</v>
      </c>
      <c r="M191" s="15">
        <f>+'[5]2026'!L191</f>
        <v>0</v>
      </c>
      <c r="N191" s="16" t="str">
        <f t="shared" si="8"/>
        <v/>
      </c>
      <c r="O191" s="17" t="str">
        <f t="shared" si="9"/>
        <v/>
      </c>
      <c r="P191" s="17" t="str">
        <f t="shared" si="9"/>
        <v/>
      </c>
      <c r="Q191" s="18" t="str">
        <f t="shared" si="10"/>
        <v/>
      </c>
      <c r="R191" s="18" t="e">
        <f t="shared" si="11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19">
        <f>+CHAMNORD!B192</f>
        <v>46209</v>
      </c>
      <c r="C192" s="75" t="str">
        <f>IF(H192=0,"",'[5]2025-2026'!C191)</f>
        <v/>
      </c>
      <c r="D192" s="75" t="str">
        <f>+'[5]2026'!C192</f>
        <v/>
      </c>
      <c r="E192" s="75" t="str">
        <f>+'[5]2026'!D192</f>
        <v/>
      </c>
      <c r="F192" s="20" t="str">
        <f>+'[5]2026'!E192</f>
        <v/>
      </c>
      <c r="G192" s="73" t="str">
        <f>+'[5]2026'!F192</f>
        <v/>
      </c>
      <c r="H192" s="42">
        <f>+'[5]2026'!G192</f>
        <v>0</v>
      </c>
      <c r="I192" s="13">
        <f>+'[5]2026'!H192</f>
        <v>0</v>
      </c>
      <c r="J192" s="14">
        <f>+'[5]2026'!I192</f>
        <v>0</v>
      </c>
      <c r="K192" s="15">
        <f>+'[5]2026'!J192</f>
        <v>0</v>
      </c>
      <c r="L192" s="15">
        <f>+'[5]2026'!K192</f>
        <v>0</v>
      </c>
      <c r="M192" s="15">
        <f>+'[5]2026'!L192</f>
        <v>0</v>
      </c>
      <c r="N192" s="16" t="str">
        <f t="shared" si="8"/>
        <v/>
      </c>
      <c r="O192" s="17" t="str">
        <f t="shared" si="9"/>
        <v/>
      </c>
      <c r="P192" s="17" t="str">
        <f t="shared" si="9"/>
        <v/>
      </c>
      <c r="Q192" s="18" t="str">
        <f t="shared" si="10"/>
        <v/>
      </c>
      <c r="R192" s="18" t="e">
        <f t="shared" si="11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19">
        <f>+CHAMNORD!B193</f>
        <v>46210</v>
      </c>
      <c r="C193" s="75" t="str">
        <f>IF(H193=0,"",'[5]2025-2026'!C192)</f>
        <v/>
      </c>
      <c r="D193" s="75" t="str">
        <f>+'[5]2026'!C193</f>
        <v/>
      </c>
      <c r="E193" s="75" t="str">
        <f>+'[5]2026'!D193</f>
        <v/>
      </c>
      <c r="F193" s="20" t="str">
        <f>+'[5]2026'!E193</f>
        <v/>
      </c>
      <c r="G193" s="73" t="str">
        <f>+'[5]2026'!F193</f>
        <v/>
      </c>
      <c r="H193" s="42">
        <f>+'[5]2026'!G193</f>
        <v>0</v>
      </c>
      <c r="I193" s="13">
        <f>+'[5]2026'!H193</f>
        <v>0</v>
      </c>
      <c r="J193" s="14">
        <f>+'[5]2026'!I193</f>
        <v>0</v>
      </c>
      <c r="K193" s="15">
        <f>+'[5]2026'!J193</f>
        <v>0</v>
      </c>
      <c r="L193" s="15">
        <f>+'[5]2026'!K193</f>
        <v>0</v>
      </c>
      <c r="M193" s="15">
        <f>+'[5]2026'!L193</f>
        <v>0</v>
      </c>
      <c r="N193" s="16" t="str">
        <f t="shared" si="8"/>
        <v/>
      </c>
      <c r="O193" s="17" t="str">
        <f t="shared" si="9"/>
        <v/>
      </c>
      <c r="P193" s="17" t="str">
        <f t="shared" si="9"/>
        <v/>
      </c>
      <c r="Q193" s="18" t="str">
        <f t="shared" si="10"/>
        <v/>
      </c>
      <c r="R193" s="18" t="e">
        <f t="shared" si="11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19">
        <f>+CHAMNORD!B194</f>
        <v>46211</v>
      </c>
      <c r="C194" s="75" t="str">
        <f>IF(H194=0,"",'[5]2025-2026'!C193)</f>
        <v/>
      </c>
      <c r="D194" s="75" t="str">
        <f>+'[5]2026'!C194</f>
        <v/>
      </c>
      <c r="E194" s="75" t="str">
        <f>+'[5]2026'!D194</f>
        <v/>
      </c>
      <c r="F194" s="20" t="str">
        <f>+'[5]2026'!E194</f>
        <v/>
      </c>
      <c r="G194" s="73" t="str">
        <f>+'[5]2026'!F194</f>
        <v/>
      </c>
      <c r="H194" s="42">
        <f>+'[5]2026'!G194</f>
        <v>0</v>
      </c>
      <c r="I194" s="13">
        <f>+'[5]2026'!H194</f>
        <v>0</v>
      </c>
      <c r="J194" s="14">
        <f>+'[5]2026'!I194</f>
        <v>0</v>
      </c>
      <c r="K194" s="15">
        <f>+'[5]2026'!J194</f>
        <v>0</v>
      </c>
      <c r="L194" s="15">
        <f>+'[5]2026'!K194</f>
        <v>0</v>
      </c>
      <c r="M194" s="15">
        <f>+'[5]2026'!L194</f>
        <v>0</v>
      </c>
      <c r="N194" s="16" t="str">
        <f t="shared" si="8"/>
        <v/>
      </c>
      <c r="O194" s="17" t="str">
        <f t="shared" si="9"/>
        <v/>
      </c>
      <c r="P194" s="17" t="str">
        <f t="shared" si="9"/>
        <v/>
      </c>
      <c r="Q194" s="18" t="str">
        <f t="shared" si="10"/>
        <v/>
      </c>
      <c r="R194" s="18" t="e">
        <f t="shared" si="11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19">
        <f>+CHAMNORD!B195</f>
        <v>46212</v>
      </c>
      <c r="C195" s="75" t="str">
        <f>IF(H195=0,"",'[5]2025-2026'!C194)</f>
        <v/>
      </c>
      <c r="D195" s="75" t="str">
        <f>+'[5]2026'!C195</f>
        <v/>
      </c>
      <c r="E195" s="75" t="str">
        <f>+'[5]2026'!D195</f>
        <v/>
      </c>
      <c r="F195" s="20" t="str">
        <f>+'[5]2026'!E195</f>
        <v/>
      </c>
      <c r="G195" s="73" t="str">
        <f>+'[5]2026'!F195</f>
        <v/>
      </c>
      <c r="H195" s="42">
        <f>+'[5]2026'!G195</f>
        <v>0</v>
      </c>
      <c r="I195" s="13">
        <f>+'[5]2026'!H195</f>
        <v>0</v>
      </c>
      <c r="J195" s="14">
        <f>+'[5]2026'!I195</f>
        <v>0</v>
      </c>
      <c r="K195" s="15">
        <f>+'[5]2026'!J195</f>
        <v>0</v>
      </c>
      <c r="L195" s="15">
        <f>+'[5]2026'!K195</f>
        <v>0</v>
      </c>
      <c r="M195" s="15">
        <f>+'[5]2026'!L195</f>
        <v>0</v>
      </c>
      <c r="N195" s="16" t="str">
        <f t="shared" si="8"/>
        <v/>
      </c>
      <c r="O195" s="17" t="str">
        <f t="shared" si="9"/>
        <v/>
      </c>
      <c r="P195" s="17" t="str">
        <f t="shared" si="9"/>
        <v/>
      </c>
      <c r="Q195" s="18" t="str">
        <f t="shared" si="10"/>
        <v/>
      </c>
      <c r="R195" s="18" t="e">
        <f t="shared" si="11"/>
        <v>#DIV/0!</v>
      </c>
      <c r="S195" s="34"/>
      <c r="T195" s="29" t="s">
        <v>8</v>
      </c>
      <c r="U195" s="1738"/>
    </row>
    <row r="196" spans="1:21">
      <c r="A196" s="10" t="s">
        <v>14</v>
      </c>
      <c r="B196" s="19">
        <f>+CHAMNORD!B196</f>
        <v>46213</v>
      </c>
      <c r="C196" s="75" t="str">
        <f>IF(H196=0,"",'[5]2025-2026'!C195)</f>
        <v/>
      </c>
      <c r="D196" s="75" t="str">
        <f>+'[5]2026'!C196</f>
        <v/>
      </c>
      <c r="E196" s="75" t="str">
        <f>+'[5]2026'!D196</f>
        <v/>
      </c>
      <c r="F196" s="20" t="str">
        <f>+'[5]2026'!E196</f>
        <v/>
      </c>
      <c r="G196" s="73" t="str">
        <f>+'[5]2026'!F196</f>
        <v/>
      </c>
      <c r="H196" s="42">
        <f>+'[5]2026'!G196</f>
        <v>0</v>
      </c>
      <c r="I196" s="13">
        <f>+'[5]2026'!H196</f>
        <v>0</v>
      </c>
      <c r="J196" s="14">
        <f>+'[5]2026'!I196</f>
        <v>0</v>
      </c>
      <c r="K196" s="15">
        <f>+'[5]2026'!J196</f>
        <v>0</v>
      </c>
      <c r="L196" s="15">
        <f>+'[5]2026'!K196</f>
        <v>0</v>
      </c>
      <c r="M196" s="15">
        <f>+'[5]2026'!L196</f>
        <v>0</v>
      </c>
      <c r="N196" s="16" t="str">
        <f t="shared" ref="N196:N259" si="12">IF(M196=0,"",M196/I196)</f>
        <v/>
      </c>
      <c r="O196" s="17" t="str">
        <f t="shared" ref="O196:P259" si="13">IF(I196=0,"",(I196-E196)/E196)</f>
        <v/>
      </c>
      <c r="P196" s="17" t="str">
        <f t="shared" si="13"/>
        <v/>
      </c>
      <c r="Q196" s="18" t="str">
        <f t="shared" ref="Q196:Q259" si="14">IF(I196=0,"",I196/K196)</f>
        <v/>
      </c>
      <c r="R196" s="18" t="e">
        <f t="shared" ref="R196:R259" si="15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19">
        <f>+CHAMNORD!B197</f>
        <v>46214</v>
      </c>
      <c r="C197" s="75" t="str">
        <f>IF(H197=0,"",'[5]2025-2026'!C196)</f>
        <v/>
      </c>
      <c r="D197" s="75" t="str">
        <f>+'[5]2026'!C197</f>
        <v/>
      </c>
      <c r="E197" s="75" t="str">
        <f>+'[5]2026'!D197</f>
        <v/>
      </c>
      <c r="F197" s="20" t="str">
        <f>+'[5]2026'!E197</f>
        <v/>
      </c>
      <c r="G197" s="73" t="str">
        <f>+'[5]2026'!F197</f>
        <v/>
      </c>
      <c r="H197" s="42">
        <f>+'[5]2026'!G197</f>
        <v>0</v>
      </c>
      <c r="I197" s="13">
        <f>+'[5]2026'!H197</f>
        <v>0</v>
      </c>
      <c r="J197" s="14">
        <f>+'[5]2026'!I197</f>
        <v>0</v>
      </c>
      <c r="K197" s="15">
        <f>+'[5]2026'!J197</f>
        <v>0</v>
      </c>
      <c r="L197" s="15">
        <f>+'[5]2026'!K197</f>
        <v>0</v>
      </c>
      <c r="M197" s="15">
        <f>+'[5]2026'!L197</f>
        <v>0</v>
      </c>
      <c r="N197" s="16" t="str">
        <f t="shared" si="12"/>
        <v/>
      </c>
      <c r="O197" s="17" t="str">
        <f t="shared" si="13"/>
        <v/>
      </c>
      <c r="P197" s="17" t="str">
        <f t="shared" si="13"/>
        <v/>
      </c>
      <c r="Q197" s="18" t="str">
        <f t="shared" si="14"/>
        <v/>
      </c>
      <c r="R197" s="18" t="e">
        <f t="shared" si="15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19">
        <f>+CHAMNORD!B198</f>
        <v>46215</v>
      </c>
      <c r="C198" s="75" t="str">
        <f>IF(H198=0,"",'[5]2025-2026'!C197)</f>
        <v/>
      </c>
      <c r="D198" s="75" t="str">
        <f>+'[5]2026'!C198</f>
        <v/>
      </c>
      <c r="E198" s="75" t="str">
        <f>+'[5]2026'!D198</f>
        <v/>
      </c>
      <c r="F198" s="20" t="str">
        <f>+'[5]2026'!E198</f>
        <v/>
      </c>
      <c r="G198" s="73" t="str">
        <f>+'[5]2026'!F198</f>
        <v/>
      </c>
      <c r="H198" s="42">
        <f>+'[5]2026'!G198</f>
        <v>0</v>
      </c>
      <c r="I198" s="13">
        <f>+'[5]2026'!H198</f>
        <v>0</v>
      </c>
      <c r="J198" s="14">
        <f>+'[5]2026'!I198</f>
        <v>0</v>
      </c>
      <c r="K198" s="15">
        <f>+'[5]2026'!J198</f>
        <v>0</v>
      </c>
      <c r="L198" s="15">
        <f>+'[5]2026'!K198</f>
        <v>0</v>
      </c>
      <c r="M198" s="15">
        <f>+'[5]2026'!L198</f>
        <v>0</v>
      </c>
      <c r="N198" s="16" t="str">
        <f t="shared" si="12"/>
        <v/>
      </c>
      <c r="O198" s="17" t="str">
        <f t="shared" si="13"/>
        <v/>
      </c>
      <c r="P198" s="17" t="str">
        <f t="shared" si="13"/>
        <v/>
      </c>
      <c r="Q198" s="18" t="str">
        <f t="shared" si="14"/>
        <v/>
      </c>
      <c r="R198" s="18" t="e">
        <f t="shared" si="15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19">
        <f>+CHAMNORD!B199</f>
        <v>46216</v>
      </c>
      <c r="C199" s="75" t="str">
        <f>IF(H199=0,"",'[5]2025-2026'!C198)</f>
        <v/>
      </c>
      <c r="D199" s="75" t="str">
        <f>+'[5]2026'!C199</f>
        <v/>
      </c>
      <c r="E199" s="75" t="str">
        <f>+'[5]2026'!D199</f>
        <v/>
      </c>
      <c r="F199" s="20" t="str">
        <f>+'[5]2026'!E199</f>
        <v/>
      </c>
      <c r="G199" s="73" t="str">
        <f>+'[5]2026'!F199</f>
        <v/>
      </c>
      <c r="H199" s="42">
        <f>+'[5]2026'!G199</f>
        <v>0</v>
      </c>
      <c r="I199" s="13">
        <f>+'[5]2026'!H199</f>
        <v>0</v>
      </c>
      <c r="J199" s="14">
        <f>+'[5]2026'!I199</f>
        <v>0</v>
      </c>
      <c r="K199" s="15">
        <f>+'[5]2026'!J199</f>
        <v>0</v>
      </c>
      <c r="L199" s="15">
        <f>+'[5]2026'!K199</f>
        <v>0</v>
      </c>
      <c r="M199" s="15">
        <f>+'[5]2026'!L199</f>
        <v>0</v>
      </c>
      <c r="N199" s="16" t="str">
        <f t="shared" si="12"/>
        <v/>
      </c>
      <c r="O199" s="17" t="str">
        <f t="shared" si="13"/>
        <v/>
      </c>
      <c r="P199" s="17" t="str">
        <f t="shared" si="13"/>
        <v/>
      </c>
      <c r="Q199" s="18" t="str">
        <f t="shared" si="14"/>
        <v/>
      </c>
      <c r="R199" s="18" t="e">
        <f t="shared" si="15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19">
        <f>+CHAMNORD!B200</f>
        <v>46217</v>
      </c>
      <c r="C200" s="75" t="str">
        <f>IF(H200=0,"",'[5]2025-2026'!C199)</f>
        <v/>
      </c>
      <c r="D200" s="75" t="str">
        <f>+'[5]2026'!C200</f>
        <v/>
      </c>
      <c r="E200" s="75" t="str">
        <f>+'[5]2026'!D200</f>
        <v/>
      </c>
      <c r="F200" s="20" t="str">
        <f>+'[5]2026'!E200</f>
        <v/>
      </c>
      <c r="G200" s="73" t="str">
        <f>+'[5]2026'!F200</f>
        <v/>
      </c>
      <c r="H200" s="42">
        <f>+'[5]2026'!G200</f>
        <v>0</v>
      </c>
      <c r="I200" s="13">
        <f>+'[5]2026'!H200</f>
        <v>0</v>
      </c>
      <c r="J200" s="14">
        <f>+'[5]2026'!I200</f>
        <v>0</v>
      </c>
      <c r="K200" s="15">
        <f>+'[5]2026'!J200</f>
        <v>0</v>
      </c>
      <c r="L200" s="15">
        <f>+'[5]2026'!K200</f>
        <v>0</v>
      </c>
      <c r="M200" s="15">
        <f>+'[5]2026'!L200</f>
        <v>0</v>
      </c>
      <c r="N200" s="16" t="str">
        <f t="shared" si="12"/>
        <v/>
      </c>
      <c r="O200" s="17" t="str">
        <f t="shared" si="13"/>
        <v/>
      </c>
      <c r="P200" s="17" t="str">
        <f t="shared" si="13"/>
        <v/>
      </c>
      <c r="Q200" s="18" t="str">
        <f t="shared" si="14"/>
        <v/>
      </c>
      <c r="R200" s="18" t="e">
        <f t="shared" si="15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19">
        <f>+CHAMNORD!B201</f>
        <v>46218</v>
      </c>
      <c r="C201" s="75" t="str">
        <f>IF(H201=0,"",'[5]2025-2026'!C200)</f>
        <v/>
      </c>
      <c r="D201" s="75" t="str">
        <f>+'[5]2026'!C201</f>
        <v/>
      </c>
      <c r="E201" s="75" t="str">
        <f>+'[5]2026'!D201</f>
        <v/>
      </c>
      <c r="F201" s="20" t="str">
        <f>+'[5]2026'!E201</f>
        <v/>
      </c>
      <c r="G201" s="73" t="str">
        <f>+'[5]2026'!F201</f>
        <v/>
      </c>
      <c r="H201" s="42">
        <f>+'[5]2026'!G201</f>
        <v>0</v>
      </c>
      <c r="I201" s="13">
        <f>+'[5]2026'!H201</f>
        <v>0</v>
      </c>
      <c r="J201" s="14">
        <f>+'[5]2026'!I201</f>
        <v>0</v>
      </c>
      <c r="K201" s="15">
        <f>+'[5]2026'!J201</f>
        <v>0</v>
      </c>
      <c r="L201" s="15">
        <f>+'[5]2026'!K201</f>
        <v>0</v>
      </c>
      <c r="M201" s="15">
        <f>+'[5]2026'!L201</f>
        <v>0</v>
      </c>
      <c r="N201" s="16" t="str">
        <f t="shared" si="12"/>
        <v/>
      </c>
      <c r="O201" s="17" t="str">
        <f t="shared" si="13"/>
        <v/>
      </c>
      <c r="P201" s="17" t="str">
        <f t="shared" si="13"/>
        <v/>
      </c>
      <c r="Q201" s="18" t="str">
        <f t="shared" si="14"/>
        <v/>
      </c>
      <c r="R201" s="18" t="e">
        <f t="shared" si="15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19">
        <f>+CHAMNORD!B202</f>
        <v>46219</v>
      </c>
      <c r="C202" s="75" t="str">
        <f>IF(H202=0,"",'[5]2025-2026'!C201)</f>
        <v/>
      </c>
      <c r="D202" s="75" t="str">
        <f>+'[5]2026'!C202</f>
        <v/>
      </c>
      <c r="E202" s="75" t="str">
        <f>+'[5]2026'!D202</f>
        <v/>
      </c>
      <c r="F202" s="20" t="str">
        <f>+'[5]2026'!E202</f>
        <v/>
      </c>
      <c r="G202" s="73" t="str">
        <f>+'[5]2026'!F202</f>
        <v/>
      </c>
      <c r="H202" s="42">
        <f>+'[5]2026'!G202</f>
        <v>0</v>
      </c>
      <c r="I202" s="13">
        <f>+'[5]2026'!H202</f>
        <v>0</v>
      </c>
      <c r="J202" s="14">
        <f>+'[5]2026'!I202</f>
        <v>0</v>
      </c>
      <c r="K202" s="15">
        <f>+'[5]2026'!J202</f>
        <v>0</v>
      </c>
      <c r="L202" s="15">
        <f>+'[5]2026'!K202</f>
        <v>0</v>
      </c>
      <c r="M202" s="15">
        <f>+'[5]2026'!L202</f>
        <v>0</v>
      </c>
      <c r="N202" s="16" t="str">
        <f t="shared" si="12"/>
        <v/>
      </c>
      <c r="O202" s="17" t="str">
        <f t="shared" si="13"/>
        <v/>
      </c>
      <c r="P202" s="17" t="str">
        <f t="shared" si="13"/>
        <v/>
      </c>
      <c r="Q202" s="18" t="str">
        <f t="shared" si="14"/>
        <v/>
      </c>
      <c r="R202" s="18" t="e">
        <f t="shared" si="15"/>
        <v>#DIV/0!</v>
      </c>
      <c r="S202" s="34"/>
      <c r="T202" s="29" t="s">
        <v>8</v>
      </c>
      <c r="U202" s="1738"/>
    </row>
    <row r="203" spans="1:21">
      <c r="A203" s="10" t="s">
        <v>14</v>
      </c>
      <c r="B203" s="19">
        <f>+CHAMNORD!B203</f>
        <v>46220</v>
      </c>
      <c r="C203" s="75" t="str">
        <f>IF(H203=0,"",'[5]2025-2026'!C202)</f>
        <v/>
      </c>
      <c r="D203" s="75" t="str">
        <f>+'[5]2026'!C203</f>
        <v/>
      </c>
      <c r="E203" s="75" t="str">
        <f>+'[5]2026'!D203</f>
        <v/>
      </c>
      <c r="F203" s="20" t="str">
        <f>+'[5]2026'!E203</f>
        <v/>
      </c>
      <c r="G203" s="73" t="str">
        <f>+'[5]2026'!F203</f>
        <v/>
      </c>
      <c r="H203" s="42">
        <f>+'[5]2026'!G203</f>
        <v>0</v>
      </c>
      <c r="I203" s="13">
        <f>+'[5]2026'!H203</f>
        <v>0</v>
      </c>
      <c r="J203" s="14">
        <f>+'[5]2026'!I203</f>
        <v>0</v>
      </c>
      <c r="K203" s="15">
        <f>+'[5]2026'!J203</f>
        <v>0</v>
      </c>
      <c r="L203" s="15">
        <f>+'[5]2026'!K203</f>
        <v>0</v>
      </c>
      <c r="M203" s="15">
        <f>+'[5]2026'!L203</f>
        <v>0</v>
      </c>
      <c r="N203" s="16" t="str">
        <f t="shared" si="12"/>
        <v/>
      </c>
      <c r="O203" s="17" t="str">
        <f t="shared" si="13"/>
        <v/>
      </c>
      <c r="P203" s="17" t="str">
        <f t="shared" si="13"/>
        <v/>
      </c>
      <c r="Q203" s="18" t="str">
        <f t="shared" si="14"/>
        <v/>
      </c>
      <c r="R203" s="18" t="e">
        <f t="shared" si="15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19">
        <f>+CHAMNORD!B204</f>
        <v>46221</v>
      </c>
      <c r="C204" s="75" t="str">
        <f>IF(H204=0,"",'[5]2025-2026'!C203)</f>
        <v/>
      </c>
      <c r="D204" s="75" t="str">
        <f>+'[5]2026'!C204</f>
        <v/>
      </c>
      <c r="E204" s="75" t="str">
        <f>+'[5]2026'!D204</f>
        <v/>
      </c>
      <c r="F204" s="20" t="str">
        <f>+'[5]2026'!E204</f>
        <v/>
      </c>
      <c r="G204" s="73" t="str">
        <f>+'[5]2026'!F204</f>
        <v/>
      </c>
      <c r="H204" s="42">
        <f>+'[5]2026'!G204</f>
        <v>0</v>
      </c>
      <c r="I204" s="13">
        <f>+'[5]2026'!H204</f>
        <v>0</v>
      </c>
      <c r="J204" s="14">
        <f>+'[5]2026'!I204</f>
        <v>0</v>
      </c>
      <c r="K204" s="15">
        <f>+'[5]2026'!J204</f>
        <v>0</v>
      </c>
      <c r="L204" s="15">
        <f>+'[5]2026'!K204</f>
        <v>0</v>
      </c>
      <c r="M204" s="15">
        <f>+'[5]2026'!L204</f>
        <v>0</v>
      </c>
      <c r="N204" s="16" t="str">
        <f t="shared" si="12"/>
        <v/>
      </c>
      <c r="O204" s="17" t="str">
        <f t="shared" si="13"/>
        <v/>
      </c>
      <c r="P204" s="17" t="str">
        <f t="shared" si="13"/>
        <v/>
      </c>
      <c r="Q204" s="18" t="str">
        <f t="shared" si="14"/>
        <v/>
      </c>
      <c r="R204" s="18" t="e">
        <f t="shared" si="15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19">
        <f>+CHAMNORD!B205</f>
        <v>46222</v>
      </c>
      <c r="C205" s="75" t="str">
        <f>IF(H205=0,"",'[5]2025-2026'!C204)</f>
        <v/>
      </c>
      <c r="D205" s="75" t="str">
        <f>+'[5]2026'!C205</f>
        <v/>
      </c>
      <c r="E205" s="75" t="str">
        <f>+'[5]2026'!D205</f>
        <v/>
      </c>
      <c r="F205" s="20" t="str">
        <f>+'[5]2026'!E205</f>
        <v/>
      </c>
      <c r="G205" s="73" t="str">
        <f>+'[5]2026'!F205</f>
        <v/>
      </c>
      <c r="H205" s="42">
        <f>+'[5]2026'!G205</f>
        <v>0</v>
      </c>
      <c r="I205" s="13">
        <f>+'[5]2026'!H205</f>
        <v>0</v>
      </c>
      <c r="J205" s="14">
        <f>+'[5]2026'!I205</f>
        <v>0</v>
      </c>
      <c r="K205" s="15">
        <f>+'[5]2026'!J205</f>
        <v>0</v>
      </c>
      <c r="L205" s="15">
        <f>+'[5]2026'!K205</f>
        <v>0</v>
      </c>
      <c r="M205" s="15">
        <f>+'[5]2026'!L205</f>
        <v>0</v>
      </c>
      <c r="N205" s="16" t="str">
        <f t="shared" si="12"/>
        <v/>
      </c>
      <c r="O205" s="17" t="str">
        <f t="shared" si="13"/>
        <v/>
      </c>
      <c r="P205" s="17" t="str">
        <f t="shared" si="13"/>
        <v/>
      </c>
      <c r="Q205" s="18" t="str">
        <f t="shared" si="14"/>
        <v/>
      </c>
      <c r="R205" s="18" t="e">
        <f t="shared" si="15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19">
        <f>+CHAMNORD!B206</f>
        <v>46223</v>
      </c>
      <c r="C206" s="75" t="str">
        <f>IF(H206=0,"",'[5]2025-2026'!C205)</f>
        <v/>
      </c>
      <c r="D206" s="75" t="str">
        <f>+'[5]2026'!C206</f>
        <v/>
      </c>
      <c r="E206" s="75" t="str">
        <f>+'[5]2026'!D206</f>
        <v/>
      </c>
      <c r="F206" s="20" t="str">
        <f>+'[5]2026'!E206</f>
        <v/>
      </c>
      <c r="G206" s="73" t="str">
        <f>+'[5]2026'!F206</f>
        <v/>
      </c>
      <c r="H206" s="42">
        <f>+'[5]2026'!G206</f>
        <v>0</v>
      </c>
      <c r="I206" s="13">
        <f>+'[5]2026'!H206</f>
        <v>0</v>
      </c>
      <c r="J206" s="14">
        <f>+'[5]2026'!I206</f>
        <v>0</v>
      </c>
      <c r="K206" s="15">
        <f>+'[5]2026'!J206</f>
        <v>0</v>
      </c>
      <c r="L206" s="15">
        <f>+'[5]2026'!K206</f>
        <v>0</v>
      </c>
      <c r="M206" s="15">
        <f>+'[5]2026'!L206</f>
        <v>0</v>
      </c>
      <c r="N206" s="16" t="str">
        <f t="shared" si="12"/>
        <v/>
      </c>
      <c r="O206" s="17" t="str">
        <f t="shared" si="13"/>
        <v/>
      </c>
      <c r="P206" s="17" t="str">
        <f t="shared" si="13"/>
        <v/>
      </c>
      <c r="Q206" s="18" t="str">
        <f t="shared" si="14"/>
        <v/>
      </c>
      <c r="R206" s="18" t="e">
        <f t="shared" si="15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19">
        <f>+CHAMNORD!B207</f>
        <v>46224</v>
      </c>
      <c r="C207" s="75" t="str">
        <f>IF(H207=0,"",'[5]2025-2026'!C206)</f>
        <v/>
      </c>
      <c r="D207" s="75" t="str">
        <f>+'[5]2026'!C207</f>
        <v/>
      </c>
      <c r="E207" s="75" t="str">
        <f>+'[5]2026'!D207</f>
        <v/>
      </c>
      <c r="F207" s="20" t="str">
        <f>+'[5]2026'!E207</f>
        <v/>
      </c>
      <c r="G207" s="73" t="str">
        <f>+'[5]2026'!F207</f>
        <v/>
      </c>
      <c r="H207" s="42">
        <f>+'[5]2026'!G207</f>
        <v>0</v>
      </c>
      <c r="I207" s="13">
        <f>+'[5]2026'!H207</f>
        <v>0</v>
      </c>
      <c r="J207" s="14">
        <f>+'[5]2026'!I207</f>
        <v>0</v>
      </c>
      <c r="K207" s="15">
        <f>+'[5]2026'!J207</f>
        <v>0</v>
      </c>
      <c r="L207" s="15">
        <f>+'[5]2026'!K207</f>
        <v>0</v>
      </c>
      <c r="M207" s="15">
        <f>+'[5]2026'!L207</f>
        <v>0</v>
      </c>
      <c r="N207" s="16" t="str">
        <f t="shared" si="12"/>
        <v/>
      </c>
      <c r="O207" s="17" t="str">
        <f t="shared" si="13"/>
        <v/>
      </c>
      <c r="P207" s="17" t="str">
        <f t="shared" si="13"/>
        <v/>
      </c>
      <c r="Q207" s="18" t="str">
        <f t="shared" si="14"/>
        <v/>
      </c>
      <c r="R207" s="18" t="e">
        <f t="shared" si="15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19">
        <f>+CHAMNORD!B208</f>
        <v>46225</v>
      </c>
      <c r="C208" s="75" t="str">
        <f>IF(H208=0,"",'[5]2025-2026'!C207)</f>
        <v/>
      </c>
      <c r="D208" s="75" t="str">
        <f>+'[5]2026'!C208</f>
        <v/>
      </c>
      <c r="E208" s="75" t="str">
        <f>+'[5]2026'!D208</f>
        <v/>
      </c>
      <c r="F208" s="20" t="str">
        <f>+'[5]2026'!E208</f>
        <v/>
      </c>
      <c r="G208" s="73" t="str">
        <f>+'[5]2026'!F208</f>
        <v/>
      </c>
      <c r="H208" s="42">
        <f>+'[5]2026'!G208</f>
        <v>0</v>
      </c>
      <c r="I208" s="13">
        <f>+'[5]2026'!H208</f>
        <v>0</v>
      </c>
      <c r="J208" s="14">
        <f>+'[5]2026'!I208</f>
        <v>0</v>
      </c>
      <c r="K208" s="15">
        <f>+'[5]2026'!J208</f>
        <v>0</v>
      </c>
      <c r="L208" s="15">
        <f>+'[5]2026'!K208</f>
        <v>0</v>
      </c>
      <c r="M208" s="15">
        <f>+'[5]2026'!L208</f>
        <v>0</v>
      </c>
      <c r="N208" s="16" t="str">
        <f t="shared" si="12"/>
        <v/>
      </c>
      <c r="O208" s="17" t="str">
        <f t="shared" si="13"/>
        <v/>
      </c>
      <c r="P208" s="17" t="str">
        <f t="shared" si="13"/>
        <v/>
      </c>
      <c r="Q208" s="18" t="str">
        <f t="shared" si="14"/>
        <v/>
      </c>
      <c r="R208" s="18" t="e">
        <f t="shared" si="15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19">
        <f>+CHAMNORD!B209</f>
        <v>46226</v>
      </c>
      <c r="C209" s="75" t="str">
        <f>IF(H209=0,"",'[5]2025-2026'!C208)</f>
        <v/>
      </c>
      <c r="D209" s="75" t="str">
        <f>+'[5]2026'!C209</f>
        <v/>
      </c>
      <c r="E209" s="75" t="str">
        <f>+'[5]2026'!D209</f>
        <v/>
      </c>
      <c r="F209" s="20" t="str">
        <f>+'[5]2026'!E209</f>
        <v/>
      </c>
      <c r="G209" s="73" t="str">
        <f>+'[5]2026'!F209</f>
        <v/>
      </c>
      <c r="H209" s="42">
        <f>+'[5]2026'!G209</f>
        <v>0</v>
      </c>
      <c r="I209" s="13">
        <f>+'[5]2026'!H209</f>
        <v>0</v>
      </c>
      <c r="J209" s="14">
        <f>+'[5]2026'!I209</f>
        <v>0</v>
      </c>
      <c r="K209" s="15">
        <f>+'[5]2026'!J209</f>
        <v>0</v>
      </c>
      <c r="L209" s="15">
        <f>+'[5]2026'!K209</f>
        <v>0</v>
      </c>
      <c r="M209" s="15">
        <f>+'[5]2026'!L209</f>
        <v>0</v>
      </c>
      <c r="N209" s="16" t="str">
        <f t="shared" si="12"/>
        <v/>
      </c>
      <c r="O209" s="17" t="str">
        <f t="shared" si="13"/>
        <v/>
      </c>
      <c r="P209" s="17" t="str">
        <f t="shared" si="13"/>
        <v/>
      </c>
      <c r="Q209" s="18" t="str">
        <f t="shared" si="14"/>
        <v/>
      </c>
      <c r="R209" s="18" t="e">
        <f t="shared" si="15"/>
        <v>#DIV/0!</v>
      </c>
      <c r="S209" s="34"/>
      <c r="T209" s="29" t="s">
        <v>8</v>
      </c>
      <c r="U209" s="1738"/>
    </row>
    <row r="210" spans="1:21">
      <c r="A210" s="10" t="s">
        <v>14</v>
      </c>
      <c r="B210" s="19">
        <f>+CHAMNORD!B210</f>
        <v>46227</v>
      </c>
      <c r="C210" s="75" t="str">
        <f>IF(H210=0,"",'[5]2025-2026'!C209)</f>
        <v/>
      </c>
      <c r="D210" s="75" t="str">
        <f>+'[5]2026'!C210</f>
        <v/>
      </c>
      <c r="E210" s="75" t="str">
        <f>+'[5]2026'!D210</f>
        <v/>
      </c>
      <c r="F210" s="20" t="str">
        <f>+'[5]2026'!E210</f>
        <v/>
      </c>
      <c r="G210" s="73" t="str">
        <f>+'[5]2026'!F210</f>
        <v/>
      </c>
      <c r="H210" s="42">
        <f>+'[5]2026'!G210</f>
        <v>0</v>
      </c>
      <c r="I210" s="13">
        <f>+'[5]2026'!H210</f>
        <v>0</v>
      </c>
      <c r="J210" s="14">
        <f>+'[5]2026'!I210</f>
        <v>0</v>
      </c>
      <c r="K210" s="15">
        <f>+'[5]2026'!J210</f>
        <v>0</v>
      </c>
      <c r="L210" s="15">
        <f>+'[5]2026'!K210</f>
        <v>0</v>
      </c>
      <c r="M210" s="15">
        <f>+'[5]2026'!L210</f>
        <v>0</v>
      </c>
      <c r="N210" s="16" t="str">
        <f t="shared" si="12"/>
        <v/>
      </c>
      <c r="O210" s="17" t="str">
        <f t="shared" si="13"/>
        <v/>
      </c>
      <c r="P210" s="17" t="str">
        <f t="shared" si="13"/>
        <v/>
      </c>
      <c r="Q210" s="18" t="str">
        <f t="shared" si="14"/>
        <v/>
      </c>
      <c r="R210" s="18" t="e">
        <f t="shared" si="15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19">
        <f>+CHAMNORD!B211</f>
        <v>46228</v>
      </c>
      <c r="C211" s="75" t="str">
        <f>IF(H211=0,"",'[5]2025-2026'!C210)</f>
        <v/>
      </c>
      <c r="D211" s="75" t="str">
        <f>+'[5]2026'!C211</f>
        <v/>
      </c>
      <c r="E211" s="75" t="str">
        <f>+'[5]2026'!D211</f>
        <v/>
      </c>
      <c r="F211" s="20" t="str">
        <f>+'[5]2026'!E211</f>
        <v/>
      </c>
      <c r="G211" s="73" t="str">
        <f>+'[5]2026'!F211</f>
        <v/>
      </c>
      <c r="H211" s="42">
        <f>+'[5]2026'!G211</f>
        <v>0</v>
      </c>
      <c r="I211" s="13">
        <f>+'[5]2026'!H211</f>
        <v>0</v>
      </c>
      <c r="J211" s="14">
        <f>+'[5]2026'!I211</f>
        <v>0</v>
      </c>
      <c r="K211" s="15">
        <f>+'[5]2026'!J211</f>
        <v>0</v>
      </c>
      <c r="L211" s="15">
        <f>+'[5]2026'!K211</f>
        <v>0</v>
      </c>
      <c r="M211" s="15">
        <f>+'[5]2026'!L211</f>
        <v>0</v>
      </c>
      <c r="N211" s="16" t="str">
        <f t="shared" si="12"/>
        <v/>
      </c>
      <c r="O211" s="17" t="str">
        <f t="shared" si="13"/>
        <v/>
      </c>
      <c r="P211" s="17" t="str">
        <f t="shared" si="13"/>
        <v/>
      </c>
      <c r="Q211" s="18" t="str">
        <f t="shared" si="14"/>
        <v/>
      </c>
      <c r="R211" s="18" t="e">
        <f t="shared" si="15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19">
        <f>+CHAMNORD!B212</f>
        <v>46229</v>
      </c>
      <c r="C212" s="75" t="str">
        <f>IF(H212=0,"",'[5]2025-2026'!C211)</f>
        <v/>
      </c>
      <c r="D212" s="75" t="str">
        <f>+'[5]2026'!C212</f>
        <v/>
      </c>
      <c r="E212" s="75" t="str">
        <f>+'[5]2026'!D212</f>
        <v/>
      </c>
      <c r="F212" s="20" t="str">
        <f>+'[5]2026'!E212</f>
        <v/>
      </c>
      <c r="G212" s="73" t="str">
        <f>+'[5]2026'!F212</f>
        <v/>
      </c>
      <c r="H212" s="42">
        <f>+'[5]2026'!G212</f>
        <v>0</v>
      </c>
      <c r="I212" s="13">
        <f>+'[5]2026'!H212</f>
        <v>0</v>
      </c>
      <c r="J212" s="14">
        <f>+'[5]2026'!I212</f>
        <v>0</v>
      </c>
      <c r="K212" s="15">
        <f>+'[5]2026'!J212</f>
        <v>0</v>
      </c>
      <c r="L212" s="15">
        <f>+'[5]2026'!K212</f>
        <v>0</v>
      </c>
      <c r="M212" s="15">
        <f>+'[5]2026'!L212</f>
        <v>0</v>
      </c>
      <c r="N212" s="16" t="str">
        <f t="shared" si="12"/>
        <v/>
      </c>
      <c r="O212" s="17" t="str">
        <f t="shared" si="13"/>
        <v/>
      </c>
      <c r="P212" s="17" t="str">
        <f t="shared" si="13"/>
        <v/>
      </c>
      <c r="Q212" s="18" t="str">
        <f t="shared" si="14"/>
        <v/>
      </c>
      <c r="R212" s="18" t="e">
        <f t="shared" si="15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19">
        <f>+CHAMNORD!B213</f>
        <v>46230</v>
      </c>
      <c r="C213" s="75" t="str">
        <f>IF(H213=0,"",'[5]2025-2026'!C212)</f>
        <v/>
      </c>
      <c r="D213" s="75" t="str">
        <f>+'[5]2026'!C213</f>
        <v/>
      </c>
      <c r="E213" s="75" t="str">
        <f>+'[5]2026'!D213</f>
        <v/>
      </c>
      <c r="F213" s="20" t="str">
        <f>+'[5]2026'!E213</f>
        <v/>
      </c>
      <c r="G213" s="73" t="str">
        <f>+'[5]2026'!F213</f>
        <v/>
      </c>
      <c r="H213" s="42">
        <f>+'[5]2026'!G213</f>
        <v>0</v>
      </c>
      <c r="I213" s="13">
        <f>+'[5]2026'!H213</f>
        <v>0</v>
      </c>
      <c r="J213" s="14">
        <f>+'[5]2026'!I213</f>
        <v>0</v>
      </c>
      <c r="K213" s="15">
        <f>+'[5]2026'!J213</f>
        <v>0</v>
      </c>
      <c r="L213" s="15">
        <f>+'[5]2026'!K213</f>
        <v>0</v>
      </c>
      <c r="M213" s="15">
        <f>+'[5]2026'!L213</f>
        <v>0</v>
      </c>
      <c r="N213" s="16" t="str">
        <f t="shared" si="12"/>
        <v/>
      </c>
      <c r="O213" s="17" t="str">
        <f t="shared" si="13"/>
        <v/>
      </c>
      <c r="P213" s="17" t="str">
        <f t="shared" si="13"/>
        <v/>
      </c>
      <c r="Q213" s="18" t="str">
        <f t="shared" si="14"/>
        <v/>
      </c>
      <c r="R213" s="18" t="e">
        <f t="shared" si="15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19">
        <f>+CHAMNORD!B214</f>
        <v>46231</v>
      </c>
      <c r="C214" s="75" t="str">
        <f>IF(H214=0,"",'[5]2025-2026'!C213)</f>
        <v/>
      </c>
      <c r="D214" s="75" t="str">
        <f>+'[5]2026'!C214</f>
        <v/>
      </c>
      <c r="E214" s="75" t="str">
        <f>+'[5]2026'!D214</f>
        <v/>
      </c>
      <c r="F214" s="20" t="str">
        <f>+'[5]2026'!E214</f>
        <v/>
      </c>
      <c r="G214" s="73" t="str">
        <f>+'[5]2026'!F214</f>
        <v/>
      </c>
      <c r="H214" s="42">
        <f>+'[5]2026'!G214</f>
        <v>0</v>
      </c>
      <c r="I214" s="13">
        <f>+'[5]2026'!H214</f>
        <v>0</v>
      </c>
      <c r="J214" s="14">
        <f>+'[5]2026'!I214</f>
        <v>0</v>
      </c>
      <c r="K214" s="15">
        <f>+'[5]2026'!J214</f>
        <v>0</v>
      </c>
      <c r="L214" s="15">
        <f>+'[5]2026'!K214</f>
        <v>0</v>
      </c>
      <c r="M214" s="15">
        <f>+'[5]2026'!L214</f>
        <v>0</v>
      </c>
      <c r="N214" s="16" t="str">
        <f t="shared" si="12"/>
        <v/>
      </c>
      <c r="O214" s="17" t="str">
        <f t="shared" si="13"/>
        <v/>
      </c>
      <c r="P214" s="17" t="str">
        <f t="shared" si="13"/>
        <v/>
      </c>
      <c r="Q214" s="18" t="str">
        <f t="shared" si="14"/>
        <v/>
      </c>
      <c r="R214" s="18" t="e">
        <f t="shared" si="15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19">
        <f>+CHAMNORD!B215</f>
        <v>46232</v>
      </c>
      <c r="C215" s="75" t="str">
        <f>IF(H215=0,"",'[5]2025-2026'!C214)</f>
        <v/>
      </c>
      <c r="D215" s="75" t="str">
        <f>+'[5]2026'!C215</f>
        <v/>
      </c>
      <c r="E215" s="75" t="str">
        <f>+'[5]2026'!D215</f>
        <v/>
      </c>
      <c r="F215" s="20" t="str">
        <f>+'[5]2026'!E215</f>
        <v/>
      </c>
      <c r="G215" s="73" t="str">
        <f>+'[5]2026'!F215</f>
        <v/>
      </c>
      <c r="H215" s="42">
        <f>+'[5]2026'!G215</f>
        <v>0</v>
      </c>
      <c r="I215" s="13">
        <f>+'[5]2026'!H215</f>
        <v>0</v>
      </c>
      <c r="J215" s="14">
        <f>+'[5]2026'!I215</f>
        <v>0</v>
      </c>
      <c r="K215" s="15">
        <f>+'[5]2026'!J215</f>
        <v>0</v>
      </c>
      <c r="L215" s="15">
        <f>+'[5]2026'!K215</f>
        <v>0</v>
      </c>
      <c r="M215" s="15">
        <f>+'[5]2026'!L215</f>
        <v>0</v>
      </c>
      <c r="N215" s="16" t="str">
        <f t="shared" si="12"/>
        <v/>
      </c>
      <c r="O215" s="17" t="str">
        <f t="shared" si="13"/>
        <v/>
      </c>
      <c r="P215" s="17" t="str">
        <f t="shared" si="13"/>
        <v/>
      </c>
      <c r="Q215" s="18" t="str">
        <f t="shared" si="14"/>
        <v/>
      </c>
      <c r="R215" s="18" t="e">
        <f t="shared" si="15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19">
        <f>+CHAMNORD!B216</f>
        <v>46233</v>
      </c>
      <c r="C216" s="75" t="str">
        <f>IF(H216=0,"",'[5]2025-2026'!C215)</f>
        <v/>
      </c>
      <c r="D216" s="75" t="str">
        <f>+'[5]2026'!C216</f>
        <v/>
      </c>
      <c r="E216" s="75" t="str">
        <f>+'[5]2026'!D216</f>
        <v/>
      </c>
      <c r="F216" s="20" t="str">
        <f>+'[5]2026'!E216</f>
        <v/>
      </c>
      <c r="G216" s="73" t="str">
        <f>+'[5]2026'!F216</f>
        <v/>
      </c>
      <c r="H216" s="42">
        <f>+'[5]2026'!G216</f>
        <v>0</v>
      </c>
      <c r="I216" s="13">
        <f>+'[5]2026'!H216</f>
        <v>0</v>
      </c>
      <c r="J216" s="14">
        <f>+'[5]2026'!I216</f>
        <v>0</v>
      </c>
      <c r="K216" s="15">
        <f>+'[5]2026'!J216</f>
        <v>0</v>
      </c>
      <c r="L216" s="15">
        <f>+'[5]2026'!K216</f>
        <v>0</v>
      </c>
      <c r="M216" s="15">
        <f>+'[5]2026'!L216</f>
        <v>0</v>
      </c>
      <c r="N216" s="16" t="str">
        <f t="shared" si="12"/>
        <v/>
      </c>
      <c r="O216" s="17" t="str">
        <f t="shared" si="13"/>
        <v/>
      </c>
      <c r="P216" s="17" t="str">
        <f t="shared" si="13"/>
        <v/>
      </c>
      <c r="Q216" s="18" t="str">
        <f t="shared" si="14"/>
        <v/>
      </c>
      <c r="R216" s="18" t="e">
        <f t="shared" si="15"/>
        <v>#DIV/0!</v>
      </c>
      <c r="S216" s="34"/>
      <c r="T216" s="29" t="s">
        <v>8</v>
      </c>
      <c r="U216" s="1738"/>
    </row>
    <row r="217" spans="1:21">
      <c r="A217" s="10" t="s">
        <v>14</v>
      </c>
      <c r="B217" s="19">
        <f>+CHAMNORD!B217</f>
        <v>46234</v>
      </c>
      <c r="C217" s="75" t="str">
        <f>IF(H217=0,"",'[5]2025-2026'!C216)</f>
        <v/>
      </c>
      <c r="D217" s="75" t="str">
        <f>+'[5]2026'!C217</f>
        <v/>
      </c>
      <c r="E217" s="75" t="str">
        <f>+'[5]2026'!D217</f>
        <v/>
      </c>
      <c r="F217" s="20" t="str">
        <f>+'[5]2026'!E217</f>
        <v/>
      </c>
      <c r="G217" s="73" t="str">
        <f>+'[5]2026'!F217</f>
        <v/>
      </c>
      <c r="H217" s="42">
        <f>+'[5]2026'!G217</f>
        <v>0</v>
      </c>
      <c r="I217" s="13">
        <f>+'[5]2026'!H217</f>
        <v>0</v>
      </c>
      <c r="J217" s="14">
        <f>+'[5]2026'!I217</f>
        <v>0</v>
      </c>
      <c r="K217" s="15">
        <f>+'[5]2026'!J217</f>
        <v>0</v>
      </c>
      <c r="L217" s="15">
        <f>+'[5]2026'!K217</f>
        <v>0</v>
      </c>
      <c r="M217" s="15">
        <f>+'[5]2026'!L217</f>
        <v>0</v>
      </c>
      <c r="N217" s="16" t="str">
        <f t="shared" si="12"/>
        <v/>
      </c>
      <c r="O217" s="17" t="str">
        <f t="shared" si="13"/>
        <v/>
      </c>
      <c r="P217" s="17" t="str">
        <f t="shared" si="13"/>
        <v/>
      </c>
      <c r="Q217" s="18" t="str">
        <f t="shared" si="14"/>
        <v/>
      </c>
      <c r="R217" s="18" t="e">
        <f t="shared" si="15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19">
        <f>+CHAMNORD!B218</f>
        <v>46235</v>
      </c>
      <c r="C218" s="75" t="str">
        <f>IF(H218=0,"",'[5]2025-2026'!C217)</f>
        <v/>
      </c>
      <c r="D218" s="75" t="str">
        <f>+'[5]2026'!C218</f>
        <v/>
      </c>
      <c r="E218" s="75" t="str">
        <f>+'[5]2026'!D218</f>
        <v/>
      </c>
      <c r="F218" s="20" t="str">
        <f>+'[5]2026'!E218</f>
        <v/>
      </c>
      <c r="G218" s="73" t="str">
        <f>+'[5]2026'!F218</f>
        <v/>
      </c>
      <c r="H218" s="42">
        <f>+'[5]2026'!G218</f>
        <v>0</v>
      </c>
      <c r="I218" s="13">
        <f>+'[5]2026'!H218</f>
        <v>0</v>
      </c>
      <c r="J218" s="14">
        <f>+'[5]2026'!I218</f>
        <v>0</v>
      </c>
      <c r="K218" s="15">
        <f>+'[5]2026'!J218</f>
        <v>0</v>
      </c>
      <c r="L218" s="15">
        <f>+'[5]2026'!K218</f>
        <v>0</v>
      </c>
      <c r="M218" s="15">
        <f>+'[5]2026'!L218</f>
        <v>0</v>
      </c>
      <c r="N218" s="16" t="str">
        <f t="shared" si="12"/>
        <v/>
      </c>
      <c r="O218" s="17" t="str">
        <f t="shared" si="13"/>
        <v/>
      </c>
      <c r="P218" s="17" t="str">
        <f t="shared" si="13"/>
        <v/>
      </c>
      <c r="Q218" s="18" t="str">
        <f t="shared" si="14"/>
        <v/>
      </c>
      <c r="R218" s="18" t="e">
        <f t="shared" si="15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19">
        <f>+CHAMNORD!B219</f>
        <v>46236</v>
      </c>
      <c r="C219" s="75" t="str">
        <f>IF(H219=0,"",'[5]2025-2026'!C218)</f>
        <v/>
      </c>
      <c r="D219" s="75" t="str">
        <f>+'[5]2026'!C219</f>
        <v/>
      </c>
      <c r="E219" s="75" t="str">
        <f>+'[5]2026'!D219</f>
        <v/>
      </c>
      <c r="F219" s="20" t="str">
        <f>+'[5]2026'!E219</f>
        <v/>
      </c>
      <c r="G219" s="73" t="str">
        <f>+'[5]2026'!F219</f>
        <v/>
      </c>
      <c r="H219" s="42">
        <f>+'[5]2026'!G219</f>
        <v>0</v>
      </c>
      <c r="I219" s="13">
        <f>+'[5]2026'!H219</f>
        <v>0</v>
      </c>
      <c r="J219" s="14">
        <f>+'[5]2026'!I219</f>
        <v>0</v>
      </c>
      <c r="K219" s="15">
        <f>+'[5]2026'!J219</f>
        <v>0</v>
      </c>
      <c r="L219" s="15">
        <f>+'[5]2026'!K219</f>
        <v>0</v>
      </c>
      <c r="M219" s="15">
        <f>+'[5]2026'!L219</f>
        <v>0</v>
      </c>
      <c r="N219" s="16" t="str">
        <f t="shared" si="12"/>
        <v/>
      </c>
      <c r="O219" s="17" t="str">
        <f t="shared" si="13"/>
        <v/>
      </c>
      <c r="P219" s="17" t="str">
        <f t="shared" si="13"/>
        <v/>
      </c>
      <c r="Q219" s="18" t="str">
        <f t="shared" si="14"/>
        <v/>
      </c>
      <c r="R219" s="18" t="e">
        <f t="shared" si="15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19">
        <f>+CHAMNORD!B220</f>
        <v>46237</v>
      </c>
      <c r="C220" s="75" t="str">
        <f>IF(H220=0,"",'[5]2025-2026'!C219)</f>
        <v/>
      </c>
      <c r="D220" s="75" t="str">
        <f>+'[5]2026'!C220</f>
        <v/>
      </c>
      <c r="E220" s="75" t="str">
        <f>+'[5]2026'!D220</f>
        <v/>
      </c>
      <c r="F220" s="20" t="str">
        <f>+'[5]2026'!E220</f>
        <v/>
      </c>
      <c r="G220" s="73" t="str">
        <f>+'[5]2026'!F220</f>
        <v/>
      </c>
      <c r="H220" s="42">
        <f>+'[5]2026'!G220</f>
        <v>0</v>
      </c>
      <c r="I220" s="13">
        <f>+'[5]2026'!H220</f>
        <v>0</v>
      </c>
      <c r="J220" s="14">
        <f>+'[5]2026'!I220</f>
        <v>0</v>
      </c>
      <c r="K220" s="15">
        <f>+'[5]2026'!J220</f>
        <v>0</v>
      </c>
      <c r="L220" s="15">
        <f>+'[5]2026'!K220</f>
        <v>0</v>
      </c>
      <c r="M220" s="15">
        <f>+'[5]2026'!L220</f>
        <v>0</v>
      </c>
      <c r="N220" s="16" t="str">
        <f t="shared" si="12"/>
        <v/>
      </c>
      <c r="O220" s="17" t="str">
        <f t="shared" si="13"/>
        <v/>
      </c>
      <c r="P220" s="17" t="str">
        <f t="shared" si="13"/>
        <v/>
      </c>
      <c r="Q220" s="18" t="str">
        <f t="shared" si="14"/>
        <v/>
      </c>
      <c r="R220" s="18" t="e">
        <f t="shared" si="15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19">
        <f>+CHAMNORD!B221</f>
        <v>46238</v>
      </c>
      <c r="C221" s="75" t="str">
        <f>IF(H221=0,"",'[5]2025-2026'!C220)</f>
        <v/>
      </c>
      <c r="D221" s="75" t="str">
        <f>+'[5]2026'!C221</f>
        <v/>
      </c>
      <c r="E221" s="75" t="str">
        <f>+'[5]2026'!D221</f>
        <v/>
      </c>
      <c r="F221" s="20" t="str">
        <f>+'[5]2026'!E221</f>
        <v/>
      </c>
      <c r="G221" s="73" t="str">
        <f>+'[5]2026'!F221</f>
        <v/>
      </c>
      <c r="H221" s="42">
        <f>+'[5]2026'!G221</f>
        <v>0</v>
      </c>
      <c r="I221" s="13">
        <f>+'[5]2026'!H221</f>
        <v>0</v>
      </c>
      <c r="J221" s="14">
        <f>+'[5]2026'!I221</f>
        <v>0</v>
      </c>
      <c r="K221" s="15">
        <f>+'[5]2026'!J221</f>
        <v>0</v>
      </c>
      <c r="L221" s="15">
        <f>+'[5]2026'!K221</f>
        <v>0</v>
      </c>
      <c r="M221" s="15">
        <f>+'[5]2026'!L221</f>
        <v>0</v>
      </c>
      <c r="N221" s="16" t="str">
        <f t="shared" si="12"/>
        <v/>
      </c>
      <c r="O221" s="17" t="str">
        <f t="shared" si="13"/>
        <v/>
      </c>
      <c r="P221" s="17" t="str">
        <f t="shared" si="13"/>
        <v/>
      </c>
      <c r="Q221" s="18" t="str">
        <f t="shared" si="14"/>
        <v/>
      </c>
      <c r="R221" s="18" t="e">
        <f t="shared" si="15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19">
        <f>+CHAMNORD!B222</f>
        <v>46239</v>
      </c>
      <c r="C222" s="75" t="str">
        <f>IF(H222=0,"",'[5]2025-2026'!C221)</f>
        <v/>
      </c>
      <c r="D222" s="75" t="str">
        <f>+'[5]2026'!C222</f>
        <v/>
      </c>
      <c r="E222" s="75" t="str">
        <f>+'[5]2026'!D222</f>
        <v/>
      </c>
      <c r="F222" s="20" t="str">
        <f>+'[5]2026'!E222</f>
        <v/>
      </c>
      <c r="G222" s="73" t="str">
        <f>+'[5]2026'!F222</f>
        <v/>
      </c>
      <c r="H222" s="42">
        <f>+'[5]2026'!G222</f>
        <v>0</v>
      </c>
      <c r="I222" s="13">
        <f>+'[5]2026'!H222</f>
        <v>0</v>
      </c>
      <c r="J222" s="14">
        <f>+'[5]2026'!I222</f>
        <v>0</v>
      </c>
      <c r="K222" s="15">
        <f>+'[5]2026'!J222</f>
        <v>0</v>
      </c>
      <c r="L222" s="15">
        <f>+'[5]2026'!K222</f>
        <v>0</v>
      </c>
      <c r="M222" s="15">
        <f>+'[5]2026'!L222</f>
        <v>0</v>
      </c>
      <c r="N222" s="16" t="str">
        <f t="shared" si="12"/>
        <v/>
      </c>
      <c r="O222" s="17" t="str">
        <f t="shared" si="13"/>
        <v/>
      </c>
      <c r="P222" s="17" t="str">
        <f t="shared" si="13"/>
        <v/>
      </c>
      <c r="Q222" s="18" t="str">
        <f t="shared" si="14"/>
        <v/>
      </c>
      <c r="R222" s="18" t="e">
        <f t="shared" si="15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19">
        <f>+CHAMNORD!B223</f>
        <v>46240</v>
      </c>
      <c r="C223" s="75" t="str">
        <f>IF(H223=0,"",'[5]2025-2026'!C222)</f>
        <v/>
      </c>
      <c r="D223" s="75" t="str">
        <f>+'[5]2026'!C223</f>
        <v/>
      </c>
      <c r="E223" s="75" t="str">
        <f>+'[5]2026'!D223</f>
        <v/>
      </c>
      <c r="F223" s="20" t="str">
        <f>+'[5]2026'!E223</f>
        <v/>
      </c>
      <c r="G223" s="73" t="str">
        <f>+'[5]2026'!F223</f>
        <v/>
      </c>
      <c r="H223" s="42">
        <f>+'[5]2026'!G223</f>
        <v>0</v>
      </c>
      <c r="I223" s="13">
        <f>+'[5]2026'!H223</f>
        <v>0</v>
      </c>
      <c r="J223" s="14">
        <f>+'[5]2026'!I223</f>
        <v>0</v>
      </c>
      <c r="K223" s="15">
        <f>+'[5]2026'!J223</f>
        <v>0</v>
      </c>
      <c r="L223" s="15">
        <f>+'[5]2026'!K223</f>
        <v>0</v>
      </c>
      <c r="M223" s="15">
        <f>+'[5]2026'!L223</f>
        <v>0</v>
      </c>
      <c r="N223" s="16" t="str">
        <f t="shared" si="12"/>
        <v/>
      </c>
      <c r="O223" s="17" t="str">
        <f t="shared" si="13"/>
        <v/>
      </c>
      <c r="P223" s="17" t="str">
        <f t="shared" si="13"/>
        <v/>
      </c>
      <c r="Q223" s="18" t="str">
        <f t="shared" si="14"/>
        <v/>
      </c>
      <c r="R223" s="18" t="e">
        <f t="shared" si="15"/>
        <v>#DIV/0!</v>
      </c>
      <c r="S223" s="34"/>
      <c r="T223" s="29" t="s">
        <v>8</v>
      </c>
      <c r="U223" s="1738"/>
    </row>
    <row r="224" spans="1:21">
      <c r="A224" s="10" t="s">
        <v>14</v>
      </c>
      <c r="B224" s="19">
        <f>+CHAMNORD!B224</f>
        <v>46241</v>
      </c>
      <c r="C224" s="75" t="str">
        <f>IF(H224=0,"",'[5]2025-2026'!C223)</f>
        <v/>
      </c>
      <c r="D224" s="75" t="str">
        <f>+'[5]2026'!C224</f>
        <v/>
      </c>
      <c r="E224" s="75" t="str">
        <f>+'[5]2026'!D224</f>
        <v/>
      </c>
      <c r="F224" s="20" t="str">
        <f>+'[5]2026'!E224</f>
        <v/>
      </c>
      <c r="G224" s="73" t="str">
        <f>+'[5]2026'!F224</f>
        <v/>
      </c>
      <c r="H224" s="42">
        <f>+'[5]2026'!G224</f>
        <v>0</v>
      </c>
      <c r="I224" s="13">
        <f>+'[5]2026'!H224</f>
        <v>0</v>
      </c>
      <c r="J224" s="14">
        <f>+'[5]2026'!I224</f>
        <v>0</v>
      </c>
      <c r="K224" s="15">
        <f>+'[5]2026'!J224</f>
        <v>0</v>
      </c>
      <c r="L224" s="15">
        <f>+'[5]2026'!K224</f>
        <v>0</v>
      </c>
      <c r="M224" s="15">
        <f>+'[5]2026'!L224</f>
        <v>0</v>
      </c>
      <c r="N224" s="16" t="str">
        <f t="shared" si="12"/>
        <v/>
      </c>
      <c r="O224" s="17" t="str">
        <f t="shared" si="13"/>
        <v/>
      </c>
      <c r="P224" s="17" t="str">
        <f t="shared" si="13"/>
        <v/>
      </c>
      <c r="Q224" s="18" t="str">
        <f t="shared" si="14"/>
        <v/>
      </c>
      <c r="R224" s="18" t="e">
        <f t="shared" si="15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19">
        <f>+CHAMNORD!B225</f>
        <v>46242</v>
      </c>
      <c r="C225" s="75" t="str">
        <f>IF(H225=0,"",'[5]2025-2026'!C224)</f>
        <v/>
      </c>
      <c r="D225" s="75" t="str">
        <f>+'[5]2026'!C225</f>
        <v/>
      </c>
      <c r="E225" s="75" t="str">
        <f>+'[5]2026'!D225</f>
        <v/>
      </c>
      <c r="F225" s="20" t="str">
        <f>+'[5]2026'!E225</f>
        <v/>
      </c>
      <c r="G225" s="73" t="str">
        <f>+'[5]2026'!F225</f>
        <v/>
      </c>
      <c r="H225" s="42">
        <f>+'[5]2026'!G225</f>
        <v>0</v>
      </c>
      <c r="I225" s="13">
        <f>+'[5]2026'!H225</f>
        <v>0</v>
      </c>
      <c r="J225" s="14">
        <f>+'[5]2026'!I225</f>
        <v>0</v>
      </c>
      <c r="K225" s="15">
        <f>+'[5]2026'!J225</f>
        <v>0</v>
      </c>
      <c r="L225" s="15">
        <f>+'[5]2026'!K225</f>
        <v>0</v>
      </c>
      <c r="M225" s="15">
        <f>+'[5]2026'!L225</f>
        <v>0</v>
      </c>
      <c r="N225" s="16" t="str">
        <f t="shared" si="12"/>
        <v/>
      </c>
      <c r="O225" s="17" t="str">
        <f t="shared" si="13"/>
        <v/>
      </c>
      <c r="P225" s="17" t="str">
        <f t="shared" si="13"/>
        <v/>
      </c>
      <c r="Q225" s="18" t="str">
        <f t="shared" si="14"/>
        <v/>
      </c>
      <c r="R225" s="18" t="e">
        <f t="shared" si="15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19">
        <f>+CHAMNORD!B226</f>
        <v>46243</v>
      </c>
      <c r="C226" s="75" t="str">
        <f>IF(H226=0,"",'[5]2025-2026'!C225)</f>
        <v/>
      </c>
      <c r="D226" s="75" t="str">
        <f>+'[5]2026'!C226</f>
        <v/>
      </c>
      <c r="E226" s="75" t="str">
        <f>+'[5]2026'!D226</f>
        <v/>
      </c>
      <c r="F226" s="20" t="str">
        <f>+'[5]2026'!E226</f>
        <v/>
      </c>
      <c r="G226" s="73" t="str">
        <f>+'[5]2026'!F226</f>
        <v/>
      </c>
      <c r="H226" s="42">
        <f>+'[5]2026'!G226</f>
        <v>0</v>
      </c>
      <c r="I226" s="13">
        <f>+'[5]2026'!H226</f>
        <v>0</v>
      </c>
      <c r="J226" s="14">
        <f>+'[5]2026'!I226</f>
        <v>0</v>
      </c>
      <c r="K226" s="15">
        <f>+'[5]2026'!J226</f>
        <v>0</v>
      </c>
      <c r="L226" s="15">
        <f>+'[5]2026'!K226</f>
        <v>0</v>
      </c>
      <c r="M226" s="15">
        <f>+'[5]2026'!L226</f>
        <v>0</v>
      </c>
      <c r="N226" s="16" t="str">
        <f t="shared" si="12"/>
        <v/>
      </c>
      <c r="O226" s="17" t="str">
        <f t="shared" si="13"/>
        <v/>
      </c>
      <c r="P226" s="17" t="str">
        <f t="shared" si="13"/>
        <v/>
      </c>
      <c r="Q226" s="18" t="str">
        <f t="shared" si="14"/>
        <v/>
      </c>
      <c r="R226" s="18" t="e">
        <f t="shared" si="15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19">
        <f>+CHAMNORD!B227</f>
        <v>46244</v>
      </c>
      <c r="C227" s="75" t="str">
        <f>IF(H227=0,"",'[5]2025-2026'!C226)</f>
        <v/>
      </c>
      <c r="D227" s="75" t="str">
        <f>+'[5]2026'!C227</f>
        <v/>
      </c>
      <c r="E227" s="75" t="str">
        <f>+'[5]2026'!D227</f>
        <v/>
      </c>
      <c r="F227" s="20" t="str">
        <f>+'[5]2026'!E227</f>
        <v/>
      </c>
      <c r="G227" s="73" t="str">
        <f>+'[5]2026'!F227</f>
        <v/>
      </c>
      <c r="H227" s="42">
        <f>+'[5]2026'!G227</f>
        <v>0</v>
      </c>
      <c r="I227" s="13">
        <f>+'[5]2026'!H227</f>
        <v>0</v>
      </c>
      <c r="J227" s="14">
        <f>+'[5]2026'!I227</f>
        <v>0</v>
      </c>
      <c r="K227" s="15">
        <f>+'[5]2026'!J227</f>
        <v>0</v>
      </c>
      <c r="L227" s="15">
        <f>+'[5]2026'!K227</f>
        <v>0</v>
      </c>
      <c r="M227" s="15">
        <f>+'[5]2026'!L227</f>
        <v>0</v>
      </c>
      <c r="N227" s="16" t="str">
        <f t="shared" si="12"/>
        <v/>
      </c>
      <c r="O227" s="17" t="str">
        <f t="shared" si="13"/>
        <v/>
      </c>
      <c r="P227" s="17" t="str">
        <f t="shared" si="13"/>
        <v/>
      </c>
      <c r="Q227" s="18" t="str">
        <f t="shared" si="14"/>
        <v/>
      </c>
      <c r="R227" s="18" t="e">
        <f t="shared" si="15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19">
        <f>+CHAMNORD!B228</f>
        <v>46245</v>
      </c>
      <c r="C228" s="75" t="str">
        <f>IF(H228=0,"",'[5]2025-2026'!C227)</f>
        <v/>
      </c>
      <c r="D228" s="75" t="str">
        <f>+'[5]2026'!C228</f>
        <v/>
      </c>
      <c r="E228" s="75" t="str">
        <f>+'[5]2026'!D228</f>
        <v/>
      </c>
      <c r="F228" s="20" t="str">
        <f>+'[5]2026'!E228</f>
        <v/>
      </c>
      <c r="G228" s="73" t="str">
        <f>+'[5]2026'!F228</f>
        <v/>
      </c>
      <c r="H228" s="42">
        <f>+'[5]2026'!G228</f>
        <v>0</v>
      </c>
      <c r="I228" s="13">
        <f>+'[5]2026'!H228</f>
        <v>0</v>
      </c>
      <c r="J228" s="14">
        <f>+'[5]2026'!I228</f>
        <v>0</v>
      </c>
      <c r="K228" s="15">
        <f>+'[5]2026'!J228</f>
        <v>0</v>
      </c>
      <c r="L228" s="15">
        <f>+'[5]2026'!K228</f>
        <v>0</v>
      </c>
      <c r="M228" s="15">
        <f>+'[5]2026'!L228</f>
        <v>0</v>
      </c>
      <c r="N228" s="16" t="str">
        <f t="shared" si="12"/>
        <v/>
      </c>
      <c r="O228" s="17" t="str">
        <f t="shared" si="13"/>
        <v/>
      </c>
      <c r="P228" s="17" t="str">
        <f t="shared" si="13"/>
        <v/>
      </c>
      <c r="Q228" s="18" t="str">
        <f t="shared" si="14"/>
        <v/>
      </c>
      <c r="R228" s="18" t="e">
        <f t="shared" si="15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19">
        <f>+CHAMNORD!B229</f>
        <v>46246</v>
      </c>
      <c r="C229" s="75" t="str">
        <f>IF(H229=0,"",'[5]2025-2026'!C228)</f>
        <v/>
      </c>
      <c r="D229" s="75" t="str">
        <f>+'[5]2026'!C229</f>
        <v/>
      </c>
      <c r="E229" s="75" t="str">
        <f>+'[5]2026'!D229</f>
        <v/>
      </c>
      <c r="F229" s="20" t="str">
        <f>+'[5]2026'!E229</f>
        <v/>
      </c>
      <c r="G229" s="73" t="str">
        <f>+'[5]2026'!F229</f>
        <v/>
      </c>
      <c r="H229" s="42">
        <f>+'[5]2026'!G229</f>
        <v>0</v>
      </c>
      <c r="I229" s="13">
        <f>+'[5]2026'!H229</f>
        <v>0</v>
      </c>
      <c r="J229" s="14">
        <f>+'[5]2026'!I229</f>
        <v>0</v>
      </c>
      <c r="K229" s="15">
        <f>+'[5]2026'!J229</f>
        <v>0</v>
      </c>
      <c r="L229" s="15">
        <f>+'[5]2026'!K229</f>
        <v>0</v>
      </c>
      <c r="M229" s="15">
        <f>+'[5]2026'!L229</f>
        <v>0</v>
      </c>
      <c r="N229" s="16" t="str">
        <f t="shared" si="12"/>
        <v/>
      </c>
      <c r="O229" s="17" t="str">
        <f t="shared" si="13"/>
        <v/>
      </c>
      <c r="P229" s="17" t="str">
        <f t="shared" si="13"/>
        <v/>
      </c>
      <c r="Q229" s="18" t="str">
        <f t="shared" si="14"/>
        <v/>
      </c>
      <c r="R229" s="18" t="e">
        <f t="shared" si="15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19">
        <f>+CHAMNORD!B230</f>
        <v>46247</v>
      </c>
      <c r="C230" s="75" t="str">
        <f>IF(H230=0,"",'[5]2025-2026'!C229)</f>
        <v/>
      </c>
      <c r="D230" s="75" t="str">
        <f>+'[5]2026'!C230</f>
        <v/>
      </c>
      <c r="E230" s="75" t="str">
        <f>+'[5]2026'!D230</f>
        <v/>
      </c>
      <c r="F230" s="20" t="str">
        <f>+'[5]2026'!E230</f>
        <v/>
      </c>
      <c r="G230" s="73" t="str">
        <f>+'[5]2026'!F230</f>
        <v/>
      </c>
      <c r="H230" s="42">
        <f>+'[5]2026'!G230</f>
        <v>0</v>
      </c>
      <c r="I230" s="13">
        <f>+'[5]2026'!H230</f>
        <v>0</v>
      </c>
      <c r="J230" s="14">
        <f>+'[5]2026'!I230</f>
        <v>0</v>
      </c>
      <c r="K230" s="15">
        <f>+'[5]2026'!J230</f>
        <v>0</v>
      </c>
      <c r="L230" s="15">
        <f>+'[5]2026'!K230</f>
        <v>0</v>
      </c>
      <c r="M230" s="15">
        <f>+'[5]2026'!L230</f>
        <v>0</v>
      </c>
      <c r="N230" s="16" t="str">
        <f t="shared" si="12"/>
        <v/>
      </c>
      <c r="O230" s="17" t="str">
        <f t="shared" si="13"/>
        <v/>
      </c>
      <c r="P230" s="17" t="str">
        <f t="shared" si="13"/>
        <v/>
      </c>
      <c r="Q230" s="18" t="str">
        <f t="shared" si="14"/>
        <v/>
      </c>
      <c r="R230" s="18" t="e">
        <f t="shared" si="15"/>
        <v>#DIV/0!</v>
      </c>
      <c r="S230" s="34"/>
      <c r="T230" s="29" t="s">
        <v>8</v>
      </c>
      <c r="U230" s="1738"/>
    </row>
    <row r="231" spans="1:21">
      <c r="A231" s="10" t="s">
        <v>14</v>
      </c>
      <c r="B231" s="19">
        <f>+CHAMNORD!B231</f>
        <v>46248</v>
      </c>
      <c r="C231" s="75" t="str">
        <f>IF(H231=0,"",'[5]2025-2026'!C230)</f>
        <v/>
      </c>
      <c r="D231" s="75" t="str">
        <f>+'[5]2026'!C231</f>
        <v/>
      </c>
      <c r="E231" s="75" t="str">
        <f>+'[5]2026'!D231</f>
        <v/>
      </c>
      <c r="F231" s="20" t="str">
        <f>+'[5]2026'!E231</f>
        <v/>
      </c>
      <c r="G231" s="73" t="str">
        <f>+'[5]2026'!F231</f>
        <v/>
      </c>
      <c r="H231" s="42">
        <f>+'[5]2026'!G231</f>
        <v>0</v>
      </c>
      <c r="I231" s="13">
        <f>+'[5]2026'!H231</f>
        <v>0</v>
      </c>
      <c r="J231" s="14">
        <f>+'[5]2026'!I231</f>
        <v>0</v>
      </c>
      <c r="K231" s="15">
        <f>+'[5]2026'!J231</f>
        <v>0</v>
      </c>
      <c r="L231" s="15">
        <f>+'[5]2026'!K231</f>
        <v>0</v>
      </c>
      <c r="M231" s="15">
        <f>+'[5]2026'!L231</f>
        <v>0</v>
      </c>
      <c r="N231" s="16" t="str">
        <f t="shared" si="12"/>
        <v/>
      </c>
      <c r="O231" s="17" t="str">
        <f t="shared" si="13"/>
        <v/>
      </c>
      <c r="P231" s="17" t="str">
        <f t="shared" si="13"/>
        <v/>
      </c>
      <c r="Q231" s="18" t="str">
        <f t="shared" si="14"/>
        <v/>
      </c>
      <c r="R231" s="18" t="e">
        <f t="shared" si="15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19">
        <f>+CHAMNORD!B232</f>
        <v>46249</v>
      </c>
      <c r="C232" s="75" t="str">
        <f>IF(H232=0,"",'[5]2025-2026'!C231)</f>
        <v/>
      </c>
      <c r="D232" s="75" t="str">
        <f>+'[5]2026'!C232</f>
        <v/>
      </c>
      <c r="E232" s="75" t="str">
        <f>+'[5]2026'!D232</f>
        <v/>
      </c>
      <c r="F232" s="20" t="str">
        <f>+'[5]2026'!E232</f>
        <v/>
      </c>
      <c r="G232" s="73" t="str">
        <f>+'[5]2026'!F232</f>
        <v/>
      </c>
      <c r="H232" s="42">
        <f>+'[5]2026'!G232</f>
        <v>0</v>
      </c>
      <c r="I232" s="13">
        <f>+'[5]2026'!H232</f>
        <v>0</v>
      </c>
      <c r="J232" s="14">
        <f>+'[5]2026'!I232</f>
        <v>0</v>
      </c>
      <c r="K232" s="15">
        <f>+'[5]2026'!J232</f>
        <v>0</v>
      </c>
      <c r="L232" s="15">
        <f>+'[5]2026'!K232</f>
        <v>0</v>
      </c>
      <c r="M232" s="15">
        <f>+'[5]2026'!L232</f>
        <v>0</v>
      </c>
      <c r="N232" s="16" t="str">
        <f t="shared" si="12"/>
        <v/>
      </c>
      <c r="O232" s="17" t="str">
        <f t="shared" si="13"/>
        <v/>
      </c>
      <c r="P232" s="17" t="str">
        <f t="shared" si="13"/>
        <v/>
      </c>
      <c r="Q232" s="18" t="str">
        <f t="shared" si="14"/>
        <v/>
      </c>
      <c r="R232" s="18" t="e">
        <f t="shared" si="15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19">
        <f>+CHAMNORD!B233</f>
        <v>46250</v>
      </c>
      <c r="C233" s="75" t="str">
        <f>IF(H233=0,"",'[5]2025-2026'!C232)</f>
        <v/>
      </c>
      <c r="D233" s="75" t="str">
        <f>+'[5]2026'!C233</f>
        <v/>
      </c>
      <c r="E233" s="75" t="str">
        <f>+'[5]2026'!D233</f>
        <v/>
      </c>
      <c r="F233" s="20" t="str">
        <f>+'[5]2026'!E233</f>
        <v/>
      </c>
      <c r="G233" s="73" t="str">
        <f>+'[5]2026'!F233</f>
        <v/>
      </c>
      <c r="H233" s="42">
        <f>+'[5]2026'!G233</f>
        <v>0</v>
      </c>
      <c r="I233" s="13">
        <f>+'[5]2026'!H233</f>
        <v>0</v>
      </c>
      <c r="J233" s="14">
        <f>+'[5]2026'!I233</f>
        <v>0</v>
      </c>
      <c r="K233" s="15">
        <f>+'[5]2026'!J233</f>
        <v>0</v>
      </c>
      <c r="L233" s="15">
        <f>+'[5]2026'!K233</f>
        <v>0</v>
      </c>
      <c r="M233" s="15">
        <f>+'[5]2026'!L233</f>
        <v>0</v>
      </c>
      <c r="N233" s="16" t="str">
        <f t="shared" si="12"/>
        <v/>
      </c>
      <c r="O233" s="17" t="str">
        <f t="shared" si="13"/>
        <v/>
      </c>
      <c r="P233" s="17" t="str">
        <f t="shared" si="13"/>
        <v/>
      </c>
      <c r="Q233" s="18" t="str">
        <f t="shared" si="14"/>
        <v/>
      </c>
      <c r="R233" s="18" t="e">
        <f t="shared" si="15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19">
        <f>+CHAMNORD!B234</f>
        <v>46251</v>
      </c>
      <c r="C234" s="75" t="str">
        <f>IF(H234=0,"",'[5]2025-2026'!C233)</f>
        <v/>
      </c>
      <c r="D234" s="75" t="str">
        <f>+'[5]2026'!C234</f>
        <v/>
      </c>
      <c r="E234" s="75" t="str">
        <f>+'[5]2026'!D234</f>
        <v/>
      </c>
      <c r="F234" s="20" t="str">
        <f>+'[5]2026'!E234</f>
        <v/>
      </c>
      <c r="G234" s="73" t="str">
        <f>+'[5]2026'!F234</f>
        <v/>
      </c>
      <c r="H234" s="42">
        <f>+'[5]2026'!G234</f>
        <v>0</v>
      </c>
      <c r="I234" s="13">
        <f>+'[5]2026'!H234</f>
        <v>0</v>
      </c>
      <c r="J234" s="14">
        <f>+'[5]2026'!I234</f>
        <v>0</v>
      </c>
      <c r="K234" s="15">
        <f>+'[5]2026'!J234</f>
        <v>0</v>
      </c>
      <c r="L234" s="15">
        <f>+'[5]2026'!K234</f>
        <v>0</v>
      </c>
      <c r="M234" s="15">
        <f>+'[5]2026'!L234</f>
        <v>0</v>
      </c>
      <c r="N234" s="16" t="str">
        <f t="shared" si="12"/>
        <v/>
      </c>
      <c r="O234" s="17" t="str">
        <f t="shared" si="13"/>
        <v/>
      </c>
      <c r="P234" s="17" t="str">
        <f t="shared" si="13"/>
        <v/>
      </c>
      <c r="Q234" s="18" t="str">
        <f t="shared" si="14"/>
        <v/>
      </c>
      <c r="R234" s="18" t="e">
        <f t="shared" si="15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19">
        <f>+CHAMNORD!B235</f>
        <v>46252</v>
      </c>
      <c r="C235" s="75" t="str">
        <f>IF(H235=0,"",'[5]2025-2026'!C234)</f>
        <v/>
      </c>
      <c r="D235" s="75" t="str">
        <f>+'[5]2026'!C235</f>
        <v/>
      </c>
      <c r="E235" s="75" t="str">
        <f>+'[5]2026'!D235</f>
        <v/>
      </c>
      <c r="F235" s="20" t="str">
        <f>+'[5]2026'!E235</f>
        <v/>
      </c>
      <c r="G235" s="73" t="str">
        <f>+'[5]2026'!F235</f>
        <v/>
      </c>
      <c r="H235" s="42">
        <f>+'[5]2026'!G235</f>
        <v>0</v>
      </c>
      <c r="I235" s="13">
        <f>+'[5]2026'!H235</f>
        <v>0</v>
      </c>
      <c r="J235" s="14">
        <f>+'[5]2026'!I235</f>
        <v>0</v>
      </c>
      <c r="K235" s="15">
        <f>+'[5]2026'!J235</f>
        <v>0</v>
      </c>
      <c r="L235" s="15">
        <f>+'[5]2026'!K235</f>
        <v>0</v>
      </c>
      <c r="M235" s="15">
        <f>+'[5]2026'!L235</f>
        <v>0</v>
      </c>
      <c r="N235" s="16" t="str">
        <f t="shared" si="12"/>
        <v/>
      </c>
      <c r="O235" s="17" t="str">
        <f t="shared" si="13"/>
        <v/>
      </c>
      <c r="P235" s="17" t="str">
        <f t="shared" si="13"/>
        <v/>
      </c>
      <c r="Q235" s="18" t="str">
        <f t="shared" si="14"/>
        <v/>
      </c>
      <c r="R235" s="18" t="e">
        <f t="shared" si="15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19">
        <f>+CHAMNORD!B236</f>
        <v>46253</v>
      </c>
      <c r="C236" s="75" t="str">
        <f>IF(H236=0,"",'[5]2025-2026'!C235)</f>
        <v/>
      </c>
      <c r="D236" s="75" t="str">
        <f>+'[5]2026'!C236</f>
        <v/>
      </c>
      <c r="E236" s="75" t="str">
        <f>+'[5]2026'!D236</f>
        <v/>
      </c>
      <c r="F236" s="20" t="str">
        <f>+'[5]2026'!E236</f>
        <v/>
      </c>
      <c r="G236" s="73" t="str">
        <f>+'[5]2026'!F236</f>
        <v/>
      </c>
      <c r="H236" s="42">
        <f>+'[5]2026'!G236</f>
        <v>0</v>
      </c>
      <c r="I236" s="13">
        <f>+'[5]2026'!H236</f>
        <v>0</v>
      </c>
      <c r="J236" s="14">
        <f>+'[5]2026'!I236</f>
        <v>0</v>
      </c>
      <c r="K236" s="15">
        <f>+'[5]2026'!J236</f>
        <v>0</v>
      </c>
      <c r="L236" s="15">
        <f>+'[5]2026'!K236</f>
        <v>0</v>
      </c>
      <c r="M236" s="15">
        <f>+'[5]2026'!L236</f>
        <v>0</v>
      </c>
      <c r="N236" s="16" t="str">
        <f t="shared" si="12"/>
        <v/>
      </c>
      <c r="O236" s="17" t="str">
        <f t="shared" si="13"/>
        <v/>
      </c>
      <c r="P236" s="17" t="str">
        <f t="shared" si="13"/>
        <v/>
      </c>
      <c r="Q236" s="18" t="str">
        <f t="shared" si="14"/>
        <v/>
      </c>
      <c r="R236" s="18" t="e">
        <f t="shared" si="15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19">
        <f>+CHAMNORD!B237</f>
        <v>46254</v>
      </c>
      <c r="C237" s="75" t="str">
        <f>IF(H237=0,"",'[5]2025-2026'!C236)</f>
        <v/>
      </c>
      <c r="D237" s="75" t="str">
        <f>+'[5]2026'!C237</f>
        <v/>
      </c>
      <c r="E237" s="75" t="str">
        <f>+'[5]2026'!D237</f>
        <v/>
      </c>
      <c r="F237" s="20" t="str">
        <f>+'[5]2026'!E237</f>
        <v/>
      </c>
      <c r="G237" s="73" t="str">
        <f>+'[5]2026'!F237</f>
        <v/>
      </c>
      <c r="H237" s="42">
        <f>+'[5]2026'!G237</f>
        <v>0</v>
      </c>
      <c r="I237" s="13">
        <f>+'[5]2026'!H237</f>
        <v>0</v>
      </c>
      <c r="J237" s="14">
        <f>+'[5]2026'!I237</f>
        <v>0</v>
      </c>
      <c r="K237" s="15">
        <f>+'[5]2026'!J237</f>
        <v>0</v>
      </c>
      <c r="L237" s="15">
        <f>+'[5]2026'!K237</f>
        <v>0</v>
      </c>
      <c r="M237" s="15">
        <f>+'[5]2026'!L237</f>
        <v>0</v>
      </c>
      <c r="N237" s="16" t="str">
        <f t="shared" si="12"/>
        <v/>
      </c>
      <c r="O237" s="17" t="str">
        <f t="shared" si="13"/>
        <v/>
      </c>
      <c r="P237" s="17" t="str">
        <f t="shared" si="13"/>
        <v/>
      </c>
      <c r="Q237" s="18" t="str">
        <f t="shared" si="14"/>
        <v/>
      </c>
      <c r="R237" s="18" t="e">
        <f t="shared" si="15"/>
        <v>#DIV/0!</v>
      </c>
      <c r="S237" s="34"/>
      <c r="T237" s="29" t="s">
        <v>8</v>
      </c>
      <c r="U237" s="1738"/>
    </row>
    <row r="238" spans="1:21">
      <c r="A238" s="10" t="s">
        <v>14</v>
      </c>
      <c r="B238" s="19">
        <f>+CHAMNORD!B238</f>
        <v>46255</v>
      </c>
      <c r="C238" s="75" t="str">
        <f>IF(H238=0,"",'[5]2025-2026'!C237)</f>
        <v/>
      </c>
      <c r="D238" s="75" t="str">
        <f>+'[5]2026'!C238</f>
        <v/>
      </c>
      <c r="E238" s="75" t="str">
        <f>+'[5]2026'!D238</f>
        <v/>
      </c>
      <c r="F238" s="20" t="str">
        <f>+'[5]2026'!E238</f>
        <v/>
      </c>
      <c r="G238" s="73" t="str">
        <f>+'[5]2026'!F238</f>
        <v/>
      </c>
      <c r="H238" s="42">
        <f>+'[5]2026'!G238</f>
        <v>0</v>
      </c>
      <c r="I238" s="13">
        <f>+'[5]2026'!H238</f>
        <v>0</v>
      </c>
      <c r="J238" s="14">
        <f>+'[5]2026'!I238</f>
        <v>0</v>
      </c>
      <c r="K238" s="15">
        <f>+'[5]2026'!J238</f>
        <v>0</v>
      </c>
      <c r="L238" s="15">
        <f>+'[5]2026'!K238</f>
        <v>0</v>
      </c>
      <c r="M238" s="15">
        <f>+'[5]2026'!L238</f>
        <v>0</v>
      </c>
      <c r="N238" s="16" t="str">
        <f t="shared" si="12"/>
        <v/>
      </c>
      <c r="O238" s="17" t="str">
        <f t="shared" si="13"/>
        <v/>
      </c>
      <c r="P238" s="17" t="str">
        <f t="shared" si="13"/>
        <v/>
      </c>
      <c r="Q238" s="18" t="str">
        <f t="shared" si="14"/>
        <v/>
      </c>
      <c r="R238" s="18" t="e">
        <f t="shared" si="15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19">
        <f>+CHAMNORD!B239</f>
        <v>46256</v>
      </c>
      <c r="C239" s="75" t="str">
        <f>IF(H239=0,"",'[5]2025-2026'!C238)</f>
        <v/>
      </c>
      <c r="D239" s="75" t="str">
        <f>+'[5]2026'!C239</f>
        <v/>
      </c>
      <c r="E239" s="75" t="str">
        <f>+'[5]2026'!D239</f>
        <v/>
      </c>
      <c r="F239" s="20" t="str">
        <f>+'[5]2026'!E239</f>
        <v/>
      </c>
      <c r="G239" s="73" t="str">
        <f>+'[5]2026'!F239</f>
        <v/>
      </c>
      <c r="H239" s="42">
        <f>+'[5]2026'!G239</f>
        <v>0</v>
      </c>
      <c r="I239" s="13">
        <f>+'[5]2026'!H239</f>
        <v>0</v>
      </c>
      <c r="J239" s="14">
        <f>+'[5]2026'!I239</f>
        <v>0</v>
      </c>
      <c r="K239" s="15">
        <f>+'[5]2026'!J239</f>
        <v>0</v>
      </c>
      <c r="L239" s="15">
        <f>+'[5]2026'!K239</f>
        <v>0</v>
      </c>
      <c r="M239" s="15">
        <f>+'[5]2026'!L239</f>
        <v>0</v>
      </c>
      <c r="N239" s="16" t="str">
        <f t="shared" si="12"/>
        <v/>
      </c>
      <c r="O239" s="17" t="str">
        <f t="shared" si="13"/>
        <v/>
      </c>
      <c r="P239" s="17" t="str">
        <f t="shared" si="13"/>
        <v/>
      </c>
      <c r="Q239" s="18" t="str">
        <f t="shared" si="14"/>
        <v/>
      </c>
      <c r="R239" s="18" t="e">
        <f t="shared" si="15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19">
        <f>+CHAMNORD!B240</f>
        <v>46257</v>
      </c>
      <c r="C240" s="75" t="str">
        <f>IF(H240=0,"",'[5]2025-2026'!C239)</f>
        <v/>
      </c>
      <c r="D240" s="75" t="str">
        <f>+'[5]2026'!C240</f>
        <v/>
      </c>
      <c r="E240" s="75" t="str">
        <f>+'[5]2026'!D240</f>
        <v/>
      </c>
      <c r="F240" s="20" t="str">
        <f>+'[5]2026'!E240</f>
        <v/>
      </c>
      <c r="G240" s="73" t="str">
        <f>+'[5]2026'!F240</f>
        <v/>
      </c>
      <c r="H240" s="42">
        <f>+'[5]2026'!G240</f>
        <v>0</v>
      </c>
      <c r="I240" s="13">
        <f>+'[5]2026'!H240</f>
        <v>0</v>
      </c>
      <c r="J240" s="14">
        <f>+'[5]2026'!I240</f>
        <v>0</v>
      </c>
      <c r="K240" s="15">
        <f>+'[5]2026'!J240</f>
        <v>0</v>
      </c>
      <c r="L240" s="15">
        <f>+'[5]2026'!K240</f>
        <v>0</v>
      </c>
      <c r="M240" s="15">
        <f>+'[5]2026'!L240</f>
        <v>0</v>
      </c>
      <c r="N240" s="16" t="str">
        <f t="shared" si="12"/>
        <v/>
      </c>
      <c r="O240" s="17" t="str">
        <f t="shared" si="13"/>
        <v/>
      </c>
      <c r="P240" s="17" t="str">
        <f t="shared" si="13"/>
        <v/>
      </c>
      <c r="Q240" s="18" t="str">
        <f t="shared" si="14"/>
        <v/>
      </c>
      <c r="R240" s="18" t="e">
        <f t="shared" si="15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19">
        <f>+CHAMNORD!B241</f>
        <v>46258</v>
      </c>
      <c r="C241" s="75" t="str">
        <f>IF(H241=0,"",'[5]2025-2026'!C240)</f>
        <v/>
      </c>
      <c r="D241" s="75" t="str">
        <f>+'[5]2026'!C241</f>
        <v/>
      </c>
      <c r="E241" s="75" t="str">
        <f>+'[5]2026'!D241</f>
        <v/>
      </c>
      <c r="F241" s="20" t="str">
        <f>+'[5]2026'!E241</f>
        <v/>
      </c>
      <c r="G241" s="73" t="str">
        <f>+'[5]2026'!F241</f>
        <v/>
      </c>
      <c r="H241" s="42">
        <f>+'[5]2026'!G241</f>
        <v>0</v>
      </c>
      <c r="I241" s="13">
        <f>+'[5]2026'!H241</f>
        <v>0</v>
      </c>
      <c r="J241" s="14">
        <f>+'[5]2026'!I241</f>
        <v>0</v>
      </c>
      <c r="K241" s="15">
        <f>+'[5]2026'!J241</f>
        <v>0</v>
      </c>
      <c r="L241" s="15">
        <f>+'[5]2026'!K241</f>
        <v>0</v>
      </c>
      <c r="M241" s="15">
        <f>+'[5]2026'!L241</f>
        <v>0</v>
      </c>
      <c r="N241" s="16" t="str">
        <f t="shared" si="12"/>
        <v/>
      </c>
      <c r="O241" s="17" t="str">
        <f t="shared" si="13"/>
        <v/>
      </c>
      <c r="P241" s="17" t="str">
        <f t="shared" si="13"/>
        <v/>
      </c>
      <c r="Q241" s="18" t="str">
        <f t="shared" si="14"/>
        <v/>
      </c>
      <c r="R241" s="18" t="e">
        <f t="shared" si="15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19">
        <f>+CHAMNORD!B242</f>
        <v>46259</v>
      </c>
      <c r="C242" s="75" t="str">
        <f>IF(H242=0,"",'[5]2025-2026'!C241)</f>
        <v/>
      </c>
      <c r="D242" s="75" t="str">
        <f>+'[5]2026'!C242</f>
        <v/>
      </c>
      <c r="E242" s="75" t="str">
        <f>+'[5]2026'!D242</f>
        <v/>
      </c>
      <c r="F242" s="20" t="str">
        <f>+'[5]2026'!E242</f>
        <v/>
      </c>
      <c r="G242" s="73" t="str">
        <f>+'[5]2026'!F242</f>
        <v/>
      </c>
      <c r="H242" s="42">
        <f>+'[5]2026'!G242</f>
        <v>0</v>
      </c>
      <c r="I242" s="13">
        <f>+'[5]2026'!H242</f>
        <v>0</v>
      </c>
      <c r="J242" s="14">
        <f>+'[5]2026'!I242</f>
        <v>0</v>
      </c>
      <c r="K242" s="15">
        <f>+'[5]2026'!J242</f>
        <v>0</v>
      </c>
      <c r="L242" s="15">
        <f>+'[5]2026'!K242</f>
        <v>0</v>
      </c>
      <c r="M242" s="15">
        <f>+'[5]2026'!L242</f>
        <v>0</v>
      </c>
      <c r="N242" s="16" t="str">
        <f t="shared" si="12"/>
        <v/>
      </c>
      <c r="O242" s="17" t="str">
        <f t="shared" si="13"/>
        <v/>
      </c>
      <c r="P242" s="17" t="str">
        <f t="shared" si="13"/>
        <v/>
      </c>
      <c r="Q242" s="18" t="str">
        <f t="shared" si="14"/>
        <v/>
      </c>
      <c r="R242" s="18" t="e">
        <f t="shared" si="15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19">
        <f>+CHAMNORD!B243</f>
        <v>46260</v>
      </c>
      <c r="C243" s="75" t="str">
        <f>IF(H243=0,"",'[5]2025-2026'!C242)</f>
        <v/>
      </c>
      <c r="D243" s="75" t="str">
        <f>+'[5]2026'!C243</f>
        <v/>
      </c>
      <c r="E243" s="75" t="str">
        <f>+'[5]2026'!D243</f>
        <v/>
      </c>
      <c r="F243" s="20" t="str">
        <f>+'[5]2026'!E243</f>
        <v/>
      </c>
      <c r="G243" s="73" t="str">
        <f>+'[5]2026'!F243</f>
        <v/>
      </c>
      <c r="H243" s="42">
        <f>+'[5]2026'!G243</f>
        <v>0</v>
      </c>
      <c r="I243" s="13">
        <f>+'[5]2026'!H243</f>
        <v>0</v>
      </c>
      <c r="J243" s="14">
        <f>+'[5]2026'!I243</f>
        <v>0</v>
      </c>
      <c r="K243" s="15">
        <f>+'[5]2026'!J243</f>
        <v>0</v>
      </c>
      <c r="L243" s="15">
        <f>+'[5]2026'!K243</f>
        <v>0</v>
      </c>
      <c r="M243" s="15">
        <f>+'[5]2026'!L243</f>
        <v>0</v>
      </c>
      <c r="N243" s="16" t="str">
        <f t="shared" si="12"/>
        <v/>
      </c>
      <c r="O243" s="17" t="str">
        <f t="shared" si="13"/>
        <v/>
      </c>
      <c r="P243" s="17" t="str">
        <f t="shared" si="13"/>
        <v/>
      </c>
      <c r="Q243" s="18" t="str">
        <f t="shared" si="14"/>
        <v/>
      </c>
      <c r="R243" s="18" t="e">
        <f t="shared" si="15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19">
        <f>+CHAMNORD!B244</f>
        <v>46261</v>
      </c>
      <c r="C244" s="75" t="str">
        <f>IF(H244=0,"",'[5]2025-2026'!C243)</f>
        <v/>
      </c>
      <c r="D244" s="75" t="str">
        <f>+'[5]2026'!C244</f>
        <v/>
      </c>
      <c r="E244" s="75" t="str">
        <f>+'[5]2026'!D244</f>
        <v/>
      </c>
      <c r="F244" s="20" t="str">
        <f>+'[5]2026'!E244</f>
        <v/>
      </c>
      <c r="G244" s="73" t="str">
        <f>+'[5]2026'!F244</f>
        <v/>
      </c>
      <c r="H244" s="42">
        <f>+'[5]2026'!G244</f>
        <v>0</v>
      </c>
      <c r="I244" s="13">
        <f>+'[5]2026'!H244</f>
        <v>0</v>
      </c>
      <c r="J244" s="14">
        <f>+'[5]2026'!I244</f>
        <v>0</v>
      </c>
      <c r="K244" s="15">
        <f>+'[5]2026'!J244</f>
        <v>0</v>
      </c>
      <c r="L244" s="15">
        <f>+'[5]2026'!K244</f>
        <v>0</v>
      </c>
      <c r="M244" s="15">
        <f>+'[5]2026'!L244</f>
        <v>0</v>
      </c>
      <c r="N244" s="16" t="str">
        <f t="shared" si="12"/>
        <v/>
      </c>
      <c r="O244" s="17" t="str">
        <f t="shared" si="13"/>
        <v/>
      </c>
      <c r="P244" s="17" t="str">
        <f t="shared" si="13"/>
        <v/>
      </c>
      <c r="Q244" s="18" t="str">
        <f t="shared" si="14"/>
        <v/>
      </c>
      <c r="R244" s="18" t="e">
        <f t="shared" si="15"/>
        <v>#DIV/0!</v>
      </c>
      <c r="S244" s="34"/>
      <c r="T244" s="29" t="s">
        <v>8</v>
      </c>
      <c r="U244" s="1738"/>
    </row>
    <row r="245" spans="1:21">
      <c r="A245" s="10" t="s">
        <v>14</v>
      </c>
      <c r="B245" s="19">
        <f>+CHAMNORD!B245</f>
        <v>46262</v>
      </c>
      <c r="C245" s="75" t="str">
        <f>IF(H245=0,"",'[5]2025-2026'!C244)</f>
        <v/>
      </c>
      <c r="D245" s="75" t="str">
        <f>+'[5]2026'!C245</f>
        <v/>
      </c>
      <c r="E245" s="75" t="str">
        <f>+'[5]2026'!D245</f>
        <v/>
      </c>
      <c r="F245" s="20" t="str">
        <f>+'[5]2026'!E245</f>
        <v/>
      </c>
      <c r="G245" s="73" t="str">
        <f>+'[5]2026'!F245</f>
        <v/>
      </c>
      <c r="H245" s="42">
        <f>+'[5]2026'!G245</f>
        <v>0</v>
      </c>
      <c r="I245" s="13">
        <f>+'[5]2026'!H245</f>
        <v>0</v>
      </c>
      <c r="J245" s="14">
        <f>+'[5]2026'!I245</f>
        <v>0</v>
      </c>
      <c r="K245" s="15">
        <f>+'[5]2026'!J245</f>
        <v>0</v>
      </c>
      <c r="L245" s="15">
        <f>+'[5]2026'!K245</f>
        <v>0</v>
      </c>
      <c r="M245" s="15">
        <f>+'[5]2026'!L245</f>
        <v>0</v>
      </c>
      <c r="N245" s="16" t="str">
        <f t="shared" si="12"/>
        <v/>
      </c>
      <c r="O245" s="17" t="str">
        <f t="shared" si="13"/>
        <v/>
      </c>
      <c r="P245" s="17" t="str">
        <f t="shared" si="13"/>
        <v/>
      </c>
      <c r="Q245" s="18" t="str">
        <f t="shared" si="14"/>
        <v/>
      </c>
      <c r="R245" s="18" t="e">
        <f t="shared" si="15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19">
        <f>+CHAMNORD!B246</f>
        <v>46263</v>
      </c>
      <c r="C246" s="75" t="str">
        <f>IF(H246=0,"",'[5]2025-2026'!C245)</f>
        <v/>
      </c>
      <c r="D246" s="75" t="str">
        <f>+'[5]2026'!C246</f>
        <v/>
      </c>
      <c r="E246" s="75" t="str">
        <f>+'[5]2026'!D246</f>
        <v/>
      </c>
      <c r="F246" s="20" t="str">
        <f>+'[5]2026'!E246</f>
        <v/>
      </c>
      <c r="G246" s="73" t="str">
        <f>+'[5]2026'!F246</f>
        <v/>
      </c>
      <c r="H246" s="42">
        <f>+'[5]2026'!G246</f>
        <v>0</v>
      </c>
      <c r="I246" s="13">
        <f>+'[5]2026'!H246</f>
        <v>0</v>
      </c>
      <c r="J246" s="14">
        <f>+'[5]2026'!I246</f>
        <v>0</v>
      </c>
      <c r="K246" s="15">
        <f>+'[5]2026'!J246</f>
        <v>0</v>
      </c>
      <c r="L246" s="15">
        <f>+'[5]2026'!K246</f>
        <v>0</v>
      </c>
      <c r="M246" s="15">
        <f>+'[5]2026'!L246</f>
        <v>0</v>
      </c>
      <c r="N246" s="16" t="str">
        <f t="shared" si="12"/>
        <v/>
      </c>
      <c r="O246" s="17" t="str">
        <f t="shared" si="13"/>
        <v/>
      </c>
      <c r="P246" s="17" t="str">
        <f t="shared" si="13"/>
        <v/>
      </c>
      <c r="Q246" s="18" t="str">
        <f t="shared" si="14"/>
        <v/>
      </c>
      <c r="R246" s="18" t="e">
        <f t="shared" si="15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19">
        <f>+CHAMNORD!B247</f>
        <v>46264</v>
      </c>
      <c r="C247" s="75" t="str">
        <f>IF(H247=0,"",'[5]2025-2026'!C246)</f>
        <v/>
      </c>
      <c r="D247" s="75" t="str">
        <f>+'[5]2026'!C247</f>
        <v/>
      </c>
      <c r="E247" s="75" t="str">
        <f>+'[5]2026'!D247</f>
        <v/>
      </c>
      <c r="F247" s="20" t="str">
        <f>+'[5]2026'!E247</f>
        <v/>
      </c>
      <c r="G247" s="73" t="str">
        <f>+'[5]2026'!F247</f>
        <v/>
      </c>
      <c r="H247" s="42">
        <f>+'[5]2026'!G247</f>
        <v>0</v>
      </c>
      <c r="I247" s="13">
        <f>+'[5]2026'!H247</f>
        <v>0</v>
      </c>
      <c r="J247" s="14">
        <f>+'[5]2026'!I247</f>
        <v>0</v>
      </c>
      <c r="K247" s="15">
        <f>+'[5]2026'!J247</f>
        <v>0</v>
      </c>
      <c r="L247" s="15">
        <f>+'[5]2026'!K247</f>
        <v>0</v>
      </c>
      <c r="M247" s="15">
        <f>+'[5]2026'!L247</f>
        <v>0</v>
      </c>
      <c r="N247" s="16" t="str">
        <f t="shared" si="12"/>
        <v/>
      </c>
      <c r="O247" s="17" t="str">
        <f t="shared" si="13"/>
        <v/>
      </c>
      <c r="P247" s="17" t="str">
        <f t="shared" si="13"/>
        <v/>
      </c>
      <c r="Q247" s="18" t="str">
        <f t="shared" si="14"/>
        <v/>
      </c>
      <c r="R247" s="18" t="e">
        <f t="shared" si="15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19">
        <f>+CHAMNORD!B248</f>
        <v>46265</v>
      </c>
      <c r="C248" s="75" t="str">
        <f>IF(H248=0,"",'[5]2025-2026'!C247)</f>
        <v/>
      </c>
      <c r="D248" s="75" t="str">
        <f>+'[5]2026'!C248</f>
        <v/>
      </c>
      <c r="E248" s="75" t="str">
        <f>+'[5]2026'!D248</f>
        <v/>
      </c>
      <c r="F248" s="20" t="str">
        <f>+'[5]2026'!E248</f>
        <v/>
      </c>
      <c r="G248" s="73" t="str">
        <f>+'[5]2026'!F248</f>
        <v/>
      </c>
      <c r="H248" s="42">
        <f>+'[5]2026'!G248</f>
        <v>0</v>
      </c>
      <c r="I248" s="13">
        <f>+'[5]2026'!H248</f>
        <v>0</v>
      </c>
      <c r="J248" s="14">
        <f>+'[5]2026'!I248</f>
        <v>0</v>
      </c>
      <c r="K248" s="15">
        <f>+'[5]2026'!J248</f>
        <v>0</v>
      </c>
      <c r="L248" s="15">
        <f>+'[5]2026'!K248</f>
        <v>0</v>
      </c>
      <c r="M248" s="15">
        <f>+'[5]2026'!L248</f>
        <v>0</v>
      </c>
      <c r="N248" s="16" t="str">
        <f t="shared" si="12"/>
        <v/>
      </c>
      <c r="O248" s="17" t="str">
        <f t="shared" si="13"/>
        <v/>
      </c>
      <c r="P248" s="17" t="str">
        <f t="shared" si="13"/>
        <v/>
      </c>
      <c r="Q248" s="18" t="str">
        <f t="shared" si="14"/>
        <v/>
      </c>
      <c r="R248" s="18" t="e">
        <f t="shared" si="15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19">
        <f>+CHAMNORD!B249</f>
        <v>46266</v>
      </c>
      <c r="C249" s="75" t="str">
        <f>IF(H249=0,"",'[5]2025-2026'!C248)</f>
        <v/>
      </c>
      <c r="D249" s="75" t="str">
        <f>+'[5]2026'!C249</f>
        <v/>
      </c>
      <c r="E249" s="75" t="str">
        <f>+'[5]2026'!D249</f>
        <v/>
      </c>
      <c r="F249" s="20" t="str">
        <f>+'[5]2026'!E249</f>
        <v/>
      </c>
      <c r="G249" s="73" t="str">
        <f>+'[5]2026'!F249</f>
        <v/>
      </c>
      <c r="H249" s="42">
        <f>+'[5]2026'!G249</f>
        <v>0</v>
      </c>
      <c r="I249" s="13">
        <f>+'[5]2026'!H249</f>
        <v>0</v>
      </c>
      <c r="J249" s="14">
        <f>+'[5]2026'!I249</f>
        <v>0</v>
      </c>
      <c r="K249" s="15">
        <f>+'[5]2026'!J249</f>
        <v>0</v>
      </c>
      <c r="L249" s="15">
        <f>+'[5]2026'!K249</f>
        <v>0</v>
      </c>
      <c r="M249" s="15">
        <f>+'[5]2026'!L249</f>
        <v>0</v>
      </c>
      <c r="N249" s="16" t="str">
        <f t="shared" si="12"/>
        <v/>
      </c>
      <c r="O249" s="17" t="str">
        <f t="shared" si="13"/>
        <v/>
      </c>
      <c r="P249" s="17" t="str">
        <f t="shared" si="13"/>
        <v/>
      </c>
      <c r="Q249" s="18" t="str">
        <f t="shared" si="14"/>
        <v/>
      </c>
      <c r="R249" s="18" t="e">
        <f t="shared" si="15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19">
        <f>+CHAMNORD!B250</f>
        <v>46267</v>
      </c>
      <c r="C250" s="75" t="str">
        <f>IF(H250=0,"",'[5]2025-2026'!C249)</f>
        <v/>
      </c>
      <c r="D250" s="75" t="str">
        <f>+'[5]2026'!C250</f>
        <v/>
      </c>
      <c r="E250" s="75" t="str">
        <f>+'[5]2026'!D250</f>
        <v/>
      </c>
      <c r="F250" s="20" t="str">
        <f>+'[5]2026'!E250</f>
        <v/>
      </c>
      <c r="G250" s="73" t="str">
        <f>+'[5]2026'!F250</f>
        <v/>
      </c>
      <c r="H250" s="42">
        <f>+'[5]2026'!G250</f>
        <v>0</v>
      </c>
      <c r="I250" s="13">
        <f>+'[5]2026'!H250</f>
        <v>0</v>
      </c>
      <c r="J250" s="14">
        <f>+'[5]2026'!I250</f>
        <v>0</v>
      </c>
      <c r="K250" s="15">
        <f>+'[5]2026'!J250</f>
        <v>0</v>
      </c>
      <c r="L250" s="15">
        <f>+'[5]2026'!K250</f>
        <v>0</v>
      </c>
      <c r="M250" s="15">
        <f>+'[5]2026'!L250</f>
        <v>0</v>
      </c>
      <c r="N250" s="16" t="str">
        <f t="shared" si="12"/>
        <v/>
      </c>
      <c r="O250" s="17" t="str">
        <f t="shared" si="13"/>
        <v/>
      </c>
      <c r="P250" s="17" t="str">
        <f t="shared" si="13"/>
        <v/>
      </c>
      <c r="Q250" s="18" t="str">
        <f t="shared" si="14"/>
        <v/>
      </c>
      <c r="R250" s="18" t="e">
        <f t="shared" si="15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19">
        <f>+CHAMNORD!B251</f>
        <v>46268</v>
      </c>
      <c r="C251" s="75" t="str">
        <f>IF(H251=0,"",'[5]2025-2026'!C250)</f>
        <v/>
      </c>
      <c r="D251" s="75" t="str">
        <f>+'[5]2026'!C251</f>
        <v/>
      </c>
      <c r="E251" s="75" t="str">
        <f>+'[5]2026'!D251</f>
        <v/>
      </c>
      <c r="F251" s="20" t="str">
        <f>+'[5]2026'!E251</f>
        <v/>
      </c>
      <c r="G251" s="73" t="str">
        <f>+'[5]2026'!F251</f>
        <v/>
      </c>
      <c r="H251" s="42">
        <f>+'[5]2026'!G251</f>
        <v>0</v>
      </c>
      <c r="I251" s="13">
        <f>+'[5]2026'!H251</f>
        <v>0</v>
      </c>
      <c r="J251" s="14">
        <f>+'[5]2026'!I251</f>
        <v>0</v>
      </c>
      <c r="K251" s="15">
        <f>+'[5]2026'!J251</f>
        <v>0</v>
      </c>
      <c r="L251" s="15">
        <f>+'[5]2026'!K251</f>
        <v>0</v>
      </c>
      <c r="M251" s="15">
        <f>+'[5]2026'!L251</f>
        <v>0</v>
      </c>
      <c r="N251" s="16" t="str">
        <f t="shared" si="12"/>
        <v/>
      </c>
      <c r="O251" s="17" t="str">
        <f t="shared" si="13"/>
        <v/>
      </c>
      <c r="P251" s="17" t="str">
        <f t="shared" si="13"/>
        <v/>
      </c>
      <c r="Q251" s="18" t="str">
        <f t="shared" si="14"/>
        <v/>
      </c>
      <c r="R251" s="18" t="e">
        <f t="shared" si="15"/>
        <v>#DIV/0!</v>
      </c>
      <c r="S251" s="34"/>
      <c r="T251" s="29" t="s">
        <v>8</v>
      </c>
      <c r="U251" s="1738"/>
    </row>
    <row r="252" spans="1:21">
      <c r="A252" s="10" t="s">
        <v>14</v>
      </c>
      <c r="B252" s="19">
        <f>+CHAMNORD!B252</f>
        <v>46269</v>
      </c>
      <c r="C252" s="75" t="str">
        <f>IF(H252=0,"",'[5]2025-2026'!C251)</f>
        <v/>
      </c>
      <c r="D252" s="75" t="str">
        <f>+'[5]2026'!C252</f>
        <v/>
      </c>
      <c r="E252" s="75" t="str">
        <f>+'[5]2026'!D252</f>
        <v/>
      </c>
      <c r="F252" s="20" t="str">
        <f>+'[5]2026'!E252</f>
        <v/>
      </c>
      <c r="G252" s="73" t="str">
        <f>+'[5]2026'!F252</f>
        <v/>
      </c>
      <c r="H252" s="42">
        <f>+'[5]2026'!G252</f>
        <v>0</v>
      </c>
      <c r="I252" s="13">
        <f>+'[5]2026'!H252</f>
        <v>0</v>
      </c>
      <c r="J252" s="14">
        <f>+'[5]2026'!I252</f>
        <v>0</v>
      </c>
      <c r="K252" s="15">
        <f>+'[5]2026'!J252</f>
        <v>0</v>
      </c>
      <c r="L252" s="15">
        <f>+'[5]2026'!K252</f>
        <v>0</v>
      </c>
      <c r="M252" s="15">
        <f>+'[5]2026'!L252</f>
        <v>0</v>
      </c>
      <c r="N252" s="16" t="str">
        <f t="shared" si="12"/>
        <v/>
      </c>
      <c r="O252" s="17" t="str">
        <f t="shared" si="13"/>
        <v/>
      </c>
      <c r="P252" s="17" t="str">
        <f t="shared" si="13"/>
        <v/>
      </c>
      <c r="Q252" s="18" t="str">
        <f t="shared" si="14"/>
        <v/>
      </c>
      <c r="R252" s="18" t="e">
        <f t="shared" si="15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19">
        <f>+CHAMNORD!B253</f>
        <v>46270</v>
      </c>
      <c r="C253" s="75" t="str">
        <f>IF(H253=0,"",'[5]2025-2026'!C252)</f>
        <v/>
      </c>
      <c r="D253" s="75" t="str">
        <f>+'[5]2026'!C253</f>
        <v/>
      </c>
      <c r="E253" s="75" t="str">
        <f>+'[5]2026'!D253</f>
        <v/>
      </c>
      <c r="F253" s="20" t="str">
        <f>+'[5]2026'!E253</f>
        <v/>
      </c>
      <c r="G253" s="73" t="str">
        <f>+'[5]2026'!F253</f>
        <v/>
      </c>
      <c r="H253" s="42">
        <f>+'[5]2026'!G253</f>
        <v>0</v>
      </c>
      <c r="I253" s="13">
        <f>+'[5]2026'!H253</f>
        <v>0</v>
      </c>
      <c r="J253" s="14">
        <f>+'[5]2026'!I253</f>
        <v>0</v>
      </c>
      <c r="K253" s="15">
        <f>+'[5]2026'!J253</f>
        <v>0</v>
      </c>
      <c r="L253" s="15">
        <f>+'[5]2026'!K253</f>
        <v>0</v>
      </c>
      <c r="M253" s="15">
        <f>+'[5]2026'!L253</f>
        <v>0</v>
      </c>
      <c r="N253" s="16" t="str">
        <f t="shared" si="12"/>
        <v/>
      </c>
      <c r="O253" s="17" t="str">
        <f t="shared" si="13"/>
        <v/>
      </c>
      <c r="P253" s="17" t="str">
        <f t="shared" si="13"/>
        <v/>
      </c>
      <c r="Q253" s="18" t="str">
        <f t="shared" si="14"/>
        <v/>
      </c>
      <c r="R253" s="18" t="e">
        <f t="shared" si="15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19">
        <f>+CHAMNORD!B254</f>
        <v>46271</v>
      </c>
      <c r="C254" s="75" t="str">
        <f>IF(H254=0,"",'[5]2025-2026'!C253)</f>
        <v/>
      </c>
      <c r="D254" s="75" t="str">
        <f>+'[5]2026'!C254</f>
        <v/>
      </c>
      <c r="E254" s="75" t="str">
        <f>+'[5]2026'!D254</f>
        <v/>
      </c>
      <c r="F254" s="20" t="str">
        <f>+'[5]2026'!E254</f>
        <v/>
      </c>
      <c r="G254" s="73" t="str">
        <f>+'[5]2026'!F254</f>
        <v/>
      </c>
      <c r="H254" s="42">
        <f>+'[5]2026'!G254</f>
        <v>0</v>
      </c>
      <c r="I254" s="13">
        <f>+'[5]2026'!H254</f>
        <v>0</v>
      </c>
      <c r="J254" s="14">
        <f>+'[5]2026'!I254</f>
        <v>0</v>
      </c>
      <c r="K254" s="15">
        <f>+'[5]2026'!J254</f>
        <v>0</v>
      </c>
      <c r="L254" s="15">
        <f>+'[5]2026'!K254</f>
        <v>0</v>
      </c>
      <c r="M254" s="15">
        <f>+'[5]2026'!L254</f>
        <v>0</v>
      </c>
      <c r="N254" s="16" t="str">
        <f t="shared" si="12"/>
        <v/>
      </c>
      <c r="O254" s="17" t="str">
        <f t="shared" si="13"/>
        <v/>
      </c>
      <c r="P254" s="17" t="str">
        <f t="shared" si="13"/>
        <v/>
      </c>
      <c r="Q254" s="18" t="str">
        <f t="shared" si="14"/>
        <v/>
      </c>
      <c r="R254" s="18" t="e">
        <f t="shared" si="15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19">
        <f>+CHAMNORD!B255</f>
        <v>46272</v>
      </c>
      <c r="C255" s="75" t="str">
        <f>IF(H255=0,"",'[5]2025-2026'!C254)</f>
        <v/>
      </c>
      <c r="D255" s="75" t="str">
        <f>+'[5]2026'!C255</f>
        <v/>
      </c>
      <c r="E255" s="75" t="str">
        <f>+'[5]2026'!D255</f>
        <v/>
      </c>
      <c r="F255" s="20" t="str">
        <f>+'[5]2026'!E255</f>
        <v/>
      </c>
      <c r="G255" s="73" t="str">
        <f>+'[5]2026'!F255</f>
        <v/>
      </c>
      <c r="H255" s="42">
        <f>+'[5]2026'!G255</f>
        <v>0</v>
      </c>
      <c r="I255" s="13">
        <f>+'[5]2026'!H255</f>
        <v>0</v>
      </c>
      <c r="J255" s="14">
        <f>+'[5]2026'!I255</f>
        <v>0</v>
      </c>
      <c r="K255" s="15">
        <f>+'[5]2026'!J255</f>
        <v>0</v>
      </c>
      <c r="L255" s="15">
        <f>+'[5]2026'!K255</f>
        <v>0</v>
      </c>
      <c r="M255" s="15">
        <f>+'[5]2026'!L255</f>
        <v>0</v>
      </c>
      <c r="N255" s="16" t="str">
        <f t="shared" si="12"/>
        <v/>
      </c>
      <c r="O255" s="17" t="str">
        <f t="shared" si="13"/>
        <v/>
      </c>
      <c r="P255" s="17" t="str">
        <f t="shared" si="13"/>
        <v/>
      </c>
      <c r="Q255" s="18" t="str">
        <f t="shared" si="14"/>
        <v/>
      </c>
      <c r="R255" s="18" t="e">
        <f t="shared" si="15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19">
        <f>+CHAMNORD!B256</f>
        <v>46273</v>
      </c>
      <c r="C256" s="75" t="str">
        <f>IF(H256=0,"",'[5]2025-2026'!C255)</f>
        <v/>
      </c>
      <c r="D256" s="75" t="str">
        <f>+'[5]2026'!C256</f>
        <v/>
      </c>
      <c r="E256" s="75" t="str">
        <f>+'[5]2026'!D256</f>
        <v/>
      </c>
      <c r="F256" s="20" t="str">
        <f>+'[5]2026'!E256</f>
        <v/>
      </c>
      <c r="G256" s="73" t="str">
        <f>+'[5]2026'!F256</f>
        <v/>
      </c>
      <c r="H256" s="42">
        <f>+'[5]2026'!G256</f>
        <v>0</v>
      </c>
      <c r="I256" s="13">
        <f>+'[5]2026'!H256</f>
        <v>0</v>
      </c>
      <c r="J256" s="14">
        <f>+'[5]2026'!I256</f>
        <v>0</v>
      </c>
      <c r="K256" s="15">
        <f>+'[5]2026'!J256</f>
        <v>0</v>
      </c>
      <c r="L256" s="15">
        <f>+'[5]2026'!K256</f>
        <v>0</v>
      </c>
      <c r="M256" s="15">
        <f>+'[5]2026'!L256</f>
        <v>0</v>
      </c>
      <c r="N256" s="16" t="str">
        <f t="shared" si="12"/>
        <v/>
      </c>
      <c r="O256" s="17" t="str">
        <f t="shared" si="13"/>
        <v/>
      </c>
      <c r="P256" s="17" t="str">
        <f t="shared" si="13"/>
        <v/>
      </c>
      <c r="Q256" s="18" t="str">
        <f t="shared" si="14"/>
        <v/>
      </c>
      <c r="R256" s="18" t="e">
        <f t="shared" si="15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19">
        <f>+CHAMNORD!B257</f>
        <v>46274</v>
      </c>
      <c r="C257" s="75" t="str">
        <f>IF(H257=0,"",'[5]2025-2026'!C256)</f>
        <v/>
      </c>
      <c r="D257" s="75" t="str">
        <f>+'[5]2026'!C257</f>
        <v/>
      </c>
      <c r="E257" s="75" t="str">
        <f>+'[5]2026'!D257</f>
        <v/>
      </c>
      <c r="F257" s="20" t="str">
        <f>+'[5]2026'!E257</f>
        <v/>
      </c>
      <c r="G257" s="73" t="str">
        <f>+'[5]2026'!F257</f>
        <v/>
      </c>
      <c r="H257" s="42">
        <f>+'[5]2026'!G257</f>
        <v>0</v>
      </c>
      <c r="I257" s="13">
        <f>+'[5]2026'!H257</f>
        <v>0</v>
      </c>
      <c r="J257" s="14">
        <f>+'[5]2026'!I257</f>
        <v>0</v>
      </c>
      <c r="K257" s="15">
        <f>+'[5]2026'!J257</f>
        <v>0</v>
      </c>
      <c r="L257" s="15">
        <f>+'[5]2026'!K257</f>
        <v>0</v>
      </c>
      <c r="M257" s="15">
        <f>+'[5]2026'!L257</f>
        <v>0</v>
      </c>
      <c r="N257" s="16" t="str">
        <f t="shared" si="12"/>
        <v/>
      </c>
      <c r="O257" s="17" t="str">
        <f t="shared" si="13"/>
        <v/>
      </c>
      <c r="P257" s="17" t="str">
        <f t="shared" si="13"/>
        <v/>
      </c>
      <c r="Q257" s="18" t="str">
        <f t="shared" si="14"/>
        <v/>
      </c>
      <c r="R257" s="18" t="e">
        <f t="shared" si="15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19">
        <f>+CHAMNORD!B258</f>
        <v>46275</v>
      </c>
      <c r="C258" s="75" t="str">
        <f>IF(H258=0,"",'[5]2025-2026'!C257)</f>
        <v/>
      </c>
      <c r="D258" s="75" t="str">
        <f>+'[5]2026'!C258</f>
        <v/>
      </c>
      <c r="E258" s="75" t="str">
        <f>+'[5]2026'!D258</f>
        <v/>
      </c>
      <c r="F258" s="20" t="str">
        <f>+'[5]2026'!E258</f>
        <v/>
      </c>
      <c r="G258" s="73" t="str">
        <f>+'[5]2026'!F258</f>
        <v/>
      </c>
      <c r="H258" s="42">
        <f>+'[5]2026'!G258</f>
        <v>0</v>
      </c>
      <c r="I258" s="13">
        <f>+'[5]2026'!H258</f>
        <v>0</v>
      </c>
      <c r="J258" s="14">
        <f>+'[5]2026'!I258</f>
        <v>0</v>
      </c>
      <c r="K258" s="15">
        <f>+'[5]2026'!J258</f>
        <v>0</v>
      </c>
      <c r="L258" s="15">
        <f>+'[5]2026'!K258</f>
        <v>0</v>
      </c>
      <c r="M258" s="15">
        <f>+'[5]2026'!L258</f>
        <v>0</v>
      </c>
      <c r="N258" s="16" t="str">
        <f t="shared" si="12"/>
        <v/>
      </c>
      <c r="O258" s="17" t="str">
        <f t="shared" si="13"/>
        <v/>
      </c>
      <c r="P258" s="17" t="str">
        <f t="shared" si="13"/>
        <v/>
      </c>
      <c r="Q258" s="18" t="str">
        <f t="shared" si="14"/>
        <v/>
      </c>
      <c r="R258" s="18" t="e">
        <f t="shared" si="15"/>
        <v>#DIV/0!</v>
      </c>
      <c r="S258" s="34"/>
      <c r="T258" s="29" t="s">
        <v>8</v>
      </c>
      <c r="U258" s="1738"/>
    </row>
    <row r="259" spans="1:21">
      <c r="A259" s="10" t="s">
        <v>14</v>
      </c>
      <c r="B259" s="19">
        <f>+CHAMNORD!B259</f>
        <v>46276</v>
      </c>
      <c r="C259" s="75" t="str">
        <f>IF(H259=0,"",'[5]2025-2026'!C258)</f>
        <v/>
      </c>
      <c r="D259" s="75" t="str">
        <f>+'[5]2026'!C259</f>
        <v/>
      </c>
      <c r="E259" s="75" t="str">
        <f>+'[5]2026'!D259</f>
        <v/>
      </c>
      <c r="F259" s="20" t="str">
        <f>+'[5]2026'!E259</f>
        <v/>
      </c>
      <c r="G259" s="73" t="str">
        <f>+'[5]2026'!F259</f>
        <v/>
      </c>
      <c r="H259" s="42">
        <f>+'[5]2026'!G259</f>
        <v>0</v>
      </c>
      <c r="I259" s="13">
        <f>+'[5]2026'!H259</f>
        <v>0</v>
      </c>
      <c r="J259" s="14">
        <f>+'[5]2026'!I259</f>
        <v>0</v>
      </c>
      <c r="K259" s="15">
        <f>+'[5]2026'!J259</f>
        <v>0</v>
      </c>
      <c r="L259" s="15">
        <f>+'[5]2026'!K259</f>
        <v>0</v>
      </c>
      <c r="M259" s="15">
        <f>+'[5]2026'!L259</f>
        <v>0</v>
      </c>
      <c r="N259" s="16" t="str">
        <f t="shared" si="12"/>
        <v/>
      </c>
      <c r="O259" s="17" t="str">
        <f t="shared" si="13"/>
        <v/>
      </c>
      <c r="P259" s="17" t="str">
        <f t="shared" si="13"/>
        <v/>
      </c>
      <c r="Q259" s="18" t="str">
        <f t="shared" si="14"/>
        <v/>
      </c>
      <c r="R259" s="18" t="e">
        <f t="shared" si="15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19">
        <f>+CHAMNORD!B260</f>
        <v>46277</v>
      </c>
      <c r="C260" s="75" t="str">
        <f>IF(H260=0,"",'[5]2025-2026'!C259)</f>
        <v/>
      </c>
      <c r="D260" s="75" t="str">
        <f>+'[5]2026'!C260</f>
        <v/>
      </c>
      <c r="E260" s="75" t="str">
        <f>+'[5]2026'!D260</f>
        <v/>
      </c>
      <c r="F260" s="20" t="str">
        <f>+'[5]2026'!E260</f>
        <v/>
      </c>
      <c r="G260" s="73" t="str">
        <f>+'[5]2026'!F260</f>
        <v/>
      </c>
      <c r="H260" s="42">
        <f>+'[5]2026'!G260</f>
        <v>0</v>
      </c>
      <c r="I260" s="13">
        <f>+'[5]2026'!H260</f>
        <v>0</v>
      </c>
      <c r="J260" s="14">
        <f>+'[5]2026'!I260</f>
        <v>0</v>
      </c>
      <c r="K260" s="15">
        <f>+'[5]2026'!J260</f>
        <v>0</v>
      </c>
      <c r="L260" s="15">
        <f>+'[5]2026'!K260</f>
        <v>0</v>
      </c>
      <c r="M260" s="15">
        <f>+'[5]2026'!L260</f>
        <v>0</v>
      </c>
      <c r="N260" s="16" t="str">
        <f t="shared" ref="N260:N323" si="16">IF(M260=0,"",M260/I260)</f>
        <v/>
      </c>
      <c r="O260" s="17" t="str">
        <f t="shared" ref="O260:P323" si="17">IF(I260=0,"",(I260-E260)/E260)</f>
        <v/>
      </c>
      <c r="P260" s="17" t="str">
        <f t="shared" si="17"/>
        <v/>
      </c>
      <c r="Q260" s="18" t="str">
        <f t="shared" ref="Q260:Q323" si="18">IF(I260=0,"",I260/K260)</f>
        <v/>
      </c>
      <c r="R260" s="18" t="e">
        <f t="shared" ref="R260:R323" si="19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19">
        <f>+CHAMNORD!B261</f>
        <v>46278</v>
      </c>
      <c r="C261" s="75" t="str">
        <f>IF(H261=0,"",'[5]2025-2026'!C260)</f>
        <v/>
      </c>
      <c r="D261" s="75" t="str">
        <f>+'[5]2026'!C261</f>
        <v/>
      </c>
      <c r="E261" s="75" t="str">
        <f>+'[5]2026'!D261</f>
        <v/>
      </c>
      <c r="F261" s="20" t="str">
        <f>+'[5]2026'!E261</f>
        <v/>
      </c>
      <c r="G261" s="73" t="str">
        <f>+'[5]2026'!F261</f>
        <v/>
      </c>
      <c r="H261" s="42">
        <f>+'[5]2026'!G261</f>
        <v>0</v>
      </c>
      <c r="I261" s="13">
        <f>+'[5]2026'!H261</f>
        <v>0</v>
      </c>
      <c r="J261" s="14">
        <f>+'[5]2026'!I261</f>
        <v>0</v>
      </c>
      <c r="K261" s="15">
        <f>+'[5]2026'!J261</f>
        <v>0</v>
      </c>
      <c r="L261" s="15">
        <f>+'[5]2026'!K261</f>
        <v>0</v>
      </c>
      <c r="M261" s="15">
        <f>+'[5]2026'!L261</f>
        <v>0</v>
      </c>
      <c r="N261" s="16" t="str">
        <f t="shared" si="16"/>
        <v/>
      </c>
      <c r="O261" s="17" t="str">
        <f t="shared" si="17"/>
        <v/>
      </c>
      <c r="P261" s="17" t="str">
        <f t="shared" si="17"/>
        <v/>
      </c>
      <c r="Q261" s="18" t="str">
        <f t="shared" si="18"/>
        <v/>
      </c>
      <c r="R261" s="18" t="e">
        <f t="shared" si="19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19">
        <f>+CHAMNORD!B262</f>
        <v>46279</v>
      </c>
      <c r="C262" s="75" t="str">
        <f>IF(H262=0,"",'[5]2025-2026'!C261)</f>
        <v/>
      </c>
      <c r="D262" s="75" t="str">
        <f>+'[5]2026'!C262</f>
        <v/>
      </c>
      <c r="E262" s="75" t="str">
        <f>+'[5]2026'!D262</f>
        <v/>
      </c>
      <c r="F262" s="20" t="str">
        <f>+'[5]2026'!E262</f>
        <v/>
      </c>
      <c r="G262" s="73" t="str">
        <f>+'[5]2026'!F262</f>
        <v/>
      </c>
      <c r="H262" s="42">
        <f>+'[5]2026'!G262</f>
        <v>0</v>
      </c>
      <c r="I262" s="13">
        <f>+'[5]2026'!H262</f>
        <v>0</v>
      </c>
      <c r="J262" s="14">
        <f>+'[5]2026'!I262</f>
        <v>0</v>
      </c>
      <c r="K262" s="15">
        <f>+'[5]2026'!J262</f>
        <v>0</v>
      </c>
      <c r="L262" s="15">
        <f>+'[5]2026'!K262</f>
        <v>0</v>
      </c>
      <c r="M262" s="15">
        <f>+'[5]2026'!L262</f>
        <v>0</v>
      </c>
      <c r="N262" s="16" t="str">
        <f t="shared" si="16"/>
        <v/>
      </c>
      <c r="O262" s="17" t="str">
        <f t="shared" si="17"/>
        <v/>
      </c>
      <c r="P262" s="17" t="str">
        <f t="shared" si="17"/>
        <v/>
      </c>
      <c r="Q262" s="18" t="str">
        <f t="shared" si="18"/>
        <v/>
      </c>
      <c r="R262" s="18" t="e">
        <f t="shared" si="19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19">
        <f>+CHAMNORD!B263</f>
        <v>46280</v>
      </c>
      <c r="C263" s="75" t="str">
        <f>IF(H263=0,"",'[5]2025-2026'!C262)</f>
        <v/>
      </c>
      <c r="D263" s="75" t="str">
        <f>+'[5]2026'!C263</f>
        <v/>
      </c>
      <c r="E263" s="75" t="str">
        <f>+'[5]2026'!D263</f>
        <v/>
      </c>
      <c r="F263" s="20" t="str">
        <f>+'[5]2026'!E263</f>
        <v/>
      </c>
      <c r="G263" s="73" t="str">
        <f>+'[5]2026'!F263</f>
        <v/>
      </c>
      <c r="H263" s="42">
        <f>+'[5]2026'!G263</f>
        <v>0</v>
      </c>
      <c r="I263" s="13">
        <f>+'[5]2026'!H263</f>
        <v>0</v>
      </c>
      <c r="J263" s="14">
        <f>+'[5]2026'!I263</f>
        <v>0</v>
      </c>
      <c r="K263" s="15">
        <f>+'[5]2026'!J263</f>
        <v>0</v>
      </c>
      <c r="L263" s="15">
        <f>+'[5]2026'!K263</f>
        <v>0</v>
      </c>
      <c r="M263" s="15">
        <f>+'[5]2026'!L263</f>
        <v>0</v>
      </c>
      <c r="N263" s="16" t="str">
        <f t="shared" si="16"/>
        <v/>
      </c>
      <c r="O263" s="17" t="str">
        <f t="shared" si="17"/>
        <v/>
      </c>
      <c r="P263" s="17" t="str">
        <f t="shared" si="17"/>
        <v/>
      </c>
      <c r="Q263" s="18" t="str">
        <f t="shared" si="18"/>
        <v/>
      </c>
      <c r="R263" s="18" t="e">
        <f t="shared" si="19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19">
        <f>+CHAMNORD!B264</f>
        <v>46281</v>
      </c>
      <c r="C264" s="75" t="str">
        <f>IF(H264=0,"",'[5]2025-2026'!C263)</f>
        <v/>
      </c>
      <c r="D264" s="75" t="str">
        <f>+'[5]2026'!C264</f>
        <v/>
      </c>
      <c r="E264" s="75" t="str">
        <f>+'[5]2026'!D264</f>
        <v/>
      </c>
      <c r="F264" s="20" t="str">
        <f>+'[5]2026'!E264</f>
        <v/>
      </c>
      <c r="G264" s="73" t="str">
        <f>+'[5]2026'!F264</f>
        <v/>
      </c>
      <c r="H264" s="42">
        <f>+'[5]2026'!G264</f>
        <v>0</v>
      </c>
      <c r="I264" s="13">
        <f>+'[5]2026'!H264</f>
        <v>0</v>
      </c>
      <c r="J264" s="14">
        <f>+'[5]2026'!I264</f>
        <v>0</v>
      </c>
      <c r="K264" s="15">
        <f>+'[5]2026'!J264</f>
        <v>0</v>
      </c>
      <c r="L264" s="15">
        <f>+'[5]2026'!K264</f>
        <v>0</v>
      </c>
      <c r="M264" s="15">
        <f>+'[5]2026'!L264</f>
        <v>0</v>
      </c>
      <c r="N264" s="16" t="str">
        <f t="shared" si="16"/>
        <v/>
      </c>
      <c r="O264" s="17" t="str">
        <f t="shared" si="17"/>
        <v/>
      </c>
      <c r="P264" s="17" t="str">
        <f t="shared" si="17"/>
        <v/>
      </c>
      <c r="Q264" s="18" t="str">
        <f t="shared" si="18"/>
        <v/>
      </c>
      <c r="R264" s="18" t="e">
        <f t="shared" si="19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19">
        <f>+CHAMNORD!B265</f>
        <v>46282</v>
      </c>
      <c r="C265" s="75" t="str">
        <f>IF(H265=0,"",'[5]2025-2026'!C264)</f>
        <v/>
      </c>
      <c r="D265" s="75" t="str">
        <f>+'[5]2026'!C265</f>
        <v/>
      </c>
      <c r="E265" s="75" t="str">
        <f>+'[5]2026'!D265</f>
        <v/>
      </c>
      <c r="F265" s="20" t="str">
        <f>+'[5]2026'!E265</f>
        <v/>
      </c>
      <c r="G265" s="73" t="str">
        <f>+'[5]2026'!F265</f>
        <v/>
      </c>
      <c r="H265" s="42">
        <f>+'[5]2026'!G265</f>
        <v>0</v>
      </c>
      <c r="I265" s="13">
        <f>+'[5]2026'!H265</f>
        <v>0</v>
      </c>
      <c r="J265" s="14">
        <f>+'[5]2026'!I265</f>
        <v>0</v>
      </c>
      <c r="K265" s="15">
        <f>+'[5]2026'!J265</f>
        <v>0</v>
      </c>
      <c r="L265" s="15">
        <f>+'[5]2026'!K265</f>
        <v>0</v>
      </c>
      <c r="M265" s="15">
        <f>+'[5]2026'!L265</f>
        <v>0</v>
      </c>
      <c r="N265" s="16" t="str">
        <f t="shared" si="16"/>
        <v/>
      </c>
      <c r="O265" s="17" t="str">
        <f t="shared" si="17"/>
        <v/>
      </c>
      <c r="P265" s="17" t="str">
        <f t="shared" si="17"/>
        <v/>
      </c>
      <c r="Q265" s="18" t="str">
        <f t="shared" si="18"/>
        <v/>
      </c>
      <c r="R265" s="18" t="e">
        <f t="shared" si="19"/>
        <v>#DIV/0!</v>
      </c>
      <c r="S265" s="34"/>
      <c r="T265" s="29" t="s">
        <v>8</v>
      </c>
      <c r="U265" s="1738"/>
    </row>
    <row r="266" spans="1:21">
      <c r="A266" s="10" t="s">
        <v>14</v>
      </c>
      <c r="B266" s="19">
        <f>+CHAMNORD!B266</f>
        <v>46283</v>
      </c>
      <c r="C266" s="75" t="str">
        <f>IF(H266=0,"",'[5]2025-2026'!C265)</f>
        <v/>
      </c>
      <c r="D266" s="75" t="str">
        <f>+'[5]2026'!C266</f>
        <v/>
      </c>
      <c r="E266" s="75" t="str">
        <f>+'[5]2026'!D266</f>
        <v/>
      </c>
      <c r="F266" s="20" t="str">
        <f>+'[5]2026'!E266</f>
        <v/>
      </c>
      <c r="G266" s="73" t="str">
        <f>+'[5]2026'!F266</f>
        <v/>
      </c>
      <c r="H266" s="42">
        <f>+'[5]2026'!G266</f>
        <v>0</v>
      </c>
      <c r="I266" s="13">
        <f>+'[5]2026'!H266</f>
        <v>0</v>
      </c>
      <c r="J266" s="14">
        <f>+'[5]2026'!I266</f>
        <v>0</v>
      </c>
      <c r="K266" s="15">
        <f>+'[5]2026'!J266</f>
        <v>0</v>
      </c>
      <c r="L266" s="15">
        <f>+'[5]2026'!K266</f>
        <v>0</v>
      </c>
      <c r="M266" s="15">
        <f>+'[5]2026'!L266</f>
        <v>0</v>
      </c>
      <c r="N266" s="16" t="str">
        <f t="shared" si="16"/>
        <v/>
      </c>
      <c r="O266" s="17" t="str">
        <f t="shared" si="17"/>
        <v/>
      </c>
      <c r="P266" s="17" t="str">
        <f t="shared" si="17"/>
        <v/>
      </c>
      <c r="Q266" s="18" t="str">
        <f t="shared" si="18"/>
        <v/>
      </c>
      <c r="R266" s="18" t="e">
        <f t="shared" si="19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19">
        <f>+CHAMNORD!B267</f>
        <v>46284</v>
      </c>
      <c r="C267" s="75" t="str">
        <f>IF(H267=0,"",'[5]2025-2026'!C266)</f>
        <v/>
      </c>
      <c r="D267" s="75" t="str">
        <f>+'[5]2026'!C267</f>
        <v/>
      </c>
      <c r="E267" s="75" t="str">
        <f>+'[5]2026'!D267</f>
        <v/>
      </c>
      <c r="F267" s="20" t="str">
        <f>+'[5]2026'!E267</f>
        <v/>
      </c>
      <c r="G267" s="73" t="str">
        <f>+'[5]2026'!F267</f>
        <v/>
      </c>
      <c r="H267" s="42">
        <f>+'[5]2026'!G267</f>
        <v>0</v>
      </c>
      <c r="I267" s="13">
        <f>+'[5]2026'!H267</f>
        <v>0</v>
      </c>
      <c r="J267" s="14">
        <f>+'[5]2026'!I267</f>
        <v>0</v>
      </c>
      <c r="K267" s="15">
        <f>+'[5]2026'!J267</f>
        <v>0</v>
      </c>
      <c r="L267" s="15">
        <f>+'[5]2026'!K267</f>
        <v>0</v>
      </c>
      <c r="M267" s="15">
        <f>+'[5]2026'!L267</f>
        <v>0</v>
      </c>
      <c r="N267" s="16" t="str">
        <f t="shared" si="16"/>
        <v/>
      </c>
      <c r="O267" s="17" t="str">
        <f t="shared" si="17"/>
        <v/>
      </c>
      <c r="P267" s="17" t="str">
        <f t="shared" si="17"/>
        <v/>
      </c>
      <c r="Q267" s="18" t="str">
        <f t="shared" si="18"/>
        <v/>
      </c>
      <c r="R267" s="18" t="e">
        <f t="shared" si="19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19">
        <f>+CHAMNORD!B268</f>
        <v>46285</v>
      </c>
      <c r="C268" s="75" t="str">
        <f>IF(H268=0,"",'[5]2025-2026'!C267)</f>
        <v/>
      </c>
      <c r="D268" s="75" t="str">
        <f>+'[5]2026'!C268</f>
        <v/>
      </c>
      <c r="E268" s="75" t="str">
        <f>+'[5]2026'!D268</f>
        <v/>
      </c>
      <c r="F268" s="20" t="str">
        <f>+'[5]2026'!E268</f>
        <v/>
      </c>
      <c r="G268" s="73" t="str">
        <f>+'[5]2026'!F268</f>
        <v/>
      </c>
      <c r="H268" s="42">
        <f>+'[5]2026'!G268</f>
        <v>0</v>
      </c>
      <c r="I268" s="13">
        <f>+'[5]2026'!H268</f>
        <v>0</v>
      </c>
      <c r="J268" s="14">
        <f>+'[5]2026'!I268</f>
        <v>0</v>
      </c>
      <c r="K268" s="15">
        <f>+'[5]2026'!J268</f>
        <v>0</v>
      </c>
      <c r="L268" s="15">
        <f>+'[5]2026'!K268</f>
        <v>0</v>
      </c>
      <c r="M268" s="15">
        <f>+'[5]2026'!L268</f>
        <v>0</v>
      </c>
      <c r="N268" s="16" t="str">
        <f t="shared" si="16"/>
        <v/>
      </c>
      <c r="O268" s="17" t="str">
        <f t="shared" si="17"/>
        <v/>
      </c>
      <c r="P268" s="17" t="str">
        <f t="shared" si="17"/>
        <v/>
      </c>
      <c r="Q268" s="18" t="str">
        <f t="shared" si="18"/>
        <v/>
      </c>
      <c r="R268" s="18" t="e">
        <f t="shared" si="19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19">
        <f>+CHAMNORD!B269</f>
        <v>46286</v>
      </c>
      <c r="C269" s="75" t="str">
        <f>IF(H269=0,"",'[5]2025-2026'!C268)</f>
        <v/>
      </c>
      <c r="D269" s="75" t="str">
        <f>+'[5]2026'!C269</f>
        <v/>
      </c>
      <c r="E269" s="75" t="str">
        <f>+'[5]2026'!D269</f>
        <v/>
      </c>
      <c r="F269" s="20" t="str">
        <f>+'[5]2026'!E269</f>
        <v/>
      </c>
      <c r="G269" s="73" t="str">
        <f>+'[5]2026'!F269</f>
        <v/>
      </c>
      <c r="H269" s="42">
        <f>+'[5]2026'!G269</f>
        <v>0</v>
      </c>
      <c r="I269" s="13">
        <f>+'[5]2026'!H269</f>
        <v>0</v>
      </c>
      <c r="J269" s="14">
        <f>+'[5]2026'!I269</f>
        <v>0</v>
      </c>
      <c r="K269" s="15">
        <f>+'[5]2026'!J269</f>
        <v>0</v>
      </c>
      <c r="L269" s="15">
        <f>+'[5]2026'!K269</f>
        <v>0</v>
      </c>
      <c r="M269" s="15">
        <f>+'[5]2026'!L269</f>
        <v>0</v>
      </c>
      <c r="N269" s="16" t="str">
        <f t="shared" si="16"/>
        <v/>
      </c>
      <c r="O269" s="17" t="str">
        <f t="shared" si="17"/>
        <v/>
      </c>
      <c r="P269" s="17" t="str">
        <f t="shared" si="17"/>
        <v/>
      </c>
      <c r="Q269" s="18" t="str">
        <f t="shared" si="18"/>
        <v/>
      </c>
      <c r="R269" s="18" t="e">
        <f t="shared" si="19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19">
        <f>+CHAMNORD!B270</f>
        <v>46287</v>
      </c>
      <c r="C270" s="75" t="str">
        <f>IF(H270=0,"",'[5]2025-2026'!C269)</f>
        <v/>
      </c>
      <c r="D270" s="75" t="str">
        <f>+'[5]2026'!C270</f>
        <v/>
      </c>
      <c r="E270" s="75" t="str">
        <f>+'[5]2026'!D270</f>
        <v/>
      </c>
      <c r="F270" s="20" t="str">
        <f>+'[5]2026'!E270</f>
        <v/>
      </c>
      <c r="G270" s="73" t="str">
        <f>+'[5]2026'!F270</f>
        <v/>
      </c>
      <c r="H270" s="42">
        <f>+'[5]2026'!G270</f>
        <v>0</v>
      </c>
      <c r="I270" s="13">
        <f>+'[5]2026'!H270</f>
        <v>0</v>
      </c>
      <c r="J270" s="14">
        <f>+'[5]2026'!I270</f>
        <v>0</v>
      </c>
      <c r="K270" s="15">
        <f>+'[5]2026'!J270</f>
        <v>0</v>
      </c>
      <c r="L270" s="15">
        <f>+'[5]2026'!K270</f>
        <v>0</v>
      </c>
      <c r="M270" s="15">
        <f>+'[5]2026'!L270</f>
        <v>0</v>
      </c>
      <c r="N270" s="16" t="str">
        <f t="shared" si="16"/>
        <v/>
      </c>
      <c r="O270" s="17" t="str">
        <f t="shared" si="17"/>
        <v/>
      </c>
      <c r="P270" s="17" t="str">
        <f t="shared" si="17"/>
        <v/>
      </c>
      <c r="Q270" s="18" t="str">
        <f t="shared" si="18"/>
        <v/>
      </c>
      <c r="R270" s="18" t="e">
        <f t="shared" si="19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19">
        <f>+CHAMNORD!B271</f>
        <v>46288</v>
      </c>
      <c r="C271" s="75" t="str">
        <f>IF(H271=0,"",'[5]2025-2026'!C270)</f>
        <v/>
      </c>
      <c r="D271" s="75" t="str">
        <f>+'[5]2026'!C271</f>
        <v/>
      </c>
      <c r="E271" s="75" t="str">
        <f>+'[5]2026'!D271</f>
        <v/>
      </c>
      <c r="F271" s="20" t="str">
        <f>+'[5]2026'!E271</f>
        <v/>
      </c>
      <c r="G271" s="73" t="str">
        <f>+'[5]2026'!F271</f>
        <v/>
      </c>
      <c r="H271" s="42">
        <f>+'[5]2026'!G271</f>
        <v>0</v>
      </c>
      <c r="I271" s="13">
        <f>+'[5]2026'!H271</f>
        <v>0</v>
      </c>
      <c r="J271" s="14">
        <f>+'[5]2026'!I271</f>
        <v>0</v>
      </c>
      <c r="K271" s="15">
        <f>+'[5]2026'!J271</f>
        <v>0</v>
      </c>
      <c r="L271" s="15">
        <f>+'[5]2026'!K271</f>
        <v>0</v>
      </c>
      <c r="M271" s="15">
        <f>+'[5]2026'!L271</f>
        <v>0</v>
      </c>
      <c r="N271" s="16" t="str">
        <f t="shared" si="16"/>
        <v/>
      </c>
      <c r="O271" s="17" t="str">
        <f t="shared" si="17"/>
        <v/>
      </c>
      <c r="P271" s="17" t="str">
        <f t="shared" si="17"/>
        <v/>
      </c>
      <c r="Q271" s="18" t="str">
        <f t="shared" si="18"/>
        <v/>
      </c>
      <c r="R271" s="18" t="e">
        <f t="shared" si="19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19">
        <f>+CHAMNORD!B272</f>
        <v>46289</v>
      </c>
      <c r="C272" s="75" t="str">
        <f>IF(H272=0,"",'[5]2025-2026'!C271)</f>
        <v/>
      </c>
      <c r="D272" s="75" t="str">
        <f>+'[5]2026'!C272</f>
        <v/>
      </c>
      <c r="E272" s="75" t="str">
        <f>+'[5]2026'!D272</f>
        <v/>
      </c>
      <c r="F272" s="20" t="str">
        <f>+'[5]2026'!E272</f>
        <v/>
      </c>
      <c r="G272" s="73" t="str">
        <f>+'[5]2026'!F272</f>
        <v/>
      </c>
      <c r="H272" s="42">
        <f>+'[5]2026'!G272</f>
        <v>0</v>
      </c>
      <c r="I272" s="13">
        <f>+'[5]2026'!H272</f>
        <v>0</v>
      </c>
      <c r="J272" s="14">
        <f>+'[5]2026'!I272</f>
        <v>0</v>
      </c>
      <c r="K272" s="15">
        <f>+'[5]2026'!J272</f>
        <v>0</v>
      </c>
      <c r="L272" s="15">
        <f>+'[5]2026'!K272</f>
        <v>0</v>
      </c>
      <c r="M272" s="15">
        <f>+'[5]2026'!L272</f>
        <v>0</v>
      </c>
      <c r="N272" s="16" t="str">
        <f t="shared" si="16"/>
        <v/>
      </c>
      <c r="O272" s="17" t="str">
        <f t="shared" si="17"/>
        <v/>
      </c>
      <c r="P272" s="17" t="str">
        <f t="shared" si="17"/>
        <v/>
      </c>
      <c r="Q272" s="18" t="str">
        <f t="shared" si="18"/>
        <v/>
      </c>
      <c r="R272" s="18" t="e">
        <f t="shared" si="19"/>
        <v>#DIV/0!</v>
      </c>
      <c r="S272" s="34"/>
      <c r="T272" s="29" t="s">
        <v>8</v>
      </c>
      <c r="U272" s="1738"/>
    </row>
    <row r="273" spans="1:21">
      <c r="A273" s="10" t="s">
        <v>14</v>
      </c>
      <c r="B273" s="19">
        <f>+CHAMNORD!B273</f>
        <v>46290</v>
      </c>
      <c r="C273" s="75" t="str">
        <f>IF(H273=0,"",'[5]2025-2026'!C272)</f>
        <v/>
      </c>
      <c r="D273" s="75" t="str">
        <f>+'[5]2026'!C273</f>
        <v/>
      </c>
      <c r="E273" s="75" t="str">
        <f>+'[5]2026'!D273</f>
        <v/>
      </c>
      <c r="F273" s="20" t="str">
        <f>+'[5]2026'!E273</f>
        <v/>
      </c>
      <c r="G273" s="73" t="str">
        <f>+'[5]2026'!F273</f>
        <v/>
      </c>
      <c r="H273" s="42">
        <f>+'[5]2026'!G273</f>
        <v>0</v>
      </c>
      <c r="I273" s="13">
        <f>+'[5]2026'!H273</f>
        <v>0</v>
      </c>
      <c r="J273" s="14">
        <f>+'[5]2026'!I273</f>
        <v>0</v>
      </c>
      <c r="K273" s="15">
        <f>+'[5]2026'!J273</f>
        <v>0</v>
      </c>
      <c r="L273" s="15">
        <f>+'[5]2026'!K273</f>
        <v>0</v>
      </c>
      <c r="M273" s="15">
        <f>+'[5]2026'!L273</f>
        <v>0</v>
      </c>
      <c r="N273" s="16" t="str">
        <f t="shared" si="16"/>
        <v/>
      </c>
      <c r="O273" s="17" t="str">
        <f t="shared" si="17"/>
        <v/>
      </c>
      <c r="P273" s="17" t="str">
        <f t="shared" si="17"/>
        <v/>
      </c>
      <c r="Q273" s="18" t="str">
        <f t="shared" si="18"/>
        <v/>
      </c>
      <c r="R273" s="18" t="e">
        <f t="shared" si="19"/>
        <v>#DIV/0!</v>
      </c>
      <c r="S273" s="36" t="s">
        <v>40</v>
      </c>
      <c r="T273" s="48" t="e">
        <f>SUM(I269:I275)/SUM(L269:L275)</f>
        <v>#DIV/0!</v>
      </c>
      <c r="U273" s="1738"/>
    </row>
    <row r="274" spans="1:21">
      <c r="A274" s="10" t="s">
        <v>15</v>
      </c>
      <c r="B274" s="19">
        <f>+CHAMNORD!B274</f>
        <v>46291</v>
      </c>
      <c r="C274" s="75" t="str">
        <f>IF(H274=0,"",'[5]2025-2026'!C273)</f>
        <v/>
      </c>
      <c r="D274" s="75" t="str">
        <f>+'[5]2026'!C274</f>
        <v/>
      </c>
      <c r="E274" s="75" t="str">
        <f>+'[5]2026'!D274</f>
        <v/>
      </c>
      <c r="F274" s="20" t="str">
        <f>+'[5]2026'!E274</f>
        <v/>
      </c>
      <c r="G274" s="73" t="str">
        <f>+'[5]2026'!F274</f>
        <v/>
      </c>
      <c r="H274" s="42">
        <f>+'[5]2026'!G274</f>
        <v>0</v>
      </c>
      <c r="I274" s="13">
        <f>+'[5]2026'!H274</f>
        <v>0</v>
      </c>
      <c r="J274" s="14">
        <f>+'[5]2026'!I274</f>
        <v>0</v>
      </c>
      <c r="K274" s="15">
        <f>+'[5]2026'!J274</f>
        <v>0</v>
      </c>
      <c r="L274" s="15">
        <f>+'[5]2026'!K274</f>
        <v>0</v>
      </c>
      <c r="M274" s="15">
        <f>+'[5]2026'!L274</f>
        <v>0</v>
      </c>
      <c r="N274" s="16" t="str">
        <f t="shared" si="16"/>
        <v/>
      </c>
      <c r="O274" s="17" t="str">
        <f t="shared" si="17"/>
        <v/>
      </c>
      <c r="P274" s="17" t="str">
        <f t="shared" si="17"/>
        <v/>
      </c>
      <c r="Q274" s="18" t="str">
        <f t="shared" si="18"/>
        <v/>
      </c>
      <c r="R274" s="18" t="e">
        <f t="shared" si="19"/>
        <v>#DIV/0!</v>
      </c>
      <c r="S274" s="36">
        <f>SUM(J269:J275)</f>
        <v>0</v>
      </c>
      <c r="T274" s="30" t="s">
        <v>3</v>
      </c>
      <c r="U274" s="1738"/>
    </row>
    <row r="275" spans="1:21" ht="18" thickBot="1">
      <c r="A275" s="10" t="s">
        <v>16</v>
      </c>
      <c r="B275" s="19">
        <f>+CHAMNORD!B275</f>
        <v>46292</v>
      </c>
      <c r="C275" s="75" t="str">
        <f>IF(H275=0,"",'[5]2025-2026'!C274)</f>
        <v/>
      </c>
      <c r="D275" s="75" t="str">
        <f>+'[5]2026'!C275</f>
        <v/>
      </c>
      <c r="E275" s="75" t="str">
        <f>+'[5]2026'!D275</f>
        <v/>
      </c>
      <c r="F275" s="20" t="str">
        <f>+'[5]2026'!E275</f>
        <v/>
      </c>
      <c r="G275" s="73" t="str">
        <f>+'[5]2026'!F275</f>
        <v/>
      </c>
      <c r="H275" s="42">
        <f>+'[5]2026'!G275</f>
        <v>0</v>
      </c>
      <c r="I275" s="13">
        <f>+'[5]2026'!H275</f>
        <v>0</v>
      </c>
      <c r="J275" s="14">
        <f>+'[5]2026'!I275</f>
        <v>0</v>
      </c>
      <c r="K275" s="15">
        <f>+'[5]2026'!J275</f>
        <v>0</v>
      </c>
      <c r="L275" s="15">
        <f>+'[5]2026'!K275</f>
        <v>0</v>
      </c>
      <c r="M275" s="15">
        <f>+'[5]2026'!L275</f>
        <v>0</v>
      </c>
      <c r="N275" s="16" t="str">
        <f t="shared" si="16"/>
        <v/>
      </c>
      <c r="O275" s="17" t="str">
        <f t="shared" si="17"/>
        <v/>
      </c>
      <c r="P275" s="17" t="str">
        <f t="shared" si="17"/>
        <v/>
      </c>
      <c r="Q275" s="18" t="str">
        <f t="shared" si="18"/>
        <v/>
      </c>
      <c r="R275" s="18" t="e">
        <f t="shared" si="19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1" ht="17" customHeight="1" thickTop="1">
      <c r="A276" s="10" t="s">
        <v>9</v>
      </c>
      <c r="B276" s="19">
        <f>+CHAMNORD!B276</f>
        <v>46293</v>
      </c>
      <c r="C276" s="75" t="str">
        <f>IF(H276=0,"",'[5]2025-2026'!C275)</f>
        <v/>
      </c>
      <c r="D276" s="75" t="str">
        <f>+'[5]2026'!C276</f>
        <v/>
      </c>
      <c r="E276" s="75" t="str">
        <f>+'[5]2026'!D276</f>
        <v/>
      </c>
      <c r="F276" s="20" t="str">
        <f>+'[5]2026'!E276</f>
        <v/>
      </c>
      <c r="G276" s="73" t="str">
        <f>+'[5]2026'!F276</f>
        <v/>
      </c>
      <c r="H276" s="42">
        <f>+'[5]2026'!G276</f>
        <v>0</v>
      </c>
      <c r="I276" s="13">
        <f>+'[5]2026'!H276</f>
        <v>0</v>
      </c>
      <c r="J276" s="14">
        <f>+'[5]2026'!I276</f>
        <v>0</v>
      </c>
      <c r="K276" s="15">
        <f>+'[5]2026'!J276</f>
        <v>0</v>
      </c>
      <c r="L276" s="15">
        <f>+'[5]2026'!K276</f>
        <v>0</v>
      </c>
      <c r="M276" s="15">
        <f>+'[5]2026'!L276</f>
        <v>0</v>
      </c>
      <c r="N276" s="16" t="str">
        <f t="shared" si="16"/>
        <v/>
      </c>
      <c r="O276" s="17" t="str">
        <f t="shared" si="17"/>
        <v/>
      </c>
      <c r="P276" s="17" t="str">
        <f t="shared" si="17"/>
        <v/>
      </c>
      <c r="Q276" s="18" t="str">
        <f t="shared" si="18"/>
        <v/>
      </c>
      <c r="R276" s="18" t="e">
        <f t="shared" si="19"/>
        <v>#DIV/0!</v>
      </c>
      <c r="S276" s="33" t="s">
        <v>39</v>
      </c>
      <c r="T276" s="31" t="s">
        <v>42</v>
      </c>
      <c r="U276" s="1737" t="s">
        <v>122</v>
      </c>
    </row>
    <row r="277" spans="1:21">
      <c r="A277" s="10" t="s">
        <v>11</v>
      </c>
      <c r="B277" s="19">
        <f>+CHAMNORD!B277</f>
        <v>46294</v>
      </c>
      <c r="C277" s="75" t="str">
        <f>IF(H277=0,"",'[5]2025-2026'!C276)</f>
        <v/>
      </c>
      <c r="D277" s="75" t="str">
        <f>+'[5]2026'!C277</f>
        <v/>
      </c>
      <c r="E277" s="75" t="str">
        <f>+'[5]2026'!D277</f>
        <v/>
      </c>
      <c r="F277" s="20" t="str">
        <f>+'[5]2026'!E277</f>
        <v/>
      </c>
      <c r="G277" s="73" t="str">
        <f>+'[5]2026'!F277</f>
        <v/>
      </c>
      <c r="H277" s="42">
        <f>+'[5]2026'!G277</f>
        <v>0</v>
      </c>
      <c r="I277" s="13">
        <f>+'[5]2026'!H277</f>
        <v>0</v>
      </c>
      <c r="J277" s="14">
        <f>+'[5]2026'!I277</f>
        <v>0</v>
      </c>
      <c r="K277" s="15">
        <f>+'[5]2026'!J277</f>
        <v>0</v>
      </c>
      <c r="L277" s="15">
        <f>+'[5]2026'!K277</f>
        <v>0</v>
      </c>
      <c r="M277" s="15">
        <f>+'[5]2026'!L277</f>
        <v>0</v>
      </c>
      <c r="N277" s="16" t="str">
        <f t="shared" si="16"/>
        <v/>
      </c>
      <c r="O277" s="17" t="str">
        <f t="shared" si="17"/>
        <v/>
      </c>
      <c r="P277" s="17" t="str">
        <f t="shared" si="17"/>
        <v/>
      </c>
      <c r="Q277" s="18" t="str">
        <f t="shared" si="18"/>
        <v/>
      </c>
      <c r="R277" s="18" t="e">
        <f t="shared" si="19"/>
        <v>#DIV/0!</v>
      </c>
      <c r="S277" s="34">
        <f>SUM(I276:I282)</f>
        <v>0</v>
      </c>
      <c r="T277" s="45" t="s">
        <v>41</v>
      </c>
      <c r="U277" s="1738"/>
    </row>
    <row r="278" spans="1:21">
      <c r="A278" s="10" t="s">
        <v>12</v>
      </c>
      <c r="B278" s="19">
        <f>+CHAMNORD!B278</f>
        <v>46295</v>
      </c>
      <c r="C278" s="75" t="str">
        <f>IF(H278=0,"",'[5]2025-2026'!C277)</f>
        <v/>
      </c>
      <c r="D278" s="75" t="str">
        <f>+'[5]2026'!C278</f>
        <v/>
      </c>
      <c r="E278" s="75" t="str">
        <f>+'[5]2026'!D278</f>
        <v/>
      </c>
      <c r="F278" s="20" t="str">
        <f>+'[5]2026'!E278</f>
        <v/>
      </c>
      <c r="G278" s="73" t="str">
        <f>+'[5]2026'!F278</f>
        <v/>
      </c>
      <c r="H278" s="42">
        <f>+'[5]2026'!G278</f>
        <v>0</v>
      </c>
      <c r="I278" s="13">
        <f>+'[5]2026'!H278</f>
        <v>0</v>
      </c>
      <c r="J278" s="14">
        <f>+'[5]2026'!I278</f>
        <v>0</v>
      </c>
      <c r="K278" s="15">
        <f>+'[5]2026'!J278</f>
        <v>0</v>
      </c>
      <c r="L278" s="15">
        <f>+'[5]2026'!K278</f>
        <v>0</v>
      </c>
      <c r="M278" s="15">
        <f>+'[5]2026'!L278</f>
        <v>0</v>
      </c>
      <c r="N278" s="16" t="str">
        <f t="shared" si="16"/>
        <v/>
      </c>
      <c r="O278" s="17" t="str">
        <f t="shared" si="17"/>
        <v/>
      </c>
      <c r="P278" s="17" t="str">
        <f t="shared" si="17"/>
        <v/>
      </c>
      <c r="Q278" s="18" t="str">
        <f t="shared" si="18"/>
        <v/>
      </c>
      <c r="R278" s="18" t="e">
        <f t="shared" si="19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</row>
    <row r="279" spans="1:21">
      <c r="A279" s="10" t="s">
        <v>13</v>
      </c>
      <c r="B279" s="19">
        <f>+CHAMNORD!B279</f>
        <v>46296</v>
      </c>
      <c r="C279" s="75" t="str">
        <f>IF(H279=0,"",'[5]2025-2026'!C278)</f>
        <v/>
      </c>
      <c r="D279" s="75" t="str">
        <f>+'[5]2026'!C279</f>
        <v/>
      </c>
      <c r="E279" s="75" t="str">
        <f>+'[5]2026'!D279</f>
        <v/>
      </c>
      <c r="F279" s="20" t="str">
        <f>+'[5]2026'!E279</f>
        <v/>
      </c>
      <c r="G279" s="73" t="str">
        <f>+'[5]2026'!F279</f>
        <v/>
      </c>
      <c r="H279" s="42">
        <f>+'[5]2026'!G279</f>
        <v>0</v>
      </c>
      <c r="I279" s="13">
        <f>+'[5]2026'!H279</f>
        <v>0</v>
      </c>
      <c r="J279" s="14">
        <f>+'[5]2026'!I279</f>
        <v>0</v>
      </c>
      <c r="K279" s="15">
        <f>+'[5]2026'!J279</f>
        <v>0</v>
      </c>
      <c r="L279" s="15">
        <f>+'[5]2026'!K279</f>
        <v>0</v>
      </c>
      <c r="M279" s="15">
        <f>+'[5]2026'!L279</f>
        <v>0</v>
      </c>
      <c r="N279" s="16" t="str">
        <f t="shared" si="16"/>
        <v/>
      </c>
      <c r="O279" s="17" t="str">
        <f t="shared" si="17"/>
        <v/>
      </c>
      <c r="P279" s="17" t="str">
        <f t="shared" si="17"/>
        <v/>
      </c>
      <c r="Q279" s="18" t="str">
        <f t="shared" si="18"/>
        <v/>
      </c>
      <c r="R279" s="18" t="e">
        <f t="shared" si="19"/>
        <v>#DIV/0!</v>
      </c>
      <c r="S279" s="34"/>
      <c r="T279" s="29" t="s">
        <v>8</v>
      </c>
      <c r="U279" s="1738"/>
    </row>
    <row r="280" spans="1:21">
      <c r="A280" s="10" t="s">
        <v>14</v>
      </c>
      <c r="B280" s="19">
        <f>+CHAMNORD!B280</f>
        <v>46297</v>
      </c>
      <c r="C280" s="75" t="str">
        <f>IF(H280=0,"",'[5]2025-2026'!C279)</f>
        <v/>
      </c>
      <c r="D280" s="75" t="str">
        <f>+'[5]2026'!C280</f>
        <v/>
      </c>
      <c r="E280" s="75" t="str">
        <f>+'[5]2026'!D280</f>
        <v/>
      </c>
      <c r="F280" s="20" t="str">
        <f>+'[5]2026'!E280</f>
        <v/>
      </c>
      <c r="G280" s="73" t="str">
        <f>+'[5]2026'!F280</f>
        <v/>
      </c>
      <c r="H280" s="42">
        <f>+'[5]2026'!G280</f>
        <v>0</v>
      </c>
      <c r="I280" s="13">
        <f>+'[5]2026'!H280</f>
        <v>0</v>
      </c>
      <c r="J280" s="14">
        <f>+'[5]2026'!I280</f>
        <v>0</v>
      </c>
      <c r="K280" s="15">
        <f>+'[5]2026'!J280</f>
        <v>0</v>
      </c>
      <c r="L280" s="15">
        <f>+'[5]2026'!K280</f>
        <v>0</v>
      </c>
      <c r="M280" s="15">
        <f>+'[5]2026'!L280</f>
        <v>0</v>
      </c>
      <c r="N280" s="16" t="str">
        <f t="shared" si="16"/>
        <v/>
      </c>
      <c r="O280" s="17" t="str">
        <f t="shared" si="17"/>
        <v/>
      </c>
      <c r="P280" s="17" t="str">
        <f t="shared" si="17"/>
        <v/>
      </c>
      <c r="Q280" s="18" t="str">
        <f t="shared" si="18"/>
        <v/>
      </c>
      <c r="R280" s="18" t="e">
        <f t="shared" si="19"/>
        <v>#DIV/0!</v>
      </c>
      <c r="S280" s="36" t="s">
        <v>40</v>
      </c>
      <c r="T280" s="48" t="e">
        <f>SUM(I276:I282)/SUM(L276:L282)</f>
        <v>#DIV/0!</v>
      </c>
      <c r="U280" s="1738"/>
    </row>
    <row r="281" spans="1:21">
      <c r="A281" s="10" t="s">
        <v>15</v>
      </c>
      <c r="B281" s="19">
        <f>+CHAMNORD!B281</f>
        <v>46298</v>
      </c>
      <c r="C281" s="75" t="str">
        <f>IF(H281=0,"",'[5]2025-2026'!C280)</f>
        <v/>
      </c>
      <c r="D281" s="75" t="str">
        <f>+'[5]2026'!C281</f>
        <v/>
      </c>
      <c r="E281" s="75" t="str">
        <f>+'[5]2026'!D281</f>
        <v/>
      </c>
      <c r="F281" s="20" t="str">
        <f>+'[5]2026'!E281</f>
        <v/>
      </c>
      <c r="G281" s="73" t="str">
        <f>+'[5]2026'!F281</f>
        <v/>
      </c>
      <c r="H281" s="42">
        <f>+'[5]2026'!G281</f>
        <v>0</v>
      </c>
      <c r="I281" s="13">
        <f>+'[5]2026'!H281</f>
        <v>0</v>
      </c>
      <c r="J281" s="14">
        <f>+'[5]2026'!I281</f>
        <v>0</v>
      </c>
      <c r="K281" s="15">
        <f>+'[5]2026'!J281</f>
        <v>0</v>
      </c>
      <c r="L281" s="15">
        <f>+'[5]2026'!K281</f>
        <v>0</v>
      </c>
      <c r="M281" s="15">
        <f>+'[5]2026'!L281</f>
        <v>0</v>
      </c>
      <c r="N281" s="16" t="str">
        <f t="shared" si="16"/>
        <v/>
      </c>
      <c r="O281" s="17" t="str">
        <f t="shared" si="17"/>
        <v/>
      </c>
      <c r="P281" s="17" t="str">
        <f t="shared" si="17"/>
        <v/>
      </c>
      <c r="Q281" s="18" t="str">
        <f t="shared" si="18"/>
        <v/>
      </c>
      <c r="R281" s="18" t="e">
        <f t="shared" si="19"/>
        <v>#DIV/0!</v>
      </c>
      <c r="S281" s="36">
        <f>SUM(J276:J282)</f>
        <v>0</v>
      </c>
      <c r="T281" s="30" t="s">
        <v>3</v>
      </c>
      <c r="U281" s="1738"/>
    </row>
    <row r="282" spans="1:21" ht="18" thickBot="1">
      <c r="A282" s="10" t="s">
        <v>16</v>
      </c>
      <c r="B282" s="19">
        <f>+CHAMNORD!B282</f>
        <v>46299</v>
      </c>
      <c r="C282" s="75" t="str">
        <f>IF(H282=0,"",'[5]2025-2026'!C281)</f>
        <v/>
      </c>
      <c r="D282" s="75" t="str">
        <f>+'[5]2026'!C282</f>
        <v/>
      </c>
      <c r="E282" s="75" t="str">
        <f>+'[5]2026'!D282</f>
        <v/>
      </c>
      <c r="F282" s="20" t="str">
        <f>+'[5]2026'!E282</f>
        <v/>
      </c>
      <c r="G282" s="73" t="str">
        <f>+'[5]2026'!F282</f>
        <v/>
      </c>
      <c r="H282" s="42">
        <f>+'[5]2026'!G282</f>
        <v>0</v>
      </c>
      <c r="I282" s="13">
        <f>+'[5]2026'!H282</f>
        <v>0</v>
      </c>
      <c r="J282" s="14">
        <f>+'[5]2026'!I282</f>
        <v>0</v>
      </c>
      <c r="K282" s="15">
        <f>+'[5]2026'!J282</f>
        <v>0</v>
      </c>
      <c r="L282" s="15">
        <f>+'[5]2026'!K282</f>
        <v>0</v>
      </c>
      <c r="M282" s="15">
        <f>+'[5]2026'!L282</f>
        <v>0</v>
      </c>
      <c r="N282" s="16" t="str">
        <f t="shared" si="16"/>
        <v/>
      </c>
      <c r="O282" s="17" t="str">
        <f t="shared" si="17"/>
        <v/>
      </c>
      <c r="P282" s="17" t="str">
        <f t="shared" si="17"/>
        <v/>
      </c>
      <c r="Q282" s="18" t="str">
        <f t="shared" si="18"/>
        <v/>
      </c>
      <c r="R282" s="18" t="e">
        <f t="shared" si="19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</row>
    <row r="283" spans="1:21" ht="17" customHeight="1" thickTop="1">
      <c r="A283" s="10" t="s">
        <v>9</v>
      </c>
      <c r="B283" s="19">
        <f>+CHAMNORD!B283</f>
        <v>46300</v>
      </c>
      <c r="C283" s="75" t="str">
        <f>IF(H283=0,"",'[5]2025-2026'!C282)</f>
        <v/>
      </c>
      <c r="D283" s="75" t="str">
        <f>+'[5]2026'!C283</f>
        <v/>
      </c>
      <c r="E283" s="75" t="str">
        <f>+'[5]2026'!D283</f>
        <v/>
      </c>
      <c r="F283" s="20" t="str">
        <f>+'[5]2026'!E283</f>
        <v/>
      </c>
      <c r="G283" s="73" t="str">
        <f>+'[5]2026'!F283</f>
        <v/>
      </c>
      <c r="H283" s="42">
        <f>+'[5]2026'!G283</f>
        <v>0</v>
      </c>
      <c r="I283" s="13">
        <f>+'[5]2026'!H283</f>
        <v>0</v>
      </c>
      <c r="J283" s="14">
        <f>+'[5]2026'!I283</f>
        <v>0</v>
      </c>
      <c r="K283" s="15">
        <f>+'[5]2026'!J283</f>
        <v>0</v>
      </c>
      <c r="L283" s="15">
        <f>+'[5]2026'!K283</f>
        <v>0</v>
      </c>
      <c r="M283" s="15">
        <f>+'[5]2026'!L283</f>
        <v>0</v>
      </c>
      <c r="N283" s="16" t="str">
        <f t="shared" si="16"/>
        <v/>
      </c>
      <c r="O283" s="17" t="str">
        <f t="shared" si="17"/>
        <v/>
      </c>
      <c r="P283" s="17" t="str">
        <f t="shared" si="17"/>
        <v/>
      </c>
      <c r="Q283" s="18" t="str">
        <f t="shared" si="18"/>
        <v/>
      </c>
      <c r="R283" s="18" t="e">
        <f t="shared" si="19"/>
        <v>#DIV/0!</v>
      </c>
      <c r="S283" s="33" t="s">
        <v>39</v>
      </c>
      <c r="T283" s="31" t="s">
        <v>42</v>
      </c>
      <c r="U283" s="1737" t="s">
        <v>123</v>
      </c>
    </row>
    <row r="284" spans="1:21">
      <c r="A284" s="10" t="s">
        <v>11</v>
      </c>
      <c r="B284" s="19">
        <f>+CHAMNORD!B284</f>
        <v>46301</v>
      </c>
      <c r="C284" s="75" t="str">
        <f>IF(H284=0,"",'[5]2025-2026'!C283)</f>
        <v/>
      </c>
      <c r="D284" s="75" t="str">
        <f>+'[5]2026'!C284</f>
        <v/>
      </c>
      <c r="E284" s="75" t="str">
        <f>+'[5]2026'!D284</f>
        <v/>
      </c>
      <c r="F284" s="20" t="str">
        <f>+'[5]2026'!E284</f>
        <v/>
      </c>
      <c r="G284" s="73" t="str">
        <f>+'[5]2026'!F284</f>
        <v/>
      </c>
      <c r="H284" s="42">
        <f>+'[5]2026'!G284</f>
        <v>0</v>
      </c>
      <c r="I284" s="13">
        <f>+'[5]2026'!H284</f>
        <v>0</v>
      </c>
      <c r="J284" s="14">
        <f>+'[5]2026'!I284</f>
        <v>0</v>
      </c>
      <c r="K284" s="15">
        <f>+'[5]2026'!J284</f>
        <v>0</v>
      </c>
      <c r="L284" s="15">
        <f>+'[5]2026'!K284</f>
        <v>0</v>
      </c>
      <c r="M284" s="15">
        <f>+'[5]2026'!L284</f>
        <v>0</v>
      </c>
      <c r="N284" s="16" t="str">
        <f t="shared" si="16"/>
        <v/>
      </c>
      <c r="O284" s="17" t="str">
        <f t="shared" si="17"/>
        <v/>
      </c>
      <c r="P284" s="17" t="str">
        <f t="shared" si="17"/>
        <v/>
      </c>
      <c r="Q284" s="18" t="str">
        <f t="shared" si="18"/>
        <v/>
      </c>
      <c r="R284" s="18" t="e">
        <f t="shared" si="19"/>
        <v>#DIV/0!</v>
      </c>
      <c r="S284" s="34">
        <f>SUM(I283:I289)</f>
        <v>0</v>
      </c>
      <c r="T284" s="45" t="s">
        <v>41</v>
      </c>
      <c r="U284" s="1738"/>
    </row>
    <row r="285" spans="1:21">
      <c r="A285" s="10" t="s">
        <v>12</v>
      </c>
      <c r="B285" s="19">
        <f>+CHAMNORD!B285</f>
        <v>46302</v>
      </c>
      <c r="C285" s="75" t="str">
        <f>IF(H285=0,"",'[5]2025-2026'!C284)</f>
        <v/>
      </c>
      <c r="D285" s="75" t="str">
        <f>+'[5]2026'!C285</f>
        <v/>
      </c>
      <c r="E285" s="75" t="str">
        <f>+'[5]2026'!D285</f>
        <v/>
      </c>
      <c r="F285" s="20" t="str">
        <f>+'[5]2026'!E285</f>
        <v/>
      </c>
      <c r="G285" s="73" t="str">
        <f>+'[5]2026'!F285</f>
        <v/>
      </c>
      <c r="H285" s="42">
        <f>+'[5]2026'!G285</f>
        <v>0</v>
      </c>
      <c r="I285" s="13">
        <f>+'[5]2026'!H285</f>
        <v>0</v>
      </c>
      <c r="J285" s="14">
        <f>+'[5]2026'!I285</f>
        <v>0</v>
      </c>
      <c r="K285" s="15">
        <f>+'[5]2026'!J285</f>
        <v>0</v>
      </c>
      <c r="L285" s="15">
        <f>+'[5]2026'!K285</f>
        <v>0</v>
      </c>
      <c r="M285" s="15">
        <f>+'[5]2026'!L285</f>
        <v>0</v>
      </c>
      <c r="N285" s="16" t="str">
        <f t="shared" si="16"/>
        <v/>
      </c>
      <c r="O285" s="17" t="str">
        <f t="shared" si="17"/>
        <v/>
      </c>
      <c r="P285" s="17" t="str">
        <f t="shared" si="17"/>
        <v/>
      </c>
      <c r="Q285" s="18" t="str">
        <f t="shared" si="18"/>
        <v/>
      </c>
      <c r="R285" s="18" t="e">
        <f t="shared" si="19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</row>
    <row r="286" spans="1:21">
      <c r="A286" s="10" t="s">
        <v>13</v>
      </c>
      <c r="B286" s="19">
        <f>+CHAMNORD!B286</f>
        <v>46303</v>
      </c>
      <c r="C286" s="75" t="str">
        <f>IF(H286=0,"",'[5]2025-2026'!C285)</f>
        <v/>
      </c>
      <c r="D286" s="75" t="str">
        <f>+'[5]2026'!C286</f>
        <v/>
      </c>
      <c r="E286" s="75" t="str">
        <f>+'[5]2026'!D286</f>
        <v/>
      </c>
      <c r="F286" s="20" t="str">
        <f>+'[5]2026'!E286</f>
        <v/>
      </c>
      <c r="G286" s="73" t="str">
        <f>+'[5]2026'!F286</f>
        <v/>
      </c>
      <c r="H286" s="42">
        <f>+'[5]2026'!G286</f>
        <v>0</v>
      </c>
      <c r="I286" s="13">
        <f>+'[5]2026'!H286</f>
        <v>0</v>
      </c>
      <c r="J286" s="14">
        <f>+'[5]2026'!I286</f>
        <v>0</v>
      </c>
      <c r="K286" s="15">
        <f>+'[5]2026'!J286</f>
        <v>0</v>
      </c>
      <c r="L286" s="15">
        <f>+'[5]2026'!K286</f>
        <v>0</v>
      </c>
      <c r="M286" s="15">
        <f>+'[5]2026'!L286</f>
        <v>0</v>
      </c>
      <c r="N286" s="16" t="str">
        <f t="shared" si="16"/>
        <v/>
      </c>
      <c r="O286" s="17" t="str">
        <f t="shared" si="17"/>
        <v/>
      </c>
      <c r="P286" s="17" t="str">
        <f t="shared" si="17"/>
        <v/>
      </c>
      <c r="Q286" s="18" t="str">
        <f t="shared" si="18"/>
        <v/>
      </c>
      <c r="R286" s="18" t="e">
        <f t="shared" si="19"/>
        <v>#DIV/0!</v>
      </c>
      <c r="S286" s="34"/>
      <c r="T286" s="29" t="s">
        <v>8</v>
      </c>
      <c r="U286" s="1738"/>
    </row>
    <row r="287" spans="1:21">
      <c r="A287" s="10" t="s">
        <v>14</v>
      </c>
      <c r="B287" s="19">
        <f>+CHAMNORD!B287</f>
        <v>46304</v>
      </c>
      <c r="C287" s="75" t="str">
        <f>IF(H287=0,"",'[5]2025-2026'!C286)</f>
        <v/>
      </c>
      <c r="D287" s="75" t="str">
        <f>+'[5]2026'!C287</f>
        <v/>
      </c>
      <c r="E287" s="75" t="str">
        <f>+'[5]2026'!D287</f>
        <v/>
      </c>
      <c r="F287" s="20" t="str">
        <f>+'[5]2026'!E287</f>
        <v/>
      </c>
      <c r="G287" s="73" t="str">
        <f>+'[5]2026'!F287</f>
        <v/>
      </c>
      <c r="H287" s="42">
        <f>+'[5]2026'!G287</f>
        <v>0</v>
      </c>
      <c r="I287" s="13">
        <f>+'[5]2026'!H287</f>
        <v>0</v>
      </c>
      <c r="J287" s="14">
        <f>+'[5]2026'!I287</f>
        <v>0</v>
      </c>
      <c r="K287" s="15">
        <f>+'[5]2026'!J287</f>
        <v>0</v>
      </c>
      <c r="L287" s="15">
        <f>+'[5]2026'!K287</f>
        <v>0</v>
      </c>
      <c r="M287" s="15">
        <f>+'[5]2026'!L287</f>
        <v>0</v>
      </c>
      <c r="N287" s="16" t="str">
        <f t="shared" si="16"/>
        <v/>
      </c>
      <c r="O287" s="17" t="str">
        <f t="shared" si="17"/>
        <v/>
      </c>
      <c r="P287" s="17" t="str">
        <f t="shared" si="17"/>
        <v/>
      </c>
      <c r="Q287" s="18" t="str">
        <f t="shared" si="18"/>
        <v/>
      </c>
      <c r="R287" s="18" t="e">
        <f t="shared" si="19"/>
        <v>#DIV/0!</v>
      </c>
      <c r="S287" s="36" t="s">
        <v>40</v>
      </c>
      <c r="T287" s="48" t="e">
        <f>SUM(I283:I289)/SUM(L283:L289)</f>
        <v>#DIV/0!</v>
      </c>
      <c r="U287" s="1738"/>
    </row>
    <row r="288" spans="1:21">
      <c r="A288" s="10" t="s">
        <v>15</v>
      </c>
      <c r="B288" s="19">
        <f>+CHAMNORD!B288</f>
        <v>46305</v>
      </c>
      <c r="C288" s="75" t="str">
        <f>IF(H288=0,"",'[5]2025-2026'!C287)</f>
        <v/>
      </c>
      <c r="D288" s="75" t="str">
        <f>+'[5]2026'!C288</f>
        <v/>
      </c>
      <c r="E288" s="75" t="str">
        <f>+'[5]2026'!D288</f>
        <v/>
      </c>
      <c r="F288" s="20" t="str">
        <f>+'[5]2026'!E288</f>
        <v/>
      </c>
      <c r="G288" s="73" t="str">
        <f>+'[5]2026'!F288</f>
        <v/>
      </c>
      <c r="H288" s="42">
        <f>+'[5]2026'!G288</f>
        <v>0</v>
      </c>
      <c r="I288" s="13">
        <f>+'[5]2026'!H288</f>
        <v>0</v>
      </c>
      <c r="J288" s="14">
        <f>+'[5]2026'!I288</f>
        <v>0</v>
      </c>
      <c r="K288" s="15">
        <f>+'[5]2026'!J288</f>
        <v>0</v>
      </c>
      <c r="L288" s="15">
        <f>+'[5]2026'!K288</f>
        <v>0</v>
      </c>
      <c r="M288" s="15">
        <f>+'[5]2026'!L288</f>
        <v>0</v>
      </c>
      <c r="N288" s="16" t="str">
        <f t="shared" si="16"/>
        <v/>
      </c>
      <c r="O288" s="17" t="str">
        <f t="shared" si="17"/>
        <v/>
      </c>
      <c r="P288" s="17" t="str">
        <f t="shared" si="17"/>
        <v/>
      </c>
      <c r="Q288" s="18" t="str">
        <f t="shared" si="18"/>
        <v/>
      </c>
      <c r="R288" s="18" t="e">
        <f t="shared" si="19"/>
        <v>#DIV/0!</v>
      </c>
      <c r="S288" s="36">
        <f>SUM(J283:J289)</f>
        <v>0</v>
      </c>
      <c r="T288" s="30" t="s">
        <v>3</v>
      </c>
      <c r="U288" s="1738"/>
    </row>
    <row r="289" spans="1:21" ht="18" thickBot="1">
      <c r="A289" s="10" t="s">
        <v>16</v>
      </c>
      <c r="B289" s="19">
        <f>+CHAMNORD!B289</f>
        <v>46306</v>
      </c>
      <c r="C289" s="75" t="str">
        <f>IF(H289=0,"",'[5]2025-2026'!C288)</f>
        <v/>
      </c>
      <c r="D289" s="75" t="str">
        <f>+'[5]2026'!C289</f>
        <v/>
      </c>
      <c r="E289" s="75" t="str">
        <f>+'[5]2026'!D289</f>
        <v/>
      </c>
      <c r="F289" s="20" t="str">
        <f>+'[5]2026'!E289</f>
        <v/>
      </c>
      <c r="G289" s="73" t="str">
        <f>+'[5]2026'!F289</f>
        <v/>
      </c>
      <c r="H289" s="42">
        <f>+'[5]2026'!G289</f>
        <v>0</v>
      </c>
      <c r="I289" s="13">
        <f>+'[5]2026'!H289</f>
        <v>0</v>
      </c>
      <c r="J289" s="14">
        <f>+'[5]2026'!I289</f>
        <v>0</v>
      </c>
      <c r="K289" s="15">
        <f>+'[5]2026'!J289</f>
        <v>0</v>
      </c>
      <c r="L289" s="15">
        <f>+'[5]2026'!K289</f>
        <v>0</v>
      </c>
      <c r="M289" s="15">
        <f>+'[5]2026'!L289</f>
        <v>0</v>
      </c>
      <c r="N289" s="16" t="str">
        <f t="shared" si="16"/>
        <v/>
      </c>
      <c r="O289" s="17" t="str">
        <f t="shared" si="17"/>
        <v/>
      </c>
      <c r="P289" s="17" t="str">
        <f t="shared" si="17"/>
        <v/>
      </c>
      <c r="Q289" s="18" t="str">
        <f t="shared" si="18"/>
        <v/>
      </c>
      <c r="R289" s="18" t="e">
        <f t="shared" si="19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</row>
    <row r="290" spans="1:21" ht="17" customHeight="1" thickTop="1">
      <c r="A290" s="10" t="s">
        <v>9</v>
      </c>
      <c r="B290" s="19">
        <f>+CHAMNORD!B290</f>
        <v>46307</v>
      </c>
      <c r="C290" s="75" t="str">
        <f>IF(H290=0,"",'[5]2025-2026'!C289)</f>
        <v/>
      </c>
      <c r="D290" s="75" t="str">
        <f>+'[5]2026'!C290</f>
        <v/>
      </c>
      <c r="E290" s="75" t="str">
        <f>+'[5]2026'!D290</f>
        <v/>
      </c>
      <c r="F290" s="20" t="str">
        <f>+'[5]2026'!E290</f>
        <v/>
      </c>
      <c r="G290" s="73" t="str">
        <f>+'[5]2026'!F290</f>
        <v/>
      </c>
      <c r="H290" s="42">
        <f>+'[5]2026'!G290</f>
        <v>0</v>
      </c>
      <c r="I290" s="13">
        <f>+'[5]2026'!H290</f>
        <v>0</v>
      </c>
      <c r="J290" s="14">
        <f>+'[5]2026'!I290</f>
        <v>0</v>
      </c>
      <c r="K290" s="15">
        <f>+'[5]2026'!J290</f>
        <v>0</v>
      </c>
      <c r="L290" s="15">
        <f>+'[5]2026'!K290</f>
        <v>0</v>
      </c>
      <c r="M290" s="15">
        <f>+'[5]2026'!L290</f>
        <v>0</v>
      </c>
      <c r="N290" s="16" t="str">
        <f t="shared" si="16"/>
        <v/>
      </c>
      <c r="O290" s="17" t="str">
        <f t="shared" si="17"/>
        <v/>
      </c>
      <c r="P290" s="17" t="str">
        <f t="shared" si="17"/>
        <v/>
      </c>
      <c r="Q290" s="18" t="str">
        <f t="shared" si="18"/>
        <v/>
      </c>
      <c r="R290" s="18" t="e">
        <f t="shared" si="19"/>
        <v>#DIV/0!</v>
      </c>
      <c r="S290" s="33" t="s">
        <v>39</v>
      </c>
      <c r="T290" s="31" t="s">
        <v>42</v>
      </c>
      <c r="U290" s="1737" t="s">
        <v>124</v>
      </c>
    </row>
    <row r="291" spans="1:21">
      <c r="A291" s="10" t="s">
        <v>11</v>
      </c>
      <c r="B291" s="19">
        <f>+CHAMNORD!B291</f>
        <v>46308</v>
      </c>
      <c r="C291" s="75" t="str">
        <f>IF(H291=0,"",'[5]2025-2026'!C290)</f>
        <v/>
      </c>
      <c r="D291" s="75" t="str">
        <f>+'[5]2026'!C291</f>
        <v/>
      </c>
      <c r="E291" s="75" t="str">
        <f>+'[5]2026'!D291</f>
        <v/>
      </c>
      <c r="F291" s="20" t="str">
        <f>+'[5]2026'!E291</f>
        <v/>
      </c>
      <c r="G291" s="73" t="str">
        <f>+'[5]2026'!F291</f>
        <v/>
      </c>
      <c r="H291" s="42">
        <f>+'[5]2026'!G291</f>
        <v>0</v>
      </c>
      <c r="I291" s="13">
        <f>+'[5]2026'!H291</f>
        <v>0</v>
      </c>
      <c r="J291" s="14">
        <f>+'[5]2026'!I291</f>
        <v>0</v>
      </c>
      <c r="K291" s="15">
        <f>+'[5]2026'!J291</f>
        <v>0</v>
      </c>
      <c r="L291" s="15">
        <f>+'[5]2026'!K291</f>
        <v>0</v>
      </c>
      <c r="M291" s="15">
        <f>+'[5]2026'!L291</f>
        <v>0</v>
      </c>
      <c r="N291" s="16" t="str">
        <f t="shared" si="16"/>
        <v/>
      </c>
      <c r="O291" s="17" t="str">
        <f t="shared" si="17"/>
        <v/>
      </c>
      <c r="P291" s="17" t="str">
        <f t="shared" si="17"/>
        <v/>
      </c>
      <c r="Q291" s="18" t="str">
        <f t="shared" si="18"/>
        <v/>
      </c>
      <c r="R291" s="18" t="e">
        <f t="shared" si="19"/>
        <v>#DIV/0!</v>
      </c>
      <c r="S291" s="34">
        <f>SUM(I290:I296)</f>
        <v>0</v>
      </c>
      <c r="T291" s="45" t="s">
        <v>41</v>
      </c>
      <c r="U291" s="1738"/>
    </row>
    <row r="292" spans="1:21">
      <c r="A292" s="10" t="s">
        <v>12</v>
      </c>
      <c r="B292" s="19">
        <f>+CHAMNORD!B292</f>
        <v>46309</v>
      </c>
      <c r="C292" s="75" t="str">
        <f>IF(H292=0,"",'[5]2025-2026'!C291)</f>
        <v/>
      </c>
      <c r="D292" s="75" t="str">
        <f>+'[5]2026'!C292</f>
        <v/>
      </c>
      <c r="E292" s="75" t="str">
        <f>+'[5]2026'!D292</f>
        <v/>
      </c>
      <c r="F292" s="20" t="str">
        <f>+'[5]2026'!E292</f>
        <v/>
      </c>
      <c r="G292" s="73" t="str">
        <f>+'[5]2026'!F292</f>
        <v/>
      </c>
      <c r="H292" s="42">
        <f>+'[5]2026'!G292</f>
        <v>0</v>
      </c>
      <c r="I292" s="13">
        <f>+'[5]2026'!H292</f>
        <v>0</v>
      </c>
      <c r="J292" s="14">
        <f>+'[5]2026'!I292</f>
        <v>0</v>
      </c>
      <c r="K292" s="15">
        <f>+'[5]2026'!J292</f>
        <v>0</v>
      </c>
      <c r="L292" s="15">
        <f>+'[5]2026'!K292</f>
        <v>0</v>
      </c>
      <c r="M292" s="15">
        <f>+'[5]2026'!L292</f>
        <v>0</v>
      </c>
      <c r="N292" s="16" t="str">
        <f t="shared" si="16"/>
        <v/>
      </c>
      <c r="O292" s="17" t="str">
        <f t="shared" si="17"/>
        <v/>
      </c>
      <c r="P292" s="17" t="str">
        <f t="shared" si="17"/>
        <v/>
      </c>
      <c r="Q292" s="18" t="str">
        <f t="shared" si="18"/>
        <v/>
      </c>
      <c r="R292" s="18" t="e">
        <f t="shared" si="19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</row>
    <row r="293" spans="1:21">
      <c r="A293" s="10" t="s">
        <v>13</v>
      </c>
      <c r="B293" s="19">
        <f>+CHAMNORD!B293</f>
        <v>46310</v>
      </c>
      <c r="C293" s="75" t="str">
        <f>IF(H293=0,"",'[5]2025-2026'!C292)</f>
        <v/>
      </c>
      <c r="D293" s="75" t="str">
        <f>+'[5]2026'!C293</f>
        <v/>
      </c>
      <c r="E293" s="75" t="str">
        <f>+'[5]2026'!D293</f>
        <v/>
      </c>
      <c r="F293" s="20" t="str">
        <f>+'[5]2026'!E293</f>
        <v/>
      </c>
      <c r="G293" s="73" t="str">
        <f>+'[5]2026'!F293</f>
        <v/>
      </c>
      <c r="H293" s="42">
        <f>+'[5]2026'!G293</f>
        <v>0</v>
      </c>
      <c r="I293" s="13">
        <f>+'[5]2026'!H293</f>
        <v>0</v>
      </c>
      <c r="J293" s="14">
        <f>+'[5]2026'!I293</f>
        <v>0</v>
      </c>
      <c r="K293" s="15">
        <f>+'[5]2026'!J293</f>
        <v>0</v>
      </c>
      <c r="L293" s="15">
        <f>+'[5]2026'!K293</f>
        <v>0</v>
      </c>
      <c r="M293" s="15">
        <f>+'[5]2026'!L293</f>
        <v>0</v>
      </c>
      <c r="N293" s="16" t="str">
        <f t="shared" si="16"/>
        <v/>
      </c>
      <c r="O293" s="17" t="str">
        <f t="shared" si="17"/>
        <v/>
      </c>
      <c r="P293" s="17" t="str">
        <f t="shared" si="17"/>
        <v/>
      </c>
      <c r="Q293" s="18" t="str">
        <f t="shared" si="18"/>
        <v/>
      </c>
      <c r="R293" s="18" t="e">
        <f t="shared" si="19"/>
        <v>#DIV/0!</v>
      </c>
      <c r="S293" s="34"/>
      <c r="T293" s="29" t="s">
        <v>8</v>
      </c>
      <c r="U293" s="1738"/>
    </row>
    <row r="294" spans="1:21">
      <c r="A294" s="10" t="s">
        <v>14</v>
      </c>
      <c r="B294" s="19">
        <f>+CHAMNORD!B294</f>
        <v>46311</v>
      </c>
      <c r="C294" s="75" t="str">
        <f>IF(H294=0,"",'[5]2025-2026'!C293)</f>
        <v/>
      </c>
      <c r="D294" s="75" t="str">
        <f>+'[5]2026'!C294</f>
        <v/>
      </c>
      <c r="E294" s="75" t="str">
        <f>+'[5]2026'!D294</f>
        <v/>
      </c>
      <c r="F294" s="20" t="str">
        <f>+'[5]2026'!E294</f>
        <v/>
      </c>
      <c r="G294" s="73" t="str">
        <f>+'[5]2026'!F294</f>
        <v/>
      </c>
      <c r="H294" s="42">
        <f>+'[5]2026'!G294</f>
        <v>0</v>
      </c>
      <c r="I294" s="13">
        <f>+'[5]2026'!H294</f>
        <v>0</v>
      </c>
      <c r="J294" s="14">
        <f>+'[5]2026'!I294</f>
        <v>0</v>
      </c>
      <c r="K294" s="15">
        <f>+'[5]2026'!J294</f>
        <v>0</v>
      </c>
      <c r="L294" s="15">
        <f>+'[5]2026'!K294</f>
        <v>0</v>
      </c>
      <c r="M294" s="15">
        <f>+'[5]2026'!L294</f>
        <v>0</v>
      </c>
      <c r="N294" s="16" t="str">
        <f t="shared" si="16"/>
        <v/>
      </c>
      <c r="O294" s="17" t="str">
        <f t="shared" si="17"/>
        <v/>
      </c>
      <c r="P294" s="17" t="str">
        <f t="shared" si="17"/>
        <v/>
      </c>
      <c r="Q294" s="18" t="str">
        <f t="shared" si="18"/>
        <v/>
      </c>
      <c r="R294" s="18" t="e">
        <f t="shared" si="19"/>
        <v>#DIV/0!</v>
      </c>
      <c r="S294" s="36" t="s">
        <v>40</v>
      </c>
      <c r="T294" s="48" t="e">
        <f>SUM(I290:I296)/SUM(L290:L296)</f>
        <v>#DIV/0!</v>
      </c>
      <c r="U294" s="1738"/>
    </row>
    <row r="295" spans="1:21">
      <c r="A295" s="10" t="s">
        <v>15</v>
      </c>
      <c r="B295" s="19">
        <f>+CHAMNORD!B295</f>
        <v>46312</v>
      </c>
      <c r="C295" s="75" t="str">
        <f>IF(H295=0,"",'[5]2025-2026'!C294)</f>
        <v/>
      </c>
      <c r="D295" s="75" t="str">
        <f>+'[5]2026'!C295</f>
        <v/>
      </c>
      <c r="E295" s="75" t="str">
        <f>+'[5]2026'!D295</f>
        <v/>
      </c>
      <c r="F295" s="20" t="str">
        <f>+'[5]2026'!E295</f>
        <v/>
      </c>
      <c r="G295" s="73" t="str">
        <f>+'[5]2026'!F295</f>
        <v/>
      </c>
      <c r="H295" s="42">
        <f>+'[5]2026'!G295</f>
        <v>0</v>
      </c>
      <c r="I295" s="13">
        <f>+'[5]2026'!H295</f>
        <v>0</v>
      </c>
      <c r="J295" s="14">
        <f>+'[5]2026'!I295</f>
        <v>0</v>
      </c>
      <c r="K295" s="15">
        <f>+'[5]2026'!J295</f>
        <v>0</v>
      </c>
      <c r="L295" s="15">
        <f>+'[5]2026'!K295</f>
        <v>0</v>
      </c>
      <c r="M295" s="15">
        <f>+'[5]2026'!L295</f>
        <v>0</v>
      </c>
      <c r="N295" s="16" t="str">
        <f t="shared" si="16"/>
        <v/>
      </c>
      <c r="O295" s="17" t="str">
        <f t="shared" si="17"/>
        <v/>
      </c>
      <c r="P295" s="17" t="str">
        <f t="shared" si="17"/>
        <v/>
      </c>
      <c r="Q295" s="18" t="str">
        <f t="shared" si="18"/>
        <v/>
      </c>
      <c r="R295" s="18" t="e">
        <f t="shared" si="19"/>
        <v>#DIV/0!</v>
      </c>
      <c r="S295" s="36">
        <f>SUM(J290:J296)</f>
        <v>0</v>
      </c>
      <c r="T295" s="30" t="s">
        <v>3</v>
      </c>
      <c r="U295" s="1738"/>
    </row>
    <row r="296" spans="1:21" ht="18" thickBot="1">
      <c r="A296" s="10" t="s">
        <v>16</v>
      </c>
      <c r="B296" s="19">
        <f>+CHAMNORD!B296</f>
        <v>46313</v>
      </c>
      <c r="C296" s="75" t="str">
        <f>IF(H296=0,"",'[5]2025-2026'!C295)</f>
        <v/>
      </c>
      <c r="D296" s="75" t="str">
        <f>+'[5]2026'!C296</f>
        <v/>
      </c>
      <c r="E296" s="75" t="str">
        <f>+'[5]2026'!D296</f>
        <v/>
      </c>
      <c r="F296" s="20" t="str">
        <f>+'[5]2026'!E296</f>
        <v/>
      </c>
      <c r="G296" s="73" t="str">
        <f>+'[5]2026'!F296</f>
        <v/>
      </c>
      <c r="H296" s="42">
        <f>+'[5]2026'!G296</f>
        <v>0</v>
      </c>
      <c r="I296" s="13">
        <f>+'[5]2026'!H296</f>
        <v>0</v>
      </c>
      <c r="J296" s="14">
        <f>+'[5]2026'!I296</f>
        <v>0</v>
      </c>
      <c r="K296" s="15">
        <f>+'[5]2026'!J296</f>
        <v>0</v>
      </c>
      <c r="L296" s="15">
        <f>+'[5]2026'!K296</f>
        <v>0</v>
      </c>
      <c r="M296" s="15">
        <f>+'[5]2026'!L296</f>
        <v>0</v>
      </c>
      <c r="N296" s="16" t="str">
        <f t="shared" si="16"/>
        <v/>
      </c>
      <c r="O296" s="17" t="str">
        <f t="shared" si="17"/>
        <v/>
      </c>
      <c r="P296" s="17" t="str">
        <f t="shared" si="17"/>
        <v/>
      </c>
      <c r="Q296" s="18" t="str">
        <f t="shared" si="18"/>
        <v/>
      </c>
      <c r="R296" s="18" t="e">
        <f t="shared" si="19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</row>
    <row r="297" spans="1:21" ht="17" customHeight="1" thickTop="1">
      <c r="A297" s="10" t="s">
        <v>9</v>
      </c>
      <c r="B297" s="19">
        <f>+CHAMNORD!B297</f>
        <v>46314</v>
      </c>
      <c r="C297" s="75" t="str">
        <f>IF(H297=0,"",'[5]2025-2026'!C296)</f>
        <v/>
      </c>
      <c r="D297" s="75" t="str">
        <f>+'[5]2026'!C297</f>
        <v/>
      </c>
      <c r="E297" s="75" t="str">
        <f>+'[5]2026'!D297</f>
        <v/>
      </c>
      <c r="F297" s="20" t="str">
        <f>+'[5]2026'!E297</f>
        <v/>
      </c>
      <c r="G297" s="73" t="str">
        <f>+'[5]2026'!F297</f>
        <v/>
      </c>
      <c r="H297" s="42">
        <f>+'[5]2026'!G297</f>
        <v>0</v>
      </c>
      <c r="I297" s="13">
        <f>+'[5]2026'!H297</f>
        <v>0</v>
      </c>
      <c r="J297" s="14">
        <f>+'[5]2026'!I297</f>
        <v>0</v>
      </c>
      <c r="K297" s="15">
        <f>+'[5]2026'!J297</f>
        <v>0</v>
      </c>
      <c r="L297" s="15">
        <f>+'[5]2026'!K297</f>
        <v>0</v>
      </c>
      <c r="M297" s="15">
        <f>+'[5]2026'!L297</f>
        <v>0</v>
      </c>
      <c r="N297" s="16" t="str">
        <f t="shared" si="16"/>
        <v/>
      </c>
      <c r="O297" s="17" t="str">
        <f t="shared" si="17"/>
        <v/>
      </c>
      <c r="P297" s="17" t="str">
        <f t="shared" si="17"/>
        <v/>
      </c>
      <c r="Q297" s="18" t="str">
        <f t="shared" si="18"/>
        <v/>
      </c>
      <c r="R297" s="18" t="e">
        <f t="shared" si="19"/>
        <v>#DIV/0!</v>
      </c>
      <c r="S297" s="33" t="s">
        <v>39</v>
      </c>
      <c r="T297" s="31" t="s">
        <v>42</v>
      </c>
      <c r="U297" s="1737" t="s">
        <v>125</v>
      </c>
    </row>
    <row r="298" spans="1:21">
      <c r="A298" s="10" t="s">
        <v>11</v>
      </c>
      <c r="B298" s="19">
        <f>+CHAMNORD!B298</f>
        <v>46315</v>
      </c>
      <c r="C298" s="75" t="str">
        <f>IF(H298=0,"",'[5]2025-2026'!C297)</f>
        <v/>
      </c>
      <c r="D298" s="75" t="str">
        <f>+'[5]2026'!C298</f>
        <v/>
      </c>
      <c r="E298" s="75" t="str">
        <f>+'[5]2026'!D298</f>
        <v/>
      </c>
      <c r="F298" s="20" t="str">
        <f>+'[5]2026'!E298</f>
        <v/>
      </c>
      <c r="G298" s="73" t="str">
        <f>+'[5]2026'!F298</f>
        <v/>
      </c>
      <c r="H298" s="42">
        <f>+'[5]2026'!G298</f>
        <v>0</v>
      </c>
      <c r="I298" s="13">
        <f>+'[5]2026'!H298</f>
        <v>0</v>
      </c>
      <c r="J298" s="14">
        <f>+'[5]2026'!I298</f>
        <v>0</v>
      </c>
      <c r="K298" s="15">
        <f>+'[5]2026'!J298</f>
        <v>0</v>
      </c>
      <c r="L298" s="15">
        <f>+'[5]2026'!K298</f>
        <v>0</v>
      </c>
      <c r="M298" s="15">
        <f>+'[5]2026'!L298</f>
        <v>0</v>
      </c>
      <c r="N298" s="16" t="str">
        <f t="shared" si="16"/>
        <v/>
      </c>
      <c r="O298" s="17" t="str">
        <f t="shared" si="17"/>
        <v/>
      </c>
      <c r="P298" s="17" t="str">
        <f t="shared" si="17"/>
        <v/>
      </c>
      <c r="Q298" s="18" t="str">
        <f t="shared" si="18"/>
        <v/>
      </c>
      <c r="R298" s="18" t="e">
        <f t="shared" si="19"/>
        <v>#DIV/0!</v>
      </c>
      <c r="S298" s="34">
        <f>SUM(I297:I303)</f>
        <v>0</v>
      </c>
      <c r="T298" s="45" t="s">
        <v>41</v>
      </c>
      <c r="U298" s="1738"/>
    </row>
    <row r="299" spans="1:21">
      <c r="A299" s="10" t="s">
        <v>12</v>
      </c>
      <c r="B299" s="19">
        <f>+CHAMNORD!B299</f>
        <v>46316</v>
      </c>
      <c r="C299" s="75" t="str">
        <f>IF(H299=0,"",'[5]2025-2026'!C298)</f>
        <v/>
      </c>
      <c r="D299" s="75" t="str">
        <f>+'[5]2026'!C299</f>
        <v/>
      </c>
      <c r="E299" s="75" t="str">
        <f>+'[5]2026'!D299</f>
        <v/>
      </c>
      <c r="F299" s="20" t="str">
        <f>+'[5]2026'!E299</f>
        <v/>
      </c>
      <c r="G299" s="73" t="str">
        <f>+'[5]2026'!F299</f>
        <v/>
      </c>
      <c r="H299" s="42">
        <f>+'[5]2026'!G299</f>
        <v>0</v>
      </c>
      <c r="I299" s="13">
        <f>+'[5]2026'!H299</f>
        <v>0</v>
      </c>
      <c r="J299" s="14">
        <f>+'[5]2026'!I299</f>
        <v>0</v>
      </c>
      <c r="K299" s="15">
        <f>+'[5]2026'!J299</f>
        <v>0</v>
      </c>
      <c r="L299" s="15">
        <f>+'[5]2026'!K299</f>
        <v>0</v>
      </c>
      <c r="M299" s="15">
        <f>+'[5]2026'!L299</f>
        <v>0</v>
      </c>
      <c r="N299" s="16" t="str">
        <f t="shared" si="16"/>
        <v/>
      </c>
      <c r="O299" s="17" t="str">
        <f t="shared" si="17"/>
        <v/>
      </c>
      <c r="P299" s="17" t="str">
        <f t="shared" si="17"/>
        <v/>
      </c>
      <c r="Q299" s="18" t="str">
        <f t="shared" si="18"/>
        <v/>
      </c>
      <c r="R299" s="18" t="e">
        <f t="shared" si="19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</row>
    <row r="300" spans="1:21">
      <c r="A300" s="10" t="s">
        <v>13</v>
      </c>
      <c r="B300" s="19">
        <f>+CHAMNORD!B300</f>
        <v>46317</v>
      </c>
      <c r="C300" s="75" t="str">
        <f>IF(H300=0,"",'[5]2025-2026'!C299)</f>
        <v/>
      </c>
      <c r="D300" s="75" t="str">
        <f>+'[5]2026'!C300</f>
        <v/>
      </c>
      <c r="E300" s="75" t="str">
        <f>+'[5]2026'!D300</f>
        <v/>
      </c>
      <c r="F300" s="20" t="str">
        <f>+'[5]2026'!E300</f>
        <v/>
      </c>
      <c r="G300" s="73" t="str">
        <f>+'[5]2026'!F300</f>
        <v/>
      </c>
      <c r="H300" s="42">
        <f>+'[5]2026'!G300</f>
        <v>0</v>
      </c>
      <c r="I300" s="13">
        <f>+'[5]2026'!H300</f>
        <v>0</v>
      </c>
      <c r="J300" s="14">
        <f>+'[5]2026'!I300</f>
        <v>0</v>
      </c>
      <c r="K300" s="15">
        <f>+'[5]2026'!J300</f>
        <v>0</v>
      </c>
      <c r="L300" s="15">
        <f>+'[5]2026'!K300</f>
        <v>0</v>
      </c>
      <c r="M300" s="15">
        <f>+'[5]2026'!L300</f>
        <v>0</v>
      </c>
      <c r="N300" s="16" t="str">
        <f t="shared" si="16"/>
        <v/>
      </c>
      <c r="O300" s="17" t="str">
        <f t="shared" si="17"/>
        <v/>
      </c>
      <c r="P300" s="17" t="str">
        <f t="shared" si="17"/>
        <v/>
      </c>
      <c r="Q300" s="18" t="str">
        <f t="shared" si="18"/>
        <v/>
      </c>
      <c r="R300" s="18" t="e">
        <f t="shared" si="19"/>
        <v>#DIV/0!</v>
      </c>
      <c r="S300" s="34"/>
      <c r="T300" s="29" t="s">
        <v>8</v>
      </c>
      <c r="U300" s="1738"/>
    </row>
    <row r="301" spans="1:21">
      <c r="A301" s="10" t="s">
        <v>14</v>
      </c>
      <c r="B301" s="19">
        <f>+CHAMNORD!B301</f>
        <v>46318</v>
      </c>
      <c r="C301" s="75" t="str">
        <f>IF(H301=0,"",'[5]2025-2026'!C300)</f>
        <v/>
      </c>
      <c r="D301" s="75" t="str">
        <f>+'[5]2026'!C301</f>
        <v/>
      </c>
      <c r="E301" s="75" t="str">
        <f>+'[5]2026'!D301</f>
        <v/>
      </c>
      <c r="F301" s="20" t="str">
        <f>+'[5]2026'!E301</f>
        <v/>
      </c>
      <c r="G301" s="73" t="str">
        <f>+'[5]2026'!F301</f>
        <v/>
      </c>
      <c r="H301" s="42">
        <f>+'[5]2026'!G301</f>
        <v>0</v>
      </c>
      <c r="I301" s="13">
        <f>+'[5]2026'!H301</f>
        <v>0</v>
      </c>
      <c r="J301" s="14">
        <f>+'[5]2026'!I301</f>
        <v>0</v>
      </c>
      <c r="K301" s="15">
        <f>+'[5]2026'!J301</f>
        <v>0</v>
      </c>
      <c r="L301" s="15">
        <f>+'[5]2026'!K301</f>
        <v>0</v>
      </c>
      <c r="M301" s="15">
        <f>+'[5]2026'!L301</f>
        <v>0</v>
      </c>
      <c r="N301" s="16" t="str">
        <f t="shared" si="16"/>
        <v/>
      </c>
      <c r="O301" s="17" t="str">
        <f t="shared" si="17"/>
        <v/>
      </c>
      <c r="P301" s="17" t="str">
        <f t="shared" si="17"/>
        <v/>
      </c>
      <c r="Q301" s="18" t="str">
        <f t="shared" si="18"/>
        <v/>
      </c>
      <c r="R301" s="18" t="e">
        <f t="shared" si="19"/>
        <v>#DIV/0!</v>
      </c>
      <c r="S301" s="36" t="s">
        <v>40</v>
      </c>
      <c r="T301" s="48" t="e">
        <f>SUM(I297:I303)/SUM(L297:L303)</f>
        <v>#DIV/0!</v>
      </c>
      <c r="U301" s="1738"/>
    </row>
    <row r="302" spans="1:21">
      <c r="A302" s="10" t="s">
        <v>15</v>
      </c>
      <c r="B302" s="19">
        <f>+CHAMNORD!B302</f>
        <v>46319</v>
      </c>
      <c r="C302" s="75" t="str">
        <f>IF(H302=0,"",'[5]2025-2026'!C301)</f>
        <v/>
      </c>
      <c r="D302" s="75" t="str">
        <f>+'[5]2026'!C302</f>
        <v/>
      </c>
      <c r="E302" s="75" t="str">
        <f>+'[5]2026'!D302</f>
        <v/>
      </c>
      <c r="F302" s="20" t="str">
        <f>+'[5]2026'!E302</f>
        <v/>
      </c>
      <c r="G302" s="73" t="str">
        <f>+'[5]2026'!F302</f>
        <v/>
      </c>
      <c r="H302" s="42">
        <f>+'[5]2026'!G302</f>
        <v>0</v>
      </c>
      <c r="I302" s="13">
        <f>+'[5]2026'!H302</f>
        <v>0</v>
      </c>
      <c r="J302" s="14">
        <f>+'[5]2026'!I302</f>
        <v>0</v>
      </c>
      <c r="K302" s="15">
        <f>+'[5]2026'!J302</f>
        <v>0</v>
      </c>
      <c r="L302" s="15">
        <f>+'[5]2026'!K302</f>
        <v>0</v>
      </c>
      <c r="M302" s="15">
        <f>+'[5]2026'!L302</f>
        <v>0</v>
      </c>
      <c r="N302" s="16" t="str">
        <f t="shared" si="16"/>
        <v/>
      </c>
      <c r="O302" s="17" t="str">
        <f t="shared" si="17"/>
        <v/>
      </c>
      <c r="P302" s="17" t="str">
        <f t="shared" si="17"/>
        <v/>
      </c>
      <c r="Q302" s="18" t="str">
        <f t="shared" si="18"/>
        <v/>
      </c>
      <c r="R302" s="18" t="e">
        <f t="shared" si="19"/>
        <v>#DIV/0!</v>
      </c>
      <c r="S302" s="36">
        <f>SUM(J297:J303)</f>
        <v>0</v>
      </c>
      <c r="T302" s="30" t="s">
        <v>3</v>
      </c>
      <c r="U302" s="1738"/>
    </row>
    <row r="303" spans="1:21" ht="18" thickBot="1">
      <c r="A303" s="10" t="s">
        <v>16</v>
      </c>
      <c r="B303" s="19">
        <f>+CHAMNORD!B303</f>
        <v>46320</v>
      </c>
      <c r="C303" s="75" t="str">
        <f>IF(H303=0,"",'[5]2025-2026'!C302)</f>
        <v/>
      </c>
      <c r="D303" s="75" t="str">
        <f>+'[5]2026'!C303</f>
        <v/>
      </c>
      <c r="E303" s="75" t="str">
        <f>+'[5]2026'!D303</f>
        <v/>
      </c>
      <c r="F303" s="20" t="str">
        <f>+'[5]2026'!E303</f>
        <v/>
      </c>
      <c r="G303" s="73" t="str">
        <f>+'[5]2026'!F303</f>
        <v/>
      </c>
      <c r="H303" s="42">
        <f>+'[5]2026'!G303</f>
        <v>0</v>
      </c>
      <c r="I303" s="13">
        <f>+'[5]2026'!H303</f>
        <v>0</v>
      </c>
      <c r="J303" s="14">
        <f>+'[5]2026'!I303</f>
        <v>0</v>
      </c>
      <c r="K303" s="15">
        <f>+'[5]2026'!J303</f>
        <v>0</v>
      </c>
      <c r="L303" s="15">
        <f>+'[5]2026'!K303</f>
        <v>0</v>
      </c>
      <c r="M303" s="15">
        <f>+'[5]2026'!L303</f>
        <v>0</v>
      </c>
      <c r="N303" s="16" t="str">
        <f t="shared" si="16"/>
        <v/>
      </c>
      <c r="O303" s="17" t="str">
        <f t="shared" si="17"/>
        <v/>
      </c>
      <c r="P303" s="17" t="str">
        <f t="shared" si="17"/>
        <v/>
      </c>
      <c r="Q303" s="18" t="str">
        <f t="shared" si="18"/>
        <v/>
      </c>
      <c r="R303" s="18" t="e">
        <f t="shared" si="19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</row>
    <row r="304" spans="1:21" ht="17" customHeight="1" thickTop="1">
      <c r="A304" s="10" t="s">
        <v>9</v>
      </c>
      <c r="B304" s="19">
        <f>+CHAMNORD!B304</f>
        <v>46321</v>
      </c>
      <c r="C304" s="75" t="str">
        <f>IF(H304=0,"",'[5]2025-2026'!C303)</f>
        <v/>
      </c>
      <c r="D304" s="75" t="str">
        <f>+'[5]2026'!C304</f>
        <v/>
      </c>
      <c r="E304" s="75" t="str">
        <f>+'[5]2026'!D304</f>
        <v/>
      </c>
      <c r="F304" s="20" t="str">
        <f>+'[5]2026'!E304</f>
        <v/>
      </c>
      <c r="G304" s="73" t="str">
        <f>+'[5]2026'!F304</f>
        <v/>
      </c>
      <c r="H304" s="42">
        <f>+'[5]2026'!G304</f>
        <v>0</v>
      </c>
      <c r="I304" s="13">
        <f>+'[5]2026'!H304</f>
        <v>0</v>
      </c>
      <c r="J304" s="14">
        <f>+'[5]2026'!I304</f>
        <v>0</v>
      </c>
      <c r="K304" s="15">
        <f>+'[5]2026'!J304</f>
        <v>0</v>
      </c>
      <c r="L304" s="15">
        <f>+'[5]2026'!K304</f>
        <v>0</v>
      </c>
      <c r="M304" s="15">
        <f>+'[5]2026'!L304</f>
        <v>0</v>
      </c>
      <c r="N304" s="16" t="str">
        <f t="shared" si="16"/>
        <v/>
      </c>
      <c r="O304" s="17" t="str">
        <f t="shared" si="17"/>
        <v/>
      </c>
      <c r="P304" s="17" t="str">
        <f t="shared" si="17"/>
        <v/>
      </c>
      <c r="Q304" s="18" t="str">
        <f t="shared" si="18"/>
        <v/>
      </c>
      <c r="R304" s="18" t="e">
        <f t="shared" si="19"/>
        <v>#DIV/0!</v>
      </c>
      <c r="S304" s="33" t="s">
        <v>39</v>
      </c>
      <c r="T304" s="31" t="s">
        <v>42</v>
      </c>
      <c r="U304" s="1737" t="s">
        <v>126</v>
      </c>
    </row>
    <row r="305" spans="1:21">
      <c r="A305" s="10" t="s">
        <v>11</v>
      </c>
      <c r="B305" s="19">
        <f>+CHAMNORD!B305</f>
        <v>46322</v>
      </c>
      <c r="C305" s="75" t="str">
        <f>IF(H305=0,"",'[5]2025-2026'!C304)</f>
        <v/>
      </c>
      <c r="D305" s="75" t="str">
        <f>+'[5]2026'!C305</f>
        <v/>
      </c>
      <c r="E305" s="75" t="str">
        <f>+'[5]2026'!D305</f>
        <v/>
      </c>
      <c r="F305" s="20" t="str">
        <f>+'[5]2026'!E305</f>
        <v/>
      </c>
      <c r="G305" s="73" t="str">
        <f>+'[5]2026'!F305</f>
        <v/>
      </c>
      <c r="H305" s="42">
        <f>+'[5]2026'!G305</f>
        <v>0</v>
      </c>
      <c r="I305" s="13">
        <f>+'[5]2026'!H305</f>
        <v>0</v>
      </c>
      <c r="J305" s="14">
        <f>+'[5]2026'!I305</f>
        <v>0</v>
      </c>
      <c r="K305" s="15">
        <f>+'[5]2026'!J305</f>
        <v>0</v>
      </c>
      <c r="L305" s="15">
        <f>+'[5]2026'!K305</f>
        <v>0</v>
      </c>
      <c r="M305" s="15">
        <f>+'[5]2026'!L305</f>
        <v>0</v>
      </c>
      <c r="N305" s="16" t="str">
        <f t="shared" si="16"/>
        <v/>
      </c>
      <c r="O305" s="17" t="str">
        <f t="shared" si="17"/>
        <v/>
      </c>
      <c r="P305" s="17" t="str">
        <f t="shared" si="17"/>
        <v/>
      </c>
      <c r="Q305" s="18" t="str">
        <f t="shared" si="18"/>
        <v/>
      </c>
      <c r="R305" s="18" t="e">
        <f t="shared" si="19"/>
        <v>#DIV/0!</v>
      </c>
      <c r="S305" s="34">
        <f>SUM(I304:I310)</f>
        <v>0</v>
      </c>
      <c r="T305" s="45" t="s">
        <v>41</v>
      </c>
      <c r="U305" s="1738"/>
    </row>
    <row r="306" spans="1:21">
      <c r="A306" s="10" t="s">
        <v>12</v>
      </c>
      <c r="B306" s="19">
        <f>+CHAMNORD!B306</f>
        <v>46323</v>
      </c>
      <c r="C306" s="75" t="str">
        <f>IF(H306=0,"",'[5]2025-2026'!C305)</f>
        <v/>
      </c>
      <c r="D306" s="75" t="str">
        <f>+'[5]2026'!C306</f>
        <v/>
      </c>
      <c r="E306" s="75" t="str">
        <f>+'[5]2026'!D306</f>
        <v/>
      </c>
      <c r="F306" s="20" t="str">
        <f>+'[5]2026'!E306</f>
        <v/>
      </c>
      <c r="G306" s="73" t="str">
        <f>+'[5]2026'!F306</f>
        <v/>
      </c>
      <c r="H306" s="42">
        <f>+'[5]2026'!G306</f>
        <v>0</v>
      </c>
      <c r="I306" s="13">
        <f>+'[5]2026'!H306</f>
        <v>0</v>
      </c>
      <c r="J306" s="14">
        <f>+'[5]2026'!I306</f>
        <v>0</v>
      </c>
      <c r="K306" s="15">
        <f>+'[5]2026'!J306</f>
        <v>0</v>
      </c>
      <c r="L306" s="15">
        <f>+'[5]2026'!K306</f>
        <v>0</v>
      </c>
      <c r="M306" s="15">
        <f>+'[5]2026'!L306</f>
        <v>0</v>
      </c>
      <c r="N306" s="16" t="str">
        <f t="shared" si="16"/>
        <v/>
      </c>
      <c r="O306" s="17" t="str">
        <f t="shared" si="17"/>
        <v/>
      </c>
      <c r="P306" s="17" t="str">
        <f t="shared" si="17"/>
        <v/>
      </c>
      <c r="Q306" s="18" t="str">
        <f t="shared" si="18"/>
        <v/>
      </c>
      <c r="R306" s="18" t="e">
        <f t="shared" si="19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</row>
    <row r="307" spans="1:21">
      <c r="A307" s="10" t="s">
        <v>13</v>
      </c>
      <c r="B307" s="19">
        <f>+CHAMNORD!B307</f>
        <v>46324</v>
      </c>
      <c r="C307" s="75" t="str">
        <f>IF(H307=0,"",'[5]2025-2026'!C306)</f>
        <v/>
      </c>
      <c r="D307" s="75" t="str">
        <f>+'[5]2026'!C307</f>
        <v/>
      </c>
      <c r="E307" s="75" t="str">
        <f>+'[5]2026'!D307</f>
        <v/>
      </c>
      <c r="F307" s="20" t="str">
        <f>+'[5]2026'!E307</f>
        <v/>
      </c>
      <c r="G307" s="73" t="str">
        <f>+'[5]2026'!F307</f>
        <v/>
      </c>
      <c r="H307" s="42">
        <f>+'[5]2026'!G307</f>
        <v>0</v>
      </c>
      <c r="I307" s="13">
        <f>+'[5]2026'!H307</f>
        <v>0</v>
      </c>
      <c r="J307" s="14">
        <f>+'[5]2026'!I307</f>
        <v>0</v>
      </c>
      <c r="K307" s="15">
        <f>+'[5]2026'!J307</f>
        <v>0</v>
      </c>
      <c r="L307" s="15">
        <f>+'[5]2026'!K307</f>
        <v>0</v>
      </c>
      <c r="M307" s="15">
        <f>+'[5]2026'!L307</f>
        <v>0</v>
      </c>
      <c r="N307" s="16" t="str">
        <f t="shared" si="16"/>
        <v/>
      </c>
      <c r="O307" s="17" t="str">
        <f t="shared" si="17"/>
        <v/>
      </c>
      <c r="P307" s="17" t="str">
        <f t="shared" si="17"/>
        <v/>
      </c>
      <c r="Q307" s="18" t="str">
        <f t="shared" si="18"/>
        <v/>
      </c>
      <c r="R307" s="18" t="e">
        <f t="shared" si="19"/>
        <v>#DIV/0!</v>
      </c>
      <c r="S307" s="34"/>
      <c r="T307" s="29" t="s">
        <v>8</v>
      </c>
      <c r="U307" s="1738"/>
    </row>
    <row r="308" spans="1:21">
      <c r="A308" s="10" t="s">
        <v>14</v>
      </c>
      <c r="B308" s="19">
        <f>+CHAMNORD!B308</f>
        <v>46325</v>
      </c>
      <c r="C308" s="75" t="str">
        <f>IF(H308=0,"",'[5]2025-2026'!C307)</f>
        <v/>
      </c>
      <c r="D308" s="75" t="str">
        <f>+'[5]2026'!C308</f>
        <v/>
      </c>
      <c r="E308" s="75" t="str">
        <f>+'[5]2026'!D308</f>
        <v/>
      </c>
      <c r="F308" s="20" t="str">
        <f>+'[5]2026'!E308</f>
        <v/>
      </c>
      <c r="G308" s="73" t="str">
        <f>+'[5]2026'!F308</f>
        <v/>
      </c>
      <c r="H308" s="42">
        <f>+'[5]2026'!G308</f>
        <v>0</v>
      </c>
      <c r="I308" s="13">
        <f>+'[5]2026'!H308</f>
        <v>0</v>
      </c>
      <c r="J308" s="14">
        <f>+'[5]2026'!I308</f>
        <v>0</v>
      </c>
      <c r="K308" s="15">
        <f>+'[5]2026'!J308</f>
        <v>0</v>
      </c>
      <c r="L308" s="15">
        <f>+'[5]2026'!K308</f>
        <v>0</v>
      </c>
      <c r="M308" s="15">
        <f>+'[5]2026'!L308</f>
        <v>0</v>
      </c>
      <c r="N308" s="16" t="str">
        <f t="shared" si="16"/>
        <v/>
      </c>
      <c r="O308" s="17" t="str">
        <f t="shared" si="17"/>
        <v/>
      </c>
      <c r="P308" s="17" t="str">
        <f t="shared" si="17"/>
        <v/>
      </c>
      <c r="Q308" s="18" t="str">
        <f t="shared" si="18"/>
        <v/>
      </c>
      <c r="R308" s="18" t="e">
        <f t="shared" si="19"/>
        <v>#DIV/0!</v>
      </c>
      <c r="S308" s="36" t="s">
        <v>40</v>
      </c>
      <c r="T308" s="48" t="e">
        <f>SUM(I304:I310)/SUM(L304:L310)</f>
        <v>#DIV/0!</v>
      </c>
      <c r="U308" s="1738"/>
    </row>
    <row r="309" spans="1:21">
      <c r="A309" s="10" t="s">
        <v>15</v>
      </c>
      <c r="B309" s="19">
        <f>+CHAMNORD!B309</f>
        <v>46326</v>
      </c>
      <c r="C309" s="75" t="str">
        <f>IF(H309=0,"",'[5]2025-2026'!C308)</f>
        <v/>
      </c>
      <c r="D309" s="75" t="str">
        <f>+'[5]2026'!C309</f>
        <v/>
      </c>
      <c r="E309" s="75" t="str">
        <f>+'[5]2026'!D309</f>
        <v/>
      </c>
      <c r="F309" s="20" t="str">
        <f>+'[5]2026'!E309</f>
        <v/>
      </c>
      <c r="G309" s="73" t="str">
        <f>+'[5]2026'!F309</f>
        <v/>
      </c>
      <c r="H309" s="42">
        <f>+'[5]2026'!G309</f>
        <v>0</v>
      </c>
      <c r="I309" s="13">
        <f>+'[5]2026'!H309</f>
        <v>0</v>
      </c>
      <c r="J309" s="14">
        <f>+'[5]2026'!I309</f>
        <v>0</v>
      </c>
      <c r="K309" s="15">
        <f>+'[5]2026'!J309</f>
        <v>0</v>
      </c>
      <c r="L309" s="15">
        <f>+'[5]2026'!K309</f>
        <v>0</v>
      </c>
      <c r="M309" s="15">
        <f>+'[5]2026'!L309</f>
        <v>0</v>
      </c>
      <c r="N309" s="16" t="str">
        <f t="shared" si="16"/>
        <v/>
      </c>
      <c r="O309" s="17" t="str">
        <f t="shared" si="17"/>
        <v/>
      </c>
      <c r="P309" s="17" t="str">
        <f t="shared" si="17"/>
        <v/>
      </c>
      <c r="Q309" s="18" t="str">
        <f t="shared" si="18"/>
        <v/>
      </c>
      <c r="R309" s="18" t="e">
        <f t="shared" si="19"/>
        <v>#DIV/0!</v>
      </c>
      <c r="S309" s="36">
        <f>SUM(J304:J310)</f>
        <v>0</v>
      </c>
      <c r="T309" s="30" t="s">
        <v>3</v>
      </c>
      <c r="U309" s="1738"/>
    </row>
    <row r="310" spans="1:21" ht="18" thickBot="1">
      <c r="A310" s="10" t="s">
        <v>16</v>
      </c>
      <c r="B310" s="19">
        <f>+CHAMNORD!B310</f>
        <v>46327</v>
      </c>
      <c r="C310" s="75" t="str">
        <f>IF(H310=0,"",'[5]2025-2026'!C309)</f>
        <v/>
      </c>
      <c r="D310" s="75" t="str">
        <f>+'[5]2026'!C310</f>
        <v/>
      </c>
      <c r="E310" s="75" t="str">
        <f>+'[5]2026'!D310</f>
        <v/>
      </c>
      <c r="F310" s="20" t="str">
        <f>+'[5]2026'!E310</f>
        <v/>
      </c>
      <c r="G310" s="73" t="str">
        <f>+'[5]2026'!F310</f>
        <v/>
      </c>
      <c r="H310" s="42">
        <f>+'[5]2026'!G310</f>
        <v>0</v>
      </c>
      <c r="I310" s="13">
        <f>+'[5]2026'!H310</f>
        <v>0</v>
      </c>
      <c r="J310" s="14">
        <f>+'[5]2026'!I310</f>
        <v>0</v>
      </c>
      <c r="K310" s="15">
        <f>+'[5]2026'!J310</f>
        <v>0</v>
      </c>
      <c r="L310" s="15">
        <f>+'[5]2026'!K310</f>
        <v>0</v>
      </c>
      <c r="M310" s="15">
        <f>+'[5]2026'!L310</f>
        <v>0</v>
      </c>
      <c r="N310" s="16" t="str">
        <f t="shared" si="16"/>
        <v/>
      </c>
      <c r="O310" s="17" t="str">
        <f t="shared" si="17"/>
        <v/>
      </c>
      <c r="P310" s="17" t="str">
        <f t="shared" si="17"/>
        <v/>
      </c>
      <c r="Q310" s="18" t="str">
        <f t="shared" si="18"/>
        <v/>
      </c>
      <c r="R310" s="18" t="e">
        <f t="shared" si="19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</row>
    <row r="311" spans="1:21" ht="17" customHeight="1" thickTop="1">
      <c r="A311" s="10" t="s">
        <v>9</v>
      </c>
      <c r="B311" s="19">
        <f>+CHAMNORD!B311</f>
        <v>46328</v>
      </c>
      <c r="C311" s="75" t="str">
        <f>IF(H311=0,"",'[5]2025-2026'!C310)</f>
        <v/>
      </c>
      <c r="D311" s="75" t="str">
        <f>+'[5]2026'!C311</f>
        <v/>
      </c>
      <c r="E311" s="75" t="str">
        <f>+'[5]2026'!D311</f>
        <v/>
      </c>
      <c r="F311" s="20" t="str">
        <f>+'[5]2026'!E311</f>
        <v/>
      </c>
      <c r="G311" s="73" t="str">
        <f>+'[5]2026'!F311</f>
        <v/>
      </c>
      <c r="H311" s="42">
        <f>+'[5]2026'!G311</f>
        <v>0</v>
      </c>
      <c r="I311" s="13">
        <f>+'[5]2026'!H311</f>
        <v>0</v>
      </c>
      <c r="J311" s="14">
        <f>+'[5]2026'!I311</f>
        <v>0</v>
      </c>
      <c r="K311" s="15">
        <f>+'[5]2026'!J311</f>
        <v>0</v>
      </c>
      <c r="L311" s="15">
        <f>+'[5]2026'!K311</f>
        <v>0</v>
      </c>
      <c r="M311" s="15">
        <f>+'[5]2026'!L311</f>
        <v>0</v>
      </c>
      <c r="N311" s="16" t="str">
        <f t="shared" si="16"/>
        <v/>
      </c>
      <c r="O311" s="17" t="str">
        <f t="shared" si="17"/>
        <v/>
      </c>
      <c r="P311" s="17" t="str">
        <f t="shared" si="17"/>
        <v/>
      </c>
      <c r="Q311" s="18" t="str">
        <f t="shared" si="18"/>
        <v/>
      </c>
      <c r="R311" s="18" t="e">
        <f t="shared" si="19"/>
        <v>#DIV/0!</v>
      </c>
      <c r="S311" s="33" t="s">
        <v>39</v>
      </c>
      <c r="T311" s="31" t="s">
        <v>42</v>
      </c>
      <c r="U311" s="1737" t="s">
        <v>127</v>
      </c>
    </row>
    <row r="312" spans="1:21">
      <c r="A312" s="10" t="s">
        <v>11</v>
      </c>
      <c r="B312" s="19">
        <f>+CHAMNORD!B312</f>
        <v>46329</v>
      </c>
      <c r="C312" s="75" t="str">
        <f>IF(H312=0,"",'[5]2025-2026'!C311)</f>
        <v/>
      </c>
      <c r="D312" s="75" t="str">
        <f>+'[5]2026'!C312</f>
        <v/>
      </c>
      <c r="E312" s="75" t="str">
        <f>+'[5]2026'!D312</f>
        <v/>
      </c>
      <c r="F312" s="20" t="str">
        <f>+'[5]2026'!E312</f>
        <v/>
      </c>
      <c r="G312" s="73" t="str">
        <f>+'[5]2026'!F312</f>
        <v/>
      </c>
      <c r="H312" s="42">
        <f>+'[5]2026'!G312</f>
        <v>0</v>
      </c>
      <c r="I312" s="13">
        <f>+'[5]2026'!H312</f>
        <v>0</v>
      </c>
      <c r="J312" s="14">
        <f>+'[5]2026'!I312</f>
        <v>0</v>
      </c>
      <c r="K312" s="15">
        <f>+'[5]2026'!J312</f>
        <v>0</v>
      </c>
      <c r="L312" s="15">
        <f>+'[5]2026'!K312</f>
        <v>0</v>
      </c>
      <c r="M312" s="15">
        <f>+'[5]2026'!L312</f>
        <v>0</v>
      </c>
      <c r="N312" s="16" t="str">
        <f t="shared" si="16"/>
        <v/>
      </c>
      <c r="O312" s="17" t="str">
        <f t="shared" si="17"/>
        <v/>
      </c>
      <c r="P312" s="17" t="str">
        <f t="shared" si="17"/>
        <v/>
      </c>
      <c r="Q312" s="18" t="str">
        <f t="shared" si="18"/>
        <v/>
      </c>
      <c r="R312" s="18" t="e">
        <f t="shared" si="19"/>
        <v>#DIV/0!</v>
      </c>
      <c r="S312" s="34">
        <f>SUM(I311:I317)</f>
        <v>0</v>
      </c>
      <c r="T312" s="45" t="s">
        <v>41</v>
      </c>
      <c r="U312" s="1738"/>
    </row>
    <row r="313" spans="1:21">
      <c r="A313" s="10" t="s">
        <v>12</v>
      </c>
      <c r="B313" s="19">
        <f>+CHAMNORD!B313</f>
        <v>46330</v>
      </c>
      <c r="C313" s="75" t="str">
        <f>IF(H313=0,"",'[5]2025-2026'!C312)</f>
        <v/>
      </c>
      <c r="D313" s="75" t="str">
        <f>+'[5]2026'!C313</f>
        <v/>
      </c>
      <c r="E313" s="75" t="str">
        <f>+'[5]2026'!D313</f>
        <v/>
      </c>
      <c r="F313" s="20" t="str">
        <f>+'[5]2026'!E313</f>
        <v/>
      </c>
      <c r="G313" s="73" t="str">
        <f>+'[5]2026'!F313</f>
        <v/>
      </c>
      <c r="H313" s="42">
        <f>+'[5]2026'!G313</f>
        <v>0</v>
      </c>
      <c r="I313" s="13">
        <f>+'[5]2026'!H313</f>
        <v>0</v>
      </c>
      <c r="J313" s="14">
        <f>+'[5]2026'!I313</f>
        <v>0</v>
      </c>
      <c r="K313" s="15">
        <f>+'[5]2026'!J313</f>
        <v>0</v>
      </c>
      <c r="L313" s="15">
        <f>+'[5]2026'!K313</f>
        <v>0</v>
      </c>
      <c r="M313" s="15">
        <f>+'[5]2026'!L313</f>
        <v>0</v>
      </c>
      <c r="N313" s="16" t="str">
        <f t="shared" si="16"/>
        <v/>
      </c>
      <c r="O313" s="17" t="str">
        <f t="shared" si="17"/>
        <v/>
      </c>
      <c r="P313" s="17" t="str">
        <f t="shared" si="17"/>
        <v/>
      </c>
      <c r="Q313" s="18" t="str">
        <f t="shared" si="18"/>
        <v/>
      </c>
      <c r="R313" s="18" t="e">
        <f t="shared" si="19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</row>
    <row r="314" spans="1:21">
      <c r="A314" s="10" t="s">
        <v>13</v>
      </c>
      <c r="B314" s="19">
        <f>+CHAMNORD!B314</f>
        <v>46331</v>
      </c>
      <c r="C314" s="75" t="str">
        <f>IF(H314=0,"",'[5]2025-2026'!C313)</f>
        <v/>
      </c>
      <c r="D314" s="75" t="str">
        <f>+'[5]2026'!C314</f>
        <v/>
      </c>
      <c r="E314" s="75" t="str">
        <f>+'[5]2026'!D314</f>
        <v/>
      </c>
      <c r="F314" s="20" t="str">
        <f>+'[5]2026'!E314</f>
        <v/>
      </c>
      <c r="G314" s="73" t="str">
        <f>+'[5]2026'!F314</f>
        <v/>
      </c>
      <c r="H314" s="42">
        <f>+'[5]2026'!G314</f>
        <v>0</v>
      </c>
      <c r="I314" s="13">
        <f>+'[5]2026'!H314</f>
        <v>0</v>
      </c>
      <c r="J314" s="14">
        <f>+'[5]2026'!I314</f>
        <v>0</v>
      </c>
      <c r="K314" s="15">
        <f>+'[5]2026'!J314</f>
        <v>0</v>
      </c>
      <c r="L314" s="15">
        <f>+'[5]2026'!K314</f>
        <v>0</v>
      </c>
      <c r="M314" s="15">
        <f>+'[5]2026'!L314</f>
        <v>0</v>
      </c>
      <c r="N314" s="16" t="str">
        <f t="shared" si="16"/>
        <v/>
      </c>
      <c r="O314" s="17" t="str">
        <f t="shared" si="17"/>
        <v/>
      </c>
      <c r="P314" s="17" t="str">
        <f t="shared" si="17"/>
        <v/>
      </c>
      <c r="Q314" s="18" t="str">
        <f t="shared" si="18"/>
        <v/>
      </c>
      <c r="R314" s="18" t="e">
        <f t="shared" si="19"/>
        <v>#DIV/0!</v>
      </c>
      <c r="S314" s="34"/>
      <c r="T314" s="29" t="s">
        <v>8</v>
      </c>
      <c r="U314" s="1738"/>
    </row>
    <row r="315" spans="1:21">
      <c r="A315" s="10" t="s">
        <v>14</v>
      </c>
      <c r="B315" s="19">
        <f>+CHAMNORD!B315</f>
        <v>46332</v>
      </c>
      <c r="C315" s="75" t="str">
        <f>IF(H315=0,"",'[5]2025-2026'!C314)</f>
        <v/>
      </c>
      <c r="D315" s="75" t="str">
        <f>+'[5]2026'!C315</f>
        <v/>
      </c>
      <c r="E315" s="75" t="str">
        <f>+'[5]2026'!D315</f>
        <v/>
      </c>
      <c r="F315" s="20" t="str">
        <f>+'[5]2026'!E315</f>
        <v/>
      </c>
      <c r="G315" s="73" t="str">
        <f>+'[5]2026'!F315</f>
        <v/>
      </c>
      <c r="H315" s="42">
        <f>+'[5]2026'!G315</f>
        <v>0</v>
      </c>
      <c r="I315" s="13">
        <f>+'[5]2026'!H315</f>
        <v>0</v>
      </c>
      <c r="J315" s="14">
        <f>+'[5]2026'!I315</f>
        <v>0</v>
      </c>
      <c r="K315" s="15">
        <f>+'[5]2026'!J315</f>
        <v>0</v>
      </c>
      <c r="L315" s="15">
        <f>+'[5]2026'!K315</f>
        <v>0</v>
      </c>
      <c r="M315" s="15">
        <f>+'[5]2026'!L315</f>
        <v>0</v>
      </c>
      <c r="N315" s="16" t="str">
        <f t="shared" si="16"/>
        <v/>
      </c>
      <c r="O315" s="17" t="str">
        <f t="shared" si="17"/>
        <v/>
      </c>
      <c r="P315" s="17" t="str">
        <f t="shared" si="17"/>
        <v/>
      </c>
      <c r="Q315" s="18" t="str">
        <f t="shared" si="18"/>
        <v/>
      </c>
      <c r="R315" s="18" t="e">
        <f t="shared" si="19"/>
        <v>#DIV/0!</v>
      </c>
      <c r="S315" s="36" t="s">
        <v>40</v>
      </c>
      <c r="T315" s="48" t="e">
        <f>SUM(I311:I317)/SUM(L311:L317)</f>
        <v>#DIV/0!</v>
      </c>
      <c r="U315" s="1738"/>
    </row>
    <row r="316" spans="1:21">
      <c r="A316" s="10" t="s">
        <v>15</v>
      </c>
      <c r="B316" s="19">
        <f>+CHAMNORD!B316</f>
        <v>46333</v>
      </c>
      <c r="C316" s="75" t="str">
        <f>IF(H316=0,"",'[5]2025-2026'!C315)</f>
        <v/>
      </c>
      <c r="D316" s="75" t="str">
        <f>+'[5]2026'!C316</f>
        <v/>
      </c>
      <c r="E316" s="75" t="str">
        <f>+'[5]2026'!D316</f>
        <v/>
      </c>
      <c r="F316" s="20" t="str">
        <f>+'[5]2026'!E316</f>
        <v/>
      </c>
      <c r="G316" s="73" t="str">
        <f>+'[5]2026'!F316</f>
        <v/>
      </c>
      <c r="H316" s="42">
        <f>+'[5]2026'!G316</f>
        <v>0</v>
      </c>
      <c r="I316" s="13">
        <f>+'[5]2026'!H316</f>
        <v>0</v>
      </c>
      <c r="J316" s="14">
        <f>+'[5]2026'!I316</f>
        <v>0</v>
      </c>
      <c r="K316" s="15">
        <f>+'[5]2026'!J316</f>
        <v>0</v>
      </c>
      <c r="L316" s="15">
        <f>+'[5]2026'!K316</f>
        <v>0</v>
      </c>
      <c r="M316" s="15">
        <f>+'[5]2026'!L316</f>
        <v>0</v>
      </c>
      <c r="N316" s="16" t="str">
        <f t="shared" si="16"/>
        <v/>
      </c>
      <c r="O316" s="17" t="str">
        <f t="shared" si="17"/>
        <v/>
      </c>
      <c r="P316" s="17" t="str">
        <f t="shared" si="17"/>
        <v/>
      </c>
      <c r="Q316" s="18" t="str">
        <f t="shared" si="18"/>
        <v/>
      </c>
      <c r="R316" s="18" t="e">
        <f t="shared" si="19"/>
        <v>#DIV/0!</v>
      </c>
      <c r="S316" s="36">
        <f>SUM(J311:J317)</f>
        <v>0</v>
      </c>
      <c r="T316" s="30" t="s">
        <v>3</v>
      </c>
      <c r="U316" s="1738"/>
    </row>
    <row r="317" spans="1:21" ht="18" thickBot="1">
      <c r="A317" s="10" t="s">
        <v>16</v>
      </c>
      <c r="B317" s="19">
        <f>+CHAMNORD!B317</f>
        <v>46334</v>
      </c>
      <c r="C317" s="75" t="str">
        <f>IF(H317=0,"",'[5]2025-2026'!C316)</f>
        <v/>
      </c>
      <c r="D317" s="75" t="str">
        <f>+'[5]2026'!C317</f>
        <v/>
      </c>
      <c r="E317" s="75" t="str">
        <f>+'[5]2026'!D317</f>
        <v/>
      </c>
      <c r="F317" s="20" t="str">
        <f>+'[5]2026'!E317</f>
        <v/>
      </c>
      <c r="G317" s="73" t="str">
        <f>+'[5]2026'!F317</f>
        <v/>
      </c>
      <c r="H317" s="42">
        <f>+'[5]2026'!G317</f>
        <v>0</v>
      </c>
      <c r="I317" s="13">
        <f>+'[5]2026'!H317</f>
        <v>0</v>
      </c>
      <c r="J317" s="14">
        <f>+'[5]2026'!I317</f>
        <v>0</v>
      </c>
      <c r="K317" s="15">
        <f>+'[5]2026'!J317</f>
        <v>0</v>
      </c>
      <c r="L317" s="15">
        <f>+'[5]2026'!K317</f>
        <v>0</v>
      </c>
      <c r="M317" s="15">
        <f>+'[5]2026'!L317</f>
        <v>0</v>
      </c>
      <c r="N317" s="16" t="str">
        <f t="shared" si="16"/>
        <v/>
      </c>
      <c r="O317" s="17" t="str">
        <f t="shared" si="17"/>
        <v/>
      </c>
      <c r="P317" s="17" t="str">
        <f t="shared" si="17"/>
        <v/>
      </c>
      <c r="Q317" s="18" t="str">
        <f t="shared" si="18"/>
        <v/>
      </c>
      <c r="R317" s="18" t="e">
        <f t="shared" si="19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</row>
    <row r="318" spans="1:21" ht="17" customHeight="1" thickTop="1">
      <c r="A318" s="10" t="s">
        <v>9</v>
      </c>
      <c r="B318" s="19">
        <f>+CHAMNORD!B318</f>
        <v>46335</v>
      </c>
      <c r="C318" s="75" t="str">
        <f>IF(H318=0,"",'[5]2025-2026'!C317)</f>
        <v/>
      </c>
      <c r="D318" s="75" t="str">
        <f>+'[5]2026'!C318</f>
        <v/>
      </c>
      <c r="E318" s="75" t="str">
        <f>+'[5]2026'!D318</f>
        <v/>
      </c>
      <c r="F318" s="20" t="str">
        <f>+'[5]2026'!E318</f>
        <v/>
      </c>
      <c r="G318" s="73" t="str">
        <f>+'[5]2026'!F318</f>
        <v/>
      </c>
      <c r="H318" s="42">
        <f>+'[5]2026'!G318</f>
        <v>0</v>
      </c>
      <c r="I318" s="13">
        <f>+'[5]2026'!H318</f>
        <v>0</v>
      </c>
      <c r="J318" s="14">
        <f>+'[5]2026'!I318</f>
        <v>0</v>
      </c>
      <c r="K318" s="15">
        <f>+'[5]2026'!J318</f>
        <v>0</v>
      </c>
      <c r="L318" s="15">
        <f>+'[5]2026'!K318</f>
        <v>0</v>
      </c>
      <c r="M318" s="15">
        <f>+'[5]2026'!L318</f>
        <v>0</v>
      </c>
      <c r="N318" s="16" t="str">
        <f t="shared" si="16"/>
        <v/>
      </c>
      <c r="O318" s="17" t="str">
        <f t="shared" si="17"/>
        <v/>
      </c>
      <c r="P318" s="17" t="str">
        <f t="shared" si="17"/>
        <v/>
      </c>
      <c r="Q318" s="18" t="str">
        <f t="shared" si="18"/>
        <v/>
      </c>
      <c r="R318" s="18" t="e">
        <f t="shared" si="19"/>
        <v>#DIV/0!</v>
      </c>
      <c r="S318" s="33" t="s">
        <v>39</v>
      </c>
      <c r="T318" s="31" t="s">
        <v>42</v>
      </c>
      <c r="U318" s="1737" t="s">
        <v>128</v>
      </c>
    </row>
    <row r="319" spans="1:21">
      <c r="A319" s="10" t="s">
        <v>11</v>
      </c>
      <c r="B319" s="19">
        <f>+CHAMNORD!B319</f>
        <v>46336</v>
      </c>
      <c r="C319" s="75" t="str">
        <f>IF(H319=0,"",'[5]2025-2026'!C318)</f>
        <v/>
      </c>
      <c r="D319" s="75" t="str">
        <f>+'[5]2026'!C319</f>
        <v/>
      </c>
      <c r="E319" s="75" t="str">
        <f>+'[5]2026'!D319</f>
        <v/>
      </c>
      <c r="F319" s="20" t="str">
        <f>+'[5]2026'!E319</f>
        <v/>
      </c>
      <c r="G319" s="73" t="str">
        <f>+'[5]2026'!F319</f>
        <v/>
      </c>
      <c r="H319" s="42">
        <f>+'[5]2026'!G319</f>
        <v>0</v>
      </c>
      <c r="I319" s="13">
        <f>+'[5]2026'!H319</f>
        <v>0</v>
      </c>
      <c r="J319" s="14">
        <f>+'[5]2026'!I319</f>
        <v>0</v>
      </c>
      <c r="K319" s="15">
        <f>+'[5]2026'!J319</f>
        <v>0</v>
      </c>
      <c r="L319" s="15">
        <f>+'[5]2026'!K319</f>
        <v>0</v>
      </c>
      <c r="M319" s="15">
        <f>+'[5]2026'!L319</f>
        <v>0</v>
      </c>
      <c r="N319" s="16" t="str">
        <f t="shared" si="16"/>
        <v/>
      </c>
      <c r="O319" s="17" t="str">
        <f t="shared" si="17"/>
        <v/>
      </c>
      <c r="P319" s="17" t="str">
        <f t="shared" si="17"/>
        <v/>
      </c>
      <c r="Q319" s="18" t="str">
        <f t="shared" si="18"/>
        <v/>
      </c>
      <c r="R319" s="18" t="e">
        <f t="shared" si="19"/>
        <v>#DIV/0!</v>
      </c>
      <c r="S319" s="34">
        <f>SUM(I318:I324)</f>
        <v>0</v>
      </c>
      <c r="T319" s="45" t="s">
        <v>41</v>
      </c>
      <c r="U319" s="1738"/>
    </row>
    <row r="320" spans="1:21">
      <c r="A320" s="10" t="s">
        <v>12</v>
      </c>
      <c r="B320" s="19">
        <f>+CHAMNORD!B320</f>
        <v>46337</v>
      </c>
      <c r="C320" s="75" t="str">
        <f>IF(H320=0,"",'[5]2025-2026'!C319)</f>
        <v/>
      </c>
      <c r="D320" s="75" t="str">
        <f>+'[5]2026'!C320</f>
        <v/>
      </c>
      <c r="E320" s="75" t="str">
        <f>+'[5]2026'!D320</f>
        <v/>
      </c>
      <c r="F320" s="20" t="str">
        <f>+'[5]2026'!E320</f>
        <v/>
      </c>
      <c r="G320" s="73" t="str">
        <f>+'[5]2026'!F320</f>
        <v/>
      </c>
      <c r="H320" s="42">
        <f>+'[5]2026'!G320</f>
        <v>0</v>
      </c>
      <c r="I320" s="13">
        <f>+'[5]2026'!H320</f>
        <v>0</v>
      </c>
      <c r="J320" s="14">
        <f>+'[5]2026'!I320</f>
        <v>0</v>
      </c>
      <c r="K320" s="15">
        <f>+'[5]2026'!J320</f>
        <v>0</v>
      </c>
      <c r="L320" s="15">
        <f>+'[5]2026'!K320</f>
        <v>0</v>
      </c>
      <c r="M320" s="15">
        <f>+'[5]2026'!L320</f>
        <v>0</v>
      </c>
      <c r="N320" s="16" t="str">
        <f t="shared" si="16"/>
        <v/>
      </c>
      <c r="O320" s="17" t="str">
        <f t="shared" si="17"/>
        <v/>
      </c>
      <c r="P320" s="17" t="str">
        <f t="shared" si="17"/>
        <v/>
      </c>
      <c r="Q320" s="18" t="str">
        <f t="shared" si="18"/>
        <v/>
      </c>
      <c r="R320" s="18" t="e">
        <f t="shared" si="19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</row>
    <row r="321" spans="1:21">
      <c r="A321" s="10" t="s">
        <v>13</v>
      </c>
      <c r="B321" s="19">
        <f>+CHAMNORD!B321</f>
        <v>46338</v>
      </c>
      <c r="C321" s="75" t="str">
        <f>IF(H321=0,"",'[5]2025-2026'!C320)</f>
        <v/>
      </c>
      <c r="D321" s="75" t="str">
        <f>+'[5]2026'!C321</f>
        <v/>
      </c>
      <c r="E321" s="75" t="str">
        <f>+'[5]2026'!D321</f>
        <v/>
      </c>
      <c r="F321" s="20" t="str">
        <f>+'[5]2026'!E321</f>
        <v/>
      </c>
      <c r="G321" s="73" t="str">
        <f>+'[5]2026'!F321</f>
        <v/>
      </c>
      <c r="H321" s="42">
        <f>+'[5]2026'!G321</f>
        <v>0</v>
      </c>
      <c r="I321" s="13">
        <f>+'[5]2026'!H321</f>
        <v>0</v>
      </c>
      <c r="J321" s="14">
        <f>+'[5]2026'!I321</f>
        <v>0</v>
      </c>
      <c r="K321" s="15">
        <f>+'[5]2026'!J321</f>
        <v>0</v>
      </c>
      <c r="L321" s="15">
        <f>+'[5]2026'!K321</f>
        <v>0</v>
      </c>
      <c r="M321" s="15">
        <f>+'[5]2026'!L321</f>
        <v>0</v>
      </c>
      <c r="N321" s="16" t="str">
        <f t="shared" si="16"/>
        <v/>
      </c>
      <c r="O321" s="17" t="str">
        <f t="shared" si="17"/>
        <v/>
      </c>
      <c r="P321" s="17" t="str">
        <f t="shared" si="17"/>
        <v/>
      </c>
      <c r="Q321" s="18" t="str">
        <f t="shared" si="18"/>
        <v/>
      </c>
      <c r="R321" s="18" t="e">
        <f t="shared" si="19"/>
        <v>#DIV/0!</v>
      </c>
      <c r="S321" s="34"/>
      <c r="T321" s="29" t="s">
        <v>8</v>
      </c>
      <c r="U321" s="1738"/>
    </row>
    <row r="322" spans="1:21">
      <c r="A322" s="10" t="s">
        <v>14</v>
      </c>
      <c r="B322" s="19">
        <f>+CHAMNORD!B322</f>
        <v>46339</v>
      </c>
      <c r="C322" s="75" t="str">
        <f>IF(H322=0,"",'[5]2025-2026'!C321)</f>
        <v/>
      </c>
      <c r="D322" s="75" t="str">
        <f>+'[5]2026'!C322</f>
        <v/>
      </c>
      <c r="E322" s="75" t="str">
        <f>+'[5]2026'!D322</f>
        <v/>
      </c>
      <c r="F322" s="20" t="str">
        <f>+'[5]2026'!E322</f>
        <v/>
      </c>
      <c r="G322" s="73" t="str">
        <f>+'[5]2026'!F322</f>
        <v/>
      </c>
      <c r="H322" s="42">
        <f>+'[5]2026'!G322</f>
        <v>0</v>
      </c>
      <c r="I322" s="13">
        <f>+'[5]2026'!H322</f>
        <v>0</v>
      </c>
      <c r="J322" s="14">
        <f>+'[5]2026'!I322</f>
        <v>0</v>
      </c>
      <c r="K322" s="15">
        <f>+'[5]2026'!J322</f>
        <v>0</v>
      </c>
      <c r="L322" s="15">
        <f>+'[5]2026'!K322</f>
        <v>0</v>
      </c>
      <c r="M322" s="15">
        <f>+'[5]2026'!L322</f>
        <v>0</v>
      </c>
      <c r="N322" s="16" t="str">
        <f t="shared" si="16"/>
        <v/>
      </c>
      <c r="O322" s="17" t="str">
        <f t="shared" si="17"/>
        <v/>
      </c>
      <c r="P322" s="17" t="str">
        <f t="shared" si="17"/>
        <v/>
      </c>
      <c r="Q322" s="18" t="str">
        <f t="shared" si="18"/>
        <v/>
      </c>
      <c r="R322" s="18" t="e">
        <f t="shared" si="19"/>
        <v>#DIV/0!</v>
      </c>
      <c r="S322" s="36" t="s">
        <v>40</v>
      </c>
      <c r="T322" s="48" t="e">
        <f>SUM(I318:I324)/SUM(L318:L324)</f>
        <v>#DIV/0!</v>
      </c>
      <c r="U322" s="1738"/>
    </row>
    <row r="323" spans="1:21">
      <c r="A323" s="10" t="s">
        <v>15</v>
      </c>
      <c r="B323" s="19">
        <f>+CHAMNORD!B323</f>
        <v>46340</v>
      </c>
      <c r="C323" s="75" t="str">
        <f>IF(H323=0,"",'[5]2025-2026'!C322)</f>
        <v/>
      </c>
      <c r="D323" s="75" t="str">
        <f>+'[5]2026'!C323</f>
        <v/>
      </c>
      <c r="E323" s="75" t="str">
        <f>+'[5]2026'!D323</f>
        <v/>
      </c>
      <c r="F323" s="20" t="str">
        <f>+'[5]2026'!E323</f>
        <v/>
      </c>
      <c r="G323" s="73" t="str">
        <f>+'[5]2026'!F323</f>
        <v/>
      </c>
      <c r="H323" s="42">
        <f>+'[5]2026'!G323</f>
        <v>0</v>
      </c>
      <c r="I323" s="13">
        <f>+'[5]2026'!H323</f>
        <v>0</v>
      </c>
      <c r="J323" s="14">
        <f>+'[5]2026'!I323</f>
        <v>0</v>
      </c>
      <c r="K323" s="15">
        <f>+'[5]2026'!J323</f>
        <v>0</v>
      </c>
      <c r="L323" s="15">
        <f>+'[5]2026'!K323</f>
        <v>0</v>
      </c>
      <c r="M323" s="15">
        <f>+'[5]2026'!L323</f>
        <v>0</v>
      </c>
      <c r="N323" s="16" t="str">
        <f t="shared" si="16"/>
        <v/>
      </c>
      <c r="O323" s="17" t="str">
        <f t="shared" si="17"/>
        <v/>
      </c>
      <c r="P323" s="17" t="str">
        <f t="shared" si="17"/>
        <v/>
      </c>
      <c r="Q323" s="18" t="str">
        <f t="shared" si="18"/>
        <v/>
      </c>
      <c r="R323" s="18" t="e">
        <f t="shared" si="19"/>
        <v>#DIV/0!</v>
      </c>
      <c r="S323" s="36">
        <f>SUM(J318:J324)</f>
        <v>0</v>
      </c>
      <c r="T323" s="30" t="s">
        <v>3</v>
      </c>
      <c r="U323" s="1738"/>
    </row>
    <row r="324" spans="1:21" ht="18" thickBot="1">
      <c r="A324" s="10" t="s">
        <v>16</v>
      </c>
      <c r="B324" s="19">
        <f>+CHAMNORD!B324</f>
        <v>46341</v>
      </c>
      <c r="C324" s="75" t="str">
        <f>IF(H324=0,"",'[5]2025-2026'!C323)</f>
        <v/>
      </c>
      <c r="D324" s="75" t="str">
        <f>+'[5]2026'!C324</f>
        <v/>
      </c>
      <c r="E324" s="75" t="str">
        <f>+'[5]2026'!D324</f>
        <v/>
      </c>
      <c r="F324" s="20" t="str">
        <f>+'[5]2026'!E324</f>
        <v/>
      </c>
      <c r="G324" s="73" t="str">
        <f>+'[5]2026'!F324</f>
        <v/>
      </c>
      <c r="H324" s="42">
        <f>+'[5]2026'!G324</f>
        <v>0</v>
      </c>
      <c r="I324" s="13">
        <f>+'[5]2026'!H324</f>
        <v>0</v>
      </c>
      <c r="J324" s="14">
        <f>+'[5]2026'!I324</f>
        <v>0</v>
      </c>
      <c r="K324" s="15">
        <f>+'[5]2026'!J324</f>
        <v>0</v>
      </c>
      <c r="L324" s="15">
        <f>+'[5]2026'!K324</f>
        <v>0</v>
      </c>
      <c r="M324" s="15">
        <f>+'[5]2026'!L324</f>
        <v>0</v>
      </c>
      <c r="N324" s="16" t="str">
        <f t="shared" ref="N324:N368" si="20">IF(M324=0,"",M324/I324)</f>
        <v/>
      </c>
      <c r="O324" s="17" t="str">
        <f t="shared" ref="O324:P368" si="21">IF(I324=0,"",(I324-E324)/E324)</f>
        <v/>
      </c>
      <c r="P324" s="17" t="str">
        <f t="shared" si="21"/>
        <v/>
      </c>
      <c r="Q324" s="18" t="str">
        <f t="shared" ref="Q324:Q368" si="22">IF(I324=0,"",I324/K324)</f>
        <v/>
      </c>
      <c r="R324" s="18" t="e">
        <f t="shared" ref="R324:R368" si="23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</row>
    <row r="325" spans="1:21" ht="17" customHeight="1" thickTop="1">
      <c r="A325" s="10" t="s">
        <v>9</v>
      </c>
      <c r="B325" s="19">
        <f>+CHAMNORD!B325</f>
        <v>46342</v>
      </c>
      <c r="C325" s="75" t="str">
        <f>IF(H325=0,"",'[5]2025-2026'!C324)</f>
        <v/>
      </c>
      <c r="D325" s="75" t="str">
        <f>+'[5]2026'!C325</f>
        <v/>
      </c>
      <c r="E325" s="75" t="str">
        <f>+'[5]2026'!D325</f>
        <v/>
      </c>
      <c r="F325" s="20" t="str">
        <f>+'[5]2026'!E325</f>
        <v/>
      </c>
      <c r="G325" s="73" t="str">
        <f>+'[5]2026'!F325</f>
        <v/>
      </c>
      <c r="H325" s="42">
        <f>+'[5]2026'!G325</f>
        <v>0</v>
      </c>
      <c r="I325" s="13">
        <f>+'[5]2026'!H325</f>
        <v>0</v>
      </c>
      <c r="J325" s="14">
        <f>+'[5]2026'!I325</f>
        <v>0</v>
      </c>
      <c r="K325" s="15">
        <f>+'[5]2026'!J325</f>
        <v>0</v>
      </c>
      <c r="L325" s="15">
        <f>+'[5]2026'!K325</f>
        <v>0</v>
      </c>
      <c r="M325" s="15">
        <f>+'[5]2026'!L325</f>
        <v>0</v>
      </c>
      <c r="N325" s="16" t="str">
        <f t="shared" si="20"/>
        <v/>
      </c>
      <c r="O325" s="17" t="str">
        <f t="shared" si="21"/>
        <v/>
      </c>
      <c r="P325" s="17" t="str">
        <f t="shared" si="21"/>
        <v/>
      </c>
      <c r="Q325" s="18" t="str">
        <f t="shared" si="22"/>
        <v/>
      </c>
      <c r="R325" s="18" t="e">
        <f t="shared" si="23"/>
        <v>#DIV/0!</v>
      </c>
      <c r="S325" s="33" t="s">
        <v>39</v>
      </c>
      <c r="T325" s="31" t="s">
        <v>42</v>
      </c>
      <c r="U325" s="1737" t="s">
        <v>129</v>
      </c>
    </row>
    <row r="326" spans="1:21">
      <c r="A326" s="10" t="s">
        <v>11</v>
      </c>
      <c r="B326" s="19">
        <f>+CHAMNORD!B326</f>
        <v>46343</v>
      </c>
      <c r="C326" s="75" t="str">
        <f>IF(H326=0,"",'[5]2025-2026'!C325)</f>
        <v/>
      </c>
      <c r="D326" s="75" t="str">
        <f>+'[5]2026'!C326</f>
        <v/>
      </c>
      <c r="E326" s="75" t="str">
        <f>+'[5]2026'!D326</f>
        <v/>
      </c>
      <c r="F326" s="20" t="str">
        <f>+'[5]2026'!E326</f>
        <v/>
      </c>
      <c r="G326" s="73" t="str">
        <f>+'[5]2026'!F326</f>
        <v/>
      </c>
      <c r="H326" s="42">
        <f>+'[5]2026'!G326</f>
        <v>0</v>
      </c>
      <c r="I326" s="13">
        <f>+'[5]2026'!H326</f>
        <v>0</v>
      </c>
      <c r="J326" s="14">
        <f>+'[5]2026'!I326</f>
        <v>0</v>
      </c>
      <c r="K326" s="15">
        <f>+'[5]2026'!J326</f>
        <v>0</v>
      </c>
      <c r="L326" s="15">
        <f>+'[5]2026'!K326</f>
        <v>0</v>
      </c>
      <c r="M326" s="15">
        <f>+'[5]2026'!L326</f>
        <v>0</v>
      </c>
      <c r="N326" s="16" t="str">
        <f t="shared" si="20"/>
        <v/>
      </c>
      <c r="O326" s="17" t="str">
        <f t="shared" si="21"/>
        <v/>
      </c>
      <c r="P326" s="17" t="str">
        <f t="shared" si="21"/>
        <v/>
      </c>
      <c r="Q326" s="18" t="str">
        <f t="shared" si="22"/>
        <v/>
      </c>
      <c r="R326" s="18" t="e">
        <f t="shared" si="23"/>
        <v>#DIV/0!</v>
      </c>
      <c r="S326" s="34">
        <f>SUM(I325:I331)</f>
        <v>0</v>
      </c>
      <c r="T326" s="45" t="s">
        <v>41</v>
      </c>
      <c r="U326" s="1738"/>
    </row>
    <row r="327" spans="1:21">
      <c r="A327" s="10" t="s">
        <v>12</v>
      </c>
      <c r="B327" s="19">
        <f>+CHAMNORD!B327</f>
        <v>46344</v>
      </c>
      <c r="C327" s="75" t="str">
        <f>IF(H327=0,"",'[5]2025-2026'!C326)</f>
        <v/>
      </c>
      <c r="D327" s="75" t="str">
        <f>+'[5]2026'!C327</f>
        <v/>
      </c>
      <c r="E327" s="75" t="str">
        <f>+'[5]2026'!D327</f>
        <v/>
      </c>
      <c r="F327" s="20" t="str">
        <f>+'[5]2026'!E327</f>
        <v/>
      </c>
      <c r="G327" s="73" t="str">
        <f>+'[5]2026'!F327</f>
        <v/>
      </c>
      <c r="H327" s="42">
        <f>+'[5]2026'!G327</f>
        <v>0</v>
      </c>
      <c r="I327" s="13">
        <f>+'[5]2026'!H327</f>
        <v>0</v>
      </c>
      <c r="J327" s="14">
        <f>+'[5]2026'!I327</f>
        <v>0</v>
      </c>
      <c r="K327" s="15">
        <f>+'[5]2026'!J327</f>
        <v>0</v>
      </c>
      <c r="L327" s="15">
        <f>+'[5]2026'!K327</f>
        <v>0</v>
      </c>
      <c r="M327" s="15">
        <f>+'[5]2026'!L327</f>
        <v>0</v>
      </c>
      <c r="N327" s="16" t="str">
        <f t="shared" si="20"/>
        <v/>
      </c>
      <c r="O327" s="17" t="str">
        <f t="shared" si="21"/>
        <v/>
      </c>
      <c r="P327" s="17" t="str">
        <f t="shared" si="21"/>
        <v/>
      </c>
      <c r="Q327" s="18" t="str">
        <f t="shared" si="22"/>
        <v/>
      </c>
      <c r="R327" s="18" t="e">
        <f t="shared" si="23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</row>
    <row r="328" spans="1:21">
      <c r="A328" s="10" t="s">
        <v>13</v>
      </c>
      <c r="B328" s="19">
        <f>+CHAMNORD!B328</f>
        <v>46345</v>
      </c>
      <c r="C328" s="75" t="str">
        <f>IF(H328=0,"",'[5]2025-2026'!C327)</f>
        <v/>
      </c>
      <c r="D328" s="75" t="str">
        <f>+'[5]2026'!C328</f>
        <v/>
      </c>
      <c r="E328" s="75" t="str">
        <f>+'[5]2026'!D328</f>
        <v/>
      </c>
      <c r="F328" s="20" t="str">
        <f>+'[5]2026'!E328</f>
        <v/>
      </c>
      <c r="G328" s="73" t="str">
        <f>+'[5]2026'!F328</f>
        <v/>
      </c>
      <c r="H328" s="42">
        <f>+'[5]2026'!G328</f>
        <v>0</v>
      </c>
      <c r="I328" s="13">
        <f>+'[5]2026'!H328</f>
        <v>0</v>
      </c>
      <c r="J328" s="14">
        <f>+'[5]2026'!I328</f>
        <v>0</v>
      </c>
      <c r="K328" s="15">
        <f>+'[5]2026'!J328</f>
        <v>0</v>
      </c>
      <c r="L328" s="15">
        <f>+'[5]2026'!K328</f>
        <v>0</v>
      </c>
      <c r="M328" s="15">
        <f>+'[5]2026'!L328</f>
        <v>0</v>
      </c>
      <c r="N328" s="16" t="str">
        <f t="shared" si="20"/>
        <v/>
      </c>
      <c r="O328" s="17" t="str">
        <f t="shared" si="21"/>
        <v/>
      </c>
      <c r="P328" s="17" t="str">
        <f t="shared" si="21"/>
        <v/>
      </c>
      <c r="Q328" s="18" t="str">
        <f t="shared" si="22"/>
        <v/>
      </c>
      <c r="R328" s="18" t="e">
        <f t="shared" si="23"/>
        <v>#DIV/0!</v>
      </c>
      <c r="S328" s="34"/>
      <c r="T328" s="29" t="s">
        <v>8</v>
      </c>
      <c r="U328" s="1738"/>
    </row>
    <row r="329" spans="1:21">
      <c r="A329" s="10" t="s">
        <v>14</v>
      </c>
      <c r="B329" s="19">
        <f>+CHAMNORD!B329</f>
        <v>46346</v>
      </c>
      <c r="C329" s="75" t="str">
        <f>IF(H329=0,"",'[5]2025-2026'!C328)</f>
        <v/>
      </c>
      <c r="D329" s="75" t="str">
        <f>+'[5]2026'!C329</f>
        <v/>
      </c>
      <c r="E329" s="75" t="str">
        <f>+'[5]2026'!D329</f>
        <v/>
      </c>
      <c r="F329" s="20" t="str">
        <f>+'[5]2026'!E329</f>
        <v/>
      </c>
      <c r="G329" s="73" t="str">
        <f>+'[5]2026'!F329</f>
        <v/>
      </c>
      <c r="H329" s="42">
        <f>+'[5]2026'!G329</f>
        <v>0</v>
      </c>
      <c r="I329" s="13">
        <f>+'[5]2026'!H329</f>
        <v>0</v>
      </c>
      <c r="J329" s="14">
        <f>+'[5]2026'!I329</f>
        <v>0</v>
      </c>
      <c r="K329" s="15">
        <f>+'[5]2026'!J329</f>
        <v>0</v>
      </c>
      <c r="L329" s="15">
        <f>+'[5]2026'!K329</f>
        <v>0</v>
      </c>
      <c r="M329" s="15">
        <f>+'[5]2026'!L329</f>
        <v>0</v>
      </c>
      <c r="N329" s="16" t="str">
        <f t="shared" si="20"/>
        <v/>
      </c>
      <c r="O329" s="17" t="str">
        <f t="shared" si="21"/>
        <v/>
      </c>
      <c r="P329" s="17" t="str">
        <f t="shared" si="21"/>
        <v/>
      </c>
      <c r="Q329" s="18" t="str">
        <f t="shared" si="22"/>
        <v/>
      </c>
      <c r="R329" s="18" t="e">
        <f t="shared" si="23"/>
        <v>#DIV/0!</v>
      </c>
      <c r="S329" s="36" t="s">
        <v>40</v>
      </c>
      <c r="T329" s="48" t="e">
        <f>SUM(I325:I331)/SUM(L325:L331)</f>
        <v>#DIV/0!</v>
      </c>
      <c r="U329" s="1738"/>
    </row>
    <row r="330" spans="1:21">
      <c r="A330" s="10" t="s">
        <v>15</v>
      </c>
      <c r="B330" s="19">
        <f>+CHAMNORD!B330</f>
        <v>46347</v>
      </c>
      <c r="C330" s="75" t="str">
        <f>IF(H330=0,"",'[5]2025-2026'!C329)</f>
        <v/>
      </c>
      <c r="D330" s="75" t="str">
        <f>+'[5]2026'!C330</f>
        <v/>
      </c>
      <c r="E330" s="75" t="str">
        <f>+'[5]2026'!D330</f>
        <v/>
      </c>
      <c r="F330" s="20" t="str">
        <f>+'[5]2026'!E330</f>
        <v/>
      </c>
      <c r="G330" s="73" t="str">
        <f>+'[5]2026'!F330</f>
        <v/>
      </c>
      <c r="H330" s="42">
        <f>+'[5]2026'!G330</f>
        <v>0</v>
      </c>
      <c r="I330" s="13">
        <f>+'[5]2026'!H330</f>
        <v>0</v>
      </c>
      <c r="J330" s="14">
        <f>+'[5]2026'!I330</f>
        <v>0</v>
      </c>
      <c r="K330" s="15">
        <f>+'[5]2026'!J330</f>
        <v>0</v>
      </c>
      <c r="L330" s="15">
        <f>+'[5]2026'!K330</f>
        <v>0</v>
      </c>
      <c r="M330" s="15">
        <f>+'[5]2026'!L330</f>
        <v>0</v>
      </c>
      <c r="N330" s="16" t="str">
        <f t="shared" si="20"/>
        <v/>
      </c>
      <c r="O330" s="17" t="str">
        <f t="shared" si="21"/>
        <v/>
      </c>
      <c r="P330" s="17" t="str">
        <f t="shared" si="21"/>
        <v/>
      </c>
      <c r="Q330" s="18" t="str">
        <f t="shared" si="22"/>
        <v/>
      </c>
      <c r="R330" s="18" t="e">
        <f t="shared" si="23"/>
        <v>#DIV/0!</v>
      </c>
      <c r="S330" s="36">
        <f>SUM(J325:J331)</f>
        <v>0</v>
      </c>
      <c r="T330" s="30" t="s">
        <v>3</v>
      </c>
      <c r="U330" s="1738"/>
    </row>
    <row r="331" spans="1:21" ht="18" thickBot="1">
      <c r="A331" s="10" t="s">
        <v>16</v>
      </c>
      <c r="B331" s="19">
        <f>+CHAMNORD!B331</f>
        <v>46348</v>
      </c>
      <c r="C331" s="75" t="str">
        <f>IF(H331=0,"",'[5]2025-2026'!C330)</f>
        <v/>
      </c>
      <c r="D331" s="75" t="str">
        <f>+'[5]2026'!C331</f>
        <v/>
      </c>
      <c r="E331" s="75" t="str">
        <f>+'[5]2026'!D331</f>
        <v/>
      </c>
      <c r="F331" s="20" t="str">
        <f>+'[5]2026'!E331</f>
        <v/>
      </c>
      <c r="G331" s="73" t="str">
        <f>+'[5]2026'!F331</f>
        <v/>
      </c>
      <c r="H331" s="42">
        <f>+'[5]2026'!G331</f>
        <v>0</v>
      </c>
      <c r="I331" s="13">
        <f>+'[5]2026'!H331</f>
        <v>0</v>
      </c>
      <c r="J331" s="14">
        <f>+'[5]2026'!I331</f>
        <v>0</v>
      </c>
      <c r="K331" s="15">
        <f>+'[5]2026'!J331</f>
        <v>0</v>
      </c>
      <c r="L331" s="15">
        <f>+'[5]2026'!K331</f>
        <v>0</v>
      </c>
      <c r="M331" s="15">
        <f>+'[5]2026'!L331</f>
        <v>0</v>
      </c>
      <c r="N331" s="16" t="str">
        <f t="shared" si="20"/>
        <v/>
      </c>
      <c r="O331" s="17" t="str">
        <f t="shared" si="21"/>
        <v/>
      </c>
      <c r="P331" s="17" t="str">
        <f t="shared" si="21"/>
        <v/>
      </c>
      <c r="Q331" s="18" t="str">
        <f t="shared" si="22"/>
        <v/>
      </c>
      <c r="R331" s="18" t="e">
        <f t="shared" si="23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</row>
    <row r="332" spans="1:21" ht="17" customHeight="1" thickTop="1">
      <c r="A332" s="10" t="s">
        <v>9</v>
      </c>
      <c r="B332" s="19">
        <f>+CHAMNORD!B332</f>
        <v>46349</v>
      </c>
      <c r="C332" s="75" t="str">
        <f>IF(H332=0,"",'[5]2025-2026'!C331)</f>
        <v/>
      </c>
      <c r="D332" s="75" t="str">
        <f>+'[5]2026'!C332</f>
        <v/>
      </c>
      <c r="E332" s="75" t="str">
        <f>+'[5]2026'!D332</f>
        <v/>
      </c>
      <c r="F332" s="20" t="str">
        <f>+'[5]2026'!E332</f>
        <v/>
      </c>
      <c r="G332" s="73" t="str">
        <f>+'[5]2026'!F332</f>
        <v/>
      </c>
      <c r="H332" s="42">
        <f>+'[5]2026'!G332</f>
        <v>0</v>
      </c>
      <c r="I332" s="13">
        <f>+'[5]2026'!H332</f>
        <v>0</v>
      </c>
      <c r="J332" s="14">
        <f>+'[5]2026'!I332</f>
        <v>0</v>
      </c>
      <c r="K332" s="15">
        <f>+'[5]2026'!J332</f>
        <v>0</v>
      </c>
      <c r="L332" s="15">
        <f>+'[5]2026'!K332</f>
        <v>0</v>
      </c>
      <c r="M332" s="15">
        <f>+'[5]2026'!L332</f>
        <v>0</v>
      </c>
      <c r="N332" s="16" t="str">
        <f t="shared" si="20"/>
        <v/>
      </c>
      <c r="O332" s="17" t="str">
        <f t="shared" si="21"/>
        <v/>
      </c>
      <c r="P332" s="17" t="str">
        <f t="shared" si="21"/>
        <v/>
      </c>
      <c r="Q332" s="18" t="str">
        <f t="shared" si="22"/>
        <v/>
      </c>
      <c r="R332" s="18" t="e">
        <f t="shared" si="23"/>
        <v>#DIV/0!</v>
      </c>
      <c r="S332" s="33" t="s">
        <v>39</v>
      </c>
      <c r="T332" s="31" t="s">
        <v>42</v>
      </c>
      <c r="U332" s="1737" t="s">
        <v>130</v>
      </c>
    </row>
    <row r="333" spans="1:21">
      <c r="A333" s="10" t="s">
        <v>11</v>
      </c>
      <c r="B333" s="19">
        <f>+CHAMNORD!B333</f>
        <v>46350</v>
      </c>
      <c r="C333" s="75" t="str">
        <f>IF(H333=0,"",'[5]2025-2026'!C332)</f>
        <v/>
      </c>
      <c r="D333" s="75" t="str">
        <f>+'[5]2026'!C333</f>
        <v/>
      </c>
      <c r="E333" s="75" t="str">
        <f>+'[5]2026'!D333</f>
        <v/>
      </c>
      <c r="F333" s="20" t="str">
        <f>+'[5]2026'!E333</f>
        <v/>
      </c>
      <c r="G333" s="73" t="str">
        <f>+'[5]2026'!F333</f>
        <v/>
      </c>
      <c r="H333" s="42">
        <f>+'[5]2026'!G333</f>
        <v>0</v>
      </c>
      <c r="I333" s="13">
        <f>+'[5]2026'!H333</f>
        <v>0</v>
      </c>
      <c r="J333" s="14">
        <f>+'[5]2026'!I333</f>
        <v>0</v>
      </c>
      <c r="K333" s="15">
        <f>+'[5]2026'!J333</f>
        <v>0</v>
      </c>
      <c r="L333" s="15">
        <f>+'[5]2026'!K333</f>
        <v>0</v>
      </c>
      <c r="M333" s="15">
        <f>+'[5]2026'!L333</f>
        <v>0</v>
      </c>
      <c r="N333" s="16" t="str">
        <f t="shared" si="20"/>
        <v/>
      </c>
      <c r="O333" s="17" t="str">
        <f t="shared" si="21"/>
        <v/>
      </c>
      <c r="P333" s="17" t="str">
        <f t="shared" si="21"/>
        <v/>
      </c>
      <c r="Q333" s="18" t="str">
        <f t="shared" si="22"/>
        <v/>
      </c>
      <c r="R333" s="18" t="e">
        <f t="shared" si="23"/>
        <v>#DIV/0!</v>
      </c>
      <c r="S333" s="34">
        <f>SUM(I332:I338)</f>
        <v>0</v>
      </c>
      <c r="T333" s="45" t="s">
        <v>41</v>
      </c>
      <c r="U333" s="1738"/>
    </row>
    <row r="334" spans="1:21">
      <c r="A334" s="10" t="s">
        <v>12</v>
      </c>
      <c r="B334" s="19">
        <f>+CHAMNORD!B334</f>
        <v>46351</v>
      </c>
      <c r="C334" s="75" t="str">
        <f>IF(H334=0,"",'[5]2025-2026'!C333)</f>
        <v/>
      </c>
      <c r="D334" s="75" t="str">
        <f>+'[5]2026'!C334</f>
        <v/>
      </c>
      <c r="E334" s="75" t="str">
        <f>+'[5]2026'!D334</f>
        <v/>
      </c>
      <c r="F334" s="20" t="str">
        <f>+'[5]2026'!E334</f>
        <v/>
      </c>
      <c r="G334" s="73" t="str">
        <f>+'[5]2026'!F334</f>
        <v/>
      </c>
      <c r="H334" s="42">
        <f>+'[5]2026'!G334</f>
        <v>0</v>
      </c>
      <c r="I334" s="13">
        <f>+'[5]2026'!H334</f>
        <v>0</v>
      </c>
      <c r="J334" s="14">
        <f>+'[5]2026'!I334</f>
        <v>0</v>
      </c>
      <c r="K334" s="15">
        <f>+'[5]2026'!J334</f>
        <v>0</v>
      </c>
      <c r="L334" s="15">
        <f>+'[5]2026'!K334</f>
        <v>0</v>
      </c>
      <c r="M334" s="15">
        <f>+'[5]2026'!L334</f>
        <v>0</v>
      </c>
      <c r="N334" s="16" t="str">
        <f t="shared" si="20"/>
        <v/>
      </c>
      <c r="O334" s="17" t="str">
        <f t="shared" si="21"/>
        <v/>
      </c>
      <c r="P334" s="17" t="str">
        <f t="shared" si="21"/>
        <v/>
      </c>
      <c r="Q334" s="18" t="str">
        <f t="shared" si="22"/>
        <v/>
      </c>
      <c r="R334" s="18" t="e">
        <f t="shared" si="23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</row>
    <row r="335" spans="1:21">
      <c r="A335" s="10" t="s">
        <v>13</v>
      </c>
      <c r="B335" s="19">
        <f>+CHAMNORD!B335</f>
        <v>46352</v>
      </c>
      <c r="C335" s="75" t="str">
        <f>IF(H335=0,"",'[5]2025-2026'!C334)</f>
        <v/>
      </c>
      <c r="D335" s="75" t="str">
        <f>+'[5]2026'!C335</f>
        <v/>
      </c>
      <c r="E335" s="75" t="str">
        <f>+'[5]2026'!D335</f>
        <v/>
      </c>
      <c r="F335" s="20" t="str">
        <f>+'[5]2026'!E335</f>
        <v/>
      </c>
      <c r="G335" s="73" t="str">
        <f>+'[5]2026'!F335</f>
        <v/>
      </c>
      <c r="H335" s="42">
        <f>+'[5]2026'!G335</f>
        <v>0</v>
      </c>
      <c r="I335" s="13">
        <f>+'[5]2026'!H335</f>
        <v>0</v>
      </c>
      <c r="J335" s="14">
        <f>+'[5]2026'!I335</f>
        <v>0</v>
      </c>
      <c r="K335" s="15">
        <f>+'[5]2026'!J335</f>
        <v>0</v>
      </c>
      <c r="L335" s="15">
        <f>+'[5]2026'!K335</f>
        <v>0</v>
      </c>
      <c r="M335" s="15">
        <f>+'[5]2026'!L335</f>
        <v>0</v>
      </c>
      <c r="N335" s="16" t="str">
        <f t="shared" si="20"/>
        <v/>
      </c>
      <c r="O335" s="17" t="str">
        <f t="shared" si="21"/>
        <v/>
      </c>
      <c r="P335" s="17" t="str">
        <f t="shared" si="21"/>
        <v/>
      </c>
      <c r="Q335" s="18" t="str">
        <f t="shared" si="22"/>
        <v/>
      </c>
      <c r="R335" s="18" t="e">
        <f t="shared" si="23"/>
        <v>#DIV/0!</v>
      </c>
      <c r="S335" s="34"/>
      <c r="T335" s="29" t="s">
        <v>8</v>
      </c>
      <c r="U335" s="1738"/>
    </row>
    <row r="336" spans="1:21">
      <c r="A336" s="10" t="s">
        <v>14</v>
      </c>
      <c r="B336" s="19">
        <f>+CHAMNORD!B336</f>
        <v>46353</v>
      </c>
      <c r="C336" s="75" t="str">
        <f>IF(H336=0,"",'[5]2025-2026'!C335)</f>
        <v/>
      </c>
      <c r="D336" s="75" t="str">
        <f>+'[5]2026'!C336</f>
        <v/>
      </c>
      <c r="E336" s="75" t="str">
        <f>+'[5]2026'!D336</f>
        <v/>
      </c>
      <c r="F336" s="20" t="str">
        <f>+'[5]2026'!E336</f>
        <v/>
      </c>
      <c r="G336" s="73" t="str">
        <f>+'[5]2026'!F336</f>
        <v/>
      </c>
      <c r="H336" s="42">
        <f>+'[5]2026'!G336</f>
        <v>0</v>
      </c>
      <c r="I336" s="13">
        <f>+'[5]2026'!H336</f>
        <v>0</v>
      </c>
      <c r="J336" s="14">
        <f>+'[5]2026'!I336</f>
        <v>0</v>
      </c>
      <c r="K336" s="15">
        <f>+'[5]2026'!J336</f>
        <v>0</v>
      </c>
      <c r="L336" s="15">
        <f>+'[5]2026'!K336</f>
        <v>0</v>
      </c>
      <c r="M336" s="15">
        <f>+'[5]2026'!L336</f>
        <v>0</v>
      </c>
      <c r="N336" s="16" t="str">
        <f t="shared" si="20"/>
        <v/>
      </c>
      <c r="O336" s="17" t="str">
        <f t="shared" si="21"/>
        <v/>
      </c>
      <c r="P336" s="17" t="str">
        <f t="shared" si="21"/>
        <v/>
      </c>
      <c r="Q336" s="18" t="str">
        <f t="shared" si="22"/>
        <v/>
      </c>
      <c r="R336" s="18" t="e">
        <f t="shared" si="23"/>
        <v>#DIV/0!</v>
      </c>
      <c r="S336" s="36" t="s">
        <v>40</v>
      </c>
      <c r="T336" s="48" t="e">
        <f>SUM(I332:I338)/SUM(L332:L338)</f>
        <v>#DIV/0!</v>
      </c>
      <c r="U336" s="1738"/>
    </row>
    <row r="337" spans="1:21">
      <c r="A337" s="10" t="s">
        <v>15</v>
      </c>
      <c r="B337" s="19">
        <f>+CHAMNORD!B337</f>
        <v>46354</v>
      </c>
      <c r="C337" s="75" t="str">
        <f>IF(H337=0,"",'[5]2025-2026'!C336)</f>
        <v/>
      </c>
      <c r="D337" s="75" t="str">
        <f>+'[5]2026'!C337</f>
        <v/>
      </c>
      <c r="E337" s="75" t="str">
        <f>+'[5]2026'!D337</f>
        <v/>
      </c>
      <c r="F337" s="20" t="str">
        <f>+'[5]2026'!E337</f>
        <v/>
      </c>
      <c r="G337" s="73" t="str">
        <f>+'[5]2026'!F337</f>
        <v/>
      </c>
      <c r="H337" s="42">
        <f>+'[5]2026'!G337</f>
        <v>0</v>
      </c>
      <c r="I337" s="13">
        <f>+'[5]2026'!H337</f>
        <v>0</v>
      </c>
      <c r="J337" s="14">
        <f>+'[5]2026'!I337</f>
        <v>0</v>
      </c>
      <c r="K337" s="15">
        <f>+'[5]2026'!J337</f>
        <v>0</v>
      </c>
      <c r="L337" s="15">
        <f>+'[5]2026'!K337</f>
        <v>0</v>
      </c>
      <c r="M337" s="15">
        <f>+'[5]2026'!L337</f>
        <v>0</v>
      </c>
      <c r="N337" s="16" t="str">
        <f t="shared" si="20"/>
        <v/>
      </c>
      <c r="O337" s="17" t="str">
        <f t="shared" si="21"/>
        <v/>
      </c>
      <c r="P337" s="17" t="str">
        <f t="shared" si="21"/>
        <v/>
      </c>
      <c r="Q337" s="18" t="str">
        <f t="shared" si="22"/>
        <v/>
      </c>
      <c r="R337" s="18" t="e">
        <f t="shared" si="23"/>
        <v>#DIV/0!</v>
      </c>
      <c r="S337" s="36">
        <f>SUM(J332:J338)</f>
        <v>0</v>
      </c>
      <c r="T337" s="30" t="s">
        <v>3</v>
      </c>
      <c r="U337" s="1738"/>
    </row>
    <row r="338" spans="1:21" ht="18" thickBot="1">
      <c r="A338" s="10" t="s">
        <v>16</v>
      </c>
      <c r="B338" s="19">
        <f>+CHAMNORD!B338</f>
        <v>46355</v>
      </c>
      <c r="C338" s="75" t="str">
        <f>IF(H338=0,"",'[5]2025-2026'!C337)</f>
        <v/>
      </c>
      <c r="D338" s="75" t="str">
        <f>+'[5]2026'!C338</f>
        <v/>
      </c>
      <c r="E338" s="75" t="str">
        <f>+'[5]2026'!D338</f>
        <v/>
      </c>
      <c r="F338" s="20" t="str">
        <f>+'[5]2026'!E338</f>
        <v/>
      </c>
      <c r="G338" s="73" t="str">
        <f>+'[5]2026'!F338</f>
        <v/>
      </c>
      <c r="H338" s="42">
        <f>+'[5]2026'!G338</f>
        <v>0</v>
      </c>
      <c r="I338" s="13">
        <f>+'[5]2026'!H338</f>
        <v>0</v>
      </c>
      <c r="J338" s="14">
        <f>+'[5]2026'!I338</f>
        <v>0</v>
      </c>
      <c r="K338" s="15">
        <f>+'[5]2026'!J338</f>
        <v>0</v>
      </c>
      <c r="L338" s="15">
        <f>+'[5]2026'!K338</f>
        <v>0</v>
      </c>
      <c r="M338" s="15">
        <f>+'[5]2026'!L338</f>
        <v>0</v>
      </c>
      <c r="N338" s="16" t="str">
        <f t="shared" si="20"/>
        <v/>
      </c>
      <c r="O338" s="17" t="str">
        <f t="shared" si="21"/>
        <v/>
      </c>
      <c r="P338" s="17" t="str">
        <f t="shared" si="21"/>
        <v/>
      </c>
      <c r="Q338" s="18" t="str">
        <f t="shared" si="22"/>
        <v/>
      </c>
      <c r="R338" s="18" t="e">
        <f t="shared" si="23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1" ht="17" customHeight="1" thickTop="1">
      <c r="A339" s="10" t="s">
        <v>9</v>
      </c>
      <c r="B339" s="19">
        <f>+CHAMNORD!B339</f>
        <v>46356</v>
      </c>
      <c r="C339" s="75" t="str">
        <f>IF(H339=0,"",'[5]2025-2026'!C338)</f>
        <v/>
      </c>
      <c r="D339" s="75" t="str">
        <f>+'[5]2026'!C339</f>
        <v/>
      </c>
      <c r="E339" s="75" t="str">
        <f>+'[5]2026'!D339</f>
        <v/>
      </c>
      <c r="F339" s="20" t="str">
        <f>+'[5]2026'!E339</f>
        <v/>
      </c>
      <c r="G339" s="73" t="str">
        <f>+'[5]2026'!F339</f>
        <v/>
      </c>
      <c r="H339" s="42">
        <f>+'[5]2026'!G339</f>
        <v>0</v>
      </c>
      <c r="I339" s="13">
        <f>+'[5]2026'!H339</f>
        <v>0</v>
      </c>
      <c r="J339" s="14">
        <f>+'[5]2026'!I339</f>
        <v>0</v>
      </c>
      <c r="K339" s="15">
        <f>+'[5]2026'!J339</f>
        <v>0</v>
      </c>
      <c r="L339" s="15">
        <f>+'[5]2026'!K339</f>
        <v>0</v>
      </c>
      <c r="M339" s="15">
        <f>+'[5]2026'!L339</f>
        <v>0</v>
      </c>
      <c r="N339" s="16" t="str">
        <f t="shared" si="20"/>
        <v/>
      </c>
      <c r="O339" s="17" t="str">
        <f t="shared" si="21"/>
        <v/>
      </c>
      <c r="P339" s="17" t="str">
        <f t="shared" si="21"/>
        <v/>
      </c>
      <c r="Q339" s="18" t="str">
        <f t="shared" si="22"/>
        <v/>
      </c>
      <c r="R339" s="18" t="e">
        <f t="shared" si="23"/>
        <v>#DIV/0!</v>
      </c>
      <c r="S339" s="33" t="s">
        <v>39</v>
      </c>
      <c r="T339" s="31" t="s">
        <v>42</v>
      </c>
      <c r="U339" s="1737" t="s">
        <v>131</v>
      </c>
    </row>
    <row r="340" spans="1:21">
      <c r="A340" s="10" t="s">
        <v>11</v>
      </c>
      <c r="B340" s="19">
        <f>+CHAMNORD!B340</f>
        <v>46357</v>
      </c>
      <c r="C340" s="75" t="str">
        <f>IF(H340=0,"",'[5]2025-2026'!C339)</f>
        <v/>
      </c>
      <c r="D340" s="75" t="str">
        <f>+'[5]2026'!C340</f>
        <v/>
      </c>
      <c r="E340" s="75" t="str">
        <f>+'[5]2026'!D340</f>
        <v/>
      </c>
      <c r="F340" s="20" t="str">
        <f>+'[5]2026'!E340</f>
        <v/>
      </c>
      <c r="G340" s="73" t="str">
        <f>+'[5]2026'!F340</f>
        <v/>
      </c>
      <c r="H340" s="42">
        <f>+'[5]2026'!G340</f>
        <v>0</v>
      </c>
      <c r="I340" s="13">
        <f>+'[5]2026'!H340</f>
        <v>0</v>
      </c>
      <c r="J340" s="14">
        <f>+'[5]2026'!I340</f>
        <v>0</v>
      </c>
      <c r="K340" s="15">
        <f>+'[5]2026'!J340</f>
        <v>0</v>
      </c>
      <c r="L340" s="15">
        <f>+'[5]2026'!K340</f>
        <v>0</v>
      </c>
      <c r="M340" s="15">
        <f>+'[5]2026'!L340</f>
        <v>0</v>
      </c>
      <c r="N340" s="16" t="str">
        <f t="shared" si="20"/>
        <v/>
      </c>
      <c r="O340" s="17" t="str">
        <f t="shared" si="21"/>
        <v/>
      </c>
      <c r="P340" s="17" t="str">
        <f t="shared" si="21"/>
        <v/>
      </c>
      <c r="Q340" s="18" t="str">
        <f t="shared" si="22"/>
        <v/>
      </c>
      <c r="R340" s="18" t="e">
        <f t="shared" si="23"/>
        <v>#DIV/0!</v>
      </c>
      <c r="S340" s="34">
        <f>SUM(I339:I345)</f>
        <v>0</v>
      </c>
      <c r="T340" s="45" t="s">
        <v>41</v>
      </c>
      <c r="U340" s="1738"/>
    </row>
    <row r="341" spans="1:21">
      <c r="A341" s="10" t="s">
        <v>12</v>
      </c>
      <c r="B341" s="19">
        <f>+CHAMNORD!B341</f>
        <v>46358</v>
      </c>
      <c r="C341" s="75" t="str">
        <f>IF(H341=0,"",'[5]2025-2026'!C340)</f>
        <v/>
      </c>
      <c r="D341" s="75" t="str">
        <f>+'[5]2026'!C341</f>
        <v/>
      </c>
      <c r="E341" s="75" t="str">
        <f>+'[5]2026'!D341</f>
        <v/>
      </c>
      <c r="F341" s="20" t="str">
        <f>+'[5]2026'!E341</f>
        <v/>
      </c>
      <c r="G341" s="73" t="str">
        <f>+'[5]2026'!F341</f>
        <v/>
      </c>
      <c r="H341" s="42">
        <f>+'[5]2026'!G341</f>
        <v>0</v>
      </c>
      <c r="I341" s="13">
        <f>+'[5]2026'!H341</f>
        <v>0</v>
      </c>
      <c r="J341" s="14">
        <f>+'[5]2026'!I341</f>
        <v>0</v>
      </c>
      <c r="K341" s="15">
        <f>+'[5]2026'!J341</f>
        <v>0</v>
      </c>
      <c r="L341" s="15">
        <f>+'[5]2026'!K341</f>
        <v>0</v>
      </c>
      <c r="M341" s="15">
        <f>+'[5]2026'!L341</f>
        <v>0</v>
      </c>
      <c r="N341" s="16" t="str">
        <f t="shared" si="20"/>
        <v/>
      </c>
      <c r="O341" s="17" t="str">
        <f t="shared" si="21"/>
        <v/>
      </c>
      <c r="P341" s="17" t="str">
        <f t="shared" si="21"/>
        <v/>
      </c>
      <c r="Q341" s="18" t="str">
        <f t="shared" si="22"/>
        <v/>
      </c>
      <c r="R341" s="18" t="e">
        <f t="shared" si="23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1">
      <c r="A342" s="10" t="s">
        <v>13</v>
      </c>
      <c r="B342" s="19">
        <f>+CHAMNORD!B342</f>
        <v>46359</v>
      </c>
      <c r="C342" s="75" t="str">
        <f>IF(H342=0,"",'[5]2025-2026'!C341)</f>
        <v/>
      </c>
      <c r="D342" s="75" t="str">
        <f>+'[5]2026'!C342</f>
        <v/>
      </c>
      <c r="E342" s="75" t="str">
        <f>+'[5]2026'!D342</f>
        <v/>
      </c>
      <c r="F342" s="20" t="str">
        <f>+'[5]2026'!E342</f>
        <v/>
      </c>
      <c r="G342" s="73" t="str">
        <f>+'[5]2026'!F342</f>
        <v/>
      </c>
      <c r="H342" s="42">
        <f>+'[5]2026'!G342</f>
        <v>0</v>
      </c>
      <c r="I342" s="13">
        <f>+'[5]2026'!H342</f>
        <v>0</v>
      </c>
      <c r="J342" s="14">
        <f>+'[5]2026'!I342</f>
        <v>0</v>
      </c>
      <c r="K342" s="15">
        <f>+'[5]2026'!J342</f>
        <v>0</v>
      </c>
      <c r="L342" s="15">
        <f>+'[5]2026'!K342</f>
        <v>0</v>
      </c>
      <c r="M342" s="15">
        <f>+'[5]2026'!L342</f>
        <v>0</v>
      </c>
      <c r="N342" s="16" t="str">
        <f t="shared" si="20"/>
        <v/>
      </c>
      <c r="O342" s="17" t="str">
        <f t="shared" si="21"/>
        <v/>
      </c>
      <c r="P342" s="17" t="str">
        <f t="shared" si="21"/>
        <v/>
      </c>
      <c r="Q342" s="18" t="str">
        <f t="shared" si="22"/>
        <v/>
      </c>
      <c r="R342" s="18" t="e">
        <f t="shared" si="23"/>
        <v>#DIV/0!</v>
      </c>
      <c r="S342" s="34"/>
      <c r="T342" s="29" t="s">
        <v>8</v>
      </c>
      <c r="U342" s="1738"/>
    </row>
    <row r="343" spans="1:21">
      <c r="A343" s="10" t="s">
        <v>14</v>
      </c>
      <c r="B343" s="19">
        <f>+CHAMNORD!B343</f>
        <v>46360</v>
      </c>
      <c r="C343" s="75" t="str">
        <f>IF(H343=0,"",'[5]2025-2026'!C342)</f>
        <v/>
      </c>
      <c r="D343" s="75" t="str">
        <f>+'[5]2026'!C343</f>
        <v/>
      </c>
      <c r="E343" s="75" t="str">
        <f>+'[5]2026'!D343</f>
        <v/>
      </c>
      <c r="F343" s="20" t="str">
        <f>+'[5]2026'!E343</f>
        <v/>
      </c>
      <c r="G343" s="73" t="str">
        <f>+'[5]2026'!F343</f>
        <v/>
      </c>
      <c r="H343" s="42">
        <f>+'[5]2026'!G343</f>
        <v>0</v>
      </c>
      <c r="I343" s="13">
        <f>+'[5]2026'!H343</f>
        <v>0</v>
      </c>
      <c r="J343" s="14">
        <f>+'[5]2026'!I343</f>
        <v>0</v>
      </c>
      <c r="K343" s="15">
        <f>+'[5]2026'!J343</f>
        <v>0</v>
      </c>
      <c r="L343" s="15">
        <f>+'[5]2026'!K343</f>
        <v>0</v>
      </c>
      <c r="M343" s="15">
        <f>+'[5]2026'!L343</f>
        <v>0</v>
      </c>
      <c r="N343" s="16" t="str">
        <f t="shared" si="20"/>
        <v/>
      </c>
      <c r="O343" s="17" t="str">
        <f t="shared" si="21"/>
        <v/>
      </c>
      <c r="P343" s="17" t="str">
        <f t="shared" si="21"/>
        <v/>
      </c>
      <c r="Q343" s="18" t="str">
        <f t="shared" si="22"/>
        <v/>
      </c>
      <c r="R343" s="18" t="e">
        <f t="shared" si="23"/>
        <v>#DIV/0!</v>
      </c>
      <c r="S343" s="36" t="s">
        <v>40</v>
      </c>
      <c r="T343" s="48" t="e">
        <f>SUM(I339:I345)/SUM(L339:L345)</f>
        <v>#DIV/0!</v>
      </c>
      <c r="U343" s="1738"/>
    </row>
    <row r="344" spans="1:21">
      <c r="A344" s="10" t="s">
        <v>15</v>
      </c>
      <c r="B344" s="19">
        <f>+CHAMNORD!B344</f>
        <v>46361</v>
      </c>
      <c r="C344" s="75" t="str">
        <f>IF(H344=0,"",'[5]2025-2026'!C343)</f>
        <v/>
      </c>
      <c r="D344" s="75" t="str">
        <f>+'[5]2026'!C344</f>
        <v/>
      </c>
      <c r="E344" s="75" t="str">
        <f>+'[5]2026'!D344</f>
        <v/>
      </c>
      <c r="F344" s="20" t="str">
        <f>+'[5]2026'!E344</f>
        <v/>
      </c>
      <c r="G344" s="73" t="str">
        <f>+'[5]2026'!F344</f>
        <v/>
      </c>
      <c r="H344" s="42">
        <f>+'[5]2026'!G344</f>
        <v>0</v>
      </c>
      <c r="I344" s="13">
        <f>+'[5]2026'!H344</f>
        <v>0</v>
      </c>
      <c r="J344" s="14">
        <f>+'[5]2026'!I344</f>
        <v>0</v>
      </c>
      <c r="K344" s="15">
        <f>+'[5]2026'!J344</f>
        <v>0</v>
      </c>
      <c r="L344" s="15">
        <f>+'[5]2026'!K344</f>
        <v>0</v>
      </c>
      <c r="M344" s="15">
        <f>+'[5]2026'!L344</f>
        <v>0</v>
      </c>
      <c r="N344" s="16" t="str">
        <f t="shared" si="20"/>
        <v/>
      </c>
      <c r="O344" s="17" t="str">
        <f t="shared" si="21"/>
        <v/>
      </c>
      <c r="P344" s="17" t="str">
        <f t="shared" si="21"/>
        <v/>
      </c>
      <c r="Q344" s="18" t="str">
        <f t="shared" si="22"/>
        <v/>
      </c>
      <c r="R344" s="18" t="e">
        <f t="shared" si="23"/>
        <v>#DIV/0!</v>
      </c>
      <c r="S344" s="36">
        <f>SUM(J339:J345)</f>
        <v>0</v>
      </c>
      <c r="T344" s="30" t="s">
        <v>3</v>
      </c>
      <c r="U344" s="1738"/>
    </row>
    <row r="345" spans="1:21" ht="18" thickBot="1">
      <c r="A345" s="10" t="s">
        <v>16</v>
      </c>
      <c r="B345" s="19">
        <f>+CHAMNORD!B345</f>
        <v>46362</v>
      </c>
      <c r="C345" s="75" t="str">
        <f>IF(H345=0,"",'[5]2025-2026'!C344)</f>
        <v/>
      </c>
      <c r="D345" s="75" t="str">
        <f>+'[5]2026'!C345</f>
        <v/>
      </c>
      <c r="E345" s="75" t="str">
        <f>+'[5]2026'!D345</f>
        <v/>
      </c>
      <c r="F345" s="20" t="str">
        <f>+'[5]2026'!E345</f>
        <v/>
      </c>
      <c r="G345" s="73" t="str">
        <f>+'[5]2026'!F345</f>
        <v/>
      </c>
      <c r="H345" s="42">
        <f>+'[5]2026'!G345</f>
        <v>0</v>
      </c>
      <c r="I345" s="13">
        <f>+'[5]2026'!H345</f>
        <v>0</v>
      </c>
      <c r="J345" s="14">
        <f>+'[5]2026'!I345</f>
        <v>0</v>
      </c>
      <c r="K345" s="15">
        <f>+'[5]2026'!J345</f>
        <v>0</v>
      </c>
      <c r="L345" s="15">
        <f>+'[5]2026'!K345</f>
        <v>0</v>
      </c>
      <c r="M345" s="15">
        <f>+'[5]2026'!L345</f>
        <v>0</v>
      </c>
      <c r="N345" s="16" t="str">
        <f t="shared" si="20"/>
        <v/>
      </c>
      <c r="O345" s="17" t="str">
        <f t="shared" si="21"/>
        <v/>
      </c>
      <c r="P345" s="17" t="str">
        <f t="shared" si="21"/>
        <v/>
      </c>
      <c r="Q345" s="18" t="str">
        <f t="shared" si="22"/>
        <v/>
      </c>
      <c r="R345" s="18" t="e">
        <f t="shared" si="23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1" ht="17" customHeight="1" thickTop="1">
      <c r="A346" s="10" t="s">
        <v>9</v>
      </c>
      <c r="B346" s="19">
        <f>+CHAMNORD!B346</f>
        <v>46363</v>
      </c>
      <c r="C346" s="75" t="str">
        <f>IF(H346=0,"",'[5]2025-2026'!C345)</f>
        <v/>
      </c>
      <c r="D346" s="75" t="str">
        <f>+'[5]2026'!C346</f>
        <v/>
      </c>
      <c r="E346" s="75" t="str">
        <f>+'[5]2026'!D346</f>
        <v/>
      </c>
      <c r="F346" s="20" t="str">
        <f>+'[5]2026'!E346</f>
        <v/>
      </c>
      <c r="G346" s="73" t="str">
        <f>+'[5]2026'!F346</f>
        <v/>
      </c>
      <c r="H346" s="42">
        <f>+'[5]2026'!G346</f>
        <v>0</v>
      </c>
      <c r="I346" s="13">
        <f>+'[5]2026'!H346</f>
        <v>0</v>
      </c>
      <c r="J346" s="14">
        <f>+'[5]2026'!I346</f>
        <v>0</v>
      </c>
      <c r="K346" s="15">
        <f>+'[5]2026'!J346</f>
        <v>0</v>
      </c>
      <c r="L346" s="15">
        <f>+'[5]2026'!K346</f>
        <v>0</v>
      </c>
      <c r="M346" s="15">
        <f>+'[5]2026'!L346</f>
        <v>0</v>
      </c>
      <c r="N346" s="16" t="str">
        <f t="shared" si="20"/>
        <v/>
      </c>
      <c r="O346" s="17" t="str">
        <f t="shared" si="21"/>
        <v/>
      </c>
      <c r="P346" s="17" t="str">
        <f t="shared" si="21"/>
        <v/>
      </c>
      <c r="Q346" s="18" t="str">
        <f t="shared" si="22"/>
        <v/>
      </c>
      <c r="R346" s="18" t="e">
        <f t="shared" si="23"/>
        <v>#DIV/0!</v>
      </c>
      <c r="S346" s="33" t="s">
        <v>39</v>
      </c>
      <c r="T346" s="31" t="s">
        <v>42</v>
      </c>
      <c r="U346" s="1737" t="s">
        <v>132</v>
      </c>
    </row>
    <row r="347" spans="1:21">
      <c r="A347" s="10" t="s">
        <v>11</v>
      </c>
      <c r="B347" s="19">
        <f>+CHAMNORD!B347</f>
        <v>46364</v>
      </c>
      <c r="C347" s="75" t="str">
        <f>IF(H347=0,"",'[5]2025-2026'!C346)</f>
        <v/>
      </c>
      <c r="D347" s="75" t="str">
        <f>+'[5]2026'!C347</f>
        <v/>
      </c>
      <c r="E347" s="75" t="str">
        <f>+'[5]2026'!D347</f>
        <v/>
      </c>
      <c r="F347" s="20" t="str">
        <f>+'[5]2026'!E347</f>
        <v/>
      </c>
      <c r="G347" s="73" t="str">
        <f>+'[5]2026'!F347</f>
        <v/>
      </c>
      <c r="H347" s="42">
        <f>+'[5]2026'!G347</f>
        <v>0</v>
      </c>
      <c r="I347" s="13">
        <f>+'[5]2026'!H347</f>
        <v>0</v>
      </c>
      <c r="J347" s="14">
        <f>+'[5]2026'!I347</f>
        <v>0</v>
      </c>
      <c r="K347" s="15">
        <f>+'[5]2026'!J347</f>
        <v>0</v>
      </c>
      <c r="L347" s="15">
        <f>+'[5]2026'!K347</f>
        <v>0</v>
      </c>
      <c r="M347" s="15">
        <f>+'[5]2026'!L347</f>
        <v>0</v>
      </c>
      <c r="N347" s="16" t="str">
        <f t="shared" si="20"/>
        <v/>
      </c>
      <c r="O347" s="17" t="str">
        <f t="shared" si="21"/>
        <v/>
      </c>
      <c r="P347" s="17" t="str">
        <f t="shared" si="21"/>
        <v/>
      </c>
      <c r="Q347" s="18" t="str">
        <f t="shared" si="22"/>
        <v/>
      </c>
      <c r="R347" s="18" t="e">
        <f t="shared" si="23"/>
        <v>#DIV/0!</v>
      </c>
      <c r="S347" s="34">
        <f>SUM(I346:I352)</f>
        <v>0</v>
      </c>
      <c r="T347" s="45" t="s">
        <v>41</v>
      </c>
      <c r="U347" s="1738"/>
    </row>
    <row r="348" spans="1:21">
      <c r="A348" s="10" t="s">
        <v>12</v>
      </c>
      <c r="B348" s="19">
        <f>+CHAMNORD!B348</f>
        <v>46365</v>
      </c>
      <c r="C348" s="75" t="str">
        <f>IF(H348=0,"",'[5]2025-2026'!C347)</f>
        <v/>
      </c>
      <c r="D348" s="75" t="str">
        <f>+'[5]2026'!C348</f>
        <v/>
      </c>
      <c r="E348" s="75" t="str">
        <f>+'[5]2026'!D348</f>
        <v/>
      </c>
      <c r="F348" s="20" t="str">
        <f>+'[5]2026'!E348</f>
        <v/>
      </c>
      <c r="G348" s="73" t="str">
        <f>+'[5]2026'!F348</f>
        <v/>
      </c>
      <c r="H348" s="42">
        <f>+'[5]2026'!G348</f>
        <v>0</v>
      </c>
      <c r="I348" s="13">
        <f>+'[5]2026'!H348</f>
        <v>0</v>
      </c>
      <c r="J348" s="14">
        <f>+'[5]2026'!I348</f>
        <v>0</v>
      </c>
      <c r="K348" s="15">
        <f>+'[5]2026'!J348</f>
        <v>0</v>
      </c>
      <c r="L348" s="15">
        <f>+'[5]2026'!K348</f>
        <v>0</v>
      </c>
      <c r="M348" s="15">
        <f>+'[5]2026'!L348</f>
        <v>0</v>
      </c>
      <c r="N348" s="16" t="str">
        <f t="shared" si="20"/>
        <v/>
      </c>
      <c r="O348" s="17" t="str">
        <f t="shared" si="21"/>
        <v/>
      </c>
      <c r="P348" s="17" t="str">
        <f t="shared" si="21"/>
        <v/>
      </c>
      <c r="Q348" s="18" t="str">
        <f t="shared" si="22"/>
        <v/>
      </c>
      <c r="R348" s="18" t="e">
        <f t="shared" si="23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1">
      <c r="A349" s="10" t="s">
        <v>13</v>
      </c>
      <c r="B349" s="19">
        <f>+CHAMNORD!B349</f>
        <v>46366</v>
      </c>
      <c r="C349" s="75" t="str">
        <f>IF(H349=0,"",'[5]2025-2026'!C348)</f>
        <v/>
      </c>
      <c r="D349" s="75" t="str">
        <f>+'[5]2026'!C349</f>
        <v/>
      </c>
      <c r="E349" s="75" t="str">
        <f>+'[5]2026'!D349</f>
        <v/>
      </c>
      <c r="F349" s="20" t="str">
        <f>+'[5]2026'!E349</f>
        <v/>
      </c>
      <c r="G349" s="73" t="str">
        <f>+'[5]2026'!F349</f>
        <v/>
      </c>
      <c r="H349" s="42">
        <f>+'[5]2026'!G349</f>
        <v>0</v>
      </c>
      <c r="I349" s="13">
        <f>+'[5]2026'!H349</f>
        <v>0</v>
      </c>
      <c r="J349" s="14">
        <f>+'[5]2026'!I349</f>
        <v>0</v>
      </c>
      <c r="K349" s="15">
        <f>+'[5]2026'!J349</f>
        <v>0</v>
      </c>
      <c r="L349" s="15">
        <f>+'[5]2026'!K349</f>
        <v>0</v>
      </c>
      <c r="M349" s="15">
        <f>+'[5]2026'!L349</f>
        <v>0</v>
      </c>
      <c r="N349" s="16" t="str">
        <f t="shared" si="20"/>
        <v/>
      </c>
      <c r="O349" s="17" t="str">
        <f t="shared" si="21"/>
        <v/>
      </c>
      <c r="P349" s="17" t="str">
        <f t="shared" si="21"/>
        <v/>
      </c>
      <c r="Q349" s="18" t="str">
        <f t="shared" si="22"/>
        <v/>
      </c>
      <c r="R349" s="18" t="e">
        <f t="shared" si="23"/>
        <v>#DIV/0!</v>
      </c>
      <c r="S349" s="34"/>
      <c r="T349" s="29" t="s">
        <v>8</v>
      </c>
      <c r="U349" s="1738"/>
    </row>
    <row r="350" spans="1:21">
      <c r="A350" s="10" t="s">
        <v>14</v>
      </c>
      <c r="B350" s="19">
        <f>+CHAMNORD!B350</f>
        <v>46367</v>
      </c>
      <c r="C350" s="75" t="str">
        <f>IF(H350=0,"",'[5]2025-2026'!C349)</f>
        <v/>
      </c>
      <c r="D350" s="75" t="str">
        <f>+'[5]2026'!C350</f>
        <v/>
      </c>
      <c r="E350" s="75" t="str">
        <f>+'[5]2026'!D350</f>
        <v/>
      </c>
      <c r="F350" s="20" t="str">
        <f>+'[5]2026'!E350</f>
        <v/>
      </c>
      <c r="G350" s="73" t="str">
        <f>+'[5]2026'!F350</f>
        <v/>
      </c>
      <c r="H350" s="42">
        <f>+'[5]2026'!G350</f>
        <v>0</v>
      </c>
      <c r="I350" s="13">
        <f>+'[5]2026'!H350</f>
        <v>0</v>
      </c>
      <c r="J350" s="14">
        <f>+'[5]2026'!I350</f>
        <v>0</v>
      </c>
      <c r="K350" s="15">
        <f>+'[5]2026'!J350</f>
        <v>0</v>
      </c>
      <c r="L350" s="15">
        <f>+'[5]2026'!K350</f>
        <v>0</v>
      </c>
      <c r="M350" s="15">
        <f>+'[5]2026'!L350</f>
        <v>0</v>
      </c>
      <c r="N350" s="16" t="str">
        <f t="shared" si="20"/>
        <v/>
      </c>
      <c r="O350" s="17" t="str">
        <f t="shared" si="21"/>
        <v/>
      </c>
      <c r="P350" s="17" t="str">
        <f t="shared" si="21"/>
        <v/>
      </c>
      <c r="Q350" s="18" t="str">
        <f t="shared" si="22"/>
        <v/>
      </c>
      <c r="R350" s="18" t="e">
        <f t="shared" si="23"/>
        <v>#DIV/0!</v>
      </c>
      <c r="S350" s="36" t="s">
        <v>40</v>
      </c>
      <c r="T350" s="48" t="e">
        <f>SUM(I346:I352)/SUM(L346:L352)</f>
        <v>#DIV/0!</v>
      </c>
      <c r="U350" s="1738"/>
    </row>
    <row r="351" spans="1:21">
      <c r="A351" s="10" t="s">
        <v>15</v>
      </c>
      <c r="B351" s="19">
        <f>+CHAMNORD!B351</f>
        <v>46368</v>
      </c>
      <c r="C351" s="75" t="str">
        <f>IF(H351=0,"",'[5]2025-2026'!C350)</f>
        <v/>
      </c>
      <c r="D351" s="75" t="str">
        <f>+'[5]2026'!C351</f>
        <v/>
      </c>
      <c r="E351" s="75" t="str">
        <f>+'[5]2026'!D351</f>
        <v/>
      </c>
      <c r="F351" s="20" t="str">
        <f>+'[5]2026'!E351</f>
        <v/>
      </c>
      <c r="G351" s="73" t="str">
        <f>+'[5]2026'!F351</f>
        <v/>
      </c>
      <c r="H351" s="42">
        <f>+'[5]2026'!G351</f>
        <v>0</v>
      </c>
      <c r="I351" s="13">
        <f>+'[5]2026'!H351</f>
        <v>0</v>
      </c>
      <c r="J351" s="14">
        <f>+'[5]2026'!I351</f>
        <v>0</v>
      </c>
      <c r="K351" s="15">
        <f>+'[5]2026'!J351</f>
        <v>0</v>
      </c>
      <c r="L351" s="15">
        <f>+'[5]2026'!K351</f>
        <v>0</v>
      </c>
      <c r="M351" s="15">
        <f>+'[5]2026'!L351</f>
        <v>0</v>
      </c>
      <c r="N351" s="16" t="str">
        <f t="shared" si="20"/>
        <v/>
      </c>
      <c r="O351" s="17" t="str">
        <f t="shared" si="21"/>
        <v/>
      </c>
      <c r="P351" s="17" t="str">
        <f t="shared" si="21"/>
        <v/>
      </c>
      <c r="Q351" s="18" t="str">
        <f t="shared" si="22"/>
        <v/>
      </c>
      <c r="R351" s="18" t="e">
        <f t="shared" si="23"/>
        <v>#DIV/0!</v>
      </c>
      <c r="S351" s="36">
        <f>SUM(J346:J352)</f>
        <v>0</v>
      </c>
      <c r="T351" s="30" t="s">
        <v>3</v>
      </c>
      <c r="U351" s="1738"/>
    </row>
    <row r="352" spans="1:21" ht="18" thickBot="1">
      <c r="A352" s="10" t="s">
        <v>16</v>
      </c>
      <c r="B352" s="19">
        <f>+CHAMNORD!B352</f>
        <v>46369</v>
      </c>
      <c r="C352" s="75" t="str">
        <f>IF(H352=0,"",'[5]2025-2026'!C351)</f>
        <v/>
      </c>
      <c r="D352" s="75" t="str">
        <f>+'[5]2026'!C352</f>
        <v/>
      </c>
      <c r="E352" s="75" t="str">
        <f>+'[5]2026'!D352</f>
        <v/>
      </c>
      <c r="F352" s="20" t="str">
        <f>+'[5]2026'!E352</f>
        <v/>
      </c>
      <c r="G352" s="73" t="str">
        <f>+'[5]2026'!F352</f>
        <v/>
      </c>
      <c r="H352" s="42">
        <f>+'[5]2026'!G352</f>
        <v>0</v>
      </c>
      <c r="I352" s="13">
        <f>+'[5]2026'!H352</f>
        <v>0</v>
      </c>
      <c r="J352" s="14">
        <f>+'[5]2026'!I352</f>
        <v>0</v>
      </c>
      <c r="K352" s="15">
        <f>+'[5]2026'!J352</f>
        <v>0</v>
      </c>
      <c r="L352" s="15">
        <f>+'[5]2026'!K352</f>
        <v>0</v>
      </c>
      <c r="M352" s="15">
        <f>+'[5]2026'!L352</f>
        <v>0</v>
      </c>
      <c r="N352" s="16" t="str">
        <f t="shared" si="20"/>
        <v/>
      </c>
      <c r="O352" s="17" t="str">
        <f t="shared" si="21"/>
        <v/>
      </c>
      <c r="P352" s="17" t="str">
        <f t="shared" si="21"/>
        <v/>
      </c>
      <c r="Q352" s="18" t="str">
        <f t="shared" si="22"/>
        <v/>
      </c>
      <c r="R352" s="18" t="e">
        <f t="shared" si="23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19">
        <f>+CHAMNORD!B353</f>
        <v>46370</v>
      </c>
      <c r="C353" s="75" t="str">
        <f>IF(H353=0,"",'[5]2025-2026'!C352)</f>
        <v/>
      </c>
      <c r="D353" s="75" t="str">
        <f>+'[5]2026'!C353</f>
        <v/>
      </c>
      <c r="E353" s="75" t="str">
        <f>+'[5]2026'!D353</f>
        <v/>
      </c>
      <c r="F353" s="20" t="str">
        <f>+'[5]2026'!E353</f>
        <v/>
      </c>
      <c r="G353" s="73" t="str">
        <f>+'[5]2026'!F353</f>
        <v/>
      </c>
      <c r="H353" s="42">
        <f>+'[5]2026'!G353</f>
        <v>0</v>
      </c>
      <c r="I353" s="13">
        <f>+'[5]2026'!H353</f>
        <v>0</v>
      </c>
      <c r="J353" s="14">
        <f>+'[5]2026'!I353</f>
        <v>0</v>
      </c>
      <c r="K353" s="15">
        <f>+'[5]2026'!J353</f>
        <v>0</v>
      </c>
      <c r="L353" s="15">
        <f>+'[5]2026'!K353</f>
        <v>0</v>
      </c>
      <c r="M353" s="15">
        <f>+'[5]2026'!L353</f>
        <v>0</v>
      </c>
      <c r="N353" s="16" t="str">
        <f t="shared" si="20"/>
        <v/>
      </c>
      <c r="O353" s="17" t="str">
        <f t="shared" si="21"/>
        <v/>
      </c>
      <c r="P353" s="17" t="str">
        <f t="shared" si="21"/>
        <v/>
      </c>
      <c r="Q353" s="18" t="str">
        <f t="shared" si="22"/>
        <v/>
      </c>
      <c r="R353" s="18" t="e">
        <f t="shared" si="23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19">
        <f>+CHAMNORD!B354</f>
        <v>46371</v>
      </c>
      <c r="C354" s="75" t="str">
        <f>IF(H354=0,"",'[5]2025-2026'!C353)</f>
        <v/>
      </c>
      <c r="D354" s="75" t="str">
        <f>+'[5]2026'!C354</f>
        <v/>
      </c>
      <c r="E354" s="75" t="str">
        <f>+'[5]2026'!D354</f>
        <v/>
      </c>
      <c r="F354" s="20" t="str">
        <f>+'[5]2026'!E354</f>
        <v/>
      </c>
      <c r="G354" s="73" t="str">
        <f>+'[5]2026'!F354</f>
        <v/>
      </c>
      <c r="H354" s="42">
        <f>+'[5]2026'!G354</f>
        <v>0</v>
      </c>
      <c r="I354" s="13">
        <f>+'[5]2026'!H354</f>
        <v>0</v>
      </c>
      <c r="J354" s="14">
        <f>+'[5]2026'!I354</f>
        <v>0</v>
      </c>
      <c r="K354" s="15">
        <f>+'[5]2026'!J354</f>
        <v>0</v>
      </c>
      <c r="L354" s="15">
        <f>+'[5]2026'!K354</f>
        <v>0</v>
      </c>
      <c r="M354" s="15">
        <f>+'[5]2026'!L354</f>
        <v>0</v>
      </c>
      <c r="N354" s="16" t="str">
        <f t="shared" si="20"/>
        <v/>
      </c>
      <c r="O354" s="17" t="str">
        <f t="shared" si="21"/>
        <v/>
      </c>
      <c r="P354" s="17" t="str">
        <f t="shared" si="21"/>
        <v/>
      </c>
      <c r="Q354" s="18" t="str">
        <f t="shared" si="22"/>
        <v/>
      </c>
      <c r="R354" s="18" t="e">
        <f t="shared" si="23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19">
        <f>+CHAMNORD!B355</f>
        <v>46372</v>
      </c>
      <c r="C355" s="75" t="str">
        <f>IF(H355=0,"",'[5]2025-2026'!C354)</f>
        <v/>
      </c>
      <c r="D355" s="75" t="str">
        <f>+'[5]2026'!C355</f>
        <v/>
      </c>
      <c r="E355" s="75" t="str">
        <f>+'[5]2026'!D355</f>
        <v/>
      </c>
      <c r="F355" s="20" t="str">
        <f>+'[5]2026'!E355</f>
        <v/>
      </c>
      <c r="G355" s="73" t="str">
        <f>+'[5]2026'!F355</f>
        <v/>
      </c>
      <c r="H355" s="42">
        <f>+'[5]2026'!G355</f>
        <v>0</v>
      </c>
      <c r="I355" s="13">
        <f>+'[5]2026'!H355</f>
        <v>0</v>
      </c>
      <c r="J355" s="14">
        <f>+'[5]2026'!I355</f>
        <v>0</v>
      </c>
      <c r="K355" s="15">
        <f>+'[5]2026'!J355</f>
        <v>0</v>
      </c>
      <c r="L355" s="15">
        <f>+'[5]2026'!K355</f>
        <v>0</v>
      </c>
      <c r="M355" s="15">
        <f>+'[5]2026'!L355</f>
        <v>0</v>
      </c>
      <c r="N355" s="16" t="str">
        <f t="shared" si="20"/>
        <v/>
      </c>
      <c r="O355" s="17" t="str">
        <f t="shared" si="21"/>
        <v/>
      </c>
      <c r="P355" s="17" t="str">
        <f t="shared" si="21"/>
        <v/>
      </c>
      <c r="Q355" s="18" t="str">
        <f t="shared" si="22"/>
        <v/>
      </c>
      <c r="R355" s="18" t="e">
        <f t="shared" si="23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19">
        <f>+CHAMNORD!B356</f>
        <v>46373</v>
      </c>
      <c r="C356" s="75" t="str">
        <f>IF(H356=0,"",'[5]2025-2026'!C355)</f>
        <v/>
      </c>
      <c r="D356" s="75" t="str">
        <f>+'[5]2026'!C356</f>
        <v/>
      </c>
      <c r="E356" s="75" t="str">
        <f>+'[5]2026'!D356</f>
        <v/>
      </c>
      <c r="F356" s="20" t="str">
        <f>+'[5]2026'!E356</f>
        <v/>
      </c>
      <c r="G356" s="73" t="str">
        <f>+'[5]2026'!F356</f>
        <v/>
      </c>
      <c r="H356" s="42">
        <f>+'[5]2026'!G356</f>
        <v>0</v>
      </c>
      <c r="I356" s="13">
        <f>+'[5]2026'!H356</f>
        <v>0</v>
      </c>
      <c r="J356" s="14">
        <f>+'[5]2026'!I356</f>
        <v>0</v>
      </c>
      <c r="K356" s="15">
        <f>+'[5]2026'!J356</f>
        <v>0</v>
      </c>
      <c r="L356" s="15">
        <f>+'[5]2026'!K356</f>
        <v>0</v>
      </c>
      <c r="M356" s="15">
        <f>+'[5]2026'!L356</f>
        <v>0</v>
      </c>
      <c r="N356" s="16" t="str">
        <f t="shared" si="20"/>
        <v/>
      </c>
      <c r="O356" s="17" t="str">
        <f t="shared" si="21"/>
        <v/>
      </c>
      <c r="P356" s="17" t="str">
        <f t="shared" si="21"/>
        <v/>
      </c>
      <c r="Q356" s="18" t="str">
        <f t="shared" si="22"/>
        <v/>
      </c>
      <c r="R356" s="18" t="e">
        <f t="shared" si="23"/>
        <v>#DIV/0!</v>
      </c>
      <c r="S356" s="34"/>
      <c r="T356" s="29" t="s">
        <v>8</v>
      </c>
      <c r="U356" s="1738"/>
    </row>
    <row r="357" spans="1:21">
      <c r="A357" s="10" t="s">
        <v>14</v>
      </c>
      <c r="B357" s="19">
        <f>+CHAMNORD!B357</f>
        <v>46374</v>
      </c>
      <c r="C357" s="75" t="str">
        <f>IF(H357=0,"",'[5]2025-2026'!C356)</f>
        <v/>
      </c>
      <c r="D357" s="75" t="str">
        <f>+'[5]2026'!C357</f>
        <v/>
      </c>
      <c r="E357" s="75" t="str">
        <f>+'[5]2026'!D357</f>
        <v/>
      </c>
      <c r="F357" s="20" t="str">
        <f>+'[5]2026'!E357</f>
        <v/>
      </c>
      <c r="G357" s="73" t="str">
        <f>+'[5]2026'!F357</f>
        <v/>
      </c>
      <c r="H357" s="42">
        <f>+'[5]2026'!G357</f>
        <v>0</v>
      </c>
      <c r="I357" s="13">
        <f>+'[5]2026'!H357</f>
        <v>0</v>
      </c>
      <c r="J357" s="14">
        <f>+'[5]2026'!I357</f>
        <v>0</v>
      </c>
      <c r="K357" s="15">
        <f>+'[5]2026'!J357</f>
        <v>0</v>
      </c>
      <c r="L357" s="15">
        <f>+'[5]2026'!K357</f>
        <v>0</v>
      </c>
      <c r="M357" s="15">
        <f>+'[5]2026'!L357</f>
        <v>0</v>
      </c>
      <c r="N357" s="16" t="str">
        <f t="shared" si="20"/>
        <v/>
      </c>
      <c r="O357" s="17" t="str">
        <f t="shared" si="21"/>
        <v/>
      </c>
      <c r="P357" s="17" t="str">
        <f t="shared" si="21"/>
        <v/>
      </c>
      <c r="Q357" s="18" t="str">
        <f t="shared" si="22"/>
        <v/>
      </c>
      <c r="R357" s="18" t="e">
        <f t="shared" si="23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19">
        <f>+CHAMNORD!B358</f>
        <v>46375</v>
      </c>
      <c r="C358" s="75" t="str">
        <f>IF(H358=0,"",'[5]2025-2026'!C357)</f>
        <v/>
      </c>
      <c r="D358" s="75" t="str">
        <f>+'[5]2026'!C358</f>
        <v/>
      </c>
      <c r="E358" s="75" t="str">
        <f>+'[5]2026'!D358</f>
        <v/>
      </c>
      <c r="F358" s="20" t="str">
        <f>+'[5]2026'!E358</f>
        <v/>
      </c>
      <c r="G358" s="73" t="str">
        <f>+'[5]2026'!F358</f>
        <v/>
      </c>
      <c r="H358" s="42">
        <f>+'[5]2026'!G358</f>
        <v>0</v>
      </c>
      <c r="I358" s="13">
        <f>+'[5]2026'!H358</f>
        <v>0</v>
      </c>
      <c r="J358" s="14">
        <f>+'[5]2026'!I358</f>
        <v>0</v>
      </c>
      <c r="K358" s="15">
        <f>+'[5]2026'!J358</f>
        <v>0</v>
      </c>
      <c r="L358" s="15">
        <f>+'[5]2026'!K358</f>
        <v>0</v>
      </c>
      <c r="M358" s="15">
        <f>+'[5]2026'!L358</f>
        <v>0</v>
      </c>
      <c r="N358" s="16" t="str">
        <f t="shared" si="20"/>
        <v/>
      </c>
      <c r="O358" s="17" t="str">
        <f t="shared" si="21"/>
        <v/>
      </c>
      <c r="P358" s="17" t="str">
        <f t="shared" si="21"/>
        <v/>
      </c>
      <c r="Q358" s="18" t="str">
        <f t="shared" si="22"/>
        <v/>
      </c>
      <c r="R358" s="18" t="e">
        <f t="shared" si="23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19">
        <f>+CHAMNORD!B359</f>
        <v>46376</v>
      </c>
      <c r="C359" s="75" t="str">
        <f>IF(H359=0,"",'[5]2025-2026'!C358)</f>
        <v/>
      </c>
      <c r="D359" s="75" t="str">
        <f>+'[5]2026'!C359</f>
        <v/>
      </c>
      <c r="E359" s="75" t="str">
        <f>+'[5]2026'!D359</f>
        <v/>
      </c>
      <c r="F359" s="20" t="str">
        <f>+'[5]2026'!E359</f>
        <v/>
      </c>
      <c r="G359" s="73" t="str">
        <f>+'[5]2026'!F359</f>
        <v/>
      </c>
      <c r="H359" s="42">
        <f>+'[5]2026'!G359</f>
        <v>0</v>
      </c>
      <c r="I359" s="13">
        <f>+'[5]2026'!H359</f>
        <v>0</v>
      </c>
      <c r="J359" s="14">
        <f>+'[5]2026'!I359</f>
        <v>0</v>
      </c>
      <c r="K359" s="15">
        <f>+'[5]2026'!J359</f>
        <v>0</v>
      </c>
      <c r="L359" s="15">
        <f>+'[5]2026'!K359</f>
        <v>0</v>
      </c>
      <c r="M359" s="15">
        <f>+'[5]2026'!L359</f>
        <v>0</v>
      </c>
      <c r="N359" s="16" t="str">
        <f t="shared" si="20"/>
        <v/>
      </c>
      <c r="O359" s="17" t="str">
        <f t="shared" si="21"/>
        <v/>
      </c>
      <c r="P359" s="17" t="str">
        <f t="shared" si="21"/>
        <v/>
      </c>
      <c r="Q359" s="18" t="str">
        <f t="shared" si="22"/>
        <v/>
      </c>
      <c r="R359" s="18" t="e">
        <f t="shared" si="23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19">
        <f>+CHAMNORD!B360</f>
        <v>46377</v>
      </c>
      <c r="C360" s="75" t="str">
        <f>IF(H360=0,"",'[5]2025-2026'!C359)</f>
        <v/>
      </c>
      <c r="D360" s="75" t="str">
        <f>+'[5]2026'!C360</f>
        <v/>
      </c>
      <c r="E360" s="75" t="str">
        <f>+'[5]2026'!D360</f>
        <v/>
      </c>
      <c r="F360" s="20" t="str">
        <f>+'[5]2026'!E360</f>
        <v/>
      </c>
      <c r="G360" s="73" t="str">
        <f>+'[5]2026'!F360</f>
        <v/>
      </c>
      <c r="H360" s="42">
        <f>+'[5]2026'!G360</f>
        <v>0</v>
      </c>
      <c r="I360" s="13">
        <f>+'[5]2026'!H360</f>
        <v>0</v>
      </c>
      <c r="J360" s="14">
        <f>+'[5]2026'!I360</f>
        <v>0</v>
      </c>
      <c r="K360" s="15">
        <f>+'[5]2026'!J360</f>
        <v>0</v>
      </c>
      <c r="L360" s="15">
        <f>+'[5]2026'!K360</f>
        <v>0</v>
      </c>
      <c r="M360" s="15">
        <f>+'[5]2026'!L360</f>
        <v>0</v>
      </c>
      <c r="N360" s="16" t="str">
        <f t="shared" si="20"/>
        <v/>
      </c>
      <c r="O360" s="17" t="str">
        <f t="shared" si="21"/>
        <v/>
      </c>
      <c r="P360" s="17" t="str">
        <f t="shared" si="21"/>
        <v/>
      </c>
      <c r="Q360" s="18" t="str">
        <f t="shared" si="22"/>
        <v/>
      </c>
      <c r="R360" s="18" t="e">
        <f t="shared" si="23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19">
        <f>+CHAMNORD!B361</f>
        <v>46378</v>
      </c>
      <c r="C361" s="75" t="str">
        <f>IF(H361=0,"",'[5]2025-2026'!C360)</f>
        <v/>
      </c>
      <c r="D361" s="75" t="str">
        <f>+'[5]2026'!C361</f>
        <v/>
      </c>
      <c r="E361" s="75" t="str">
        <f>+'[5]2026'!D361</f>
        <v/>
      </c>
      <c r="F361" s="20" t="str">
        <f>+'[5]2026'!E361</f>
        <v/>
      </c>
      <c r="G361" s="73" t="str">
        <f>+'[5]2026'!F361</f>
        <v/>
      </c>
      <c r="H361" s="42">
        <f>+'[5]2026'!G361</f>
        <v>0</v>
      </c>
      <c r="I361" s="13">
        <f>+'[5]2026'!H361</f>
        <v>0</v>
      </c>
      <c r="J361" s="14">
        <f>+'[5]2026'!I361</f>
        <v>0</v>
      </c>
      <c r="K361" s="15">
        <f>+'[5]2026'!J361</f>
        <v>0</v>
      </c>
      <c r="L361" s="15">
        <f>+'[5]2026'!K361</f>
        <v>0</v>
      </c>
      <c r="M361" s="15">
        <f>+'[5]2026'!L361</f>
        <v>0</v>
      </c>
      <c r="N361" s="16" t="str">
        <f t="shared" si="20"/>
        <v/>
      </c>
      <c r="O361" s="17" t="str">
        <f t="shared" si="21"/>
        <v/>
      </c>
      <c r="P361" s="17" t="str">
        <f t="shared" si="21"/>
        <v/>
      </c>
      <c r="Q361" s="18" t="str">
        <f t="shared" si="22"/>
        <v/>
      </c>
      <c r="R361" s="18" t="e">
        <f t="shared" si="23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19">
        <f>+CHAMNORD!B362</f>
        <v>46379</v>
      </c>
      <c r="C362" s="75" t="str">
        <f>IF(H362=0,"",'[5]2025-2026'!C361)</f>
        <v/>
      </c>
      <c r="D362" s="75" t="str">
        <f>+'[5]2026'!C362</f>
        <v/>
      </c>
      <c r="E362" s="75" t="str">
        <f>+'[5]2026'!D362</f>
        <v/>
      </c>
      <c r="F362" s="20" t="str">
        <f>+'[5]2026'!E362</f>
        <v/>
      </c>
      <c r="G362" s="73" t="str">
        <f>+'[5]2026'!F362</f>
        <v/>
      </c>
      <c r="H362" s="42">
        <f>+'[5]2026'!G362</f>
        <v>0</v>
      </c>
      <c r="I362" s="13">
        <f>+'[5]2026'!H362</f>
        <v>0</v>
      </c>
      <c r="J362" s="14">
        <f>+'[5]2026'!I362</f>
        <v>0</v>
      </c>
      <c r="K362" s="15">
        <f>+'[5]2026'!J362</f>
        <v>0</v>
      </c>
      <c r="L362" s="15">
        <f>+'[5]2026'!K362</f>
        <v>0</v>
      </c>
      <c r="M362" s="15">
        <f>+'[5]2026'!L362</f>
        <v>0</v>
      </c>
      <c r="N362" s="16" t="str">
        <f t="shared" si="20"/>
        <v/>
      </c>
      <c r="O362" s="17" t="str">
        <f t="shared" si="21"/>
        <v/>
      </c>
      <c r="P362" s="17" t="str">
        <f t="shared" si="21"/>
        <v/>
      </c>
      <c r="Q362" s="18" t="str">
        <f t="shared" si="22"/>
        <v/>
      </c>
      <c r="R362" s="18" t="e">
        <f t="shared" si="23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19">
        <f>+CHAMNORD!B363</f>
        <v>46380</v>
      </c>
      <c r="C363" s="75" t="str">
        <f>IF(H363=0,"",'[5]2025-2026'!C362)</f>
        <v/>
      </c>
      <c r="D363" s="75" t="str">
        <f>+'[5]2026'!C363</f>
        <v/>
      </c>
      <c r="E363" s="75" t="str">
        <f>+'[5]2026'!D363</f>
        <v/>
      </c>
      <c r="F363" s="20" t="str">
        <f>+'[5]2026'!E363</f>
        <v/>
      </c>
      <c r="G363" s="73" t="str">
        <f>+'[5]2026'!F363</f>
        <v/>
      </c>
      <c r="H363" s="42">
        <f>+'[5]2026'!G363</f>
        <v>0</v>
      </c>
      <c r="I363" s="13">
        <f>+'[5]2026'!H363</f>
        <v>0</v>
      </c>
      <c r="J363" s="14">
        <f>+'[5]2026'!I363</f>
        <v>0</v>
      </c>
      <c r="K363" s="15">
        <f>+'[5]2026'!J363</f>
        <v>0</v>
      </c>
      <c r="L363" s="15">
        <f>+'[5]2026'!K363</f>
        <v>0</v>
      </c>
      <c r="M363" s="15">
        <f>+'[5]2026'!L363</f>
        <v>0</v>
      </c>
      <c r="N363" s="16" t="str">
        <f t="shared" si="20"/>
        <v/>
      </c>
      <c r="O363" s="17" t="str">
        <f t="shared" si="21"/>
        <v/>
      </c>
      <c r="P363" s="17" t="str">
        <f t="shared" si="21"/>
        <v/>
      </c>
      <c r="Q363" s="18" t="str">
        <f t="shared" si="22"/>
        <v/>
      </c>
      <c r="R363" s="18" t="e">
        <f t="shared" si="23"/>
        <v>#DIV/0!</v>
      </c>
      <c r="S363" s="34"/>
      <c r="T363" s="29" t="s">
        <v>8</v>
      </c>
      <c r="U363" s="1738"/>
    </row>
    <row r="364" spans="1:21">
      <c r="A364" s="10" t="s">
        <v>14</v>
      </c>
      <c r="B364" s="19">
        <f>+CHAMNORD!B364</f>
        <v>46381</v>
      </c>
      <c r="C364" s="75" t="str">
        <f>IF(H364=0,"",'[5]2025-2026'!C363)</f>
        <v/>
      </c>
      <c r="D364" s="75" t="str">
        <f>+'[5]2026'!C364</f>
        <v/>
      </c>
      <c r="E364" s="75" t="str">
        <f>+'[5]2026'!D364</f>
        <v/>
      </c>
      <c r="F364" s="20" t="str">
        <f>+'[5]2026'!E364</f>
        <v/>
      </c>
      <c r="G364" s="73" t="str">
        <f>+'[5]2026'!F364</f>
        <v/>
      </c>
      <c r="H364" s="42">
        <f>+'[5]2026'!G364</f>
        <v>0</v>
      </c>
      <c r="I364" s="13">
        <f>+'[5]2026'!H364</f>
        <v>0</v>
      </c>
      <c r="J364" s="14">
        <f>+'[5]2026'!I364</f>
        <v>0</v>
      </c>
      <c r="K364" s="15">
        <f>+'[5]2026'!J364</f>
        <v>0</v>
      </c>
      <c r="L364" s="15">
        <f>+'[5]2026'!K364</f>
        <v>0</v>
      </c>
      <c r="M364" s="15">
        <f>+'[5]2026'!L364</f>
        <v>0</v>
      </c>
      <c r="N364" s="16" t="str">
        <f t="shared" si="20"/>
        <v/>
      </c>
      <c r="O364" s="17" t="str">
        <f t="shared" si="21"/>
        <v/>
      </c>
      <c r="P364" s="17" t="str">
        <f t="shared" si="21"/>
        <v/>
      </c>
      <c r="Q364" s="18" t="str">
        <f t="shared" si="22"/>
        <v/>
      </c>
      <c r="R364" s="18" t="e">
        <f t="shared" si="23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19">
        <f>+CHAMNORD!B365</f>
        <v>46382</v>
      </c>
      <c r="C365" s="75" t="str">
        <f>IF(H365=0,"",'[5]2025-2026'!C364)</f>
        <v/>
      </c>
      <c r="D365" s="75" t="str">
        <f>+'[5]2026'!C365</f>
        <v/>
      </c>
      <c r="E365" s="75" t="str">
        <f>+'[5]2026'!D365</f>
        <v/>
      </c>
      <c r="F365" s="20" t="str">
        <f>+'[5]2026'!E365</f>
        <v/>
      </c>
      <c r="G365" s="73" t="str">
        <f>+'[5]2026'!F365</f>
        <v/>
      </c>
      <c r="H365" s="42">
        <f>+'[5]2026'!G365</f>
        <v>0</v>
      </c>
      <c r="I365" s="13">
        <f>+'[5]2026'!H365</f>
        <v>0</v>
      </c>
      <c r="J365" s="14">
        <f>+'[5]2026'!I365</f>
        <v>0</v>
      </c>
      <c r="K365" s="15">
        <f>+'[5]2026'!J365</f>
        <v>0</v>
      </c>
      <c r="L365" s="15">
        <f>+'[5]2026'!K365</f>
        <v>0</v>
      </c>
      <c r="M365" s="15">
        <f>+'[5]2026'!L365</f>
        <v>0</v>
      </c>
      <c r="N365" s="16" t="str">
        <f t="shared" si="20"/>
        <v/>
      </c>
      <c r="O365" s="17" t="str">
        <f t="shared" si="21"/>
        <v/>
      </c>
      <c r="P365" s="17" t="str">
        <f t="shared" si="21"/>
        <v/>
      </c>
      <c r="Q365" s="18" t="str">
        <f t="shared" si="22"/>
        <v/>
      </c>
      <c r="R365" s="18" t="e">
        <f t="shared" si="23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19">
        <f>+CHAMNORD!B366</f>
        <v>46383</v>
      </c>
      <c r="C366" s="75" t="str">
        <f>IF(H366=0,"",'[5]2025-2026'!C365)</f>
        <v/>
      </c>
      <c r="D366" s="75" t="str">
        <f>+'[5]2026'!C366</f>
        <v/>
      </c>
      <c r="E366" s="75" t="str">
        <f>+'[5]2026'!D366</f>
        <v/>
      </c>
      <c r="F366" s="20" t="str">
        <f>+'[5]2026'!E366</f>
        <v/>
      </c>
      <c r="G366" s="73" t="str">
        <f>+'[5]2026'!F366</f>
        <v/>
      </c>
      <c r="H366" s="42">
        <f>+'[5]2026'!G366</f>
        <v>0</v>
      </c>
      <c r="I366" s="13">
        <f>+'[5]2026'!H366</f>
        <v>0</v>
      </c>
      <c r="J366" s="14">
        <f>+'[5]2026'!I366</f>
        <v>0</v>
      </c>
      <c r="K366" s="15">
        <f>+'[5]2026'!J366</f>
        <v>0</v>
      </c>
      <c r="L366" s="15">
        <f>+'[5]2026'!K366</f>
        <v>0</v>
      </c>
      <c r="M366" s="15">
        <f>+'[5]2026'!L366</f>
        <v>0</v>
      </c>
      <c r="N366" s="16" t="str">
        <f t="shared" si="20"/>
        <v/>
      </c>
      <c r="O366" s="17" t="str">
        <f t="shared" si="21"/>
        <v/>
      </c>
      <c r="P366" s="17" t="str">
        <f t="shared" si="21"/>
        <v/>
      </c>
      <c r="Q366" s="18" t="str">
        <f t="shared" si="22"/>
        <v/>
      </c>
      <c r="R366" s="18" t="e">
        <f t="shared" si="23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19">
        <f>+CHAMNORD!B367</f>
        <v>46384</v>
      </c>
      <c r="C367" s="75" t="str">
        <f>IF(H367=0,"",'[5]2025-2026'!C366)</f>
        <v/>
      </c>
      <c r="D367" s="75" t="str">
        <f>+'[5]2026'!C367</f>
        <v/>
      </c>
      <c r="E367" s="75">
        <f>+'[5]2026'!D367</f>
        <v>0</v>
      </c>
      <c r="F367" s="20" t="str">
        <f>+'[5]2026'!E367</f>
        <v/>
      </c>
      <c r="G367" s="73" t="str">
        <f>+'[5]2026'!F367</f>
        <v/>
      </c>
      <c r="H367" s="42">
        <f>+'[5]2026'!G367</f>
        <v>0</v>
      </c>
      <c r="I367" s="13">
        <f>+'[5]2026'!H367</f>
        <v>0</v>
      </c>
      <c r="J367" s="14">
        <f>+'[5]2026'!I367</f>
        <v>0</v>
      </c>
      <c r="K367" s="15">
        <f>+'[5]2026'!J367</f>
        <v>0</v>
      </c>
      <c r="L367" s="15">
        <f>+'[5]2026'!K367</f>
        <v>0</v>
      </c>
      <c r="M367" s="15">
        <f>+'[5]2026'!L367</f>
        <v>0</v>
      </c>
      <c r="N367" s="16" t="str">
        <f t="shared" si="20"/>
        <v/>
      </c>
      <c r="O367" s="17" t="str">
        <f t="shared" si="21"/>
        <v/>
      </c>
      <c r="P367" s="17" t="str">
        <f t="shared" si="21"/>
        <v/>
      </c>
      <c r="Q367" s="18" t="str">
        <f t="shared" si="22"/>
        <v/>
      </c>
      <c r="R367" s="18" t="e">
        <f t="shared" si="23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19">
        <f>+CHAMNORD!B368</f>
        <v>46385</v>
      </c>
      <c r="C368" s="75" t="str">
        <f>IF(H368=0,"",'[5]2025-2026'!C367)</f>
        <v/>
      </c>
      <c r="D368" s="75" t="str">
        <f>+'[5]2026'!C368</f>
        <v/>
      </c>
      <c r="E368" s="75">
        <f>+'[5]2026'!D368</f>
        <v>0</v>
      </c>
      <c r="F368" s="20" t="str">
        <f>+'[5]2026'!E368</f>
        <v/>
      </c>
      <c r="G368" s="73" t="str">
        <f>+'[5]2026'!F368</f>
        <v/>
      </c>
      <c r="H368" s="42">
        <f>+'[5]2026'!G368</f>
        <v>0</v>
      </c>
      <c r="I368" s="13">
        <f>+'[5]2026'!H368</f>
        <v>0</v>
      </c>
      <c r="J368" s="14">
        <f>+'[5]2026'!I368</f>
        <v>0</v>
      </c>
      <c r="K368" s="15">
        <f>+'[5]2026'!J368</f>
        <v>0</v>
      </c>
      <c r="L368" s="15">
        <f>+'[5]2026'!K368</f>
        <v>0</v>
      </c>
      <c r="M368" s="15">
        <f>+'[5]2026'!L368</f>
        <v>0</v>
      </c>
      <c r="N368" s="17" t="str">
        <f t="shared" si="20"/>
        <v/>
      </c>
      <c r="O368" s="17" t="str">
        <f t="shared" si="21"/>
        <v/>
      </c>
      <c r="P368" s="17" t="str">
        <f t="shared" si="21"/>
        <v/>
      </c>
      <c r="Q368" s="18" t="str">
        <f t="shared" si="22"/>
        <v/>
      </c>
      <c r="R368" s="18" t="e">
        <f t="shared" si="23"/>
        <v>#DIV/0!</v>
      </c>
      <c r="S368" s="34">
        <f>SUM(I367:I373)</f>
        <v>0</v>
      </c>
      <c r="T368" s="45" t="s">
        <v>41</v>
      </c>
      <c r="U368" s="1738"/>
    </row>
    <row r="369" spans="1:26">
      <c r="A369" s="10" t="s">
        <v>12</v>
      </c>
      <c r="B369" s="19">
        <f>+CHAMNORD!B369</f>
        <v>46386</v>
      </c>
      <c r="C369" s="75" t="str">
        <f>IF(H369=0,"",'[5]2025-2026'!C368)</f>
        <v/>
      </c>
      <c r="D369" s="75" t="str">
        <f>+'[5]2026'!C369</f>
        <v/>
      </c>
      <c r="E369" s="75">
        <f>+'[5]2026'!D369</f>
        <v>0</v>
      </c>
      <c r="F369" s="20">
        <f>+'[5]2026'!E369</f>
        <v>0</v>
      </c>
      <c r="G369" s="73">
        <f>+'[5]2026'!F369</f>
        <v>0</v>
      </c>
      <c r="H369" s="42">
        <f>+'[5]2026'!G369</f>
        <v>0</v>
      </c>
      <c r="I369" s="13">
        <f>+'[5]2026'!H369</f>
        <v>0</v>
      </c>
      <c r="J369" s="14">
        <f>+'[5]2026'!I369</f>
        <v>0</v>
      </c>
      <c r="K369" s="60">
        <f>+'[5]2026'!J369</f>
        <v>0</v>
      </c>
      <c r="L369" s="60">
        <f>+'[5]2026'!K369</f>
        <v>0</v>
      </c>
      <c r="M369" s="60">
        <f>+'[5]2026'!L369</f>
        <v>0</v>
      </c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64"/>
      <c r="C370" s="75" t="str">
        <f>IF(H370=0,"",'[5]2025-2026'!C369)</f>
        <v/>
      </c>
      <c r="D370" s="75"/>
      <c r="E370" s="75"/>
      <c r="F370" s="20"/>
      <c r="G370" s="73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64"/>
      <c r="C371" s="75" t="str">
        <f>IF(H371=0,"",'[5]2025-2026'!C370)</f>
        <v/>
      </c>
      <c r="D371" s="75"/>
      <c r="E371" s="75"/>
      <c r="F371" s="20"/>
      <c r="G371" s="73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64"/>
      <c r="C372" s="75" t="str">
        <f>IF(H372=0,"",'[5]2025-2026'!C371)</f>
        <v/>
      </c>
      <c r="D372" s="75"/>
      <c r="E372" s="75"/>
      <c r="F372" s="20"/>
      <c r="G372" s="73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64"/>
      <c r="C373" s="75" t="str">
        <f>IF(H373=0,"",'[5]2025-2026'!C372)</f>
        <v/>
      </c>
      <c r="D373" s="78"/>
      <c r="E373" s="78"/>
      <c r="F373" s="21"/>
      <c r="G373" s="74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82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479409.6999999999</v>
      </c>
      <c r="E377" s="104"/>
      <c r="F377" s="102">
        <v>97</v>
      </c>
      <c r="G377" s="105">
        <f>M377/F377</f>
        <v>5004.6573195876299</v>
      </c>
      <c r="H377" s="84">
        <f>SUM(D$6:D$36)</f>
        <v>474661.96999999991</v>
      </c>
      <c r="I377" s="84">
        <f t="shared" ref="I377:Q377" si="24">SUM(E$6:E$36)</f>
        <v>467102.24000000011</v>
      </c>
      <c r="J377" s="89">
        <f t="shared" si="24"/>
        <v>26168</v>
      </c>
      <c r="K377" s="84">
        <f t="shared" si="24"/>
        <v>485400</v>
      </c>
      <c r="L377" s="84">
        <f t="shared" si="24"/>
        <v>493505.06000000006</v>
      </c>
      <c r="M377" s="84">
        <f t="shared" si="24"/>
        <v>485451.76000000007</v>
      </c>
      <c r="N377" s="89">
        <f t="shared" si="24"/>
        <v>25608</v>
      </c>
      <c r="O377" s="89">
        <f t="shared" si="24"/>
        <v>4975.0299999999979</v>
      </c>
      <c r="P377" s="89">
        <f t="shared" si="24"/>
        <v>5682.7199999999993</v>
      </c>
      <c r="Q377" s="87">
        <f t="shared" si="24"/>
        <v>2873.4700000000007</v>
      </c>
      <c r="R377" s="87">
        <f>'[5]2026'!$G$387</f>
        <v>1589.11</v>
      </c>
      <c r="S377" s="87">
        <f>'[5]2026'!$G$388</f>
        <v>33.96</v>
      </c>
      <c r="T377" s="87">
        <f>'[5]2026'!$G$389</f>
        <v>108.39</v>
      </c>
      <c r="V377" s="1502">
        <f>(L377-D377)/D377</f>
        <v>2.9401491042004707E-2</v>
      </c>
      <c r="W377" s="1502">
        <f>(L377-H377)/H377</f>
        <v>3.9697913864892409E-2</v>
      </c>
      <c r="X377" s="1502">
        <f>(M377-I377)/I377</f>
        <v>3.9283733685370373E-2</v>
      </c>
      <c r="Y377" s="1502">
        <f>(N377-J377)/J377</f>
        <v>-2.1400183430143688E-2</v>
      </c>
    </row>
    <row r="378" spans="1:26" ht="17" customHeight="1">
      <c r="B378" s="98" t="s">
        <v>25</v>
      </c>
      <c r="C378" s="204"/>
      <c r="D378" s="84">
        <f>SUM(C$37:C$64)</f>
        <v>440918.31</v>
      </c>
      <c r="E378" s="104"/>
      <c r="F378" s="102">
        <v>97</v>
      </c>
      <c r="G378" s="105">
        <f t="shared" ref="G378:G388" si="25">M378/F378</f>
        <v>4478.6160824742265</v>
      </c>
      <c r="H378" s="83">
        <f>SUM(D$37:D$64)</f>
        <v>437259.37</v>
      </c>
      <c r="I378" s="83">
        <f t="shared" ref="I378:Q378" si="26">SUM(E$37:E$64)</f>
        <v>431052.91</v>
      </c>
      <c r="J378" s="89">
        <f t="shared" si="26"/>
        <v>24162</v>
      </c>
      <c r="K378" s="84">
        <f t="shared" si="26"/>
        <v>433500</v>
      </c>
      <c r="L378" s="88">
        <f t="shared" si="26"/>
        <v>441461.42</v>
      </c>
      <c r="M378" s="88">
        <f t="shared" si="26"/>
        <v>434425.76</v>
      </c>
      <c r="N378" s="93">
        <f t="shared" si="26"/>
        <v>22711</v>
      </c>
      <c r="O378" s="93">
        <f t="shared" si="26"/>
        <v>4473.28</v>
      </c>
      <c r="P378" s="93">
        <f t="shared" si="26"/>
        <v>5095.96</v>
      </c>
      <c r="Q378" s="87">
        <f t="shared" si="26"/>
        <v>2818.5800000000004</v>
      </c>
      <c r="R378" s="87">
        <f>'[5]2026'!$H$387</f>
        <v>1419.04</v>
      </c>
      <c r="S378" s="87">
        <f>'[5]2026'!$H$388</f>
        <v>78.05</v>
      </c>
      <c r="T378" s="87">
        <f>'[5]2026'!$H$389</f>
        <v>16.600000000000001</v>
      </c>
      <c r="V378" s="1502">
        <f t="shared" ref="V378:V388" si="27">(L378-D378)/D378</f>
        <v>1.2317701208643071E-3</v>
      </c>
      <c r="W378" s="1502">
        <f t="shared" ref="W378:Y388" si="28">(L378-H378)/H378</f>
        <v>9.6099713083335151E-3</v>
      </c>
      <c r="X378" s="1502">
        <f t="shared" si="28"/>
        <v>7.8246774856479562E-3</v>
      </c>
      <c r="Y378" s="1502">
        <f t="shared" si="28"/>
        <v>-6.0052975747040806E-2</v>
      </c>
    </row>
    <row r="379" spans="1:26">
      <c r="B379" s="98" t="s">
        <v>17</v>
      </c>
      <c r="C379" s="204"/>
      <c r="D379" s="84">
        <f>SUM(C$65:C$95)</f>
        <v>465134.94999999995</v>
      </c>
      <c r="E379" s="104"/>
      <c r="F379" s="102">
        <v>97</v>
      </c>
      <c r="G379" s="105">
        <f t="shared" si="25"/>
        <v>4774.9770103092778</v>
      </c>
      <c r="H379" s="83">
        <f>SUM(D$65:D$95)</f>
        <v>459550.93999999994</v>
      </c>
      <c r="I379" s="83">
        <f t="shared" ref="I379:Q379" si="29">SUM(E$65:E$95)</f>
        <v>451529.04999999993</v>
      </c>
      <c r="J379" s="90">
        <f t="shared" si="29"/>
        <v>25406</v>
      </c>
      <c r="K379" s="83">
        <f t="shared" si="29"/>
        <v>464850</v>
      </c>
      <c r="L379" s="83">
        <f t="shared" si="29"/>
        <v>471494.39999999997</v>
      </c>
      <c r="M379" s="83">
        <f t="shared" si="29"/>
        <v>463172.76999999996</v>
      </c>
      <c r="N379" s="90">
        <f t="shared" si="29"/>
        <v>24719</v>
      </c>
      <c r="O379" s="90">
        <f t="shared" si="29"/>
        <v>4841.2899999999991</v>
      </c>
      <c r="P379" s="90">
        <f t="shared" si="29"/>
        <v>5349.0599999999995</v>
      </c>
      <c r="Q379" s="83">
        <f t="shared" si="29"/>
        <v>3202.5200000000004</v>
      </c>
      <c r="R379" s="87">
        <f>'[5]2026'!$I$387</f>
        <v>1558.53</v>
      </c>
      <c r="S379" s="87">
        <f>'[5]2026'!$I$388</f>
        <v>6.6599999999999948</v>
      </c>
      <c r="T379" s="87">
        <f>'[5]2026'!$I$389</f>
        <v>85.009999999999991</v>
      </c>
      <c r="V379" s="1502">
        <f t="shared" si="27"/>
        <v>1.3672268660955304E-2</v>
      </c>
      <c r="W379" s="1502">
        <f t="shared" si="28"/>
        <v>2.5989414796975547E-2</v>
      </c>
      <c r="X379" s="1502">
        <f t="shared" si="28"/>
        <v>2.5787310916097275E-2</v>
      </c>
      <c r="Y379" s="1502">
        <f t="shared" si="28"/>
        <v>-2.7040856490592773E-2</v>
      </c>
    </row>
    <row r="380" spans="1:26">
      <c r="B380" s="98" t="s">
        <v>18</v>
      </c>
      <c r="C380" s="204"/>
      <c r="D380" s="84">
        <f>SUM(C$96:C$125)</f>
        <v>460423.46999999991</v>
      </c>
      <c r="E380" s="104"/>
      <c r="F380" s="102">
        <v>97</v>
      </c>
      <c r="G380" s="105">
        <f t="shared" si="25"/>
        <v>4506.781443298969</v>
      </c>
      <c r="H380" s="83">
        <f>SUM(D$96:D$125)</f>
        <v>463871.10999999987</v>
      </c>
      <c r="I380" s="83">
        <f t="shared" ref="I380:Q380" si="30">SUM(E$96:E$125)</f>
        <v>453740.81999999983</v>
      </c>
      <c r="J380" s="90">
        <f t="shared" si="30"/>
        <v>25323</v>
      </c>
      <c r="K380" s="83">
        <f t="shared" si="30"/>
        <v>460300</v>
      </c>
      <c r="L380" s="83">
        <f t="shared" si="30"/>
        <v>446988.02000000008</v>
      </c>
      <c r="M380" s="83">
        <f t="shared" si="30"/>
        <v>437157.8</v>
      </c>
      <c r="N380" s="90">
        <f t="shared" si="30"/>
        <v>23496</v>
      </c>
      <c r="O380" s="90">
        <f t="shared" si="30"/>
        <v>4477.09</v>
      </c>
      <c r="P380" s="90">
        <f t="shared" si="30"/>
        <v>4747.2700000000013</v>
      </c>
      <c r="Q380" s="83">
        <f t="shared" si="30"/>
        <v>2825.6</v>
      </c>
      <c r="R380" s="87">
        <f>'[5]2026'!$J$387</f>
        <v>1282.08</v>
      </c>
      <c r="S380" s="87">
        <f>'[5]2026'!$J$388</f>
        <v>18.509999999999998</v>
      </c>
      <c r="T380" s="87">
        <f>'[5]2026'!$J$389</f>
        <v>141.15</v>
      </c>
      <c r="V380" s="1502">
        <f t="shared" si="27"/>
        <v>-2.9180636686483075E-2</v>
      </c>
      <c r="W380" s="1502">
        <f t="shared" si="28"/>
        <v>-3.6396079936945838E-2</v>
      </c>
      <c r="X380" s="1502">
        <f t="shared" si="28"/>
        <v>-3.6547339954998648E-2</v>
      </c>
      <c r="Y380" s="1502">
        <f t="shared" si="28"/>
        <v>-7.2147849780831649E-2</v>
      </c>
    </row>
    <row r="381" spans="1:26" ht="17" customHeight="1">
      <c r="B381" s="98" t="s">
        <v>19</v>
      </c>
      <c r="C381" s="204"/>
      <c r="D381" s="84">
        <f>SUM(C$126:C$156)</f>
        <v>457127.78999999992</v>
      </c>
      <c r="E381" s="104"/>
      <c r="F381" s="102">
        <v>97</v>
      </c>
      <c r="G381" s="105">
        <f t="shared" si="25"/>
        <v>4560.6886597938146</v>
      </c>
      <c r="H381" s="84">
        <f>SUM(D$126:D$156)</f>
        <v>460814.82999999996</v>
      </c>
      <c r="I381" s="84">
        <f t="shared" ref="I381:Q381" si="31">SUM(E$126:E$156)</f>
        <v>455085.73</v>
      </c>
      <c r="J381" s="89">
        <f t="shared" si="31"/>
        <v>25827</v>
      </c>
      <c r="K381" s="84">
        <f t="shared" si="31"/>
        <v>474700</v>
      </c>
      <c r="L381" s="84">
        <f t="shared" si="31"/>
        <v>450725.87</v>
      </c>
      <c r="M381" s="84">
        <f t="shared" si="31"/>
        <v>442386.8</v>
      </c>
      <c r="N381" s="89">
        <f t="shared" si="31"/>
        <v>24314</v>
      </c>
      <c r="O381" s="89">
        <f t="shared" si="31"/>
        <v>5111.5300000000007</v>
      </c>
      <c r="P381" s="89">
        <f t="shared" si="31"/>
        <v>5373.89</v>
      </c>
      <c r="Q381" s="87">
        <f t="shared" si="31"/>
        <v>3032.2299999999996</v>
      </c>
      <c r="R381" s="87">
        <f>'[5]2026'!$K$387</f>
        <v>1684.97</v>
      </c>
      <c r="S381" s="87">
        <f>'[5]2026'!$K$388</f>
        <v>-157.91999999999999</v>
      </c>
      <c r="T381" s="87">
        <f>'[5]2026'!$K$389</f>
        <v>116.53</v>
      </c>
      <c r="V381" s="1502">
        <f t="shared" si="27"/>
        <v>-1.4004661584892764E-2</v>
      </c>
      <c r="W381" s="1502">
        <f t="shared" si="28"/>
        <v>-2.1893739834718349E-2</v>
      </c>
      <c r="X381" s="1502">
        <f t="shared" si="28"/>
        <v>-2.7904478569345591E-2</v>
      </c>
      <c r="Y381" s="1502">
        <f t="shared" si="28"/>
        <v>-5.8582103999690244E-2</v>
      </c>
    </row>
    <row r="382" spans="1:26" ht="17" customHeight="1">
      <c r="B382" s="98" t="s">
        <v>20</v>
      </c>
      <c r="C382" s="204"/>
      <c r="D382" s="84">
        <f>SUM(C$157:C$186)</f>
        <v>118147.21999999999</v>
      </c>
      <c r="E382" s="104"/>
      <c r="F382" s="102">
        <v>97</v>
      </c>
      <c r="G382" s="105">
        <f>M382/F382</f>
        <v>1095.0696907216495</v>
      </c>
      <c r="H382" s="84">
        <f>SUM(D$157:D$186)</f>
        <v>116437.3</v>
      </c>
      <c r="I382" s="84">
        <f t="shared" ref="I382:Q382" si="32">SUM(E$157:E$186)</f>
        <v>114790.95999999999</v>
      </c>
      <c r="J382" s="89">
        <f t="shared" si="32"/>
        <v>6509</v>
      </c>
      <c r="K382" s="84">
        <f t="shared" si="32"/>
        <v>101800</v>
      </c>
      <c r="L382" s="84">
        <f t="shared" si="32"/>
        <v>108211.94999999998</v>
      </c>
      <c r="M382" s="84">
        <f t="shared" si="32"/>
        <v>106221.75999999999</v>
      </c>
      <c r="N382" s="89">
        <f t="shared" si="32"/>
        <v>5891</v>
      </c>
      <c r="O382" s="89">
        <f t="shared" si="32"/>
        <v>1114.02</v>
      </c>
      <c r="P382" s="89">
        <f t="shared" si="32"/>
        <v>1200.74</v>
      </c>
      <c r="Q382" s="87">
        <f t="shared" si="32"/>
        <v>556.45999999999992</v>
      </c>
      <c r="R382" s="87">
        <f>'[5]2026'!$L$387</f>
        <v>247.00000000000003</v>
      </c>
      <c r="S382" s="87">
        <f>'[5]2026'!$L$388</f>
        <v>45.88</v>
      </c>
      <c r="T382" s="87">
        <f>'[5]2026'!$L$389</f>
        <v>0</v>
      </c>
      <c r="V382" s="1502">
        <f t="shared" si="27"/>
        <v>-8.4092287571387675E-2</v>
      </c>
      <c r="W382" s="1502">
        <f t="shared" si="28"/>
        <v>-7.0641881939894E-2</v>
      </c>
      <c r="X382" s="1502">
        <f t="shared" si="28"/>
        <v>-7.4650477703122248E-2</v>
      </c>
      <c r="Y382" s="1502">
        <f t="shared" si="28"/>
        <v>-9.4945460132124751E-2</v>
      </c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97</v>
      </c>
      <c r="G383" s="105">
        <f t="shared" si="25"/>
        <v>0</v>
      </c>
      <c r="H383" s="84">
        <f>SUM(D$187:D$217)</f>
        <v>0</v>
      </c>
      <c r="I383" s="84">
        <f t="shared" ref="I383:Q383" si="33">SUM(E$187:E$217)</f>
        <v>0</v>
      </c>
      <c r="J383" s="89">
        <f t="shared" si="33"/>
        <v>0</v>
      </c>
      <c r="K383" s="84">
        <f t="shared" si="33"/>
        <v>0</v>
      </c>
      <c r="L383" s="84">
        <f t="shared" si="33"/>
        <v>0</v>
      </c>
      <c r="M383" s="84">
        <f t="shared" si="33"/>
        <v>0</v>
      </c>
      <c r="N383" s="89">
        <f t="shared" si="33"/>
        <v>0</v>
      </c>
      <c r="O383" s="89">
        <f t="shared" si="33"/>
        <v>0</v>
      </c>
      <c r="P383" s="89">
        <f t="shared" si="33"/>
        <v>0</v>
      </c>
      <c r="Q383" s="87">
        <f t="shared" si="33"/>
        <v>0</v>
      </c>
      <c r="R383" s="87">
        <f>'[5]2026'!$M$387</f>
        <v>0</v>
      </c>
      <c r="S383" s="87">
        <f>'[5]2026'!$M$388</f>
        <v>0</v>
      </c>
      <c r="T383" s="87">
        <f>'[5]2026'!$M$389</f>
        <v>0</v>
      </c>
      <c r="V383" s="1502" t="e">
        <f t="shared" si="27"/>
        <v>#DIV/0!</v>
      </c>
      <c r="W383" s="1502" t="e">
        <f t="shared" si="28"/>
        <v>#DIV/0!</v>
      </c>
      <c r="X383" s="1502" t="e">
        <f t="shared" si="28"/>
        <v>#DIV/0!</v>
      </c>
      <c r="Y383" s="1502" t="e">
        <f t="shared" si="28"/>
        <v>#DIV/0!</v>
      </c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97</v>
      </c>
      <c r="G384" s="105">
        <f t="shared" si="25"/>
        <v>0</v>
      </c>
      <c r="H384" s="84">
        <f>SUM(D$218:D$248)</f>
        <v>0</v>
      </c>
      <c r="I384" s="84">
        <f t="shared" ref="I384:Q384" si="34">SUM(E$218:E$248)</f>
        <v>0</v>
      </c>
      <c r="J384" s="89">
        <f t="shared" si="34"/>
        <v>0</v>
      </c>
      <c r="K384" s="84">
        <f t="shared" si="34"/>
        <v>0</v>
      </c>
      <c r="L384" s="84">
        <f t="shared" si="34"/>
        <v>0</v>
      </c>
      <c r="M384" s="84">
        <f t="shared" si="34"/>
        <v>0</v>
      </c>
      <c r="N384" s="89">
        <f t="shared" si="34"/>
        <v>0</v>
      </c>
      <c r="O384" s="89">
        <f t="shared" si="34"/>
        <v>0</v>
      </c>
      <c r="P384" s="89">
        <f t="shared" si="34"/>
        <v>0</v>
      </c>
      <c r="Q384" s="84">
        <f t="shared" si="34"/>
        <v>0</v>
      </c>
      <c r="R384" s="87">
        <f>'[5]2026'!$N$387</f>
        <v>0</v>
      </c>
      <c r="S384" s="87">
        <f>'[5]2026'!$N$388</f>
        <v>0</v>
      </c>
      <c r="T384" s="87">
        <f>'[5]2026'!$N$389</f>
        <v>0</v>
      </c>
      <c r="V384" s="1502" t="e">
        <f t="shared" si="27"/>
        <v>#DIV/0!</v>
      </c>
      <c r="W384" s="1502" t="e">
        <f t="shared" si="28"/>
        <v>#DIV/0!</v>
      </c>
      <c r="X384" s="1502" t="e">
        <f t="shared" si="28"/>
        <v>#DIV/0!</v>
      </c>
      <c r="Y384" s="1502" t="e">
        <f t="shared" si="28"/>
        <v>#DIV/0!</v>
      </c>
    </row>
    <row r="385" spans="2:25" ht="17" customHeight="1">
      <c r="B385" s="98" t="s">
        <v>22</v>
      </c>
      <c r="C385" s="204"/>
      <c r="D385" s="84">
        <f>SUM(C$249:C$278)</f>
        <v>0</v>
      </c>
      <c r="E385" s="104"/>
      <c r="F385" s="102">
        <v>97</v>
      </c>
      <c r="G385" s="105">
        <f t="shared" si="25"/>
        <v>0</v>
      </c>
      <c r="H385" s="85">
        <f>SUM(D$249:D$278)</f>
        <v>0</v>
      </c>
      <c r="I385" s="85">
        <f t="shared" ref="I385:Q385" si="35">SUM(E$249:E$278)</f>
        <v>0</v>
      </c>
      <c r="J385" s="91">
        <f t="shared" si="35"/>
        <v>0</v>
      </c>
      <c r="K385" s="85">
        <f t="shared" si="35"/>
        <v>0</v>
      </c>
      <c r="L385" s="85">
        <f t="shared" si="35"/>
        <v>0</v>
      </c>
      <c r="M385" s="85">
        <f t="shared" si="35"/>
        <v>0</v>
      </c>
      <c r="N385" s="91">
        <f t="shared" si="35"/>
        <v>0</v>
      </c>
      <c r="O385" s="91">
        <f t="shared" si="35"/>
        <v>0</v>
      </c>
      <c r="P385" s="91">
        <f t="shared" si="35"/>
        <v>0</v>
      </c>
      <c r="Q385" s="85">
        <f t="shared" si="35"/>
        <v>0</v>
      </c>
      <c r="R385" s="87">
        <f>'[5]2026'!$O$387</f>
        <v>0</v>
      </c>
      <c r="S385" s="87">
        <f>'[5]2026'!$O$388</f>
        <v>0</v>
      </c>
      <c r="T385" s="87">
        <f>'[5]2026'!$O$389</f>
        <v>0</v>
      </c>
      <c r="V385" s="1502" t="e">
        <f t="shared" si="27"/>
        <v>#DIV/0!</v>
      </c>
      <c r="W385" s="1502" t="e">
        <f t="shared" si="28"/>
        <v>#DIV/0!</v>
      </c>
      <c r="X385" s="1502" t="e">
        <f t="shared" si="28"/>
        <v>#DIV/0!</v>
      </c>
      <c r="Y385" s="1502" t="e">
        <f t="shared" si="28"/>
        <v>#DIV/0!</v>
      </c>
    </row>
    <row r="386" spans="2:25">
      <c r="B386" s="98" t="s">
        <v>23</v>
      </c>
      <c r="C386" s="204"/>
      <c r="D386" s="84">
        <f>SUM(C$279:C$309)</f>
        <v>0</v>
      </c>
      <c r="E386" s="104"/>
      <c r="F386" s="102">
        <v>97</v>
      </c>
      <c r="G386" s="105">
        <f t="shared" si="25"/>
        <v>0</v>
      </c>
      <c r="H386" s="84">
        <f>SUM(D$279:D$309)</f>
        <v>0</v>
      </c>
      <c r="I386" s="84">
        <f t="shared" ref="I386:Q386" si="36">SUM(E$279:E$309)</f>
        <v>0</v>
      </c>
      <c r="J386" s="89">
        <f t="shared" si="36"/>
        <v>0</v>
      </c>
      <c r="K386" s="84">
        <f t="shared" si="36"/>
        <v>0</v>
      </c>
      <c r="L386" s="84">
        <f t="shared" si="36"/>
        <v>0</v>
      </c>
      <c r="M386" s="84">
        <f t="shared" si="36"/>
        <v>0</v>
      </c>
      <c r="N386" s="89">
        <f t="shared" si="36"/>
        <v>0</v>
      </c>
      <c r="O386" s="89">
        <f t="shared" si="36"/>
        <v>0</v>
      </c>
      <c r="P386" s="89">
        <f t="shared" si="36"/>
        <v>0</v>
      </c>
      <c r="Q386" s="84">
        <f t="shared" si="36"/>
        <v>0</v>
      </c>
      <c r="R386" s="87">
        <f>'[5]2026'!$P$387</f>
        <v>0</v>
      </c>
      <c r="S386" s="87">
        <f>'[5]2026'!$P$388</f>
        <v>0</v>
      </c>
      <c r="T386" s="87">
        <f>'[5]2026'!$P$389</f>
        <v>0</v>
      </c>
      <c r="V386" s="1502" t="e">
        <f t="shared" si="27"/>
        <v>#DIV/0!</v>
      </c>
      <c r="W386" s="1502" t="e">
        <f t="shared" si="28"/>
        <v>#DIV/0!</v>
      </c>
      <c r="X386" s="1502" t="e">
        <f t="shared" si="28"/>
        <v>#DIV/0!</v>
      </c>
      <c r="Y386" s="1502" t="e">
        <f t="shared" si="28"/>
        <v>#DIV/0!</v>
      </c>
    </row>
    <row r="387" spans="2:25">
      <c r="B387" s="98" t="s">
        <v>24</v>
      </c>
      <c r="C387" s="204"/>
      <c r="D387" s="84">
        <f>SUM(C$310:C$339)</f>
        <v>0</v>
      </c>
      <c r="E387" s="104"/>
      <c r="F387" s="102">
        <v>97</v>
      </c>
      <c r="G387" s="105">
        <f t="shared" si="25"/>
        <v>0</v>
      </c>
      <c r="H387" s="86">
        <f>SUM(D$310:D$339)</f>
        <v>0</v>
      </c>
      <c r="I387" s="86">
        <f t="shared" ref="I387:Q387" si="37">SUM(E$310:E$339)</f>
        <v>0</v>
      </c>
      <c r="J387" s="92">
        <f t="shared" si="37"/>
        <v>0</v>
      </c>
      <c r="K387" s="86">
        <f t="shared" si="37"/>
        <v>0</v>
      </c>
      <c r="L387" s="86">
        <f t="shared" si="37"/>
        <v>0</v>
      </c>
      <c r="M387" s="86">
        <f t="shared" si="37"/>
        <v>0</v>
      </c>
      <c r="N387" s="92">
        <f t="shared" si="37"/>
        <v>0</v>
      </c>
      <c r="O387" s="92">
        <f t="shared" si="37"/>
        <v>0</v>
      </c>
      <c r="P387" s="92">
        <f t="shared" si="37"/>
        <v>0</v>
      </c>
      <c r="Q387" s="86">
        <f t="shared" si="37"/>
        <v>0</v>
      </c>
      <c r="R387" s="87">
        <f>'[5]2026'!$Q$387</f>
        <v>0</v>
      </c>
      <c r="S387" s="87">
        <f>'[5]2026'!$Q$388</f>
        <v>0</v>
      </c>
      <c r="T387" s="87">
        <f>'[5]2026'!$Q$389</f>
        <v>0</v>
      </c>
      <c r="V387" s="1502" t="e">
        <f t="shared" si="27"/>
        <v>#DIV/0!</v>
      </c>
      <c r="W387" s="1502" t="e">
        <f t="shared" si="28"/>
        <v>#DIV/0!</v>
      </c>
      <c r="X387" s="1502" t="e">
        <f t="shared" si="28"/>
        <v>#DIV/0!</v>
      </c>
      <c r="Y387" s="1502" t="e">
        <f t="shared" si="28"/>
        <v>#DIV/0!</v>
      </c>
    </row>
    <row r="388" spans="2:25" ht="17" customHeight="1">
      <c r="B388" s="98" t="s">
        <v>27</v>
      </c>
      <c r="C388" s="204"/>
      <c r="D388" s="84">
        <f>SUM(C$340:C$370)</f>
        <v>0</v>
      </c>
      <c r="E388" s="104"/>
      <c r="F388" s="102">
        <v>97</v>
      </c>
      <c r="G388" s="105">
        <f t="shared" si="25"/>
        <v>0</v>
      </c>
      <c r="H388" s="84">
        <f>SUM(D$340:D$370)</f>
        <v>0</v>
      </c>
      <c r="I388" s="84">
        <f t="shared" ref="I388:Q388" si="38">SUM(E$340:E$370)</f>
        <v>0</v>
      </c>
      <c r="J388" s="89">
        <f t="shared" si="38"/>
        <v>0</v>
      </c>
      <c r="K388" s="84">
        <f t="shared" si="38"/>
        <v>0</v>
      </c>
      <c r="L388" s="84">
        <f t="shared" si="38"/>
        <v>0</v>
      </c>
      <c r="M388" s="84">
        <f t="shared" si="38"/>
        <v>0</v>
      </c>
      <c r="N388" s="89">
        <f t="shared" si="38"/>
        <v>0</v>
      </c>
      <c r="O388" s="89">
        <f t="shared" si="38"/>
        <v>0</v>
      </c>
      <c r="P388" s="89">
        <f t="shared" si="38"/>
        <v>0</v>
      </c>
      <c r="Q388" s="84">
        <f t="shared" si="38"/>
        <v>0</v>
      </c>
      <c r="R388" s="87">
        <f>'[5]2026'!$R$387</f>
        <v>0</v>
      </c>
      <c r="S388" s="87">
        <f>'[5]2026'!$R$388</f>
        <v>0</v>
      </c>
      <c r="T388" s="87">
        <f>'[5]2026'!$R$389</f>
        <v>0</v>
      </c>
      <c r="V388" s="1502" t="e">
        <f t="shared" si="27"/>
        <v>#DIV/0!</v>
      </c>
      <c r="W388" s="1502" t="e">
        <f t="shared" si="28"/>
        <v>#DIV/0!</v>
      </c>
      <c r="X388" s="1502" t="e">
        <f t="shared" si="28"/>
        <v>#DIV/0!</v>
      </c>
      <c r="Y388" s="1502" t="e">
        <f t="shared" si="28"/>
        <v>#DIV/0!</v>
      </c>
    </row>
    <row r="389" spans="2:25" ht="18" customHeight="1" thickBot="1">
      <c r="B389" s="99" t="s">
        <v>45</v>
      </c>
      <c r="C389" s="205"/>
      <c r="D389" s="96">
        <f>SUM(D377:D388)</f>
        <v>2421161.44</v>
      </c>
      <c r="E389" s="106"/>
      <c r="F389" s="100">
        <f>AVERAGE(F377:F388)</f>
        <v>97</v>
      </c>
      <c r="G389" s="106">
        <f>SUM(G377:G388)</f>
        <v>24420.790206185564</v>
      </c>
      <c r="H389" s="96">
        <f>SUM(H377:H388)</f>
        <v>2412595.5199999996</v>
      </c>
      <c r="I389" s="96">
        <f t="shared" ref="I389:T389" si="39">SUM(I377:I388)</f>
        <v>2373301.71</v>
      </c>
      <c r="J389" s="97">
        <f t="shared" si="39"/>
        <v>133395</v>
      </c>
      <c r="K389" s="96">
        <f t="shared" si="39"/>
        <v>2420550</v>
      </c>
      <c r="L389" s="96">
        <f t="shared" si="39"/>
        <v>2412386.7200000002</v>
      </c>
      <c r="M389" s="96">
        <f t="shared" si="39"/>
        <v>2368816.65</v>
      </c>
      <c r="N389" s="97">
        <f t="shared" si="39"/>
        <v>126739</v>
      </c>
      <c r="O389" s="97">
        <f t="shared" si="39"/>
        <v>24992.239999999994</v>
      </c>
      <c r="P389" s="97">
        <f t="shared" si="39"/>
        <v>27449.640000000003</v>
      </c>
      <c r="Q389" s="96">
        <f t="shared" si="39"/>
        <v>15308.86</v>
      </c>
      <c r="R389" s="96">
        <f t="shared" si="39"/>
        <v>7780.73</v>
      </c>
      <c r="S389" s="96">
        <f t="shared" si="39"/>
        <v>25.139999999999993</v>
      </c>
      <c r="T389" s="96">
        <f t="shared" si="39"/>
        <v>467.67999999999995</v>
      </c>
      <c r="V389" s="1502">
        <f>(L389-D389)/D389</f>
        <v>-3.624177989551882E-3</v>
      </c>
      <c r="W389" s="1502">
        <f>(L389-H389)/H389</f>
        <v>-8.6545796122239387E-5</v>
      </c>
      <c r="X389" s="1502">
        <f>(M389-I389)/I389</f>
        <v>-1.8897976524021702E-3</v>
      </c>
      <c r="Y389" s="1502">
        <f>(N389-J389)/J389</f>
        <v>-4.9896922673263615E-2</v>
      </c>
    </row>
    <row r="390" spans="2:25">
      <c r="T390" s="28"/>
      <c r="U390" s="38"/>
    </row>
  </sheetData>
  <mergeCells count="55">
    <mergeCell ref="U360:U366"/>
    <mergeCell ref="U367:U373"/>
    <mergeCell ref="U325:U331"/>
    <mergeCell ref="U332:U338"/>
    <mergeCell ref="U339:U345"/>
    <mergeCell ref="U346:U352"/>
    <mergeCell ref="U353:U359"/>
    <mergeCell ref="U318:U324"/>
    <mergeCell ref="U241:U247"/>
    <mergeCell ref="U248:U254"/>
    <mergeCell ref="U255:U261"/>
    <mergeCell ref="U262:U268"/>
    <mergeCell ref="U269:U275"/>
    <mergeCell ref="U276:U282"/>
    <mergeCell ref="U283:U289"/>
    <mergeCell ref="U290:U296"/>
    <mergeCell ref="U297:U303"/>
    <mergeCell ref="U304:U310"/>
    <mergeCell ref="U311:U317"/>
    <mergeCell ref="U234:U240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13:U219"/>
    <mergeCell ref="U220:U226"/>
    <mergeCell ref="U227:U233"/>
    <mergeCell ref="U150:U156"/>
    <mergeCell ref="U73:U79"/>
    <mergeCell ref="U80:U86"/>
    <mergeCell ref="U87:U93"/>
    <mergeCell ref="U94:U100"/>
    <mergeCell ref="U101:U107"/>
    <mergeCell ref="U108:U114"/>
    <mergeCell ref="U115:U121"/>
    <mergeCell ref="U122:U128"/>
    <mergeCell ref="U129:U135"/>
    <mergeCell ref="U136:U142"/>
    <mergeCell ref="U143:U149"/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</mergeCells>
  <phoneticPr fontId="5" type="noConversion"/>
  <conditionalFormatting sqref="N3:N367">
    <cfRule type="cellIs" dxfId="347" priority="1" operator="lessThan">
      <formula>0.006</formula>
    </cfRule>
    <cfRule type="cellIs" dxfId="346" priority="2" operator="greaterThan">
      <formula>0.006</formula>
    </cfRule>
  </conditionalFormatting>
  <conditionalFormatting sqref="O3:P373">
    <cfRule type="cellIs" dxfId="345" priority="3" operator="lessThan">
      <formula>0</formula>
    </cfRule>
    <cfRule type="cellIs" dxfId="344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2E3B1-7484-004C-AB26-8068309A870E}">
  <sheetPr codeName="Feuil9"/>
  <dimension ref="A1:Z390"/>
  <sheetViews>
    <sheetView showGridLines="0" topLeftCell="A92" workbookViewId="0">
      <selection activeCell="A376" sqref="A376:XFD376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5" width="10.83203125" style="70"/>
    <col min="6" max="6" width="10.83203125" style="38"/>
    <col min="7" max="7" width="10.83203125" style="70"/>
    <col min="8" max="8" width="10.83203125" style="44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16384" width="10.83203125" style="38"/>
  </cols>
  <sheetData>
    <row r="1" spans="1:22" ht="16" customHeight="1">
      <c r="A1" s="1740"/>
      <c r="B1" s="1"/>
      <c r="C1" s="206"/>
      <c r="D1" s="1741" t="s">
        <v>149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2" s="39" customFormat="1" ht="37" customHeight="1" thickBot="1">
      <c r="A2" s="1740"/>
      <c r="B2" s="2"/>
      <c r="C2" s="203"/>
      <c r="D2" s="5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2" ht="17" customHeight="1" thickTop="1">
      <c r="A3" s="10" t="s">
        <v>9</v>
      </c>
      <c r="B3" s="11"/>
      <c r="C3" s="207"/>
      <c r="D3" s="68"/>
      <c r="E3" s="68"/>
      <c r="F3" s="20"/>
      <c r="G3" s="73"/>
      <c r="H3" s="42"/>
      <c r="I3" s="13"/>
      <c r="J3" s="14"/>
      <c r="K3" s="15"/>
      <c r="L3" s="15"/>
      <c r="M3" s="15"/>
      <c r="N3" s="16"/>
      <c r="O3" s="17" t="str">
        <f>IF(I3=0,"",(I3-E3)/E3)</f>
        <v/>
      </c>
      <c r="P3" s="17" t="str">
        <f>IF(J3=0,"",(J3-F3)/F3)</f>
        <v/>
      </c>
      <c r="Q3" s="18" t="str">
        <f>IF(I3=0,"",I3/K3)</f>
        <v/>
      </c>
      <c r="R3" s="18" t="e">
        <f>I3/L3</f>
        <v>#DIV/0!</v>
      </c>
      <c r="S3" s="33" t="s">
        <v>39</v>
      </c>
      <c r="T3" s="31" t="s">
        <v>42</v>
      </c>
      <c r="U3" s="1737" t="s">
        <v>83</v>
      </c>
    </row>
    <row r="4" spans="1:22">
      <c r="A4" s="10" t="s">
        <v>11</v>
      </c>
      <c r="B4" s="11"/>
      <c r="C4" s="207"/>
      <c r="D4" s="68"/>
      <c r="E4" s="68"/>
      <c r="F4" s="20"/>
      <c r="G4" s="73"/>
      <c r="H4" s="42"/>
      <c r="I4" s="13"/>
      <c r="J4" s="14"/>
      <c r="K4" s="15"/>
      <c r="L4" s="15"/>
      <c r="M4" s="15"/>
      <c r="N4" s="16"/>
      <c r="O4" s="17" t="str">
        <f t="shared" ref="O4:P67" si="0">IF(I4=0,"",(I4-E4)/E4)</f>
        <v/>
      </c>
      <c r="P4" s="17" t="str">
        <f t="shared" si="0"/>
        <v/>
      </c>
      <c r="Q4" s="18" t="str">
        <f t="shared" ref="Q4:Q67" si="1">IF(I4=0,"",I4/K4)</f>
        <v/>
      </c>
      <c r="R4" s="18" t="e">
        <f t="shared" ref="R4:R67" si="2">I4/L4</f>
        <v>#DIV/0!</v>
      </c>
      <c r="S4" s="34">
        <f>SUM(I3:I9)</f>
        <v>56163.119999999995</v>
      </c>
      <c r="T4" s="45" t="s">
        <v>41</v>
      </c>
      <c r="U4" s="1738"/>
    </row>
    <row r="5" spans="1:22">
      <c r="A5" s="10" t="s">
        <v>12</v>
      </c>
      <c r="B5" s="11"/>
      <c r="C5" s="75"/>
      <c r="D5" s="68"/>
      <c r="E5" s="68"/>
      <c r="F5" s="20"/>
      <c r="G5" s="73"/>
      <c r="H5" s="42"/>
      <c r="I5" s="13"/>
      <c r="J5" s="14"/>
      <c r="K5" s="15"/>
      <c r="L5" s="15"/>
      <c r="M5" s="15"/>
      <c r="N5" s="16"/>
      <c r="O5" s="17" t="str">
        <f t="shared" si="0"/>
        <v/>
      </c>
      <c r="P5" s="17" t="str">
        <f t="shared" si="0"/>
        <v/>
      </c>
      <c r="Q5" s="18" t="str">
        <f t="shared" si="1"/>
        <v/>
      </c>
      <c r="R5" s="18" t="e">
        <f t="shared" si="2"/>
        <v>#DIV/0!</v>
      </c>
      <c r="S5" s="35">
        <f>(S4-SUM(E3:E9))/SUM(E3:E9)</f>
        <v>0.3630644140786829</v>
      </c>
      <c r="T5" s="48">
        <f>SUM(I3:I9)/SUM(K3:K9)</f>
        <v>112.40492344641247</v>
      </c>
      <c r="U5" s="1738"/>
    </row>
    <row r="6" spans="1:22">
      <c r="A6" s="10" t="s">
        <v>13</v>
      </c>
      <c r="B6" s="11">
        <f>+CHAMNORD!B6</f>
        <v>46023</v>
      </c>
      <c r="C6" s="75">
        <f>IF(H6=0,"",'[6]2025-2026'!C5)</f>
        <v>19865.669999999998</v>
      </c>
      <c r="D6" s="68">
        <f>+'[6]2025'!C6</f>
        <v>9545.4699999999993</v>
      </c>
      <c r="E6" s="68">
        <f>+'[6]2025'!D6</f>
        <v>9399</v>
      </c>
      <c r="F6" s="20">
        <f>+'[6]2025'!E6</f>
        <v>444</v>
      </c>
      <c r="G6" s="73">
        <f>+'[6]2025'!F6</f>
        <v>19100</v>
      </c>
      <c r="H6" s="42">
        <f>+'[6]2025'!G6</f>
        <v>19334.09</v>
      </c>
      <c r="I6" s="13">
        <f>+'[6]2025'!H6</f>
        <v>19203.37</v>
      </c>
      <c r="J6" s="14">
        <f>+'[6]2025'!I6</f>
        <v>725</v>
      </c>
      <c r="K6" s="15">
        <f>+'[6]2025'!J6</f>
        <v>149.32</v>
      </c>
      <c r="L6" s="15">
        <f>+'[6]2025'!K6</f>
        <v>175.16</v>
      </c>
      <c r="M6" s="15">
        <f>+'[6]2025'!L6</f>
        <v>49.67</v>
      </c>
      <c r="N6" s="16">
        <f t="shared" ref="N6:N67" si="3">IF(M6=0,"",M6/I6)</f>
        <v>2.5865251776120549E-3</v>
      </c>
      <c r="O6" s="17">
        <f t="shared" si="0"/>
        <v>1.0431290562825832</v>
      </c>
      <c r="P6" s="17">
        <f t="shared" si="0"/>
        <v>0.63288288288288286</v>
      </c>
      <c r="Q6" s="18">
        <f t="shared" si="1"/>
        <v>128.60547816769355</v>
      </c>
      <c r="R6" s="18">
        <f t="shared" si="2"/>
        <v>109.63330669102534</v>
      </c>
      <c r="S6" s="34"/>
      <c r="T6" s="29" t="s">
        <v>8</v>
      </c>
      <c r="U6" s="1738"/>
    </row>
    <row r="7" spans="1:22">
      <c r="A7" s="10" t="s">
        <v>14</v>
      </c>
      <c r="B7" s="11">
        <f>+CHAMNORD!B7</f>
        <v>46024</v>
      </c>
      <c r="C7" s="75">
        <f>IF(H7=0,"",'[6]2025-2026'!C6)</f>
        <v>9545.4699999999993</v>
      </c>
      <c r="D7" s="68">
        <f>+'[6]2025'!C7</f>
        <v>9972.25</v>
      </c>
      <c r="E7" s="68">
        <f>+'[6]2025'!D7</f>
        <v>9833.01</v>
      </c>
      <c r="F7" s="20">
        <f>+'[6]2025'!E7</f>
        <v>458</v>
      </c>
      <c r="G7" s="73">
        <f>+'[6]2025'!F7</f>
        <v>9900</v>
      </c>
      <c r="H7" s="42">
        <f>+'[6]2025'!G7</f>
        <v>13008.92</v>
      </c>
      <c r="I7" s="13">
        <f>+'[6]2025'!H7</f>
        <v>12892.55</v>
      </c>
      <c r="J7" s="14">
        <f>+'[6]2025'!I7</f>
        <v>541</v>
      </c>
      <c r="K7" s="15">
        <f>+'[6]2025'!J7</f>
        <v>116.65</v>
      </c>
      <c r="L7" s="15">
        <f>+'[6]2025'!K7</f>
        <v>125.06</v>
      </c>
      <c r="M7" s="15">
        <f>+'[6]2025'!L7</f>
        <v>27.15</v>
      </c>
      <c r="N7" s="16">
        <f t="shared" si="3"/>
        <v>2.1058673419920809E-3</v>
      </c>
      <c r="O7" s="17">
        <f t="shared" si="0"/>
        <v>0.3111498920472977</v>
      </c>
      <c r="P7" s="17">
        <f t="shared" si="0"/>
        <v>0.18122270742358079</v>
      </c>
      <c r="Q7" s="18">
        <f t="shared" si="1"/>
        <v>110.52336048006858</v>
      </c>
      <c r="R7" s="18">
        <f t="shared" si="2"/>
        <v>103.09091636014712</v>
      </c>
      <c r="S7" s="36" t="s">
        <v>40</v>
      </c>
      <c r="T7" s="48">
        <f>SUM(I3:I9)/SUM(L3:L9)</f>
        <v>100.73379488467192</v>
      </c>
      <c r="U7" s="1738"/>
    </row>
    <row r="8" spans="1:22">
      <c r="A8" s="10" t="s">
        <v>15</v>
      </c>
      <c r="B8" s="11">
        <f>+CHAMNORD!B8</f>
        <v>46025</v>
      </c>
      <c r="C8" s="75">
        <f>IF(H8=0,"",'[6]2025-2026'!C7)</f>
        <v>9972.25</v>
      </c>
      <c r="D8" s="68">
        <f>+'[6]2025'!C8</f>
        <v>10456.9</v>
      </c>
      <c r="E8" s="68">
        <f>+'[6]2025'!D8</f>
        <v>10299.85</v>
      </c>
      <c r="F8" s="20">
        <f>+'[6]2025'!E8</f>
        <v>456</v>
      </c>
      <c r="G8" s="73">
        <f>+'[6]2025'!F8</f>
        <v>10400</v>
      </c>
      <c r="H8" s="42">
        <f>+'[6]2025'!G8</f>
        <v>12873.35</v>
      </c>
      <c r="I8" s="13">
        <f>+'[6]2025'!H8</f>
        <v>12769.96</v>
      </c>
      <c r="J8" s="14">
        <f>+'[6]2025'!I8</f>
        <v>534</v>
      </c>
      <c r="K8" s="15">
        <f>+'[6]2025'!J8</f>
        <v>118.06</v>
      </c>
      <c r="L8" s="15">
        <f>+'[6]2025'!K8</f>
        <v>127.17</v>
      </c>
      <c r="M8" s="15">
        <f>+'[6]2025'!L8</f>
        <v>104.82</v>
      </c>
      <c r="N8" s="16">
        <f t="shared" si="3"/>
        <v>8.208326416057685E-3</v>
      </c>
      <c r="O8" s="17">
        <f t="shared" si="0"/>
        <v>0.23981999737860246</v>
      </c>
      <c r="P8" s="17">
        <f t="shared" si="0"/>
        <v>0.17105263157894737</v>
      </c>
      <c r="Q8" s="18">
        <f t="shared" si="1"/>
        <v>108.16500084702693</v>
      </c>
      <c r="R8" s="18">
        <f t="shared" si="2"/>
        <v>100.41645042069669</v>
      </c>
      <c r="S8" s="36">
        <f>SUM(J3:J9)</f>
        <v>2237</v>
      </c>
      <c r="T8" s="30" t="s">
        <v>3</v>
      </c>
      <c r="U8" s="1738"/>
    </row>
    <row r="9" spans="1:22" ht="18" thickBot="1">
      <c r="A9" s="10" t="s">
        <v>16</v>
      </c>
      <c r="B9" s="11">
        <f>+CHAMNORD!B9</f>
        <v>46026</v>
      </c>
      <c r="C9" s="75">
        <f>IF(H9=0,"",'[6]2025-2026'!C8)</f>
        <v>10456.9</v>
      </c>
      <c r="D9" s="68">
        <f>+'[6]2025'!C9</f>
        <v>11843.87</v>
      </c>
      <c r="E9" s="68">
        <f>+'[6]2025'!D9</f>
        <v>11671.71</v>
      </c>
      <c r="F9" s="20">
        <f>+'[6]2025'!E9</f>
        <v>500</v>
      </c>
      <c r="G9" s="73">
        <f>+'[6]2025'!F9</f>
        <v>11800</v>
      </c>
      <c r="H9" s="42">
        <f>+'[6]2025'!G9</f>
        <v>11382.4</v>
      </c>
      <c r="I9" s="13">
        <f>+'[6]2025'!H9</f>
        <v>11297.24</v>
      </c>
      <c r="J9" s="14">
        <f>+'[6]2025'!I9</f>
        <v>437</v>
      </c>
      <c r="K9" s="15">
        <f>+'[6]2025'!J9</f>
        <v>115.62</v>
      </c>
      <c r="L9" s="15">
        <f>+'[6]2025'!K9</f>
        <v>130.15</v>
      </c>
      <c r="M9" s="15">
        <f>+'[6]2025'!L9</f>
        <v>74.58</v>
      </c>
      <c r="N9" s="16">
        <f t="shared" si="3"/>
        <v>6.6016124292305025E-3</v>
      </c>
      <c r="O9" s="17">
        <f t="shared" si="0"/>
        <v>-3.2083559307076633E-2</v>
      </c>
      <c r="P9" s="17">
        <f t="shared" si="0"/>
        <v>-0.126</v>
      </c>
      <c r="Q9" s="18">
        <f t="shared" si="1"/>
        <v>97.710084760422063</v>
      </c>
      <c r="R9" s="18">
        <f t="shared" si="2"/>
        <v>86.801690357280052</v>
      </c>
      <c r="S9" s="37">
        <f>(S8-SUM(F3:F9))/SUM(F3:F9)</f>
        <v>0.20398277717976318</v>
      </c>
      <c r="T9" s="47">
        <f>SUM(M3:M9)/SUM(I3:I9)</f>
        <v>4.5620684890725445E-3</v>
      </c>
      <c r="U9" s="1739"/>
    </row>
    <row r="10" spans="1:22" ht="17" customHeight="1" thickTop="1">
      <c r="A10" s="10" t="s">
        <v>9</v>
      </c>
      <c r="B10" s="19">
        <f>+CHAMNORD!B10</f>
        <v>46027</v>
      </c>
      <c r="C10" s="75">
        <f>IF(H10=0,"",'[6]2025-2026'!C9)</f>
        <v>11843.87</v>
      </c>
      <c r="D10" s="68">
        <f>+'[6]2025'!C10</f>
        <v>5589.28</v>
      </c>
      <c r="E10" s="68">
        <f>+'[6]2025'!D10</f>
        <v>5551.28</v>
      </c>
      <c r="F10" s="20">
        <f>+'[6]2025'!E10</f>
        <v>288</v>
      </c>
      <c r="G10" s="73">
        <f>+'[6]2025'!F10</f>
        <v>5600</v>
      </c>
      <c r="H10" s="42">
        <f>+'[6]2025'!G10</f>
        <v>5383.25</v>
      </c>
      <c r="I10" s="13">
        <f>+'[6]2025'!H10</f>
        <v>5340.97</v>
      </c>
      <c r="J10" s="14">
        <f>+'[6]2025'!I10</f>
        <v>261</v>
      </c>
      <c r="K10" s="15">
        <f>+'[6]2025'!J10</f>
        <v>74.64</v>
      </c>
      <c r="L10" s="15">
        <f>+'[6]2025'!K10</f>
        <v>83.11</v>
      </c>
      <c r="M10" s="15">
        <f>+'[6]2025'!L10</f>
        <v>103.53</v>
      </c>
      <c r="N10" s="16">
        <f t="shared" si="3"/>
        <v>1.9384119364085548E-2</v>
      </c>
      <c r="O10" s="17">
        <f t="shared" si="0"/>
        <v>-3.7884956262339405E-2</v>
      </c>
      <c r="P10" s="17">
        <f t="shared" si="0"/>
        <v>-9.375E-2</v>
      </c>
      <c r="Q10" s="18">
        <f t="shared" si="1"/>
        <v>71.556404072883169</v>
      </c>
      <c r="R10" s="18">
        <f t="shared" si="2"/>
        <v>64.263867163999521</v>
      </c>
      <c r="S10" s="33" t="s">
        <v>39</v>
      </c>
      <c r="T10" s="31" t="s">
        <v>42</v>
      </c>
      <c r="U10" s="1737" t="s">
        <v>84</v>
      </c>
    </row>
    <row r="11" spans="1:22">
      <c r="A11" s="10" t="s">
        <v>11</v>
      </c>
      <c r="B11" s="19">
        <f>+CHAMNORD!B11</f>
        <v>46028</v>
      </c>
      <c r="C11" s="75">
        <f>IF(H11=0,"",'[6]2025-2026'!C10)</f>
        <v>5589.28</v>
      </c>
      <c r="D11" s="68">
        <f>+'[6]2025'!C11</f>
        <v>6495.84</v>
      </c>
      <c r="E11" s="68">
        <f>+'[6]2025'!D11</f>
        <v>6453.05</v>
      </c>
      <c r="F11" s="20">
        <f>+'[6]2025'!E11</f>
        <v>313</v>
      </c>
      <c r="G11" s="73">
        <f>+'[6]2025'!F11</f>
        <v>6500</v>
      </c>
      <c r="H11" s="42">
        <f>+'[6]2025'!G11</f>
        <v>5087.29</v>
      </c>
      <c r="I11" s="13">
        <f>+'[6]2025'!H11</f>
        <v>5058.67</v>
      </c>
      <c r="J11" s="14">
        <f>+'[6]2025'!I11</f>
        <v>246</v>
      </c>
      <c r="K11" s="15">
        <f>+'[6]2025'!J11</f>
        <v>74.83</v>
      </c>
      <c r="L11" s="15">
        <f>+'[6]2025'!K11</f>
        <v>83.13</v>
      </c>
      <c r="M11" s="15">
        <f>+'[6]2025'!L11</f>
        <v>80.209999999999994</v>
      </c>
      <c r="N11" s="16">
        <f t="shared" si="3"/>
        <v>1.5855946325812911E-2</v>
      </c>
      <c r="O11" s="17">
        <f t="shared" si="0"/>
        <v>-0.21608076800892603</v>
      </c>
      <c r="P11" s="17">
        <f t="shared" si="0"/>
        <v>-0.21405750798722045</v>
      </c>
      <c r="Q11" s="18">
        <f t="shared" si="1"/>
        <v>67.602164907122813</v>
      </c>
      <c r="R11" s="18">
        <f t="shared" si="2"/>
        <v>60.852520149163965</v>
      </c>
      <c r="S11" s="34">
        <f>SUM(I10:I16)</f>
        <v>53807.189999999995</v>
      </c>
      <c r="T11" s="45" t="s">
        <v>41</v>
      </c>
      <c r="U11" s="1738"/>
      <c r="V11" s="38" t="s">
        <v>171</v>
      </c>
    </row>
    <row r="12" spans="1:22">
      <c r="A12" s="10" t="s">
        <v>12</v>
      </c>
      <c r="B12" s="19">
        <f>+CHAMNORD!B12</f>
        <v>46029</v>
      </c>
      <c r="C12" s="75">
        <f>IF(H12=0,"",'[6]2025-2026'!C11)</f>
        <v>6495.84</v>
      </c>
      <c r="D12" s="68">
        <f>+'[6]2025'!C12</f>
        <v>7502.91</v>
      </c>
      <c r="E12" s="68">
        <f>+'[6]2025'!D12</f>
        <v>7431.69</v>
      </c>
      <c r="F12" s="20">
        <f>+'[6]2025'!E12</f>
        <v>381</v>
      </c>
      <c r="G12" s="73">
        <f>+'[6]2025'!F12</f>
        <v>7500</v>
      </c>
      <c r="H12" s="42">
        <f>+'[6]2025'!G12</f>
        <v>6528.99</v>
      </c>
      <c r="I12" s="13">
        <f>+'[6]2025'!H12</f>
        <v>6455.46</v>
      </c>
      <c r="J12" s="14">
        <f>+'[6]2025'!I12</f>
        <v>342</v>
      </c>
      <c r="K12" s="15">
        <f>+'[6]2025'!J12</f>
        <v>105.64</v>
      </c>
      <c r="L12" s="15">
        <f>+'[6]2025'!K12</f>
        <v>121.47</v>
      </c>
      <c r="M12" s="15">
        <f>+'[6]2025'!L12</f>
        <v>28.05</v>
      </c>
      <c r="N12" s="16">
        <f t="shared" si="3"/>
        <v>4.3451589816992132E-3</v>
      </c>
      <c r="O12" s="17">
        <f t="shared" si="0"/>
        <v>-0.13136043080376061</v>
      </c>
      <c r="P12" s="17">
        <f t="shared" si="0"/>
        <v>-0.10236220472440945</v>
      </c>
      <c r="Q12" s="18">
        <f t="shared" si="1"/>
        <v>61.108102991291176</v>
      </c>
      <c r="R12" s="18">
        <f t="shared" si="2"/>
        <v>53.14448011854779</v>
      </c>
      <c r="S12" s="35">
        <f>(S11-SUM(E10:E16))/SUM(E10:E16)</f>
        <v>-4.6511611422824138E-2</v>
      </c>
      <c r="T12" s="48">
        <f>SUM(I10:I16)/SUM(K10:K16)</f>
        <v>78.622952496456577</v>
      </c>
      <c r="U12" s="1738"/>
    </row>
    <row r="13" spans="1:22">
      <c r="A13" s="10" t="s">
        <v>13</v>
      </c>
      <c r="B13" s="19">
        <f>+CHAMNORD!B13</f>
        <v>46030</v>
      </c>
      <c r="C13" s="75">
        <f>IF(H13=0,"",'[6]2025-2026'!C12)</f>
        <v>7502.91</v>
      </c>
      <c r="D13" s="68">
        <f>+'[6]2025'!C13</f>
        <v>6198.87</v>
      </c>
      <c r="E13" s="68">
        <f>+'[6]2025'!D13</f>
        <v>6142.24</v>
      </c>
      <c r="F13" s="20">
        <f>+'[6]2025'!E13</f>
        <v>334</v>
      </c>
      <c r="G13" s="73">
        <f>+'[6]2025'!F13</f>
        <v>6200</v>
      </c>
      <c r="H13" s="42">
        <f>+'[6]2025'!G13</f>
        <v>6453.4</v>
      </c>
      <c r="I13" s="13">
        <f>+'[6]2025'!H13</f>
        <v>6417.6</v>
      </c>
      <c r="J13" s="14">
        <f>+'[6]2025'!I13</f>
        <v>311</v>
      </c>
      <c r="K13" s="15">
        <f>+'[6]2025'!J13</f>
        <v>89.82</v>
      </c>
      <c r="L13" s="15">
        <f>+'[6]2025'!K13</f>
        <v>107.24</v>
      </c>
      <c r="M13" s="15">
        <f>+'[6]2025'!L13</f>
        <v>798.85</v>
      </c>
      <c r="N13" s="16">
        <f t="shared" si="3"/>
        <v>0.12447799800548491</v>
      </c>
      <c r="O13" s="17">
        <f t="shared" si="0"/>
        <v>4.4830550418088609E-2</v>
      </c>
      <c r="P13" s="17">
        <f t="shared" si="0"/>
        <v>-6.8862275449101798E-2</v>
      </c>
      <c r="Q13" s="18">
        <f t="shared" si="1"/>
        <v>71.449565798263208</v>
      </c>
      <c r="R13" s="18">
        <f t="shared" si="2"/>
        <v>59.84334203655353</v>
      </c>
      <c r="S13" s="34"/>
      <c r="T13" s="29" t="s">
        <v>8</v>
      </c>
      <c r="U13" s="1738"/>
    </row>
    <row r="14" spans="1:22">
      <c r="A14" s="10" t="s">
        <v>14</v>
      </c>
      <c r="B14" s="19">
        <f>+CHAMNORD!B14</f>
        <v>46031</v>
      </c>
      <c r="C14" s="75">
        <f>IF(H14=0,"",'[6]2025-2026'!C13)</f>
        <v>6198.87</v>
      </c>
      <c r="D14" s="68">
        <f>+'[6]2025'!C14</f>
        <v>10663.8</v>
      </c>
      <c r="E14" s="68">
        <f>+'[6]2025'!D14</f>
        <v>10569.68</v>
      </c>
      <c r="F14" s="20">
        <f>+'[6]2025'!E14</f>
        <v>497</v>
      </c>
      <c r="G14" s="73">
        <f>+'[6]2025'!F14</f>
        <v>10700</v>
      </c>
      <c r="H14" s="42">
        <f>+'[6]2025'!G14</f>
        <v>10385.629999999999</v>
      </c>
      <c r="I14" s="13">
        <f>+'[6]2025'!H14</f>
        <v>10309.459999999999</v>
      </c>
      <c r="J14" s="14">
        <f>+'[6]2025'!I14</f>
        <v>449</v>
      </c>
      <c r="K14" s="15">
        <f>+'[6]2025'!J14</f>
        <v>113.15</v>
      </c>
      <c r="L14" s="15">
        <f>+'[6]2025'!K14</f>
        <v>135.15</v>
      </c>
      <c r="M14" s="15">
        <f>+'[6]2025'!L14</f>
        <v>-684.56</v>
      </c>
      <c r="N14" s="16">
        <f t="shared" si="3"/>
        <v>-6.6401150011736798E-2</v>
      </c>
      <c r="O14" s="17">
        <f t="shared" si="0"/>
        <v>-2.4619477600078824E-2</v>
      </c>
      <c r="P14" s="17">
        <f t="shared" si="0"/>
        <v>-9.6579476861166996E-2</v>
      </c>
      <c r="Q14" s="18">
        <f t="shared" si="1"/>
        <v>91.113212549712756</v>
      </c>
      <c r="R14" s="18">
        <f t="shared" si="2"/>
        <v>76.281613022567512</v>
      </c>
      <c r="S14" s="36" t="s">
        <v>40</v>
      </c>
      <c r="T14" s="48">
        <f>SUM(I10:I16)/SUM(L10:L16)</f>
        <v>69.542592377185827</v>
      </c>
      <c r="U14" s="1738"/>
    </row>
    <row r="15" spans="1:22">
      <c r="A15" s="10" t="s">
        <v>15</v>
      </c>
      <c r="B15" s="19">
        <f>+CHAMNORD!B15</f>
        <v>46032</v>
      </c>
      <c r="C15" s="75">
        <f>IF(H15=0,"",'[6]2025-2026'!C14)</f>
        <v>10663.8</v>
      </c>
      <c r="D15" s="68">
        <f>+'[6]2025'!C15</f>
        <v>9746.83</v>
      </c>
      <c r="E15" s="68">
        <f>+'[6]2025'!D15</f>
        <v>9645.94</v>
      </c>
      <c r="F15" s="20">
        <f>+'[6]2025'!E15</f>
        <v>435</v>
      </c>
      <c r="G15" s="73">
        <f>+'[6]2025'!F15</f>
        <v>9700</v>
      </c>
      <c r="H15" s="42">
        <f>+'[6]2025'!G15</f>
        <v>9732.2000000000007</v>
      </c>
      <c r="I15" s="13">
        <f>+'[6]2025'!H15</f>
        <v>9648.25</v>
      </c>
      <c r="J15" s="14">
        <f>+'[6]2025'!I15</f>
        <v>395</v>
      </c>
      <c r="K15" s="15">
        <f>+'[6]2025'!J15</f>
        <v>106.85</v>
      </c>
      <c r="L15" s="15">
        <f>+'[6]2025'!K15</f>
        <v>116.13</v>
      </c>
      <c r="M15" s="15">
        <f>+'[6]2025'!L15</f>
        <v>65.37</v>
      </c>
      <c r="N15" s="16">
        <f t="shared" si="3"/>
        <v>6.7753219495763489E-3</v>
      </c>
      <c r="O15" s="17">
        <f t="shared" si="0"/>
        <v>2.3947899323440645E-4</v>
      </c>
      <c r="P15" s="17">
        <f t="shared" si="0"/>
        <v>-9.1954022988505746E-2</v>
      </c>
      <c r="Q15" s="18">
        <f t="shared" si="1"/>
        <v>90.297145531118389</v>
      </c>
      <c r="R15" s="18">
        <f t="shared" si="2"/>
        <v>83.081460432274184</v>
      </c>
      <c r="S15" s="36">
        <f>SUM(J10:J16)</f>
        <v>2439</v>
      </c>
      <c r="T15" s="30" t="s">
        <v>3</v>
      </c>
      <c r="U15" s="1738"/>
    </row>
    <row r="16" spans="1:22" ht="18" thickBot="1">
      <c r="A16" s="10" t="s">
        <v>16</v>
      </c>
      <c r="B16" s="19">
        <f>+CHAMNORD!B16</f>
        <v>46033</v>
      </c>
      <c r="C16" s="75">
        <f>IF(H16=0,"",'[6]2025-2026'!C15)</f>
        <v>9746.83</v>
      </c>
      <c r="D16" s="68">
        <f>+'[6]2025'!C16</f>
        <v>10741.95</v>
      </c>
      <c r="E16" s="68">
        <f>+'[6]2025'!D16</f>
        <v>10638.05</v>
      </c>
      <c r="F16" s="20">
        <f>+'[6]2025'!E16</f>
        <v>494</v>
      </c>
      <c r="G16" s="73">
        <f>+'[6]2025'!F16</f>
        <v>10700</v>
      </c>
      <c r="H16" s="42">
        <f>+'[6]2025'!G16</f>
        <v>10853.71</v>
      </c>
      <c r="I16" s="13">
        <f>+'[6]2025'!H16</f>
        <v>10576.78</v>
      </c>
      <c r="J16" s="14">
        <f>+'[6]2025'!I16</f>
        <v>435</v>
      </c>
      <c r="K16" s="15">
        <f>+'[6]2025'!J16</f>
        <v>119.44</v>
      </c>
      <c r="L16" s="15">
        <f>+'[6]2025'!K16</f>
        <v>127.5</v>
      </c>
      <c r="M16" s="15">
        <f>+'[6]2025'!L16</f>
        <v>102.2</v>
      </c>
      <c r="N16" s="16">
        <f t="shared" si="3"/>
        <v>9.6626761642012032E-3</v>
      </c>
      <c r="O16" s="17">
        <f t="shared" si="0"/>
        <v>-5.759514196680653E-3</v>
      </c>
      <c r="P16" s="17">
        <f t="shared" si="0"/>
        <v>-0.1194331983805668</v>
      </c>
      <c r="Q16" s="18">
        <f t="shared" si="1"/>
        <v>88.553081044876095</v>
      </c>
      <c r="R16" s="18">
        <f t="shared" si="2"/>
        <v>82.95513725490197</v>
      </c>
      <c r="S16" s="37">
        <f>(S15-SUM(F10:F16))/SUM(F10:F16)</f>
        <v>-0.11050328227571116</v>
      </c>
      <c r="T16" s="47">
        <f>SUM(M10:M16)/SUM(I10:I16)</f>
        <v>9.1744244588873747E-3</v>
      </c>
      <c r="U16" s="1739"/>
    </row>
    <row r="17" spans="1:21" ht="17" customHeight="1" thickTop="1">
      <c r="A17" s="10" t="s">
        <v>9</v>
      </c>
      <c r="B17" s="19">
        <f>+CHAMNORD!B17</f>
        <v>46034</v>
      </c>
      <c r="C17" s="75">
        <f>IF(H17=0,"",'[6]2025-2026'!C16)</f>
        <v>10741.95</v>
      </c>
      <c r="D17" s="68">
        <f>+'[6]2025'!C17</f>
        <v>4895.3999999999996</v>
      </c>
      <c r="E17" s="68">
        <f>+'[6]2025'!D17</f>
        <v>4861.59</v>
      </c>
      <c r="F17" s="20">
        <f>+'[6]2025'!E17</f>
        <v>273</v>
      </c>
      <c r="G17" s="73">
        <f>+'[6]2025'!F17</f>
        <v>4900</v>
      </c>
      <c r="H17" s="42">
        <f>+'[6]2025'!G17</f>
        <v>5706.48</v>
      </c>
      <c r="I17" s="13">
        <f>+'[6]2025'!H17</f>
        <v>5652.34</v>
      </c>
      <c r="J17" s="14">
        <f>+'[6]2025'!I17</f>
        <v>292</v>
      </c>
      <c r="K17" s="15">
        <f>+'[6]2025'!J17</f>
        <v>77.53</v>
      </c>
      <c r="L17" s="15">
        <f>+'[6]2025'!K17</f>
        <v>93.32</v>
      </c>
      <c r="M17" s="15">
        <f>+'[6]2025'!L17</f>
        <v>83.66</v>
      </c>
      <c r="N17" s="16">
        <f t="shared" si="3"/>
        <v>1.4800949695170495E-2</v>
      </c>
      <c r="O17" s="17">
        <f t="shared" si="0"/>
        <v>0.16265254782900243</v>
      </c>
      <c r="P17" s="17">
        <f t="shared" si="0"/>
        <v>6.95970695970696E-2</v>
      </c>
      <c r="Q17" s="18">
        <f t="shared" si="1"/>
        <v>72.905197987875667</v>
      </c>
      <c r="R17" s="18">
        <f t="shared" si="2"/>
        <v>60.569438491213035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19">
        <f>+CHAMNORD!B18</f>
        <v>46035</v>
      </c>
      <c r="C18" s="75">
        <f>IF(H18=0,"",'[6]2025-2026'!C17)</f>
        <v>4895.3999999999996</v>
      </c>
      <c r="D18" s="68">
        <f>+'[6]2025'!C18</f>
        <v>6045.37</v>
      </c>
      <c r="E18" s="68">
        <f>+'[6]2025'!D18</f>
        <v>5995.95</v>
      </c>
      <c r="F18" s="20">
        <f>+'[6]2025'!E18</f>
        <v>314</v>
      </c>
      <c r="G18" s="73">
        <f>+'[6]2025'!F18</f>
        <v>6100</v>
      </c>
      <c r="H18" s="42">
        <f>+'[6]2025'!G18</f>
        <v>7086.85</v>
      </c>
      <c r="I18" s="13">
        <f>+'[6]2025'!H18</f>
        <v>7035.43</v>
      </c>
      <c r="J18" s="14">
        <f>+'[6]2025'!I18</f>
        <v>317</v>
      </c>
      <c r="K18" s="15">
        <f>+'[6]2025'!J18</f>
        <v>77.02</v>
      </c>
      <c r="L18" s="15">
        <f>+'[6]2025'!K18</f>
        <v>94.55</v>
      </c>
      <c r="M18" s="15">
        <f>+'[6]2025'!L18</f>
        <v>24.17</v>
      </c>
      <c r="N18" s="16">
        <f t="shared" si="3"/>
        <v>3.4354687631033215E-3</v>
      </c>
      <c r="O18" s="17">
        <f t="shared" si="0"/>
        <v>0.17336368715549672</v>
      </c>
      <c r="P18" s="17">
        <f t="shared" si="0"/>
        <v>9.5541401273885346E-3</v>
      </c>
      <c r="Q18" s="18">
        <f t="shared" si="1"/>
        <v>91.345494676707361</v>
      </c>
      <c r="R18" s="18">
        <f t="shared" si="2"/>
        <v>74.409624537281871</v>
      </c>
      <c r="S18" s="34">
        <f>SUM(I17:I23)</f>
        <v>60415.229999999996</v>
      </c>
      <c r="T18" s="45" t="s">
        <v>41</v>
      </c>
      <c r="U18" s="1738"/>
    </row>
    <row r="19" spans="1:21">
      <c r="A19" s="10" t="s">
        <v>12</v>
      </c>
      <c r="B19" s="19">
        <f>+CHAMNORD!B19</f>
        <v>46036</v>
      </c>
      <c r="C19" s="75">
        <f>IF(H19=0,"",'[6]2025-2026'!C18)</f>
        <v>6045.37</v>
      </c>
      <c r="D19" s="68">
        <f>+'[6]2025'!C19</f>
        <v>7450.71</v>
      </c>
      <c r="E19" s="68">
        <f>+'[6]2025'!D19</f>
        <v>7381.78</v>
      </c>
      <c r="F19" s="20">
        <f>+'[6]2025'!E19</f>
        <v>399</v>
      </c>
      <c r="G19" s="73">
        <f>+'[6]2025'!F19</f>
        <v>7400</v>
      </c>
      <c r="H19" s="42">
        <f>+'[6]2025'!G19</f>
        <v>8107.52</v>
      </c>
      <c r="I19" s="13">
        <f>+'[6]2025'!H19</f>
        <v>8045.7</v>
      </c>
      <c r="J19" s="14">
        <f>+'[6]2025'!I19</f>
        <v>425</v>
      </c>
      <c r="K19" s="15">
        <f>+'[6]2025'!J19</f>
        <v>90.83</v>
      </c>
      <c r="L19" s="15">
        <f>+'[6]2025'!K19</f>
        <v>105.36</v>
      </c>
      <c r="M19" s="15">
        <f>+'[6]2025'!L19</f>
        <v>44.16</v>
      </c>
      <c r="N19" s="16">
        <f t="shared" si="3"/>
        <v>5.4886461091017561E-3</v>
      </c>
      <c r="O19" s="17">
        <f t="shared" si="0"/>
        <v>8.9940366686625736E-2</v>
      </c>
      <c r="P19" s="17">
        <f t="shared" si="0"/>
        <v>6.5162907268170422E-2</v>
      </c>
      <c r="Q19" s="18">
        <f t="shared" si="1"/>
        <v>88.579764395023673</v>
      </c>
      <c r="R19" s="18">
        <f t="shared" si="2"/>
        <v>76.363895216400905</v>
      </c>
      <c r="S19" s="35">
        <f>(S18-SUM(E17:E23))/SUM(E17:E23)</f>
        <v>5.2392631624787765E-2</v>
      </c>
      <c r="T19" s="48">
        <f>SUM(I17:I23)/SUM(K17:K23)</f>
        <v>97.066612040294984</v>
      </c>
      <c r="U19" s="1738"/>
    </row>
    <row r="20" spans="1:21">
      <c r="A20" s="10" t="s">
        <v>13</v>
      </c>
      <c r="B20" s="19">
        <f>+CHAMNORD!B20</f>
        <v>46037</v>
      </c>
      <c r="C20" s="75">
        <f>IF(H20=0,"",'[6]2025-2026'!C19)</f>
        <v>7450.71</v>
      </c>
      <c r="D20" s="68">
        <f>+'[6]2025'!C20</f>
        <v>6591.1</v>
      </c>
      <c r="E20" s="68">
        <f>+'[6]2025'!D20</f>
        <v>6547.61</v>
      </c>
      <c r="F20" s="20">
        <f>+'[6]2025'!E20</f>
        <v>352</v>
      </c>
      <c r="G20" s="73">
        <f>+'[6]2025'!F20</f>
        <v>6600</v>
      </c>
      <c r="H20" s="42">
        <f>+'[6]2025'!G20</f>
        <v>7428.45</v>
      </c>
      <c r="I20" s="13">
        <f>+'[6]2025'!H20</f>
        <v>7386.17</v>
      </c>
      <c r="J20" s="14">
        <f>+'[6]2025'!I20</f>
        <v>367</v>
      </c>
      <c r="K20" s="15">
        <f>+'[6]2025'!J20</f>
        <v>79.3</v>
      </c>
      <c r="L20" s="15">
        <f>+'[6]2025'!K20</f>
        <v>96.23</v>
      </c>
      <c r="M20" s="15">
        <f>+'[6]2025'!L20</f>
        <v>135.41</v>
      </c>
      <c r="N20" s="16">
        <f t="shared" si="3"/>
        <v>1.8332911373553546E-2</v>
      </c>
      <c r="O20" s="17">
        <f t="shared" si="0"/>
        <v>0.12807115878923767</v>
      </c>
      <c r="P20" s="17">
        <f t="shared" si="0"/>
        <v>4.261363636363636E-2</v>
      </c>
      <c r="Q20" s="18">
        <f t="shared" si="1"/>
        <v>93.142118537200503</v>
      </c>
      <c r="R20" s="18">
        <f t="shared" si="2"/>
        <v>76.75537774082926</v>
      </c>
      <c r="S20" s="34"/>
      <c r="T20" s="29" t="s">
        <v>8</v>
      </c>
      <c r="U20" s="1738"/>
    </row>
    <row r="21" spans="1:21">
      <c r="A21" s="10" t="s">
        <v>14</v>
      </c>
      <c r="B21" s="19">
        <f>+CHAMNORD!B21</f>
        <v>46038</v>
      </c>
      <c r="C21" s="75">
        <f>IF(H21=0,"",'[6]2025-2026'!C20)</f>
        <v>6591.1</v>
      </c>
      <c r="D21" s="68">
        <f>+'[6]2025'!C21</f>
        <v>10758.85</v>
      </c>
      <c r="E21" s="68">
        <f>+'[6]2025'!D21</f>
        <v>10690.55</v>
      </c>
      <c r="F21" s="20">
        <f>+'[6]2025'!E21</f>
        <v>526</v>
      </c>
      <c r="G21" s="73">
        <f>+'[6]2025'!F21</f>
        <v>10800</v>
      </c>
      <c r="H21" s="42">
        <f>+'[6]2025'!G21</f>
        <v>10919.91</v>
      </c>
      <c r="I21" s="13">
        <f>+'[6]2025'!H21</f>
        <v>10834.71</v>
      </c>
      <c r="J21" s="14">
        <f>+'[6]2025'!I21</f>
        <v>493</v>
      </c>
      <c r="K21" s="15">
        <f>+'[6]2025'!J21</f>
        <v>111.55</v>
      </c>
      <c r="L21" s="15">
        <f>+'[6]2025'!K21</f>
        <v>127.38</v>
      </c>
      <c r="M21" s="15">
        <f>+'[6]2025'!L21</f>
        <v>23.59</v>
      </c>
      <c r="N21" s="16">
        <f t="shared" si="3"/>
        <v>2.1772617818104963E-3</v>
      </c>
      <c r="O21" s="17">
        <f t="shared" si="0"/>
        <v>1.3484806675054124E-2</v>
      </c>
      <c r="P21" s="17">
        <f t="shared" si="0"/>
        <v>-6.2737642585551326E-2</v>
      </c>
      <c r="Q21" s="18">
        <f t="shared" si="1"/>
        <v>97.128731510533385</v>
      </c>
      <c r="R21" s="18">
        <f t="shared" si="2"/>
        <v>85.058172397550635</v>
      </c>
      <c r="S21" s="36" t="s">
        <v>40</v>
      </c>
      <c r="T21" s="48">
        <f>SUM(I17:I23)/SUM(L17:L23)</f>
        <v>82.172995837980466</v>
      </c>
      <c r="U21" s="1738"/>
    </row>
    <row r="22" spans="1:21">
      <c r="A22" s="10" t="s">
        <v>15</v>
      </c>
      <c r="B22" s="19">
        <f>+CHAMNORD!B22</f>
        <v>46039</v>
      </c>
      <c r="C22" s="75">
        <f>IF(H22=0,"",'[6]2025-2026'!C21)</f>
        <v>10758.85</v>
      </c>
      <c r="D22" s="68">
        <f>+'[6]2025'!C22</f>
        <v>10569.88</v>
      </c>
      <c r="E22" s="68">
        <f>+'[6]2025'!D22</f>
        <v>10483.39</v>
      </c>
      <c r="F22" s="20">
        <f>+'[6]2025'!E22</f>
        <v>457</v>
      </c>
      <c r="G22" s="73">
        <f>+'[6]2025'!F22</f>
        <v>10600</v>
      </c>
      <c r="H22" s="42">
        <f>+'[6]2025'!G22</f>
        <v>10990.09</v>
      </c>
      <c r="I22" s="13">
        <f>+'[6]2025'!H22</f>
        <v>10891.33</v>
      </c>
      <c r="J22" s="14">
        <f>+'[6]2025'!I22</f>
        <v>483</v>
      </c>
      <c r="K22" s="15">
        <f>+'[6]2025'!J22</f>
        <v>95.57</v>
      </c>
      <c r="L22" s="15">
        <f>+'[6]2025'!K22</f>
        <v>112.33</v>
      </c>
      <c r="M22" s="15">
        <f>+'[6]2025'!L22</f>
        <v>43.42</v>
      </c>
      <c r="N22" s="16">
        <f t="shared" si="3"/>
        <v>3.986657276934957E-3</v>
      </c>
      <c r="O22" s="17">
        <f t="shared" si="0"/>
        <v>3.8912985208029133E-2</v>
      </c>
      <c r="P22" s="17">
        <f t="shared" si="0"/>
        <v>5.689277899343545E-2</v>
      </c>
      <c r="Q22" s="18">
        <f t="shared" si="1"/>
        <v>113.96180809877578</v>
      </c>
      <c r="R22" s="18">
        <f t="shared" si="2"/>
        <v>96.958337042642214</v>
      </c>
      <c r="S22" s="36">
        <f>SUM(J17:J23)</f>
        <v>2828</v>
      </c>
      <c r="T22" s="30" t="s">
        <v>3</v>
      </c>
      <c r="U22" s="1738"/>
    </row>
    <row r="23" spans="1:21" ht="18" thickBot="1">
      <c r="A23" s="10" t="s">
        <v>16</v>
      </c>
      <c r="B23" s="19">
        <f>+CHAMNORD!B23</f>
        <v>46040</v>
      </c>
      <c r="C23" s="75">
        <f>IF(H23=0,"",'[6]2025-2026'!C22)</f>
        <v>10569.88</v>
      </c>
      <c r="D23" s="68">
        <f>+'[6]2025'!C23</f>
        <v>11537.68</v>
      </c>
      <c r="E23" s="68">
        <f>+'[6]2025'!D23</f>
        <v>11446.63</v>
      </c>
      <c r="F23" s="20">
        <f>+'[6]2025'!E23</f>
        <v>472</v>
      </c>
      <c r="G23" s="73">
        <f>+'[6]2025'!F23</f>
        <v>12100</v>
      </c>
      <c r="H23" s="42">
        <f>+'[6]2025'!G23</f>
        <v>10649.58</v>
      </c>
      <c r="I23" s="13">
        <f>+'[6]2025'!H23</f>
        <v>10569.55</v>
      </c>
      <c r="J23" s="14">
        <f>+'[6]2025'!I23</f>
        <v>451</v>
      </c>
      <c r="K23" s="15">
        <f>+'[6]2025'!J23</f>
        <v>90.61</v>
      </c>
      <c r="L23" s="15">
        <f>+'[6]2025'!K23</f>
        <v>106.05</v>
      </c>
      <c r="M23" s="15">
        <f>+'[6]2025'!L23</f>
        <v>17.25</v>
      </c>
      <c r="N23" s="16">
        <f t="shared" si="3"/>
        <v>1.6320467758797678E-3</v>
      </c>
      <c r="O23" s="17">
        <f t="shared" si="0"/>
        <v>-7.6623425409924145E-2</v>
      </c>
      <c r="P23" s="17">
        <f t="shared" si="0"/>
        <v>-4.4491525423728813E-2</v>
      </c>
      <c r="Q23" s="18">
        <f t="shared" si="1"/>
        <v>116.64882463304271</v>
      </c>
      <c r="R23" s="18">
        <f t="shared" si="2"/>
        <v>99.665723715228665</v>
      </c>
      <c r="S23" s="37">
        <f>(S22-SUM(F17:F23))/SUM(F17:F23)</f>
        <v>1.2531328320802004E-2</v>
      </c>
      <c r="T23" s="47">
        <f>SUM(M17:M23)/SUM(I17:I23)</f>
        <v>6.1517600777155033E-3</v>
      </c>
      <c r="U23" s="1739"/>
    </row>
    <row r="24" spans="1:21" ht="17" customHeight="1" thickTop="1">
      <c r="A24" s="10" t="s">
        <v>9</v>
      </c>
      <c r="B24" s="19">
        <f>+CHAMNORD!B24</f>
        <v>46041</v>
      </c>
      <c r="C24" s="75">
        <f>IF(H24=0,"",'[6]2025-2026'!C23)</f>
        <v>11537.68</v>
      </c>
      <c r="D24" s="68">
        <f>+'[6]2025'!C24</f>
        <v>4877.18</v>
      </c>
      <c r="E24" s="68">
        <f>+'[6]2025'!D24</f>
        <v>4853.7700000000004</v>
      </c>
      <c r="F24" s="20">
        <f>+'[6]2025'!E24</f>
        <v>272</v>
      </c>
      <c r="G24" s="73">
        <f>+'[6]2025'!F24</f>
        <v>4900</v>
      </c>
      <c r="H24" s="42">
        <f>+'[6]2025'!G24</f>
        <v>4973.22</v>
      </c>
      <c r="I24" s="13">
        <f>+'[6]2025'!H24</f>
        <v>4948.49</v>
      </c>
      <c r="J24" s="14">
        <f>+'[6]2025'!I24</f>
        <v>259</v>
      </c>
      <c r="K24" s="15">
        <f>+'[6]2025'!J24</f>
        <v>70.08</v>
      </c>
      <c r="L24" s="15">
        <f>+'[6]2025'!K24</f>
        <v>78.400000000000006</v>
      </c>
      <c r="M24" s="15">
        <f>+'[6]2025'!L24</f>
        <v>63.43</v>
      </c>
      <c r="N24" s="16">
        <f t="shared" si="3"/>
        <v>1.2818051567245766E-2</v>
      </c>
      <c r="O24" s="17">
        <f t="shared" si="0"/>
        <v>1.9514727727106832E-2</v>
      </c>
      <c r="P24" s="17">
        <f t="shared" si="0"/>
        <v>-4.779411764705882E-2</v>
      </c>
      <c r="Q24" s="18">
        <f t="shared" si="1"/>
        <v>70.612014840182653</v>
      </c>
      <c r="R24" s="18">
        <f t="shared" si="2"/>
        <v>63.118494897959174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19">
        <f>+CHAMNORD!B25</f>
        <v>46042</v>
      </c>
      <c r="C25" s="75">
        <f>IF(H25=0,"",'[6]2025-2026'!C24)</f>
        <v>4877.18</v>
      </c>
      <c r="D25" s="68">
        <f>+'[6]2025'!C25</f>
        <v>6087.65</v>
      </c>
      <c r="E25" s="68">
        <f>+'[6]2025'!D25</f>
        <v>6036.96</v>
      </c>
      <c r="F25" s="20">
        <f>+'[6]2025'!E25</f>
        <v>323</v>
      </c>
      <c r="G25" s="73">
        <f>+'[6]2025'!F25</f>
        <v>6200</v>
      </c>
      <c r="H25" s="42">
        <f>+'[6]2025'!G25</f>
        <v>5794.2</v>
      </c>
      <c r="I25" s="13">
        <f>+'[6]2025'!H25</f>
        <v>5753.87</v>
      </c>
      <c r="J25" s="14">
        <f>+'[6]2025'!I25</f>
        <v>290</v>
      </c>
      <c r="K25" s="15">
        <f>+'[6]2025'!J25</f>
        <v>68.88</v>
      </c>
      <c r="L25" s="15">
        <f>+'[6]2025'!K25</f>
        <v>85.39</v>
      </c>
      <c r="M25" s="15">
        <f>+'[6]2025'!L25</f>
        <v>46.72</v>
      </c>
      <c r="N25" s="16">
        <f t="shared" si="3"/>
        <v>8.1197524448762305E-3</v>
      </c>
      <c r="O25" s="17">
        <f t="shared" si="0"/>
        <v>-4.6892806975696401E-2</v>
      </c>
      <c r="P25" s="17">
        <f t="shared" si="0"/>
        <v>-0.1021671826625387</v>
      </c>
      <c r="Q25" s="18">
        <f t="shared" si="1"/>
        <v>83.534698025551691</v>
      </c>
      <c r="R25" s="18">
        <f t="shared" si="2"/>
        <v>67.383417261974472</v>
      </c>
      <c r="S25" s="34">
        <f>SUM(I24:I30)</f>
        <v>54944.700000000004</v>
      </c>
      <c r="T25" s="45" t="s">
        <v>41</v>
      </c>
      <c r="U25" s="1738"/>
    </row>
    <row r="26" spans="1:21">
      <c r="A26" s="10" t="s">
        <v>12</v>
      </c>
      <c r="B26" s="19">
        <f>+CHAMNORD!B26</f>
        <v>46043</v>
      </c>
      <c r="C26" s="75">
        <f>IF(H26=0,"",'[6]2025-2026'!C25)</f>
        <v>6087.65</v>
      </c>
      <c r="D26" s="68">
        <f>+'[6]2025'!C26</f>
        <v>6874.5</v>
      </c>
      <c r="E26" s="68">
        <f>+'[6]2025'!D26</f>
        <v>6809.43</v>
      </c>
      <c r="F26" s="20">
        <f>+'[6]2025'!E26</f>
        <v>374</v>
      </c>
      <c r="G26" s="73">
        <f>+'[6]2025'!F26</f>
        <v>7000</v>
      </c>
      <c r="H26" s="42">
        <f>+'[6]2025'!G26</f>
        <v>6910.38</v>
      </c>
      <c r="I26" s="13">
        <f>+'[6]2025'!H26</f>
        <v>6844.06</v>
      </c>
      <c r="J26" s="14">
        <f>+'[6]2025'!I26</f>
        <v>355</v>
      </c>
      <c r="K26" s="15">
        <f>+'[6]2025'!J26</f>
        <v>79.92</v>
      </c>
      <c r="L26" s="15">
        <f>+'[6]2025'!K26</f>
        <v>90.08</v>
      </c>
      <c r="M26" s="15">
        <f>+'[6]2025'!L26</f>
        <v>13.29</v>
      </c>
      <c r="N26" s="16">
        <f t="shared" si="3"/>
        <v>1.941829849533756E-3</v>
      </c>
      <c r="O26" s="17">
        <f t="shared" si="0"/>
        <v>5.0855945358128521E-3</v>
      </c>
      <c r="P26" s="17">
        <f t="shared" si="0"/>
        <v>-5.0802139037433157E-2</v>
      </c>
      <c r="Q26" s="18">
        <f t="shared" si="1"/>
        <v>85.636386386386391</v>
      </c>
      <c r="R26" s="18">
        <f t="shared" si="2"/>
        <v>75.977575488454718</v>
      </c>
      <c r="S26" s="35">
        <f>(S25-SUM(E24:E30))/SUM(E24:E30)</f>
        <v>-2.3450989662155919E-2</v>
      </c>
      <c r="T26" s="48">
        <f>SUM(I24:I30)/SUM(K24:K30)</f>
        <v>90.799676097303035</v>
      </c>
      <c r="U26" s="1738"/>
    </row>
    <row r="27" spans="1:21">
      <c r="A27" s="10" t="s">
        <v>13</v>
      </c>
      <c r="B27" s="19">
        <f>+CHAMNORD!B27</f>
        <v>46044</v>
      </c>
      <c r="C27" s="75">
        <f>IF(H27=0,"",'[6]2025-2026'!C26)</f>
        <v>6874.5</v>
      </c>
      <c r="D27" s="68">
        <f>+'[6]2025'!C27</f>
        <v>5549.57</v>
      </c>
      <c r="E27" s="68">
        <f>+'[6]2025'!D27</f>
        <v>5511.84</v>
      </c>
      <c r="F27" s="20">
        <f>+'[6]2025'!E27</f>
        <v>296</v>
      </c>
      <c r="G27" s="73">
        <f>+'[6]2025'!F27</f>
        <v>6300</v>
      </c>
      <c r="H27" s="42">
        <f>+'[6]2025'!G27</f>
        <v>6341.89</v>
      </c>
      <c r="I27" s="13">
        <f>+'[6]2025'!H27</f>
        <v>6293.78</v>
      </c>
      <c r="J27" s="14">
        <f>+'[6]2025'!I27</f>
        <v>300</v>
      </c>
      <c r="K27" s="15">
        <f>+'[6]2025'!J27</f>
        <v>72</v>
      </c>
      <c r="L27" s="15">
        <f>+'[6]2025'!K27</f>
        <v>80.099999999999994</v>
      </c>
      <c r="M27" s="15">
        <f>+'[6]2025'!L27</f>
        <v>33.01</v>
      </c>
      <c r="N27" s="16">
        <f t="shared" si="3"/>
        <v>5.244860799074642E-3</v>
      </c>
      <c r="O27" s="17">
        <f t="shared" si="0"/>
        <v>0.14186551133559747</v>
      </c>
      <c r="P27" s="17">
        <f t="shared" si="0"/>
        <v>1.3513513513513514E-2</v>
      </c>
      <c r="Q27" s="18">
        <f t="shared" si="1"/>
        <v>87.413611111111109</v>
      </c>
      <c r="R27" s="18">
        <f t="shared" si="2"/>
        <v>78.574032459425723</v>
      </c>
      <c r="S27" s="34"/>
      <c r="T27" s="29" t="s">
        <v>8</v>
      </c>
      <c r="U27" s="1738"/>
    </row>
    <row r="28" spans="1:21">
      <c r="A28" s="10" t="s">
        <v>14</v>
      </c>
      <c r="B28" s="19">
        <f>+CHAMNORD!B28</f>
        <v>46045</v>
      </c>
      <c r="C28" s="75">
        <f>IF(H28=0,"",'[6]2025-2026'!C27)</f>
        <v>5549.57</v>
      </c>
      <c r="D28" s="68">
        <f>+'[6]2025'!C28</f>
        <v>10027</v>
      </c>
      <c r="E28" s="68">
        <f>+'[6]2025'!D28</f>
        <v>9965.42</v>
      </c>
      <c r="F28" s="20">
        <f>+'[6]2025'!E28</f>
        <v>518</v>
      </c>
      <c r="G28" s="73">
        <f>+'[6]2025'!F28</f>
        <v>11000</v>
      </c>
      <c r="H28" s="42">
        <f>+'[6]2025'!G28</f>
        <v>9551.4599999999991</v>
      </c>
      <c r="I28" s="13">
        <f>+'[6]2025'!H28</f>
        <v>9481.2099999999991</v>
      </c>
      <c r="J28" s="14">
        <f>+'[6]2025'!I28</f>
        <v>465</v>
      </c>
      <c r="K28" s="15">
        <f>+'[6]2025'!J28</f>
        <v>108.65</v>
      </c>
      <c r="L28" s="15">
        <f>+'[6]2025'!K28</f>
        <v>116</v>
      </c>
      <c r="M28" s="15">
        <f>+'[6]2025'!L28</f>
        <v>24.4</v>
      </c>
      <c r="N28" s="16">
        <f t="shared" si="3"/>
        <v>2.5735111868632802E-3</v>
      </c>
      <c r="O28" s="17">
        <f t="shared" si="0"/>
        <v>-4.8589020834044219E-2</v>
      </c>
      <c r="P28" s="17">
        <f t="shared" si="0"/>
        <v>-0.10231660231660232</v>
      </c>
      <c r="Q28" s="18">
        <f t="shared" si="1"/>
        <v>87.263782788771266</v>
      </c>
      <c r="R28" s="18">
        <f t="shared" si="2"/>
        <v>81.734568965517241</v>
      </c>
      <c r="S28" s="36" t="s">
        <v>40</v>
      </c>
      <c r="T28" s="48">
        <f>SUM(I24:I30)/SUM(L24:L30)</f>
        <v>79.566577365867801</v>
      </c>
      <c r="U28" s="1738"/>
    </row>
    <row r="29" spans="1:21">
      <c r="A29" s="10" t="s">
        <v>15</v>
      </c>
      <c r="B29" s="19">
        <f>+CHAMNORD!B29</f>
        <v>46046</v>
      </c>
      <c r="C29" s="75">
        <f>IF(H29=0,"",'[6]2025-2026'!C28)</f>
        <v>10027</v>
      </c>
      <c r="D29" s="68">
        <f>+'[6]2025'!C29</f>
        <v>11424.38</v>
      </c>
      <c r="E29" s="68">
        <f>+'[6]2025'!D29</f>
        <v>11326.78</v>
      </c>
      <c r="F29" s="20">
        <f>+'[6]2025'!E29</f>
        <v>520</v>
      </c>
      <c r="G29" s="73">
        <f>+'[6]2025'!F29</f>
        <v>11800</v>
      </c>
      <c r="H29" s="42">
        <f>+'[6]2025'!G29</f>
        <v>10567.44</v>
      </c>
      <c r="I29" s="13">
        <f>+'[6]2025'!H29</f>
        <v>10466.57</v>
      </c>
      <c r="J29" s="14">
        <f>+'[6]2025'!I29</f>
        <v>445</v>
      </c>
      <c r="K29" s="15">
        <f>+'[6]2025'!J29</f>
        <v>100.78</v>
      </c>
      <c r="L29" s="15">
        <f>+'[6]2025'!K29</f>
        <v>119.04</v>
      </c>
      <c r="M29" s="15">
        <f>+'[6]2025'!L29</f>
        <v>46.07</v>
      </c>
      <c r="N29" s="16">
        <f t="shared" si="3"/>
        <v>4.4016330087125006E-3</v>
      </c>
      <c r="O29" s="17">
        <f t="shared" si="0"/>
        <v>-7.5944796314574917E-2</v>
      </c>
      <c r="P29" s="17">
        <f t="shared" si="0"/>
        <v>-0.14423076923076922</v>
      </c>
      <c r="Q29" s="18">
        <f t="shared" si="1"/>
        <v>103.85562611629291</v>
      </c>
      <c r="R29" s="18">
        <f t="shared" si="2"/>
        <v>87.924815188172033</v>
      </c>
      <c r="S29" s="36">
        <f>SUM(J24:J30)</f>
        <v>2575</v>
      </c>
      <c r="T29" s="30" t="s">
        <v>3</v>
      </c>
      <c r="U29" s="1738"/>
    </row>
    <row r="30" spans="1:21" ht="18" thickBot="1">
      <c r="A30" s="10" t="s">
        <v>16</v>
      </c>
      <c r="B30" s="19">
        <f>+CHAMNORD!B30</f>
        <v>46047</v>
      </c>
      <c r="C30" s="75">
        <f>IF(H30=0,"",'[6]2025-2026'!C29)</f>
        <v>11424.38</v>
      </c>
      <c r="D30" s="68">
        <f>+'[6]2025'!C30</f>
        <v>11852.25</v>
      </c>
      <c r="E30" s="68">
        <f>+'[6]2025'!D30</f>
        <v>11759.95</v>
      </c>
      <c r="F30" s="20">
        <f>+'[6]2025'!E30</f>
        <v>537</v>
      </c>
      <c r="G30" s="73">
        <f>+'[6]2025'!F30</f>
        <v>12300</v>
      </c>
      <c r="H30" s="42">
        <f>+'[6]2025'!G30</f>
        <v>11251.69</v>
      </c>
      <c r="I30" s="13">
        <f>+'[6]2025'!H30</f>
        <v>11156.72</v>
      </c>
      <c r="J30" s="14">
        <f>+'[6]2025'!I30</f>
        <v>461</v>
      </c>
      <c r="K30" s="15">
        <f>+'[6]2025'!J30</f>
        <v>104.81</v>
      </c>
      <c r="L30" s="15">
        <f>+'[6]2025'!K30</f>
        <v>121.54</v>
      </c>
      <c r="M30" s="15">
        <f>+'[6]2025'!L30</f>
        <v>57.27</v>
      </c>
      <c r="N30" s="16">
        <f t="shared" si="3"/>
        <v>5.1332291211036944E-3</v>
      </c>
      <c r="O30" s="17">
        <f t="shared" si="0"/>
        <v>-5.1295286119413884E-2</v>
      </c>
      <c r="P30" s="17">
        <f t="shared" si="0"/>
        <v>-0.14152700186219738</v>
      </c>
      <c r="Q30" s="18">
        <f t="shared" si="1"/>
        <v>106.44709474286803</v>
      </c>
      <c r="R30" s="18">
        <f t="shared" si="2"/>
        <v>91.794635510942896</v>
      </c>
      <c r="S30" s="37">
        <f>(S29-SUM(F24:F30))/SUM(F24:F30)</f>
        <v>-9.3309859154929578E-2</v>
      </c>
      <c r="T30" s="47">
        <f>SUM(M24:M30)/SUM(I24:I30)</f>
        <v>5.1722914130025279E-3</v>
      </c>
      <c r="U30" s="1739"/>
    </row>
    <row r="31" spans="1:21" ht="17" customHeight="1" thickTop="1">
      <c r="A31" s="10" t="s">
        <v>9</v>
      </c>
      <c r="B31" s="19">
        <f>+CHAMNORD!B31</f>
        <v>46048</v>
      </c>
      <c r="C31" s="75">
        <f>IF(H31=0,"",'[6]2025-2026'!C30)</f>
        <v>11852.25</v>
      </c>
      <c r="D31" s="68">
        <f>+'[6]2025'!C31</f>
        <v>5118.1499999999996</v>
      </c>
      <c r="E31" s="68">
        <f>+'[6]2025'!D31</f>
        <v>5086.8999999999996</v>
      </c>
      <c r="F31" s="20">
        <f>+'[6]2025'!E31</f>
        <v>252</v>
      </c>
      <c r="G31" s="73">
        <f>+'[6]2025'!F31</f>
        <v>5400</v>
      </c>
      <c r="H31" s="42">
        <f>+'[6]2025'!G31</f>
        <v>5536.09</v>
      </c>
      <c r="I31" s="13">
        <f>+'[6]2025'!H31</f>
        <v>5498.33</v>
      </c>
      <c r="J31" s="14">
        <f>+'[6]2025'!I31</f>
        <v>262</v>
      </c>
      <c r="K31" s="15">
        <f>+'[6]2025'!J31</f>
        <v>70</v>
      </c>
      <c r="L31" s="15">
        <f>+'[6]2025'!K31</f>
        <v>77.3</v>
      </c>
      <c r="M31" s="15">
        <f>+'[6]2025'!L31</f>
        <v>15.46</v>
      </c>
      <c r="N31" s="16">
        <f t="shared" si="3"/>
        <v>2.8117628443545587E-3</v>
      </c>
      <c r="O31" s="17">
        <f t="shared" si="0"/>
        <v>8.0880300379405995E-2</v>
      </c>
      <c r="P31" s="17">
        <f t="shared" si="0"/>
        <v>3.968253968253968E-2</v>
      </c>
      <c r="Q31" s="18">
        <f t="shared" si="1"/>
        <v>78.54757142857143</v>
      </c>
      <c r="R31" s="18">
        <f t="shared" si="2"/>
        <v>71.129754204398452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19">
        <f>+CHAMNORD!B32</f>
        <v>46049</v>
      </c>
      <c r="C32" s="75">
        <f>IF(H32=0,"",'[6]2025-2026'!C31)</f>
        <v>5118.1499999999996</v>
      </c>
      <c r="D32" s="68">
        <f>+'[6]2025'!C32</f>
        <v>5549.5</v>
      </c>
      <c r="E32" s="68">
        <f>+'[6]2025'!D32</f>
        <v>5511.73</v>
      </c>
      <c r="F32" s="20">
        <f>+'[6]2025'!E32</f>
        <v>278</v>
      </c>
      <c r="G32" s="73">
        <f>+'[6]2025'!F32</f>
        <v>5800</v>
      </c>
      <c r="H32" s="42">
        <f>+'[6]2025'!G32</f>
        <v>5916.52</v>
      </c>
      <c r="I32" s="13">
        <f>+'[6]2025'!H32</f>
        <v>5879.47</v>
      </c>
      <c r="J32" s="14">
        <f>+'[6]2025'!I32</f>
        <v>286</v>
      </c>
      <c r="K32" s="15">
        <f>+'[6]2025'!J32</f>
        <v>65.81</v>
      </c>
      <c r="L32" s="15">
        <f>+'[6]2025'!K32</f>
        <v>75.180000000000007</v>
      </c>
      <c r="M32" s="15">
        <f>+'[6]2025'!L32</f>
        <v>30.6</v>
      </c>
      <c r="N32" s="16">
        <f t="shared" si="3"/>
        <v>5.2045507503227333E-3</v>
      </c>
      <c r="O32" s="17">
        <f t="shared" si="0"/>
        <v>6.671952363414041E-2</v>
      </c>
      <c r="P32" s="17">
        <f t="shared" si="0"/>
        <v>2.8776978417266189E-2</v>
      </c>
      <c r="Q32" s="18">
        <f t="shared" si="1"/>
        <v>89.340069898191771</v>
      </c>
      <c r="R32" s="18">
        <f t="shared" si="2"/>
        <v>78.20524075552008</v>
      </c>
      <c r="S32" s="34">
        <f>SUM(I31:I37)</f>
        <v>60145.719999999994</v>
      </c>
      <c r="T32" s="45" t="s">
        <v>41</v>
      </c>
      <c r="U32" s="1738"/>
    </row>
    <row r="33" spans="1:21">
      <c r="A33" s="10" t="s">
        <v>12</v>
      </c>
      <c r="B33" s="19">
        <f>+CHAMNORD!B33</f>
        <v>46050</v>
      </c>
      <c r="C33" s="75">
        <f>IF(H33=0,"",'[6]2025-2026'!C32)</f>
        <v>5549.5</v>
      </c>
      <c r="D33" s="68">
        <f>+'[6]2025'!C33</f>
        <v>8458.8700000000008</v>
      </c>
      <c r="E33" s="68">
        <f>+'[6]2025'!D33</f>
        <v>8367.19</v>
      </c>
      <c r="F33" s="20">
        <f>+'[6]2025'!E33</f>
        <v>443</v>
      </c>
      <c r="G33" s="73">
        <f>+'[6]2025'!F33</f>
        <v>8800</v>
      </c>
      <c r="H33" s="42">
        <f>+'[6]2025'!G33</f>
        <v>8018.23</v>
      </c>
      <c r="I33" s="13">
        <f>+'[6]2025'!H33</f>
        <v>7903.12</v>
      </c>
      <c r="J33" s="14">
        <f>+'[6]2025'!I33</f>
        <v>384</v>
      </c>
      <c r="K33" s="15">
        <f>+'[6]2025'!J33</f>
        <v>87.25</v>
      </c>
      <c r="L33" s="15">
        <f>+'[6]2025'!K33</f>
        <v>104.06</v>
      </c>
      <c r="M33" s="15">
        <f>+'[6]2025'!L33</f>
        <v>79.66</v>
      </c>
      <c r="N33" s="16">
        <f t="shared" si="3"/>
        <v>1.0079563514156434E-2</v>
      </c>
      <c r="O33" s="17">
        <f t="shared" si="0"/>
        <v>-5.5463064660895782E-2</v>
      </c>
      <c r="P33" s="17">
        <f t="shared" si="0"/>
        <v>-0.13318284424379231</v>
      </c>
      <c r="Q33" s="18">
        <f t="shared" si="1"/>
        <v>90.580171919770777</v>
      </c>
      <c r="R33" s="18">
        <f t="shared" si="2"/>
        <v>75.947722467807026</v>
      </c>
      <c r="S33" s="35">
        <f>(S32-SUM(E31:E37))/SUM(E31:E37)</f>
        <v>8.4863077552496669E-3</v>
      </c>
      <c r="T33" s="48">
        <f>SUM(I31:I37)/SUM(K31:K37)</f>
        <v>97.7264115687708</v>
      </c>
      <c r="U33" s="1738"/>
    </row>
    <row r="34" spans="1:21">
      <c r="A34" s="10" t="s">
        <v>13</v>
      </c>
      <c r="B34" s="19">
        <f>+CHAMNORD!B34</f>
        <v>46051</v>
      </c>
      <c r="C34" s="75">
        <f>IF(H34=0,"",'[6]2025-2026'!C33)</f>
        <v>8458.8700000000008</v>
      </c>
      <c r="D34" s="68">
        <f>+'[6]2025'!C34</f>
        <v>6759.25</v>
      </c>
      <c r="E34" s="68">
        <f>+'[6]2025'!D34</f>
        <v>6691.56</v>
      </c>
      <c r="F34" s="20">
        <f>+'[6]2025'!E34</f>
        <v>335</v>
      </c>
      <c r="G34" s="73">
        <f>+'[6]2025'!F34</f>
        <v>6900</v>
      </c>
      <c r="H34" s="42">
        <f>+'[6]2025'!G34</f>
        <v>6317.22</v>
      </c>
      <c r="I34" s="13">
        <f>+'[6]2025'!H34</f>
        <v>6279.47</v>
      </c>
      <c r="J34" s="14">
        <f>+'[6]2025'!I34</f>
        <v>320</v>
      </c>
      <c r="K34" s="15">
        <f>+'[6]2025'!J34</f>
        <v>68.98</v>
      </c>
      <c r="L34" s="15">
        <f>+'[6]2025'!K34</f>
        <v>84.019000000000005</v>
      </c>
      <c r="M34" s="15">
        <f>+'[6]2025'!L34</f>
        <v>83.42</v>
      </c>
      <c r="N34" s="16">
        <f t="shared" si="3"/>
        <v>1.328456063967182E-2</v>
      </c>
      <c r="O34" s="17">
        <f t="shared" si="0"/>
        <v>-6.1583547035369945E-2</v>
      </c>
      <c r="P34" s="17">
        <f t="shared" si="0"/>
        <v>-4.4776119402985072E-2</v>
      </c>
      <c r="Q34" s="18">
        <f t="shared" si="1"/>
        <v>91.033198028414034</v>
      </c>
      <c r="R34" s="18">
        <f t="shared" si="2"/>
        <v>74.738690058201115</v>
      </c>
      <c r="S34" s="34"/>
      <c r="T34" s="29" t="s">
        <v>8</v>
      </c>
      <c r="U34" s="1738"/>
    </row>
    <row r="35" spans="1:21">
      <c r="A35" s="10" t="s">
        <v>14</v>
      </c>
      <c r="B35" s="19">
        <f>+CHAMNORD!B35</f>
        <v>46052</v>
      </c>
      <c r="C35" s="75">
        <f>IF(H35=0,"",'[6]2025-2026'!C34)</f>
        <v>6759.25</v>
      </c>
      <c r="D35" s="68">
        <f>+'[6]2025'!C35</f>
        <v>11416.29</v>
      </c>
      <c r="E35" s="68">
        <f>+'[6]2025'!D35</f>
        <v>11328.4</v>
      </c>
      <c r="F35" s="20">
        <f>+'[6]2025'!E35</f>
        <v>544</v>
      </c>
      <c r="G35" s="73">
        <f>+'[6]2025'!F35</f>
        <v>12100</v>
      </c>
      <c r="H35" s="42">
        <f>+'[6]2025'!G35</f>
        <v>10603.37</v>
      </c>
      <c r="I35" s="13">
        <f>+'[6]2025'!H35</f>
        <v>10523.17</v>
      </c>
      <c r="J35" s="14">
        <f>+'[6]2025'!I35</f>
        <v>481</v>
      </c>
      <c r="K35" s="15">
        <f>+'[6]2025'!J35</f>
        <v>104.91</v>
      </c>
      <c r="L35" s="15">
        <f>+'[6]2025'!K35</f>
        <v>119.57</v>
      </c>
      <c r="M35" s="15">
        <f>+'[6]2025'!L35</f>
        <v>23.05</v>
      </c>
      <c r="N35" s="16">
        <f t="shared" si="3"/>
        <v>2.1904046024154317E-3</v>
      </c>
      <c r="O35" s="17">
        <f t="shared" si="0"/>
        <v>-7.1080646869813885E-2</v>
      </c>
      <c r="P35" s="17">
        <f t="shared" si="0"/>
        <v>-0.11580882352941177</v>
      </c>
      <c r="Q35" s="18">
        <f t="shared" si="1"/>
        <v>100.30664378991517</v>
      </c>
      <c r="R35" s="18">
        <f t="shared" si="2"/>
        <v>88.008446934849886</v>
      </c>
      <c r="S35" s="36" t="s">
        <v>40</v>
      </c>
      <c r="T35" s="48">
        <f>SUM(I31:I37)/SUM(L31:L37)</f>
        <v>84.337041248865958</v>
      </c>
      <c r="U35" s="1738"/>
    </row>
    <row r="36" spans="1:21">
      <c r="A36" s="10" t="s">
        <v>15</v>
      </c>
      <c r="B36" s="19">
        <f>+CHAMNORD!B36</f>
        <v>46053</v>
      </c>
      <c r="C36" s="75">
        <f>IF(H36=0,"",'[6]2025-2026'!C35)</f>
        <v>11416.29</v>
      </c>
      <c r="D36" s="68">
        <f>+'[6]2025'!C36</f>
        <v>11823.71</v>
      </c>
      <c r="E36" s="68">
        <f>+'[6]2025'!D36</f>
        <v>11718.87</v>
      </c>
      <c r="F36" s="20">
        <f>+'[6]2025'!E36</f>
        <v>551</v>
      </c>
      <c r="G36" s="73">
        <f>+'[6]2025'!F36</f>
        <v>12300</v>
      </c>
      <c r="H36" s="42">
        <f>+'[6]2025'!G36</f>
        <v>13064.34</v>
      </c>
      <c r="I36" s="13">
        <f>+'[6]2025'!H36</f>
        <v>12954.6</v>
      </c>
      <c r="J36" s="14">
        <f>+'[6]2025'!I36</f>
        <v>552</v>
      </c>
      <c r="K36" s="15">
        <f>+'[6]2025'!J36</f>
        <v>105.61</v>
      </c>
      <c r="L36" s="15">
        <f>+'[6]2025'!K36</f>
        <v>124.5</v>
      </c>
      <c r="M36" s="15">
        <f>+'[6]2025'!L36</f>
        <v>-93.61</v>
      </c>
      <c r="N36" s="16">
        <f t="shared" si="3"/>
        <v>-7.2260046624365087E-3</v>
      </c>
      <c r="O36" s="17">
        <f t="shared" si="0"/>
        <v>0.10544788021370657</v>
      </c>
      <c r="P36" s="17">
        <f t="shared" si="0"/>
        <v>1.8148820326678765E-3</v>
      </c>
      <c r="Q36" s="18">
        <f t="shared" si="1"/>
        <v>122.66452040526465</v>
      </c>
      <c r="R36" s="18">
        <f t="shared" si="2"/>
        <v>104.05301204819277</v>
      </c>
      <c r="S36" s="36">
        <f>SUM(J31:J37)</f>
        <v>2757</v>
      </c>
      <c r="T36" s="30" t="s">
        <v>3</v>
      </c>
      <c r="U36" s="1738"/>
    </row>
    <row r="37" spans="1:21" ht="18" thickBot="1">
      <c r="A37" s="10" t="s">
        <v>16</v>
      </c>
      <c r="B37" s="19">
        <f>+CHAMNORD!B37</f>
        <v>46054</v>
      </c>
      <c r="C37" s="75">
        <f>IF(H37=0,"",'[6]2025-2026'!C36)</f>
        <v>11823.71</v>
      </c>
      <c r="D37" s="68">
        <f>+'[6]2025'!C37</f>
        <v>11021.5</v>
      </c>
      <c r="E37" s="68">
        <f>+'[6]2025'!D37</f>
        <v>10934.95</v>
      </c>
      <c r="F37" s="20">
        <f>+'[6]2025'!E37</f>
        <v>505</v>
      </c>
      <c r="G37" s="73">
        <f>+'[6]2025'!F37</f>
        <v>12400</v>
      </c>
      <c r="H37" s="42">
        <f>+'[6]2025'!G37</f>
        <v>11199.88</v>
      </c>
      <c r="I37" s="13">
        <f>+'[6]2025'!H37</f>
        <v>11107.56</v>
      </c>
      <c r="J37" s="14">
        <f>+'[6]2025'!I37</f>
        <v>472</v>
      </c>
      <c r="K37" s="15">
        <f>+'[6]2025'!J37</f>
        <v>112.89</v>
      </c>
      <c r="L37" s="15">
        <f>+'[6]2025'!K37</f>
        <v>128.53</v>
      </c>
      <c r="M37" s="15">
        <f>+'[6]2025'!L37</f>
        <v>46.29</v>
      </c>
      <c r="N37" s="16">
        <f t="shared" si="3"/>
        <v>4.1674319112388319E-3</v>
      </c>
      <c r="O37" s="17">
        <f t="shared" si="0"/>
        <v>1.5785165912967022E-2</v>
      </c>
      <c r="P37" s="17">
        <f t="shared" si="0"/>
        <v>-6.5346534653465349E-2</v>
      </c>
      <c r="Q37" s="18">
        <f t="shared" si="1"/>
        <v>98.392771724687748</v>
      </c>
      <c r="R37" s="18">
        <f t="shared" si="2"/>
        <v>86.419979771259619</v>
      </c>
      <c r="S37" s="37">
        <f>(S36-SUM(F31:F37))/SUM(F31:F37)</f>
        <v>-5.1925722145804674E-2</v>
      </c>
      <c r="T37" s="47">
        <f>SUM(M31:M37)/SUM(I31:I37)</f>
        <v>3.0737016698777569E-3</v>
      </c>
      <c r="U37" s="1739"/>
    </row>
    <row r="38" spans="1:21" ht="17" customHeight="1" thickTop="1">
      <c r="A38" s="10" t="s">
        <v>9</v>
      </c>
      <c r="B38" s="19">
        <f>+CHAMNORD!B38</f>
        <v>46055</v>
      </c>
      <c r="C38" s="75">
        <f>IF(H38=0,"",'[6]2025-2026'!C37)</f>
        <v>11021.5</v>
      </c>
      <c r="D38" s="68">
        <f>+'[6]2025'!C38</f>
        <v>5022.2700000000004</v>
      </c>
      <c r="E38" s="68">
        <f>+'[6]2025'!D38</f>
        <v>4979.3500000000004</v>
      </c>
      <c r="F38" s="20">
        <f>+'[6]2025'!E38</f>
        <v>268</v>
      </c>
      <c r="G38" s="73">
        <f>+'[6]2025'!F38</f>
        <v>5300</v>
      </c>
      <c r="H38" s="42">
        <f>+'[6]2025'!G38</f>
        <v>5541.17</v>
      </c>
      <c r="I38" s="13">
        <f>+'[6]2025'!H38</f>
        <v>5511.33</v>
      </c>
      <c r="J38" s="14">
        <f>+'[6]2025'!I38</f>
        <v>273</v>
      </c>
      <c r="K38" s="15">
        <f>+'[6]2025'!J38</f>
        <v>70.83</v>
      </c>
      <c r="L38" s="15">
        <f>+'[6]2025'!K38</f>
        <v>86.49</v>
      </c>
      <c r="M38" s="15">
        <f>+'[6]2025'!L38</f>
        <v>51.23</v>
      </c>
      <c r="N38" s="16">
        <f t="shared" si="3"/>
        <v>9.2953969368555316E-3</v>
      </c>
      <c r="O38" s="17">
        <f t="shared" si="0"/>
        <v>0.10683723779208119</v>
      </c>
      <c r="P38" s="17">
        <f t="shared" si="0"/>
        <v>1.8656716417910446E-2</v>
      </c>
      <c r="Q38" s="18">
        <f t="shared" si="1"/>
        <v>77.810673443456167</v>
      </c>
      <c r="R38" s="18">
        <f t="shared" si="2"/>
        <v>63.722164412070761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19">
        <f>+CHAMNORD!B39</f>
        <v>46056</v>
      </c>
      <c r="C39" s="75">
        <f>IF(H39=0,"",'[6]2025-2026'!C38)</f>
        <v>5022.2700000000004</v>
      </c>
      <c r="D39" s="68">
        <f>+'[6]2025'!C39</f>
        <v>6007.42</v>
      </c>
      <c r="E39" s="68">
        <f>+'[6]2025'!D39</f>
        <v>5960.58</v>
      </c>
      <c r="F39" s="20">
        <f>+'[6]2025'!E39</f>
        <v>308</v>
      </c>
      <c r="G39" s="73">
        <f>+'[6]2025'!F39</f>
        <v>6000</v>
      </c>
      <c r="H39" s="42">
        <f>+'[6]2025'!G39</f>
        <v>6191.7889999999998</v>
      </c>
      <c r="I39" s="13">
        <f>+'[6]2025'!H39</f>
        <v>6146.89</v>
      </c>
      <c r="J39" s="14">
        <f>+'[6]2025'!I39</f>
        <v>304</v>
      </c>
      <c r="K39" s="15">
        <f>+'[6]2025'!J39</f>
        <v>77.11</v>
      </c>
      <c r="L39" s="15">
        <f>+'[6]2025'!K39</f>
        <v>102.03</v>
      </c>
      <c r="M39" s="15">
        <f>+'[6]2025'!L39</f>
        <v>70.42</v>
      </c>
      <c r="N39" s="16">
        <f t="shared" si="3"/>
        <v>1.1456199801851016E-2</v>
      </c>
      <c r="O39" s="17">
        <f t="shared" si="0"/>
        <v>3.1257025323039103E-2</v>
      </c>
      <c r="P39" s="17">
        <f t="shared" si="0"/>
        <v>-1.2987012987012988E-2</v>
      </c>
      <c r="Q39" s="18">
        <f t="shared" si="1"/>
        <v>79.715860459084425</v>
      </c>
      <c r="R39" s="18">
        <f t="shared" si="2"/>
        <v>60.245908066255026</v>
      </c>
      <c r="S39" s="34">
        <f>SUM(I38:I44)</f>
        <v>61399.53</v>
      </c>
      <c r="T39" s="45" t="s">
        <v>41</v>
      </c>
      <c r="U39" s="1738"/>
    </row>
    <row r="40" spans="1:21">
      <c r="A40" s="10" t="s">
        <v>12</v>
      </c>
      <c r="B40" s="19">
        <f>+CHAMNORD!B40</f>
        <v>46057</v>
      </c>
      <c r="C40" s="75">
        <f>IF(H40=0,"",'[6]2025-2026'!C39)</f>
        <v>6007.42</v>
      </c>
      <c r="D40" s="68">
        <f>+'[6]2025'!C40</f>
        <v>9715.42</v>
      </c>
      <c r="E40" s="68">
        <f>+'[6]2025'!D40</f>
        <v>9614.6299999999992</v>
      </c>
      <c r="F40" s="20">
        <f>+'[6]2025'!E40</f>
        <v>497</v>
      </c>
      <c r="G40" s="73">
        <f>+'[6]2025'!F40</f>
        <v>9600</v>
      </c>
      <c r="H40" s="42">
        <f>+'[6]2025'!G40</f>
        <v>8307.73</v>
      </c>
      <c r="I40" s="13">
        <f>+'[6]2025'!H40</f>
        <v>8221.86</v>
      </c>
      <c r="J40" s="14">
        <f>+'[6]2025'!I40</f>
        <v>420</v>
      </c>
      <c r="K40" s="15">
        <f>+'[6]2025'!J40</f>
        <v>92.97</v>
      </c>
      <c r="L40" s="15">
        <f>+'[6]2025'!K40</f>
        <v>101.27</v>
      </c>
      <c r="M40" s="15">
        <f>+'[6]2025'!L40</f>
        <v>25.83</v>
      </c>
      <c r="N40" s="16">
        <f t="shared" si="3"/>
        <v>3.1416248877991107E-3</v>
      </c>
      <c r="O40" s="17">
        <f t="shared" si="0"/>
        <v>-0.1448594485695236</v>
      </c>
      <c r="P40" s="17">
        <f t="shared" si="0"/>
        <v>-0.15492957746478872</v>
      </c>
      <c r="Q40" s="18">
        <f t="shared" si="1"/>
        <v>88.435624394966126</v>
      </c>
      <c r="R40" s="18">
        <f t="shared" si="2"/>
        <v>81.187518514861267</v>
      </c>
      <c r="S40" s="35">
        <f>(S39-SUM(E38:E44))/SUM(E38:E44)</f>
        <v>-6.6026499495285329E-2</v>
      </c>
      <c r="T40" s="48">
        <f>SUM(I38:I44)/SUM(K38:K44)</f>
        <v>95.364578156063629</v>
      </c>
      <c r="U40" s="1738"/>
    </row>
    <row r="41" spans="1:21">
      <c r="A41" s="10" t="s">
        <v>13</v>
      </c>
      <c r="B41" s="19">
        <f>+CHAMNORD!B41</f>
        <v>46058</v>
      </c>
      <c r="C41" s="75">
        <f>IF(H41=0,"",'[6]2025-2026'!C40)</f>
        <v>9715.42</v>
      </c>
      <c r="D41" s="68">
        <f>+'[6]2025'!C41</f>
        <v>6738.11</v>
      </c>
      <c r="E41" s="68">
        <f>+'[6]2025'!D41</f>
        <v>6662.89</v>
      </c>
      <c r="F41" s="20">
        <f>+'[6]2025'!E41</f>
        <v>354</v>
      </c>
      <c r="G41" s="73">
        <f>+'[6]2025'!F41</f>
        <v>6900</v>
      </c>
      <c r="H41" s="42">
        <f>+'[6]2025'!G41</f>
        <v>7142.79</v>
      </c>
      <c r="I41" s="13">
        <f>+'[6]2025'!H41</f>
        <v>7096.61</v>
      </c>
      <c r="J41" s="14">
        <f>+'[6]2025'!I41</f>
        <v>367</v>
      </c>
      <c r="K41" s="15">
        <f>+'[6]2025'!J41</f>
        <v>81.98</v>
      </c>
      <c r="L41" s="15">
        <f>+'[6]2025'!K41</f>
        <v>99.15</v>
      </c>
      <c r="M41" s="15">
        <f>+'[6]2025'!L41</f>
        <v>25.82</v>
      </c>
      <c r="N41" s="16">
        <f t="shared" si="3"/>
        <v>3.6383569056211346E-3</v>
      </c>
      <c r="O41" s="17">
        <f t="shared" si="0"/>
        <v>6.5094876247394046E-2</v>
      </c>
      <c r="P41" s="17">
        <f t="shared" si="0"/>
        <v>3.6723163841807911E-2</v>
      </c>
      <c r="Q41" s="18">
        <f t="shared" si="1"/>
        <v>86.565137838497179</v>
      </c>
      <c r="R41" s="18">
        <f t="shared" si="2"/>
        <v>71.574483106404429</v>
      </c>
      <c r="S41" s="34"/>
      <c r="T41" s="29" t="s">
        <v>8</v>
      </c>
      <c r="U41" s="1738"/>
    </row>
    <row r="42" spans="1:21">
      <c r="A42" s="10" t="s">
        <v>14</v>
      </c>
      <c r="B42" s="19">
        <f>+CHAMNORD!B42</f>
        <v>46059</v>
      </c>
      <c r="C42" s="75">
        <f>IF(H42=0,"",'[6]2025-2026'!C41)</f>
        <v>6738.11</v>
      </c>
      <c r="D42" s="68">
        <f>+'[6]2025'!C42</f>
        <v>10952.09</v>
      </c>
      <c r="E42" s="68">
        <f>+'[6]2025'!D42</f>
        <v>10865.56</v>
      </c>
      <c r="F42" s="20">
        <f>+'[6]2025'!E42</f>
        <v>534</v>
      </c>
      <c r="G42" s="73">
        <f>+'[6]2025'!F42</f>
        <v>11300</v>
      </c>
      <c r="H42" s="42">
        <f>+'[6]2025'!G42</f>
        <v>11099.37</v>
      </c>
      <c r="I42" s="13">
        <f>+'[6]2025'!H42</f>
        <v>11020.82</v>
      </c>
      <c r="J42" s="14">
        <f>+'[6]2025'!I42</f>
        <v>507</v>
      </c>
      <c r="K42" s="15">
        <f>+'[6]2025'!J42</f>
        <v>94.14</v>
      </c>
      <c r="L42" s="15">
        <f>+'[6]2025'!K42</f>
        <v>126.34</v>
      </c>
      <c r="M42" s="15">
        <f>+'[6]2025'!L42</f>
        <v>49.29</v>
      </c>
      <c r="N42" s="16">
        <f t="shared" si="3"/>
        <v>4.4724439742233335E-3</v>
      </c>
      <c r="O42" s="17">
        <f t="shared" si="0"/>
        <v>1.4289185278991624E-2</v>
      </c>
      <c r="P42" s="17">
        <f t="shared" si="0"/>
        <v>-5.0561797752808987E-2</v>
      </c>
      <c r="Q42" s="18">
        <f t="shared" si="1"/>
        <v>117.06840875292117</v>
      </c>
      <c r="R42" s="18">
        <f t="shared" si="2"/>
        <v>87.231438974196607</v>
      </c>
      <c r="S42" s="36" t="s">
        <v>40</v>
      </c>
      <c r="T42" s="48">
        <f>SUM(I38:I44)/SUM(L38:L44)</f>
        <v>79.990007686395089</v>
      </c>
      <c r="U42" s="1738"/>
    </row>
    <row r="43" spans="1:21">
      <c r="A43" s="10" t="s">
        <v>15</v>
      </c>
      <c r="B43" s="19">
        <f>+CHAMNORD!B43</f>
        <v>46060</v>
      </c>
      <c r="C43" s="75">
        <f>IF(H43=0,"",'[6]2025-2026'!C42)</f>
        <v>10952.09</v>
      </c>
      <c r="D43" s="68">
        <f>+'[6]2025'!C43</f>
        <v>14259.54</v>
      </c>
      <c r="E43" s="68">
        <f>+'[6]2025'!D43</f>
        <v>14155.42</v>
      </c>
      <c r="F43" s="20">
        <f>+'[6]2025'!E43</f>
        <v>588</v>
      </c>
      <c r="G43" s="73">
        <f>+'[6]2025'!F43</f>
        <v>13200</v>
      </c>
      <c r="H43" s="42">
        <f>+'[6]2025'!G43</f>
        <v>10868.16</v>
      </c>
      <c r="I43" s="13">
        <f>+'[6]2025'!H43</f>
        <v>10769.22</v>
      </c>
      <c r="J43" s="14">
        <f>+'[6]2025'!I43</f>
        <v>473</v>
      </c>
      <c r="K43" s="15">
        <f>+'[6]2025'!J43</f>
        <v>107.55</v>
      </c>
      <c r="L43" s="15">
        <f>+'[6]2025'!K43</f>
        <v>116.05</v>
      </c>
      <c r="M43" s="15">
        <f>+'[6]2025'!L43</f>
        <v>35.06</v>
      </c>
      <c r="N43" s="16">
        <f t="shared" si="3"/>
        <v>3.2555746841461133E-3</v>
      </c>
      <c r="O43" s="17">
        <f t="shared" si="0"/>
        <v>-0.23921579154839637</v>
      </c>
      <c r="P43" s="17">
        <f t="shared" si="0"/>
        <v>-0.195578231292517</v>
      </c>
      <c r="Q43" s="18">
        <f t="shared" si="1"/>
        <v>100.13221757322175</v>
      </c>
      <c r="R43" s="18">
        <f t="shared" si="2"/>
        <v>92.798104265402841</v>
      </c>
      <c r="S43" s="36">
        <f>SUM(J38:J44)</f>
        <v>2924</v>
      </c>
      <c r="T43" s="30" t="s">
        <v>3</v>
      </c>
      <c r="U43" s="1738"/>
    </row>
    <row r="44" spans="1:21" ht="18" thickBot="1">
      <c r="A44" s="10" t="s">
        <v>16</v>
      </c>
      <c r="B44" s="19">
        <f>+CHAMNORD!B44</f>
        <v>46061</v>
      </c>
      <c r="C44" s="75">
        <f>IF(H44=0,"",'[6]2025-2026'!C43)</f>
        <v>14259.54</v>
      </c>
      <c r="D44" s="68">
        <f>+'[6]2025'!C44</f>
        <v>13603.85</v>
      </c>
      <c r="E44" s="68">
        <f>+'[6]2025'!D44</f>
        <v>13501.69</v>
      </c>
      <c r="F44" s="20">
        <f>+'[6]2025'!E44</f>
        <v>615</v>
      </c>
      <c r="G44" s="73">
        <f>+'[6]2025'!F44</f>
        <v>13600</v>
      </c>
      <c r="H44" s="42">
        <f>+'[6]2025'!G44</f>
        <v>12743.65</v>
      </c>
      <c r="I44" s="13">
        <f>+'[6]2025'!H44</f>
        <v>12632.8</v>
      </c>
      <c r="J44" s="14">
        <f>+'[6]2025'!I44</f>
        <v>580</v>
      </c>
      <c r="K44" s="15">
        <f>+'[6]2025'!J44</f>
        <v>119.26</v>
      </c>
      <c r="L44" s="15">
        <f>+'[6]2025'!K44</f>
        <v>136.26</v>
      </c>
      <c r="M44" s="15">
        <f>+'[6]2025'!L44</f>
        <v>40.71</v>
      </c>
      <c r="N44" s="16">
        <f t="shared" si="3"/>
        <v>3.2225634855297322E-3</v>
      </c>
      <c r="O44" s="17">
        <f t="shared" si="0"/>
        <v>-6.4354166034029908E-2</v>
      </c>
      <c r="P44" s="17">
        <f t="shared" si="0"/>
        <v>-5.6910569105691054E-2</v>
      </c>
      <c r="Q44" s="18">
        <f t="shared" si="1"/>
        <v>105.92654704008048</v>
      </c>
      <c r="R44" s="18">
        <f t="shared" si="2"/>
        <v>92.710993688536618</v>
      </c>
      <c r="S44" s="37">
        <f>(S43-SUM(F38:F44))/SUM(F38:F44)</f>
        <v>-7.5853350189633378E-2</v>
      </c>
      <c r="T44" s="47">
        <f>SUM(M38:M44)/SUM(I38:I44)</f>
        <v>4.8593205843758085E-3</v>
      </c>
      <c r="U44" s="1739"/>
    </row>
    <row r="45" spans="1:21" ht="17" customHeight="1" thickTop="1">
      <c r="A45" s="10" t="s">
        <v>9</v>
      </c>
      <c r="B45" s="19">
        <f>+CHAMNORD!B45</f>
        <v>46062</v>
      </c>
      <c r="C45" s="75">
        <f>IF(H45=0,"",'[6]2025-2026'!C44)</f>
        <v>13603.85</v>
      </c>
      <c r="D45" s="68">
        <f>+'[6]2025'!C45</f>
        <v>5487.35</v>
      </c>
      <c r="E45" s="68">
        <f>+'[6]2025'!D45</f>
        <v>5448.95</v>
      </c>
      <c r="F45" s="20">
        <f>+'[6]2025'!E45</f>
        <v>281</v>
      </c>
      <c r="G45" s="73">
        <f>+'[6]2025'!F45</f>
        <v>6200</v>
      </c>
      <c r="H45" s="42">
        <f>+'[6]2025'!G45</f>
        <v>6321.9</v>
      </c>
      <c r="I45" s="13">
        <f>+'[6]2025'!H45</f>
        <v>6263.3</v>
      </c>
      <c r="J45" s="14">
        <f>+'[6]2025'!I45</f>
        <v>329</v>
      </c>
      <c r="K45" s="15">
        <f>+'[6]2025'!J45</f>
        <v>74.58</v>
      </c>
      <c r="L45" s="15">
        <f>+'[6]2025'!K45</f>
        <v>91.85</v>
      </c>
      <c r="M45" s="15">
        <f>+'[6]2025'!L45</f>
        <v>23.84</v>
      </c>
      <c r="N45" s="16">
        <f t="shared" si="3"/>
        <v>3.806300193188894E-3</v>
      </c>
      <c r="O45" s="17">
        <f t="shared" si="0"/>
        <v>0.14945081162425797</v>
      </c>
      <c r="P45" s="17">
        <f t="shared" si="0"/>
        <v>0.1708185053380783</v>
      </c>
      <c r="Q45" s="18">
        <f t="shared" si="1"/>
        <v>83.980960042906943</v>
      </c>
      <c r="R45" s="18">
        <f t="shared" si="2"/>
        <v>68.190528034839417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19">
        <f>+CHAMNORD!B46</f>
        <v>46063</v>
      </c>
      <c r="C46" s="75">
        <f>IF(H46=0,"",'[6]2025-2026'!C45)</f>
        <v>5487.35</v>
      </c>
      <c r="D46" s="68">
        <f>+'[6]2025'!C46</f>
        <v>5796.65</v>
      </c>
      <c r="E46" s="68">
        <f>+'[6]2025'!D46</f>
        <v>5757.38</v>
      </c>
      <c r="F46" s="20">
        <f>+'[6]2025'!E46</f>
        <v>321</v>
      </c>
      <c r="G46" s="73">
        <f>+'[6]2025'!F46</f>
        <v>6300</v>
      </c>
      <c r="H46" s="42">
        <f>+'[6]2025'!G46</f>
        <v>6987.83</v>
      </c>
      <c r="I46" s="13">
        <f>+'[6]2025'!H46</f>
        <v>6936.07</v>
      </c>
      <c r="J46" s="14">
        <f>+'[6]2025'!I46</f>
        <v>261</v>
      </c>
      <c r="K46" s="15">
        <f>+'[6]2025'!J46</f>
        <v>82.25</v>
      </c>
      <c r="L46" s="15">
        <f>+'[6]2025'!K46</f>
        <v>99.23</v>
      </c>
      <c r="M46" s="15">
        <f>+'[6]2025'!L46</f>
        <v>19.010000000000002</v>
      </c>
      <c r="N46" s="16">
        <f t="shared" si="3"/>
        <v>2.7407451193543321E-3</v>
      </c>
      <c r="O46" s="17">
        <f t="shared" si="0"/>
        <v>0.20472680281655883</v>
      </c>
      <c r="P46" s="17">
        <f t="shared" si="0"/>
        <v>-0.18691588785046728</v>
      </c>
      <c r="Q46" s="18">
        <f t="shared" si="1"/>
        <v>84.329118541033438</v>
      </c>
      <c r="R46" s="18">
        <f t="shared" si="2"/>
        <v>69.898921697067408</v>
      </c>
      <c r="S46" s="34">
        <f>SUM(I45:I51)</f>
        <v>65667.679999999993</v>
      </c>
      <c r="T46" s="45" t="s">
        <v>41</v>
      </c>
      <c r="U46" s="1738"/>
    </row>
    <row r="47" spans="1:21">
      <c r="A47" s="10" t="s">
        <v>12</v>
      </c>
      <c r="B47" s="19">
        <f>+CHAMNORD!B47</f>
        <v>46064</v>
      </c>
      <c r="C47" s="75">
        <f>IF(H47=0,"",'[6]2025-2026'!C46)</f>
        <v>5796.65</v>
      </c>
      <c r="D47" s="68">
        <f>+'[6]2025'!C47</f>
        <v>8282.98</v>
      </c>
      <c r="E47" s="68">
        <f>+'[6]2025'!D47</f>
        <v>8189.96</v>
      </c>
      <c r="F47" s="20">
        <f>+'[6]2025'!E47</f>
        <v>441</v>
      </c>
      <c r="G47" s="73">
        <f>+'[6]2025'!F47</f>
        <v>8500</v>
      </c>
      <c r="H47" s="42">
        <f>+'[6]2025'!G47</f>
        <v>7812.66</v>
      </c>
      <c r="I47" s="13">
        <f>+'[6]2025'!H47</f>
        <v>7739.14</v>
      </c>
      <c r="J47" s="14">
        <f>+'[6]2025'!I47</f>
        <v>385</v>
      </c>
      <c r="K47" s="15">
        <f>+'[6]2025'!J47</f>
        <v>88</v>
      </c>
      <c r="L47" s="15">
        <f>+'[6]2025'!K47</f>
        <v>106.7</v>
      </c>
      <c r="M47" s="15">
        <f>+'[6]2025'!L47</f>
        <v>54.02</v>
      </c>
      <c r="N47" s="16">
        <f t="shared" si="3"/>
        <v>6.9801037324560607E-3</v>
      </c>
      <c r="O47" s="17">
        <f t="shared" si="0"/>
        <v>-5.5045445887403566E-2</v>
      </c>
      <c r="P47" s="17">
        <f t="shared" si="0"/>
        <v>-0.12698412698412698</v>
      </c>
      <c r="Q47" s="18">
        <f t="shared" si="1"/>
        <v>87.944772727272735</v>
      </c>
      <c r="R47" s="18">
        <f t="shared" si="2"/>
        <v>72.531771321462045</v>
      </c>
      <c r="S47" s="35">
        <f>(S46-SUM(E45:E51))/SUM(E45:E51)</f>
        <v>2.7699088716241525E-2</v>
      </c>
      <c r="T47" s="48">
        <f>SUM(I45:I51)/SUM(K45:K51)</f>
        <v>107.79153329722098</v>
      </c>
      <c r="U47" s="1738"/>
    </row>
    <row r="48" spans="1:21">
      <c r="A48" s="10" t="s">
        <v>13</v>
      </c>
      <c r="B48" s="19">
        <f>+CHAMNORD!B48</f>
        <v>46065</v>
      </c>
      <c r="C48" s="75">
        <f>IF(H48=0,"",'[6]2025-2026'!C47)</f>
        <v>8282.98</v>
      </c>
      <c r="D48" s="68">
        <f>+'[6]2025'!C48</f>
        <v>6492.05</v>
      </c>
      <c r="E48" s="68">
        <f>+'[6]2025'!D48</f>
        <v>6447.13</v>
      </c>
      <c r="F48" s="20">
        <f>+'[6]2025'!E48</f>
        <v>323</v>
      </c>
      <c r="G48" s="73">
        <f>+'[6]2025'!F48</f>
        <v>6500</v>
      </c>
      <c r="H48" s="42">
        <f>+'[6]2025'!G48</f>
        <v>7840.86</v>
      </c>
      <c r="I48" s="13">
        <f>+'[6]2025'!H48</f>
        <v>7776.4</v>
      </c>
      <c r="J48" s="14">
        <f>+'[6]2025'!I48</f>
        <v>374</v>
      </c>
      <c r="K48" s="15">
        <f>+'[6]2025'!J48</f>
        <v>82.83</v>
      </c>
      <c r="L48" s="15">
        <f>+'[6]2025'!K48</f>
        <v>100.32</v>
      </c>
      <c r="M48" s="15">
        <f>+'[6]2025'!L48</f>
        <v>51.19</v>
      </c>
      <c r="N48" s="16">
        <f t="shared" si="3"/>
        <v>6.5827375135023916E-3</v>
      </c>
      <c r="O48" s="17">
        <f t="shared" si="0"/>
        <v>0.20618011425238819</v>
      </c>
      <c r="P48" s="17">
        <f t="shared" si="0"/>
        <v>0.15789473684210525</v>
      </c>
      <c r="Q48" s="18">
        <f t="shared" si="1"/>
        <v>93.883858505372444</v>
      </c>
      <c r="R48" s="18">
        <f t="shared" si="2"/>
        <v>77.515948963317385</v>
      </c>
      <c r="S48" s="34"/>
      <c r="T48" s="29" t="s">
        <v>8</v>
      </c>
      <c r="U48" s="1738"/>
    </row>
    <row r="49" spans="1:21">
      <c r="A49" s="10" t="s">
        <v>14</v>
      </c>
      <c r="B49" s="19">
        <f>+CHAMNORD!B49</f>
        <v>46066</v>
      </c>
      <c r="C49" s="75">
        <f>IF(H49=0,"",'[6]2025-2026'!C48)</f>
        <v>6492.05</v>
      </c>
      <c r="D49" s="68">
        <f>+'[6]2025'!C49</f>
        <v>12848</v>
      </c>
      <c r="E49" s="68">
        <f>+'[6]2025'!D49</f>
        <v>12763.36</v>
      </c>
      <c r="F49" s="20">
        <f>+'[6]2025'!E49</f>
        <v>608</v>
      </c>
      <c r="G49" s="73">
        <f>+'[6]2025'!F49</f>
        <v>12900</v>
      </c>
      <c r="H49" s="42">
        <f>+'[6]2025'!G49</f>
        <v>12296.2</v>
      </c>
      <c r="I49" s="13">
        <f>+'[6]2025'!H49</f>
        <v>12183.78</v>
      </c>
      <c r="J49" s="14">
        <f>+'[6]2025'!I49</f>
        <v>573</v>
      </c>
      <c r="K49" s="15">
        <f>+'[6]2025'!J49</f>
        <v>88.35</v>
      </c>
      <c r="L49" s="15">
        <f>+'[6]2025'!K49</f>
        <v>115.68</v>
      </c>
      <c r="M49" s="15">
        <f>+'[6]2025'!L49</f>
        <v>15.92</v>
      </c>
      <c r="N49" s="16">
        <f t="shared" si="3"/>
        <v>1.3066552416409357E-3</v>
      </c>
      <c r="O49" s="17">
        <f t="shared" si="0"/>
        <v>-4.5409672688069593E-2</v>
      </c>
      <c r="P49" s="17">
        <f t="shared" si="0"/>
        <v>-5.7565789473684209E-2</v>
      </c>
      <c r="Q49" s="18">
        <f t="shared" si="1"/>
        <v>137.90356536502549</v>
      </c>
      <c r="R49" s="18">
        <f t="shared" si="2"/>
        <v>105.32313278008299</v>
      </c>
      <c r="S49" s="36" t="s">
        <v>40</v>
      </c>
      <c r="T49" s="48">
        <f>SUM(I45:I51)/SUM(L45:L51)</f>
        <v>88.539100420666585</v>
      </c>
      <c r="U49" s="1738"/>
    </row>
    <row r="50" spans="1:21">
      <c r="A50" s="10" t="s">
        <v>15</v>
      </c>
      <c r="B50" s="19">
        <f>+CHAMNORD!B50</f>
        <v>46067</v>
      </c>
      <c r="C50" s="75">
        <f>IF(H50=0,"",'[6]2025-2026'!C49)</f>
        <v>12848</v>
      </c>
      <c r="D50" s="68">
        <f>+'[6]2025'!C50</f>
        <v>12165.3</v>
      </c>
      <c r="E50" s="68">
        <f>+'[6]2025'!D50</f>
        <v>12039.13</v>
      </c>
      <c r="F50" s="20">
        <f>+'[6]2025'!E50</f>
        <v>570</v>
      </c>
      <c r="G50" s="73">
        <f>+'[6]2025'!F50</f>
        <v>12800</v>
      </c>
      <c r="H50" s="42">
        <f>+'[6]2025'!G50</f>
        <v>13638.14</v>
      </c>
      <c r="I50" s="13">
        <f>+'[6]2025'!H50</f>
        <v>13513.85</v>
      </c>
      <c r="J50" s="14">
        <f>+'[6]2025'!I50</f>
        <v>526</v>
      </c>
      <c r="K50" s="15">
        <f>+'[6]2025'!J50</f>
        <v>96.35</v>
      </c>
      <c r="L50" s="15">
        <f>+'[6]2025'!K50</f>
        <v>114.42</v>
      </c>
      <c r="M50" s="15">
        <f>+'[6]2025'!L50</f>
        <v>8.89</v>
      </c>
      <c r="N50" s="16">
        <f t="shared" si="3"/>
        <v>6.5784361969386965E-4</v>
      </c>
      <c r="O50" s="17">
        <f t="shared" si="0"/>
        <v>0.12249390113737466</v>
      </c>
      <c r="P50" s="17">
        <f t="shared" si="0"/>
        <v>-7.7192982456140355E-2</v>
      </c>
      <c r="Q50" s="18">
        <f t="shared" si="1"/>
        <v>140.2579138557343</v>
      </c>
      <c r="R50" s="18">
        <f t="shared" si="2"/>
        <v>118.10741129173222</v>
      </c>
      <c r="S50" s="36">
        <f>SUM(J45:J51)</f>
        <v>2926</v>
      </c>
      <c r="T50" s="30" t="s">
        <v>3</v>
      </c>
      <c r="U50" s="1738"/>
    </row>
    <row r="51" spans="1:21" ht="18" thickBot="1">
      <c r="A51" s="10" t="s">
        <v>16</v>
      </c>
      <c r="B51" s="19">
        <f>+CHAMNORD!B51</f>
        <v>46068</v>
      </c>
      <c r="C51" s="75">
        <f>IF(H51=0,"",'[6]2025-2026'!C50)</f>
        <v>12165.3</v>
      </c>
      <c r="D51" s="68">
        <f>+'[6]2025'!C51</f>
        <v>13361.17</v>
      </c>
      <c r="E51" s="68">
        <f>+'[6]2025'!D51</f>
        <v>13251.86</v>
      </c>
      <c r="F51" s="20">
        <f>+'[6]2025'!E51</f>
        <v>589</v>
      </c>
      <c r="G51" s="73">
        <f>+'[6]2025'!F51</f>
        <v>13800</v>
      </c>
      <c r="H51" s="42">
        <f>+'[6]2025'!G51</f>
        <v>11345.54</v>
      </c>
      <c r="I51" s="13">
        <f>+'[6]2025'!H51</f>
        <v>11255.14</v>
      </c>
      <c r="J51" s="14">
        <f>+'[6]2025'!I51</f>
        <v>478</v>
      </c>
      <c r="K51" s="15">
        <f>+'[6]2025'!J51</f>
        <v>96.85</v>
      </c>
      <c r="L51" s="15">
        <f>+'[6]2025'!K51</f>
        <v>113.48</v>
      </c>
      <c r="M51" s="15">
        <f>+'[6]2025'!L51</f>
        <v>29.57</v>
      </c>
      <c r="N51" s="16">
        <f t="shared" si="3"/>
        <v>2.6272440858132375E-3</v>
      </c>
      <c r="O51" s="17">
        <f t="shared" si="0"/>
        <v>-0.15067469774054368</v>
      </c>
      <c r="P51" s="17">
        <f t="shared" si="0"/>
        <v>-0.18845500848896435</v>
      </c>
      <c r="Q51" s="18">
        <f t="shared" si="1"/>
        <v>116.21208053691275</v>
      </c>
      <c r="R51" s="18">
        <f t="shared" si="2"/>
        <v>99.181706027493817</v>
      </c>
      <c r="S51" s="37">
        <f>(S50-SUM(F45:F51))/SUM(F45:F51)</f>
        <v>-6.6070858601978935E-2</v>
      </c>
      <c r="T51" s="47">
        <f>SUM(M45:M51)/SUM(I45:I51)</f>
        <v>3.0827950675278923E-3</v>
      </c>
      <c r="U51" s="1739"/>
    </row>
    <row r="52" spans="1:21" ht="17" customHeight="1" thickTop="1">
      <c r="A52" s="10" t="s">
        <v>9</v>
      </c>
      <c r="B52" s="19">
        <f>+CHAMNORD!B52</f>
        <v>46069</v>
      </c>
      <c r="C52" s="75">
        <f>IF(H52=0,"",'[6]2025-2026'!C51)</f>
        <v>13361.17</v>
      </c>
      <c r="D52" s="68">
        <f>+'[6]2025'!C52</f>
        <v>4611.54</v>
      </c>
      <c r="E52" s="68">
        <f>+'[6]2025'!D52</f>
        <v>4580.92</v>
      </c>
      <c r="F52" s="20">
        <f>+'[6]2025'!E52</f>
        <v>278</v>
      </c>
      <c r="G52" s="73">
        <f>+'[6]2025'!F52</f>
        <v>6100</v>
      </c>
      <c r="H52" s="42">
        <f>+'[6]2025'!G52</f>
        <v>6809.75</v>
      </c>
      <c r="I52" s="13">
        <f>+'[6]2025'!H52</f>
        <v>6752.44</v>
      </c>
      <c r="J52" s="14">
        <f>+'[6]2025'!I52</f>
        <v>350</v>
      </c>
      <c r="K52" s="15">
        <f>+'[6]2025'!J52</f>
        <v>80.069999999999993</v>
      </c>
      <c r="L52" s="15">
        <f>+'[6]2025'!K52</f>
        <v>95.55</v>
      </c>
      <c r="M52" s="15">
        <f>+'[6]2025'!L52</f>
        <v>50.8</v>
      </c>
      <c r="N52" s="16">
        <f t="shared" si="3"/>
        <v>7.5232064261215202E-3</v>
      </c>
      <c r="O52" s="17">
        <f t="shared" si="0"/>
        <v>0.47403578320512024</v>
      </c>
      <c r="P52" s="17">
        <f t="shared" si="0"/>
        <v>0.25899280575539568</v>
      </c>
      <c r="Q52" s="18">
        <f t="shared" si="1"/>
        <v>84.331709753965285</v>
      </c>
      <c r="R52" s="18">
        <f t="shared" si="2"/>
        <v>70.669178440607013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19">
        <f>+CHAMNORD!B53</f>
        <v>46070</v>
      </c>
      <c r="C53" s="75">
        <f>IF(H53=0,"",'[6]2025-2026'!C52)</f>
        <v>4611.54</v>
      </c>
      <c r="D53" s="68">
        <f>+'[6]2025'!C53</f>
        <v>6455.83</v>
      </c>
      <c r="E53" s="68">
        <f>+'[6]2025'!D53</f>
        <v>6407.06</v>
      </c>
      <c r="F53" s="20">
        <f>+'[6]2025'!E53</f>
        <v>343</v>
      </c>
      <c r="G53" s="73">
        <f>+'[6]2025'!F53</f>
        <v>7300</v>
      </c>
      <c r="H53" s="42">
        <f>+'[6]2025'!G53</f>
        <v>6592.95</v>
      </c>
      <c r="I53" s="13">
        <f>+'[6]2025'!H53</f>
        <v>6542.89</v>
      </c>
      <c r="J53" s="14">
        <f>+'[6]2025'!I53</f>
        <v>310</v>
      </c>
      <c r="K53" s="15">
        <f>+'[6]2025'!J53</f>
        <v>77.34</v>
      </c>
      <c r="L53" s="15">
        <f>+'[6]2025'!K53</f>
        <v>93.49</v>
      </c>
      <c r="M53" s="15">
        <f>+'[6]2025'!L53</f>
        <v>59.38</v>
      </c>
      <c r="N53" s="16">
        <f t="shared" si="3"/>
        <v>9.0755002758719765E-3</v>
      </c>
      <c r="O53" s="17">
        <f t="shared" si="0"/>
        <v>2.1200051193527129E-2</v>
      </c>
      <c r="P53" s="17">
        <f t="shared" si="0"/>
        <v>-9.6209912536443148E-2</v>
      </c>
      <c r="Q53" s="18">
        <f t="shared" si="1"/>
        <v>84.599043185932246</v>
      </c>
      <c r="R53" s="18">
        <f t="shared" si="2"/>
        <v>69.984918173066646</v>
      </c>
      <c r="S53" s="34">
        <f>SUM(I52:I58)</f>
        <v>61071.929999999993</v>
      </c>
      <c r="T53" s="45" t="s">
        <v>41</v>
      </c>
      <c r="U53" s="1738"/>
    </row>
    <row r="54" spans="1:21">
      <c r="A54" s="10" t="s">
        <v>12</v>
      </c>
      <c r="B54" s="19">
        <f>+CHAMNORD!B54</f>
        <v>46071</v>
      </c>
      <c r="C54" s="75">
        <f>IF(H54=0,"",'[6]2025-2026'!C53)</f>
        <v>6455.83</v>
      </c>
      <c r="D54" s="68">
        <f>+'[6]2025'!C54</f>
        <v>8437.4599999999991</v>
      </c>
      <c r="E54" s="68">
        <f>+'[6]2025'!D54</f>
        <v>8370.35</v>
      </c>
      <c r="F54" s="20">
        <f>+'[6]2025'!E54</f>
        <v>410</v>
      </c>
      <c r="G54" s="73">
        <f>+'[6]2025'!F54</f>
        <v>8600</v>
      </c>
      <c r="H54" s="42">
        <f>+'[6]2025'!G54</f>
        <v>7255.5</v>
      </c>
      <c r="I54" s="13">
        <f>+'[6]2025'!H54</f>
        <v>7192.99</v>
      </c>
      <c r="J54" s="14">
        <f>+'[6]2025'!I54</f>
        <v>363</v>
      </c>
      <c r="K54" s="15">
        <f>+'[6]2025'!J54</f>
        <v>81.790000000000006</v>
      </c>
      <c r="L54" s="15">
        <f>+'[6]2025'!K54</f>
        <v>97.31</v>
      </c>
      <c r="M54" s="15">
        <f>+'[6]2025'!L54</f>
        <v>26.84</v>
      </c>
      <c r="N54" s="16">
        <f t="shared" si="3"/>
        <v>3.7314107207155858E-3</v>
      </c>
      <c r="O54" s="17">
        <f t="shared" si="0"/>
        <v>-0.1406583954075995</v>
      </c>
      <c r="P54" s="17">
        <f t="shared" si="0"/>
        <v>-0.11463414634146342</v>
      </c>
      <c r="Q54" s="18">
        <f t="shared" si="1"/>
        <v>87.944614256021509</v>
      </c>
      <c r="R54" s="18">
        <f t="shared" si="2"/>
        <v>73.918302332750997</v>
      </c>
      <c r="S54" s="35">
        <f>(S53-SUM(E52:E58))/SUM(E52:E58)</f>
        <v>-5.4976800021627765E-3</v>
      </c>
      <c r="T54" s="48">
        <f>SUM(I52:I58)/SUM(K52:K58)</f>
        <v>99.753246328993995</v>
      </c>
      <c r="U54" s="1738"/>
    </row>
    <row r="55" spans="1:21">
      <c r="A55" s="10" t="s">
        <v>13</v>
      </c>
      <c r="B55" s="19">
        <f>+CHAMNORD!B55</f>
        <v>46072</v>
      </c>
      <c r="C55" s="75">
        <f>IF(H55=0,"",'[6]2025-2026'!C54)</f>
        <v>8437.4599999999991</v>
      </c>
      <c r="D55" s="68">
        <f>+'[6]2025'!C55</f>
        <v>6814.02</v>
      </c>
      <c r="E55" s="68">
        <f>+'[6]2025'!D55</f>
        <v>6772.36</v>
      </c>
      <c r="F55" s="20">
        <f>+'[6]2025'!E55</f>
        <v>348</v>
      </c>
      <c r="G55" s="73">
        <f>+'[6]2025'!F55</f>
        <v>7000</v>
      </c>
      <c r="H55" s="42">
        <f>+'[6]2025'!G55</f>
        <v>7132.61</v>
      </c>
      <c r="I55" s="13">
        <f>+'[6]2025'!H55</f>
        <v>7061.6</v>
      </c>
      <c r="J55" s="14">
        <f>+'[6]2025'!I55</f>
        <v>328</v>
      </c>
      <c r="K55" s="15">
        <f>+'[6]2025'!J55</f>
        <v>66.790000000000006</v>
      </c>
      <c r="L55" s="15">
        <f>+'[6]2025'!K55</f>
        <v>91.17</v>
      </c>
      <c r="M55" s="15">
        <f>+'[6]2025'!L55</f>
        <v>42.21</v>
      </c>
      <c r="N55" s="16">
        <f t="shared" si="3"/>
        <v>5.9773988897700234E-3</v>
      </c>
      <c r="O55" s="17">
        <f t="shared" si="0"/>
        <v>4.2708893207094825E-2</v>
      </c>
      <c r="P55" s="17">
        <f t="shared" si="0"/>
        <v>-5.7471264367816091E-2</v>
      </c>
      <c r="Q55" s="18">
        <f t="shared" si="1"/>
        <v>105.7284024554574</v>
      </c>
      <c r="R55" s="18">
        <f t="shared" si="2"/>
        <v>77.455303279587582</v>
      </c>
      <c r="S55" s="34"/>
      <c r="T55" s="29" t="s">
        <v>8</v>
      </c>
      <c r="U55" s="1738"/>
    </row>
    <row r="56" spans="1:21">
      <c r="A56" s="10" t="s">
        <v>14</v>
      </c>
      <c r="B56" s="19">
        <f>+CHAMNORD!B56</f>
        <v>46073</v>
      </c>
      <c r="C56" s="75">
        <f>IF(H56=0,"",'[6]2025-2026'!C55)</f>
        <v>6814.02</v>
      </c>
      <c r="D56" s="68">
        <f>+'[6]2025'!C56</f>
        <v>12079.25</v>
      </c>
      <c r="E56" s="68">
        <f>+'[6]2025'!D56</f>
        <v>11981.04</v>
      </c>
      <c r="F56" s="20">
        <f>+'[6]2025'!E56</f>
        <v>580</v>
      </c>
      <c r="G56" s="73">
        <f>+'[6]2025'!F56</f>
        <v>12200</v>
      </c>
      <c r="H56" s="42">
        <f>+'[6]2025'!G56</f>
        <v>11121.67</v>
      </c>
      <c r="I56" s="13">
        <f>+'[6]2025'!H56</f>
        <v>11022.86</v>
      </c>
      <c r="J56" s="14">
        <f>+'[6]2025'!I56</f>
        <v>486</v>
      </c>
      <c r="K56" s="15">
        <f>+'[6]2025'!J56</f>
        <v>98.36</v>
      </c>
      <c r="L56" s="15">
        <f>+'[6]2025'!K56</f>
        <v>122.08</v>
      </c>
      <c r="M56" s="15">
        <f>+'[6]2025'!L56</f>
        <v>36.99</v>
      </c>
      <c r="N56" s="16">
        <f t="shared" si="3"/>
        <v>3.3557534070105216E-3</v>
      </c>
      <c r="O56" s="17">
        <f t="shared" si="0"/>
        <v>-7.9974693348824497E-2</v>
      </c>
      <c r="P56" s="17">
        <f t="shared" si="0"/>
        <v>-0.16206896551724137</v>
      </c>
      <c r="Q56" s="18">
        <f t="shared" si="1"/>
        <v>112.06649044326963</v>
      </c>
      <c r="R56" s="18">
        <f t="shared" si="2"/>
        <v>90.292103538663184</v>
      </c>
      <c r="S56" s="36" t="s">
        <v>40</v>
      </c>
      <c r="T56" s="48">
        <f>SUM(I52:I58)/SUM(L52:L58)</f>
        <v>82.424933192971082</v>
      </c>
      <c r="U56" s="1738"/>
    </row>
    <row r="57" spans="1:21">
      <c r="A57" s="10" t="s">
        <v>15</v>
      </c>
      <c r="B57" s="19">
        <f>+CHAMNORD!B57</f>
        <v>46074</v>
      </c>
      <c r="C57" s="75">
        <f>IF(H57=0,"",'[6]2025-2026'!C56)</f>
        <v>12079.25</v>
      </c>
      <c r="D57" s="68">
        <f>+'[6]2025'!C57</f>
        <v>10787.59</v>
      </c>
      <c r="E57" s="68">
        <f>+'[6]2025'!D57</f>
        <v>10686.04</v>
      </c>
      <c r="F57" s="20">
        <f>+'[6]2025'!E57</f>
        <v>500</v>
      </c>
      <c r="G57" s="73">
        <f>+'[6]2025'!F57</f>
        <v>13100</v>
      </c>
      <c r="H57" s="42">
        <f>+'[6]2025'!G57</f>
        <v>11186.44</v>
      </c>
      <c r="I57" s="13">
        <f>+'[6]2025'!H57</f>
        <v>11747.45</v>
      </c>
      <c r="J57" s="14">
        <f>+'[6]2025'!I57</f>
        <v>515</v>
      </c>
      <c r="K57" s="15">
        <f>+'[6]2025'!J57</f>
        <v>103.39</v>
      </c>
      <c r="L57" s="15">
        <f>+'[6]2025'!K57</f>
        <v>120.18</v>
      </c>
      <c r="M57" s="15">
        <f>+'[6]2025'!L57</f>
        <v>52.49</v>
      </c>
      <c r="N57" s="16">
        <f t="shared" si="3"/>
        <v>4.4682037378324657E-3</v>
      </c>
      <c r="O57" s="17">
        <f t="shared" si="0"/>
        <v>9.9326785226332648E-2</v>
      </c>
      <c r="P57" s="17">
        <f t="shared" si="0"/>
        <v>0.03</v>
      </c>
      <c r="Q57" s="18">
        <f t="shared" si="1"/>
        <v>113.62269078247414</v>
      </c>
      <c r="R57" s="18">
        <f t="shared" si="2"/>
        <v>97.748793476451993</v>
      </c>
      <c r="S57" s="36">
        <f>SUM(J52:J58)</f>
        <v>2796</v>
      </c>
      <c r="T57" s="30" t="s">
        <v>3</v>
      </c>
      <c r="U57" s="1738"/>
    </row>
    <row r="58" spans="1:21" ht="18" thickBot="1">
      <c r="A58" s="10" t="s">
        <v>16</v>
      </c>
      <c r="B58" s="19">
        <f>+CHAMNORD!B58</f>
        <v>46075</v>
      </c>
      <c r="C58" s="75">
        <f>IF(H58=0,"",'[6]2025-2026'!C57)</f>
        <v>10787.59</v>
      </c>
      <c r="D58" s="68">
        <f>+'[6]2025'!C58</f>
        <v>12702.21</v>
      </c>
      <c r="E58" s="68">
        <f>+'[6]2025'!D58</f>
        <v>12611.77</v>
      </c>
      <c r="F58" s="20">
        <f>+'[6]2025'!E58</f>
        <v>563</v>
      </c>
      <c r="G58" s="73">
        <f>+'[6]2025'!F58</f>
        <v>13800</v>
      </c>
      <c r="H58" s="42">
        <f>+'[6]2025'!G58</f>
        <v>10845.62</v>
      </c>
      <c r="I58" s="13">
        <f>+'[6]2025'!H58</f>
        <v>10751.7</v>
      </c>
      <c r="J58" s="14">
        <f>+'[6]2025'!I58</f>
        <v>444</v>
      </c>
      <c r="K58" s="15">
        <f>+'[6]2025'!J58</f>
        <v>104.49</v>
      </c>
      <c r="L58" s="15">
        <f>+'[6]2025'!K58</f>
        <v>121.16</v>
      </c>
      <c r="M58" s="15">
        <f>+'[6]2025'!L58</f>
        <v>98.21</v>
      </c>
      <c r="N58" s="16">
        <f t="shared" si="3"/>
        <v>9.1343694485523201E-3</v>
      </c>
      <c r="O58" s="17">
        <f t="shared" si="0"/>
        <v>-0.1474868317452665</v>
      </c>
      <c r="P58" s="17">
        <f t="shared" si="0"/>
        <v>-0.21136767317939609</v>
      </c>
      <c r="Q58" s="18">
        <f t="shared" si="1"/>
        <v>102.89692793568764</v>
      </c>
      <c r="R58" s="18">
        <f t="shared" si="2"/>
        <v>88.739683063717408</v>
      </c>
      <c r="S58" s="37">
        <f>(S57-SUM(F52:F58))/SUM(F52:F58)</f>
        <v>-7.4784910655195241E-2</v>
      </c>
      <c r="T58" s="47">
        <f>SUM(M52:M58)/SUM(I52:I58)</f>
        <v>6.0079974548045241E-3</v>
      </c>
      <c r="U58" s="1739"/>
    </row>
    <row r="59" spans="1:21" ht="17" customHeight="1" thickTop="1">
      <c r="A59" s="10" t="s">
        <v>9</v>
      </c>
      <c r="B59" s="19">
        <f>+CHAMNORD!B59</f>
        <v>46076</v>
      </c>
      <c r="C59" s="75">
        <f>IF(H59=0,"",'[6]2025-2026'!C58)</f>
        <v>12702.21</v>
      </c>
      <c r="D59" s="68">
        <f>+'[6]2025'!C59</f>
        <v>6818.89</v>
      </c>
      <c r="E59" s="68">
        <f>+'[6]2025'!D59</f>
        <v>6754.45</v>
      </c>
      <c r="F59" s="20">
        <f>+'[6]2025'!E59</f>
        <v>375</v>
      </c>
      <c r="G59" s="73">
        <f>+'[6]2025'!F59</f>
        <v>5900</v>
      </c>
      <c r="H59" s="42">
        <f>+'[6]2025'!G59</f>
        <v>5447.99</v>
      </c>
      <c r="I59" s="13">
        <f>+'[6]2025'!H59</f>
        <v>5406.37</v>
      </c>
      <c r="J59" s="14">
        <f>+'[6]2025'!I59</f>
        <v>290</v>
      </c>
      <c r="K59" s="15">
        <f>+'[6]2025'!J59</f>
        <v>77.099999999999994</v>
      </c>
      <c r="L59" s="15">
        <f>+'[6]2025'!K59</f>
        <v>93.43</v>
      </c>
      <c r="M59" s="15">
        <f>+'[6]2025'!L59</f>
        <v>34.04</v>
      </c>
      <c r="N59" s="16">
        <f t="shared" si="3"/>
        <v>6.2962764294711608E-3</v>
      </c>
      <c r="O59" s="17">
        <f t="shared" si="0"/>
        <v>-0.19958397797007899</v>
      </c>
      <c r="P59" s="17">
        <f t="shared" si="0"/>
        <v>-0.22666666666666666</v>
      </c>
      <c r="Q59" s="18">
        <f t="shared" si="1"/>
        <v>70.121530479896236</v>
      </c>
      <c r="R59" s="18">
        <f t="shared" si="2"/>
        <v>57.865460772771051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19">
        <f>+CHAMNORD!B60</f>
        <v>46077</v>
      </c>
      <c r="C60" s="75">
        <f>IF(H60=0,"",'[6]2025-2026'!C59)</f>
        <v>6818.89</v>
      </c>
      <c r="D60" s="68">
        <f>+'[6]2025'!C60</f>
        <v>7531.93</v>
      </c>
      <c r="E60" s="68">
        <f>+'[6]2025'!D60</f>
        <v>7469.44</v>
      </c>
      <c r="F60" s="20">
        <f>+'[6]2025'!E60</f>
        <v>385</v>
      </c>
      <c r="G60" s="73">
        <f>+'[6]2025'!F60</f>
        <v>6700</v>
      </c>
      <c r="H60" s="42">
        <f>+'[6]2025'!G60</f>
        <v>5032.03</v>
      </c>
      <c r="I60" s="13">
        <f>+'[6]2025'!H60</f>
        <v>5000.51</v>
      </c>
      <c r="J60" s="14">
        <f>+'[6]2025'!I60</f>
        <v>273</v>
      </c>
      <c r="K60" s="15">
        <f>+'[6]2025'!J60</f>
        <v>73.03</v>
      </c>
      <c r="L60" s="15">
        <f>+'[6]2025'!K60</f>
        <v>84.32</v>
      </c>
      <c r="M60" s="15">
        <f>+'[6]2025'!L60</f>
        <v>43.64</v>
      </c>
      <c r="N60" s="16">
        <f t="shared" si="3"/>
        <v>8.72710983479685E-3</v>
      </c>
      <c r="O60" s="17">
        <f t="shared" si="0"/>
        <v>-0.33053749678690764</v>
      </c>
      <c r="P60" s="17">
        <f t="shared" si="0"/>
        <v>-0.29090909090909089</v>
      </c>
      <c r="Q60" s="18">
        <f t="shared" si="1"/>
        <v>68.471997809119543</v>
      </c>
      <c r="R60" s="18">
        <f t="shared" si="2"/>
        <v>59.303961100569268</v>
      </c>
      <c r="S60" s="34">
        <f>SUM(I59:I65)</f>
        <v>64442.53</v>
      </c>
      <c r="T60" s="45" t="s">
        <v>41</v>
      </c>
      <c r="U60" s="1738"/>
    </row>
    <row r="61" spans="1:21">
      <c r="A61" s="10" t="s">
        <v>12</v>
      </c>
      <c r="B61" s="19">
        <f>+CHAMNORD!B61</f>
        <v>46078</v>
      </c>
      <c r="C61" s="75">
        <f>IF(H61=0,"",'[6]2025-2026'!C60)</f>
        <v>7531.93</v>
      </c>
      <c r="D61" s="68">
        <f>+'[6]2025'!C61</f>
        <v>8329.7999999999993</v>
      </c>
      <c r="E61" s="68">
        <f>+'[6]2025'!D61</f>
        <v>8253.08</v>
      </c>
      <c r="F61" s="20">
        <f>+'[6]2025'!E61</f>
        <v>432</v>
      </c>
      <c r="G61" s="73">
        <f>+'[6]2025'!F61</f>
        <v>8000</v>
      </c>
      <c r="H61" s="42">
        <f>+'[6]2025'!G61</f>
        <v>8368.77</v>
      </c>
      <c r="I61" s="13">
        <f>+'[6]2025'!H61</f>
        <v>8287.66</v>
      </c>
      <c r="J61" s="14">
        <f>+'[6]2025'!I61</f>
        <v>415</v>
      </c>
      <c r="K61" s="15">
        <f>+'[6]2025'!J61</f>
        <v>91.79</v>
      </c>
      <c r="L61" s="15">
        <f>+'[6]2025'!K61</f>
        <v>115.44</v>
      </c>
      <c r="M61" s="15">
        <f>+'[6]2025'!L61</f>
        <v>18.11</v>
      </c>
      <c r="N61" s="16">
        <f t="shared" si="3"/>
        <v>2.1851765154458557E-3</v>
      </c>
      <c r="O61" s="17">
        <f t="shared" si="0"/>
        <v>4.1899509031779565E-3</v>
      </c>
      <c r="P61" s="17">
        <f t="shared" si="0"/>
        <v>-3.9351851851851853E-2</v>
      </c>
      <c r="Q61" s="18">
        <f t="shared" si="1"/>
        <v>90.289356139012952</v>
      </c>
      <c r="R61" s="18">
        <f t="shared" si="2"/>
        <v>71.791926541926543</v>
      </c>
      <c r="S61" s="35">
        <f>(S60-SUM(E59:E65))/SUM(E59:E65)</f>
        <v>-3.8147650181288045E-2</v>
      </c>
      <c r="T61" s="48">
        <f>SUM(I59:I65)/SUM(K59:K65)</f>
        <v>101.48909397294359</v>
      </c>
      <c r="U61" s="1738"/>
    </row>
    <row r="62" spans="1:21">
      <c r="A62" s="10" t="s">
        <v>13</v>
      </c>
      <c r="B62" s="19">
        <f>+CHAMNORD!B62</f>
        <v>46079</v>
      </c>
      <c r="C62" s="75">
        <f>IF(H62=0,"",'[6]2025-2026'!C61)</f>
        <v>8329.7999999999993</v>
      </c>
      <c r="D62" s="68">
        <f>+'[6]2025'!C62</f>
        <v>8769.5499999999993</v>
      </c>
      <c r="E62" s="68">
        <f>+'[6]2025'!D62</f>
        <v>8677.77</v>
      </c>
      <c r="F62" s="20">
        <f>+'[6]2025'!E62</f>
        <v>456</v>
      </c>
      <c r="G62" s="73">
        <f>+'[6]2025'!F62</f>
        <v>7200</v>
      </c>
      <c r="H62" s="42">
        <f>+'[6]2025'!G62</f>
        <v>7542.26</v>
      </c>
      <c r="I62" s="13">
        <f>+'[6]2025'!H62</f>
        <v>7496.69</v>
      </c>
      <c r="J62" s="14">
        <f>+'[6]2025'!I62</f>
        <v>367</v>
      </c>
      <c r="K62" s="15">
        <f>+'[6]2025'!J62</f>
        <v>69.239999999999995</v>
      </c>
      <c r="L62" s="15">
        <f>+'[6]2025'!K62</f>
        <v>88.36</v>
      </c>
      <c r="M62" s="15">
        <f>+'[6]2025'!L62</f>
        <v>60.98</v>
      </c>
      <c r="N62" s="16">
        <f t="shared" si="3"/>
        <v>8.1342565852396184E-3</v>
      </c>
      <c r="O62" s="17">
        <f t="shared" si="0"/>
        <v>-0.13610409125846856</v>
      </c>
      <c r="P62" s="17">
        <f t="shared" si="0"/>
        <v>-0.19517543859649122</v>
      </c>
      <c r="Q62" s="18">
        <f t="shared" si="1"/>
        <v>108.27108607741191</v>
      </c>
      <c r="R62" s="18">
        <f t="shared" si="2"/>
        <v>84.842575826165685</v>
      </c>
      <c r="S62" s="34"/>
      <c r="T62" s="29" t="s">
        <v>8</v>
      </c>
      <c r="U62" s="1738"/>
    </row>
    <row r="63" spans="1:21">
      <c r="A63" s="10" t="s">
        <v>14</v>
      </c>
      <c r="B63" s="19">
        <f>+CHAMNORD!B63</f>
        <v>46080</v>
      </c>
      <c r="C63" s="75">
        <f>IF(H63=0,"",'[6]2025-2026'!C62)</f>
        <v>8769.5499999999993</v>
      </c>
      <c r="D63" s="68">
        <f>+'[6]2025'!C63</f>
        <v>12133.24</v>
      </c>
      <c r="E63" s="68">
        <f>+'[6]2025'!D63</f>
        <v>12021.32</v>
      </c>
      <c r="F63" s="20">
        <f>+'[6]2025'!E63</f>
        <v>586</v>
      </c>
      <c r="G63" s="73">
        <f>+'[6]2025'!F63</f>
        <v>12800</v>
      </c>
      <c r="H63" s="42">
        <f>+'[6]2025'!G63</f>
        <v>11772.67</v>
      </c>
      <c r="I63" s="13">
        <f>+'[6]2025'!H63</f>
        <v>11645.83</v>
      </c>
      <c r="J63" s="14">
        <f>+'[6]2025'!I63</f>
        <v>521</v>
      </c>
      <c r="K63" s="15">
        <f>+'[6]2025'!J63</f>
        <v>102.1</v>
      </c>
      <c r="L63" s="15">
        <f>+'[6]2025'!K63</f>
        <v>125.44</v>
      </c>
      <c r="M63" s="15">
        <f>+'[6]2025'!L63</f>
        <v>31.71</v>
      </c>
      <c r="N63" s="16">
        <f t="shared" si="3"/>
        <v>2.7228630333776126E-3</v>
      </c>
      <c r="O63" s="17">
        <f t="shared" si="0"/>
        <v>-3.1235338548512126E-2</v>
      </c>
      <c r="P63" s="17">
        <f t="shared" si="0"/>
        <v>-0.11092150170648464</v>
      </c>
      <c r="Q63" s="18">
        <f t="shared" si="1"/>
        <v>114.06297747306563</v>
      </c>
      <c r="R63" s="18">
        <f t="shared" si="2"/>
        <v>92.83984375</v>
      </c>
      <c r="S63" s="36" t="s">
        <v>40</v>
      </c>
      <c r="T63" s="48">
        <f>SUM(I59:I65)/SUM(L59:L65)</f>
        <v>84.542512299114463</v>
      </c>
      <c r="U63" s="1738"/>
    </row>
    <row r="64" spans="1:21">
      <c r="A64" s="10" t="s">
        <v>15</v>
      </c>
      <c r="B64" s="19">
        <f>+CHAMNORD!B64</f>
        <v>46081</v>
      </c>
      <c r="C64" s="75">
        <f>IF(H64=0,"",'[6]2025-2026'!C63)</f>
        <v>12133.24</v>
      </c>
      <c r="D64" s="68">
        <f>+'[6]2025'!C64</f>
        <v>12084.96</v>
      </c>
      <c r="E64" s="68">
        <f>+'[6]2025'!D64</f>
        <v>11959.55</v>
      </c>
      <c r="F64" s="20">
        <f>+'[6]2025'!E64</f>
        <v>544</v>
      </c>
      <c r="G64" s="73">
        <f>+'[6]2025'!F64</f>
        <v>13100</v>
      </c>
      <c r="H64" s="42">
        <f>+'[6]2025'!G64</f>
        <v>13038.24</v>
      </c>
      <c r="I64" s="13">
        <f>+'[6]2025'!H64</f>
        <v>12891.18</v>
      </c>
      <c r="J64" s="14">
        <f>+'[6]2025'!I64</f>
        <v>503</v>
      </c>
      <c r="K64" s="15">
        <f>+'[6]2025'!J64</f>
        <v>107.02</v>
      </c>
      <c r="L64" s="15">
        <f>+'[6]2025'!K64</f>
        <v>125.1</v>
      </c>
      <c r="M64" s="15">
        <f>+'[6]2025'!L64</f>
        <v>49.49</v>
      </c>
      <c r="N64" s="16">
        <f t="shared" si="3"/>
        <v>3.8390589534860269E-3</v>
      </c>
      <c r="O64" s="17">
        <f t="shared" si="0"/>
        <v>7.7898415910297725E-2</v>
      </c>
      <c r="P64" s="17">
        <f t="shared" si="0"/>
        <v>-7.5367647058823525E-2</v>
      </c>
      <c r="Q64" s="18">
        <f t="shared" si="1"/>
        <v>120.4558026537096</v>
      </c>
      <c r="R64" s="18">
        <f t="shared" si="2"/>
        <v>103.04700239808155</v>
      </c>
      <c r="S64" s="36">
        <f>SUM(J59:J65)</f>
        <v>2902</v>
      </c>
      <c r="T64" s="30" t="s">
        <v>3</v>
      </c>
      <c r="U64" s="1738"/>
    </row>
    <row r="65" spans="1:21" ht="18" thickBot="1">
      <c r="A65" s="10" t="s">
        <v>16</v>
      </c>
      <c r="B65" s="19">
        <f>+CHAMNORD!B65</f>
        <v>46082</v>
      </c>
      <c r="C65" s="75">
        <f>IF(H65=0,"",'[6]2025-2026'!C64)</f>
        <v>12084.96</v>
      </c>
      <c r="D65" s="68">
        <f>+'[6]2025'!C65</f>
        <v>11962.26</v>
      </c>
      <c r="E65" s="68">
        <f>+'[6]2025'!D65</f>
        <v>11862.75</v>
      </c>
      <c r="F65" s="20">
        <f>+'[6]2025'!E65</f>
        <v>525</v>
      </c>
      <c r="G65" s="73">
        <f>+'[6]2025'!F65</f>
        <v>12500</v>
      </c>
      <c r="H65" s="42">
        <f>+'[6]2025'!G65</f>
        <v>13834.72</v>
      </c>
      <c r="I65" s="13">
        <f>+'[6]2025'!H65</f>
        <v>13714.29</v>
      </c>
      <c r="J65" s="14">
        <f>+'[6]2025'!I65</f>
        <v>533</v>
      </c>
      <c r="K65" s="15">
        <f>+'[6]2025'!J65</f>
        <v>114.69</v>
      </c>
      <c r="L65" s="15">
        <f>+'[6]2025'!K65</f>
        <v>130.16</v>
      </c>
      <c r="M65" s="15">
        <f>+'[6]2025'!L65</f>
        <v>42.14</v>
      </c>
      <c r="N65" s="16">
        <f t="shared" si="3"/>
        <v>3.072707373112279E-3</v>
      </c>
      <c r="O65" s="17">
        <f t="shared" si="0"/>
        <v>0.15608016690902202</v>
      </c>
      <c r="P65" s="17">
        <f t="shared" si="0"/>
        <v>1.5238095238095238E-2</v>
      </c>
      <c r="Q65" s="18">
        <f t="shared" si="1"/>
        <v>119.57703374313367</v>
      </c>
      <c r="R65" s="18">
        <f t="shared" si="2"/>
        <v>105.36485863552552</v>
      </c>
      <c r="S65" s="37">
        <f>(S64-SUM(F59:F65))/SUM(F59:F65)</f>
        <v>-0.12140478353012413</v>
      </c>
      <c r="T65" s="47">
        <f>SUM(M59:M65)/SUM(I59:I65)</f>
        <v>4.346663608644788E-3</v>
      </c>
      <c r="U65" s="1739"/>
    </row>
    <row r="66" spans="1:21" ht="17" customHeight="1" thickTop="1">
      <c r="A66" s="10" t="s">
        <v>9</v>
      </c>
      <c r="B66" s="19">
        <f>+CHAMNORD!B66</f>
        <v>46083</v>
      </c>
      <c r="C66" s="75">
        <f>IF(H66=0,"",'[6]2025-2026'!C65)</f>
        <v>11962.26</v>
      </c>
      <c r="D66" s="68">
        <f>+'[6]2025'!C66</f>
        <v>7642.85</v>
      </c>
      <c r="E66" s="68">
        <f>+'[6]2025'!D66</f>
        <v>7555.71</v>
      </c>
      <c r="F66" s="20">
        <f>+'[6]2025'!E66</f>
        <v>399</v>
      </c>
      <c r="G66" s="73">
        <f>+'[6]2025'!F66</f>
        <v>5800</v>
      </c>
      <c r="H66" s="42">
        <f>+'[6]2025'!G66</f>
        <v>6182.67</v>
      </c>
      <c r="I66" s="13">
        <f>+'[6]2025'!H66</f>
        <v>6137.77</v>
      </c>
      <c r="J66" s="14">
        <f>+'[6]2025'!I66</f>
        <v>306</v>
      </c>
      <c r="K66" s="15">
        <f>+'[6]2025'!J66</f>
        <v>75.69</v>
      </c>
      <c r="L66" s="15">
        <f>+'[6]2025'!K66</f>
        <v>91.13</v>
      </c>
      <c r="M66" s="15">
        <f>+'[6]2025'!L66</f>
        <v>29.96</v>
      </c>
      <c r="N66" s="16">
        <f t="shared" si="3"/>
        <v>4.8812516598047825E-3</v>
      </c>
      <c r="O66" s="17">
        <f t="shared" si="0"/>
        <v>-0.18766469332465111</v>
      </c>
      <c r="P66" s="17">
        <f t="shared" si="0"/>
        <v>-0.23308270676691728</v>
      </c>
      <c r="Q66" s="18">
        <f t="shared" si="1"/>
        <v>81.090897080195546</v>
      </c>
      <c r="R66" s="18">
        <f t="shared" si="2"/>
        <v>67.351805113574017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19">
        <f>+CHAMNORD!B67</f>
        <v>46084</v>
      </c>
      <c r="C67" s="75">
        <f>IF(H67=0,"",'[6]2025-2026'!C66)</f>
        <v>7642.85</v>
      </c>
      <c r="D67" s="68">
        <f>+'[6]2025'!C67</f>
        <v>9304.81</v>
      </c>
      <c r="E67" s="68">
        <f>+'[6]2025'!D67</f>
        <v>9209.84</v>
      </c>
      <c r="F67" s="20">
        <f>+'[6]2025'!E67</f>
        <v>464</v>
      </c>
      <c r="G67" s="73">
        <f>+'[6]2025'!F67</f>
        <v>6300</v>
      </c>
      <c r="H67" s="42">
        <f>+'[6]2025'!G67</f>
        <v>5972.81</v>
      </c>
      <c r="I67" s="13">
        <f>+'[6]2025'!H67</f>
        <v>5927.82</v>
      </c>
      <c r="J67" s="14">
        <f>+'[6]2025'!I67</f>
        <v>324</v>
      </c>
      <c r="K67" s="15">
        <f>+'[6]2025'!J67</f>
        <v>72.790000000000006</v>
      </c>
      <c r="L67" s="15">
        <f>+'[6]2025'!K67</f>
        <v>89.11</v>
      </c>
      <c r="M67" s="15">
        <f>+'[6]2025'!L67</f>
        <v>21.05</v>
      </c>
      <c r="N67" s="16">
        <f t="shared" si="3"/>
        <v>3.5510524948463352E-3</v>
      </c>
      <c r="O67" s="17">
        <f t="shared" si="0"/>
        <v>-0.35636015392232662</v>
      </c>
      <c r="P67" s="17">
        <f t="shared" si="0"/>
        <v>-0.30172413793103448</v>
      </c>
      <c r="Q67" s="18">
        <f t="shared" si="1"/>
        <v>81.437285341393036</v>
      </c>
      <c r="R67" s="18">
        <f t="shared" si="2"/>
        <v>66.522500280552123</v>
      </c>
      <c r="S67" s="34">
        <f>SUM(I66:I72)</f>
        <v>66557.09</v>
      </c>
      <c r="T67" s="45" t="s">
        <v>41</v>
      </c>
      <c r="U67" s="1738"/>
    </row>
    <row r="68" spans="1:21">
      <c r="A68" s="10" t="s">
        <v>12</v>
      </c>
      <c r="B68" s="19">
        <f>+CHAMNORD!B68</f>
        <v>46085</v>
      </c>
      <c r="C68" s="75">
        <f>IF(H68=0,"",'[6]2025-2026'!C67)</f>
        <v>9304.81</v>
      </c>
      <c r="D68" s="68">
        <f>+'[6]2025'!C68</f>
        <v>9762.07</v>
      </c>
      <c r="E68" s="68">
        <f>+'[6]2025'!D68</f>
        <v>9659.23</v>
      </c>
      <c r="F68" s="20">
        <f>+'[6]2025'!E68</f>
        <v>466</v>
      </c>
      <c r="G68" s="73">
        <f>+'[6]2025'!F68</f>
        <v>8000</v>
      </c>
      <c r="H68" s="42">
        <f>+'[6]2025'!G68</f>
        <v>8853.2999999999993</v>
      </c>
      <c r="I68" s="13">
        <f>+'[6]2025'!H68</f>
        <v>8749.8700000000008</v>
      </c>
      <c r="J68" s="14">
        <f>+'[6]2025'!I68</f>
        <v>446</v>
      </c>
      <c r="K68" s="15">
        <f>+'[6]2025'!J68</f>
        <v>83.54</v>
      </c>
      <c r="L68" s="15">
        <f>+'[6]2025'!K68</f>
        <v>92.06</v>
      </c>
      <c r="M68" s="15">
        <f>+'[6]2025'!L68</f>
        <v>17.18</v>
      </c>
      <c r="N68" s="16">
        <f t="shared" ref="N68:N131" si="4">IF(M68=0,"",M68/I68)</f>
        <v>1.9634577428007498E-3</v>
      </c>
      <c r="O68" s="17">
        <f t="shared" ref="O68:P131" si="5">IF(I68=0,"",(I68-E68)/E68)</f>
        <v>-9.4144150206589838E-2</v>
      </c>
      <c r="P68" s="17">
        <f t="shared" si="5"/>
        <v>-4.2918454935622317E-2</v>
      </c>
      <c r="Q68" s="18">
        <f t="shared" ref="Q68:Q131" si="6">IF(I68=0,"",I68/K68)</f>
        <v>104.738688053627</v>
      </c>
      <c r="R68" s="18">
        <f t="shared" ref="R68:R131" si="7">I68/L68</f>
        <v>95.045296545731048</v>
      </c>
      <c r="S68" s="35">
        <f>(S67-SUM(E66:E72))/SUM(E66:E72)</f>
        <v>-9.787935452180635E-2</v>
      </c>
      <c r="T68" s="48">
        <f>SUM(I66:I72)/SUM(K66:K72)</f>
        <v>106.3195316368748</v>
      </c>
      <c r="U68" s="1738"/>
    </row>
    <row r="69" spans="1:21">
      <c r="A69" s="10" t="s">
        <v>13</v>
      </c>
      <c r="B69" s="19">
        <f>+CHAMNORD!B69</f>
        <v>46086</v>
      </c>
      <c r="C69" s="75">
        <f>IF(H69=0,"",'[6]2025-2026'!C68)</f>
        <v>9762.07</v>
      </c>
      <c r="D69" s="68">
        <f>+'[6]2025'!C69</f>
        <v>9373.59</v>
      </c>
      <c r="E69" s="68">
        <f>+'[6]2025'!D69</f>
        <v>9282.4500000000007</v>
      </c>
      <c r="F69" s="20">
        <f>+'[6]2025'!E69</f>
        <v>475</v>
      </c>
      <c r="G69" s="73">
        <f>+'[6]2025'!F69</f>
        <v>6800</v>
      </c>
      <c r="H69" s="42">
        <f>+'[6]2025'!G69</f>
        <v>7106.48</v>
      </c>
      <c r="I69" s="13">
        <f>+'[6]2025'!H69</f>
        <v>7044.09</v>
      </c>
      <c r="J69" s="14">
        <f>+'[6]2025'!I69</f>
        <v>350</v>
      </c>
      <c r="K69" s="15">
        <f>+'[6]2025'!J69</f>
        <v>79.209999999999994</v>
      </c>
      <c r="L69" s="15">
        <f>+'[6]2025'!K69</f>
        <v>92.32</v>
      </c>
      <c r="M69" s="15">
        <f>+'[6]2025'!L69</f>
        <v>28.16</v>
      </c>
      <c r="N69" s="16">
        <f t="shared" si="4"/>
        <v>3.9976774856652882E-3</v>
      </c>
      <c r="O69" s="17">
        <f t="shared" si="5"/>
        <v>-0.24113892345232135</v>
      </c>
      <c r="P69" s="17">
        <f t="shared" si="5"/>
        <v>-0.26315789473684209</v>
      </c>
      <c r="Q69" s="18">
        <f t="shared" si="6"/>
        <v>88.929301855826296</v>
      </c>
      <c r="R69" s="18">
        <f t="shared" si="7"/>
        <v>76.300801559792035</v>
      </c>
      <c r="S69" s="34"/>
      <c r="T69" s="29" t="s">
        <v>8</v>
      </c>
      <c r="U69" s="1738"/>
    </row>
    <row r="70" spans="1:21">
      <c r="A70" s="10" t="s">
        <v>14</v>
      </c>
      <c r="B70" s="19">
        <f>+CHAMNORD!B70</f>
        <v>46087</v>
      </c>
      <c r="C70" s="75">
        <f>IF(H70=0,"",'[6]2025-2026'!C69)</f>
        <v>9373.59</v>
      </c>
      <c r="D70" s="68">
        <f>+'[6]2025'!C70</f>
        <v>13271.18</v>
      </c>
      <c r="E70" s="68">
        <f>+'[6]2025'!D70</f>
        <v>13156.05</v>
      </c>
      <c r="F70" s="20">
        <f>+'[6]2025'!E70</f>
        <v>606</v>
      </c>
      <c r="G70" s="73">
        <f>+'[6]2025'!F70</f>
        <v>11600</v>
      </c>
      <c r="H70" s="42">
        <f>+'[6]2025'!G70</f>
        <v>10725.04</v>
      </c>
      <c r="I70" s="13">
        <f>+'[6]2025'!H70</f>
        <v>10637.54</v>
      </c>
      <c r="J70" s="14">
        <f>+'[6]2025'!I70</f>
        <v>491</v>
      </c>
      <c r="K70" s="15">
        <f>+'[6]2025'!J70</f>
        <v>97.66</v>
      </c>
      <c r="L70" s="15">
        <f>+'[6]2025'!K70</f>
        <v>114.26</v>
      </c>
      <c r="M70" s="15">
        <f>+'[6]2025'!L70</f>
        <v>25.36</v>
      </c>
      <c r="N70" s="16">
        <f t="shared" si="4"/>
        <v>2.3840098368607776E-3</v>
      </c>
      <c r="O70" s="17">
        <f t="shared" si="5"/>
        <v>-0.19143359899057838</v>
      </c>
      <c r="P70" s="17">
        <f t="shared" si="5"/>
        <v>-0.18976897689768976</v>
      </c>
      <c r="Q70" s="18">
        <f t="shared" si="6"/>
        <v>108.92422690968668</v>
      </c>
      <c r="R70" s="18">
        <f t="shared" si="7"/>
        <v>93.099422370033267</v>
      </c>
      <c r="S70" s="36" t="s">
        <v>40</v>
      </c>
      <c r="T70" s="48">
        <f>SUM(I66:I72)/SUM(L66:L72)</f>
        <v>92.427565615886678</v>
      </c>
      <c r="U70" s="1738"/>
    </row>
    <row r="71" spans="1:21">
      <c r="A71" s="10" t="s">
        <v>15</v>
      </c>
      <c r="B71" s="19">
        <f>+CHAMNORD!B71</f>
        <v>46088</v>
      </c>
      <c r="C71" s="75">
        <f>IF(H71=0,"",'[6]2025-2026'!C70)</f>
        <v>13271.18</v>
      </c>
      <c r="D71" s="68">
        <f>+'[6]2025'!C71</f>
        <v>11695.92</v>
      </c>
      <c r="E71" s="68">
        <f>+'[6]2025'!D71</f>
        <v>11584.03</v>
      </c>
      <c r="F71" s="20">
        <f>+'[6]2025'!E71</f>
        <v>530</v>
      </c>
      <c r="G71" s="73">
        <f>+'[6]2025'!F71</f>
        <v>12000</v>
      </c>
      <c r="H71" s="42">
        <f>+'[6]2025'!G71</f>
        <v>13291.97</v>
      </c>
      <c r="I71" s="13">
        <f>+'[6]2025'!H71</f>
        <v>13154.12</v>
      </c>
      <c r="J71" s="14">
        <f>+'[6]2025'!I71</f>
        <v>613</v>
      </c>
      <c r="K71" s="15">
        <f>+'[6]2025'!J71</f>
        <v>101.56</v>
      </c>
      <c r="L71" s="15">
        <f>+'[6]2025'!K71</f>
        <v>110</v>
      </c>
      <c r="M71" s="15">
        <f>+'[6]2025'!L71</f>
        <v>19.95</v>
      </c>
      <c r="N71" s="16">
        <f t="shared" si="4"/>
        <v>1.5166350922752717E-3</v>
      </c>
      <c r="O71" s="17">
        <f t="shared" si="5"/>
        <v>0.13553918627627864</v>
      </c>
      <c r="P71" s="17">
        <f t="shared" si="5"/>
        <v>0.15660377358490565</v>
      </c>
      <c r="Q71" s="18">
        <f t="shared" si="6"/>
        <v>129.52067743205987</v>
      </c>
      <c r="R71" s="18">
        <f t="shared" si="7"/>
        <v>119.5829090909091</v>
      </c>
      <c r="S71" s="36">
        <f>SUM(J66:J72)</f>
        <v>3105</v>
      </c>
      <c r="T71" s="30" t="s">
        <v>3</v>
      </c>
      <c r="U71" s="1738"/>
    </row>
    <row r="72" spans="1:21" ht="18" thickBot="1">
      <c r="A72" s="10" t="s">
        <v>16</v>
      </c>
      <c r="B72" s="19">
        <f>+CHAMNORD!B72</f>
        <v>46089</v>
      </c>
      <c r="C72" s="75">
        <f>IF(H72=0,"",'[6]2025-2026'!C71)</f>
        <v>11695.92</v>
      </c>
      <c r="D72" s="68">
        <f>+'[6]2025'!C72</f>
        <v>13433.33</v>
      </c>
      <c r="E72" s="68">
        <f>+'[6]2025'!D72</f>
        <v>13331.17</v>
      </c>
      <c r="F72" s="20">
        <f>+'[6]2025'!E72</f>
        <v>578</v>
      </c>
      <c r="G72" s="73">
        <f>+'[6]2025'!F72</f>
        <v>13700</v>
      </c>
      <c r="H72" s="42">
        <f>+'[6]2025'!G72</f>
        <v>15029.95</v>
      </c>
      <c r="I72" s="13">
        <f>+'[6]2025'!H72</f>
        <v>14905.88</v>
      </c>
      <c r="J72" s="14">
        <f>+'[6]2025'!I72</f>
        <v>575</v>
      </c>
      <c r="K72" s="15">
        <f>+'[6]2025'!J72</f>
        <v>115.56</v>
      </c>
      <c r="L72" s="15">
        <f>+'[6]2025'!K72</f>
        <v>131.22</v>
      </c>
      <c r="M72" s="15">
        <f>+'[6]2025'!L72</f>
        <v>34.229999999999997</v>
      </c>
      <c r="N72" s="16">
        <f t="shared" si="4"/>
        <v>2.2964092022745384E-3</v>
      </c>
      <c r="O72" s="17">
        <f t="shared" si="5"/>
        <v>0.1181224153618924</v>
      </c>
      <c r="P72" s="17">
        <f t="shared" si="5"/>
        <v>-5.1903114186851208E-3</v>
      </c>
      <c r="Q72" s="18">
        <f t="shared" si="6"/>
        <v>128.98823122187608</v>
      </c>
      <c r="R72" s="18">
        <f t="shared" si="7"/>
        <v>113.59457399786618</v>
      </c>
      <c r="S72" s="37">
        <f>(S71-SUM(F66:F72))/SUM(F66:F72)</f>
        <v>-0.11739624786810687</v>
      </c>
      <c r="T72" s="47">
        <f>SUM(M66:M72)/SUM(I66:I72)</f>
        <v>2.642693663439913E-3</v>
      </c>
      <c r="U72" s="1739"/>
    </row>
    <row r="73" spans="1:21" ht="17" customHeight="1" thickTop="1">
      <c r="A73" s="10" t="s">
        <v>9</v>
      </c>
      <c r="B73" s="19">
        <f>+CHAMNORD!B73</f>
        <v>46090</v>
      </c>
      <c r="C73" s="75">
        <f>IF(H73=0,"",'[6]2025-2026'!C72)</f>
        <v>13433.33</v>
      </c>
      <c r="D73" s="68">
        <f>+'[6]2025'!C73</f>
        <v>5173.24</v>
      </c>
      <c r="E73" s="68">
        <f>+'[6]2025'!D73</f>
        <v>5143.28</v>
      </c>
      <c r="F73" s="20">
        <f>+'[6]2025'!E73</f>
        <v>287</v>
      </c>
      <c r="G73" s="73">
        <f>+'[6]2025'!F73</f>
        <v>5200</v>
      </c>
      <c r="H73" s="42">
        <f>+'[6]2025'!G73</f>
        <v>5253</v>
      </c>
      <c r="I73" s="13">
        <f>+'[6]2025'!H73</f>
        <v>5226.99</v>
      </c>
      <c r="J73" s="14">
        <f>+'[6]2025'!I73</f>
        <v>277</v>
      </c>
      <c r="K73" s="15">
        <f>+'[6]2025'!J73</f>
        <v>71.180000000000007</v>
      </c>
      <c r="L73" s="15">
        <f>+'[6]2025'!K73</f>
        <v>78.48</v>
      </c>
      <c r="M73" s="15">
        <f>+'[6]2025'!L73</f>
        <v>22.78</v>
      </c>
      <c r="N73" s="16">
        <f t="shared" si="4"/>
        <v>4.3581487624808927E-3</v>
      </c>
      <c r="O73" s="17">
        <f t="shared" si="5"/>
        <v>1.6275606227932379E-2</v>
      </c>
      <c r="P73" s="17">
        <f t="shared" si="5"/>
        <v>-3.484320557491289E-2</v>
      </c>
      <c r="Q73" s="18">
        <f t="shared" si="6"/>
        <v>73.433408260747385</v>
      </c>
      <c r="R73" s="18">
        <f t="shared" si="7"/>
        <v>66.602828746177366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19">
        <f>+CHAMNORD!B74</f>
        <v>46091</v>
      </c>
      <c r="C74" s="75">
        <f>IF(H74=0,"",'[6]2025-2026'!C73)</f>
        <v>5173.24</v>
      </c>
      <c r="D74" s="68">
        <f>+'[6]2025'!C74</f>
        <v>5466.92</v>
      </c>
      <c r="E74" s="68">
        <f>+'[6]2025'!D74</f>
        <v>5423.36</v>
      </c>
      <c r="F74" s="20">
        <f>+'[6]2025'!E74</f>
        <v>309</v>
      </c>
      <c r="G74" s="73">
        <f>+'[6]2025'!F74</f>
        <v>5500</v>
      </c>
      <c r="H74" s="42">
        <f>+'[6]2025'!G74</f>
        <v>7088.38</v>
      </c>
      <c r="I74" s="13">
        <f>+'[6]2025'!H74</f>
        <v>7044.72</v>
      </c>
      <c r="J74" s="14">
        <f>+'[6]2025'!I74</f>
        <v>333</v>
      </c>
      <c r="K74" s="15">
        <f>+'[6]2025'!J74</f>
        <v>78.66</v>
      </c>
      <c r="L74" s="15">
        <f>+'[6]2025'!K74</f>
        <v>94</v>
      </c>
      <c r="M74" s="15">
        <f>+'[6]2025'!L74</f>
        <v>24.65</v>
      </c>
      <c r="N74" s="16">
        <f t="shared" si="4"/>
        <v>3.4990744841526702E-3</v>
      </c>
      <c r="O74" s="17">
        <f t="shared" si="5"/>
        <v>0.29895857918338459</v>
      </c>
      <c r="P74" s="17">
        <f t="shared" si="5"/>
        <v>7.7669902912621352E-2</v>
      </c>
      <c r="Q74" s="18">
        <f t="shared" si="6"/>
        <v>89.559115179252487</v>
      </c>
      <c r="R74" s="18">
        <f t="shared" si="7"/>
        <v>74.943829787234051</v>
      </c>
      <c r="S74" s="34">
        <f>SUM(I73:I79)</f>
        <v>60707.170000000006</v>
      </c>
      <c r="T74" s="45" t="s">
        <v>41</v>
      </c>
      <c r="U74" s="1738"/>
    </row>
    <row r="75" spans="1:21">
      <c r="A75" s="10" t="s">
        <v>12</v>
      </c>
      <c r="B75" s="19">
        <f>+CHAMNORD!B75</f>
        <v>46092</v>
      </c>
      <c r="C75" s="75">
        <f>IF(H75=0,"",'[6]2025-2026'!C74)</f>
        <v>5466.92</v>
      </c>
      <c r="D75" s="68">
        <f>+'[6]2025'!C75</f>
        <v>6999.85</v>
      </c>
      <c r="E75" s="68">
        <f>+'[6]2025'!D75</f>
        <v>6930.17</v>
      </c>
      <c r="F75" s="20">
        <f>+'[6]2025'!E75</f>
        <v>366</v>
      </c>
      <c r="G75" s="73">
        <f>+'[6]2025'!F75</f>
        <v>7000</v>
      </c>
      <c r="H75" s="42">
        <f>+'[6]2025'!G75</f>
        <v>8455.1200000000008</v>
      </c>
      <c r="I75" s="13">
        <f>+'[6]2025'!H75</f>
        <v>8377.66</v>
      </c>
      <c r="J75" s="14">
        <f>+'[6]2025'!I75</f>
        <v>377</v>
      </c>
      <c r="K75" s="15">
        <f>+'[6]2025'!J75</f>
        <v>88.98</v>
      </c>
      <c r="L75" s="15">
        <f>+'[6]2025'!K75</f>
        <v>108.54</v>
      </c>
      <c r="M75" s="15">
        <f>+'[6]2025'!L75</f>
        <v>17.399999999999999</v>
      </c>
      <c r="N75" s="16">
        <f t="shared" si="4"/>
        <v>2.076952275456392E-3</v>
      </c>
      <c r="O75" s="17">
        <f t="shared" si="5"/>
        <v>0.20886789212963025</v>
      </c>
      <c r="P75" s="17">
        <f t="shared" si="5"/>
        <v>3.0054644808743168E-2</v>
      </c>
      <c r="Q75" s="18">
        <f t="shared" si="6"/>
        <v>94.152169026747572</v>
      </c>
      <c r="R75" s="18">
        <f t="shared" si="7"/>
        <v>77.185000921319329</v>
      </c>
      <c r="S75" s="35">
        <f>(S74-SUM(E73:E79))/SUM(E73:E79)</f>
        <v>0.11388996177074749</v>
      </c>
      <c r="T75" s="48">
        <f>SUM(I73:I79)/SUM(K73:K79)</f>
        <v>97.61407599170299</v>
      </c>
      <c r="U75" s="1738"/>
    </row>
    <row r="76" spans="1:21">
      <c r="A76" s="10" t="s">
        <v>13</v>
      </c>
      <c r="B76" s="19">
        <f>+CHAMNORD!B76</f>
        <v>46093</v>
      </c>
      <c r="C76" s="75">
        <f>IF(H76=0,"",'[6]2025-2026'!C75)</f>
        <v>6999.85</v>
      </c>
      <c r="D76" s="68">
        <f>+'[6]2025'!C76</f>
        <v>5572.52</v>
      </c>
      <c r="E76" s="68">
        <f>+'[6]2025'!D76</f>
        <v>5523.8</v>
      </c>
      <c r="F76" s="20">
        <f>+'[6]2025'!E76</f>
        <v>299</v>
      </c>
      <c r="G76" s="73">
        <f>+'[6]2025'!F76</f>
        <v>5600</v>
      </c>
      <c r="H76" s="42">
        <f>+'[6]2025'!G76</f>
        <v>6770.57</v>
      </c>
      <c r="I76" s="13">
        <f>+'[6]2025'!H76</f>
        <v>6727.72</v>
      </c>
      <c r="J76" s="14">
        <f>+'[6]2025'!I76</f>
        <v>318</v>
      </c>
      <c r="K76" s="15">
        <f>+'[6]2025'!J76</f>
        <v>70.09</v>
      </c>
      <c r="L76" s="15">
        <f>+'[6]2025'!K76</f>
        <v>85.35</v>
      </c>
      <c r="M76" s="15">
        <f>+'[6]2025'!L76</f>
        <v>13.43</v>
      </c>
      <c r="N76" s="16">
        <f t="shared" si="4"/>
        <v>1.9962186297883978E-3</v>
      </c>
      <c r="O76" s="17">
        <f t="shared" si="5"/>
        <v>0.21795141026105219</v>
      </c>
      <c r="P76" s="17">
        <f t="shared" si="5"/>
        <v>6.354515050167224E-2</v>
      </c>
      <c r="Q76" s="18">
        <f t="shared" si="6"/>
        <v>95.986874019118275</v>
      </c>
      <c r="R76" s="18">
        <f t="shared" si="7"/>
        <v>78.825073227885184</v>
      </c>
      <c r="S76" s="34"/>
      <c r="T76" s="29" t="s">
        <v>8</v>
      </c>
      <c r="U76" s="1738"/>
    </row>
    <row r="77" spans="1:21">
      <c r="A77" s="10" t="s">
        <v>14</v>
      </c>
      <c r="B77" s="19">
        <f>+CHAMNORD!B77</f>
        <v>46094</v>
      </c>
      <c r="C77" s="75">
        <f>IF(H77=0,"",'[6]2025-2026'!C76)</f>
        <v>5572.52</v>
      </c>
      <c r="D77" s="68">
        <f>+'[6]2025'!C77</f>
        <v>9927.32</v>
      </c>
      <c r="E77" s="68">
        <f>+'[6]2025'!D77</f>
        <v>9860.3799999999992</v>
      </c>
      <c r="F77" s="20">
        <f>+'[6]2025'!E77</f>
        <v>481</v>
      </c>
      <c r="G77" s="73">
        <f>+'[6]2025'!F77</f>
        <v>11100</v>
      </c>
      <c r="H77" s="42">
        <f>+'[6]2025'!G77</f>
        <v>11726.41</v>
      </c>
      <c r="I77" s="13">
        <f>+'[6]2025'!H77</f>
        <v>11643.07</v>
      </c>
      <c r="J77" s="14">
        <f>+'[6]2025'!I77</f>
        <v>517</v>
      </c>
      <c r="K77" s="15">
        <f>+'[6]2025'!J77</f>
        <v>113.67</v>
      </c>
      <c r="L77" s="15">
        <f>+'[6]2025'!K77</f>
        <v>125.88</v>
      </c>
      <c r="M77" s="15">
        <f>+'[6]2025'!L77</f>
        <v>24.73</v>
      </c>
      <c r="N77" s="16">
        <f t="shared" si="4"/>
        <v>2.1240102481561995E-3</v>
      </c>
      <c r="O77" s="17">
        <f t="shared" si="5"/>
        <v>0.18079323514915252</v>
      </c>
      <c r="P77" s="17">
        <f t="shared" si="5"/>
        <v>7.4844074844074848E-2</v>
      </c>
      <c r="Q77" s="18">
        <f t="shared" si="6"/>
        <v>102.42869710565672</v>
      </c>
      <c r="R77" s="18">
        <f t="shared" si="7"/>
        <v>92.493406418811574</v>
      </c>
      <c r="S77" s="36" t="s">
        <v>40</v>
      </c>
      <c r="T77" s="48">
        <f>SUM(I73:I79)/SUM(L73:L79)</f>
        <v>85.663524630646137</v>
      </c>
      <c r="U77" s="1738"/>
    </row>
    <row r="78" spans="1:21">
      <c r="A78" s="10" t="s">
        <v>15</v>
      </c>
      <c r="B78" s="19">
        <f>+CHAMNORD!B78</f>
        <v>46095</v>
      </c>
      <c r="C78" s="75">
        <f>IF(H78=0,"",'[6]2025-2026'!C77)</f>
        <v>9927.32</v>
      </c>
      <c r="D78" s="68">
        <f>+'[6]2025'!C78</f>
        <v>11175.82</v>
      </c>
      <c r="E78" s="68">
        <f>+'[6]2025'!D78</f>
        <v>11091.26</v>
      </c>
      <c r="F78" s="20">
        <f>+'[6]2025'!E78</f>
        <v>473</v>
      </c>
      <c r="G78" s="73">
        <f>+'[6]2025'!F78</f>
        <v>11200</v>
      </c>
      <c r="H78" s="42">
        <f>+'[6]2025'!G78</f>
        <v>10014.450000000001</v>
      </c>
      <c r="I78" s="13">
        <f>+'[6]2025'!H78</f>
        <v>9943.5400000000009</v>
      </c>
      <c r="J78" s="14">
        <f>+'[6]2025'!I78</f>
        <v>427</v>
      </c>
      <c r="K78" s="15">
        <f>+'[6]2025'!J78</f>
        <v>99.34</v>
      </c>
      <c r="L78" s="15">
        <f>+'[6]2025'!K78</f>
        <v>108.36</v>
      </c>
      <c r="M78" s="15">
        <f>+'[6]2025'!L78</f>
        <v>151.94</v>
      </c>
      <c r="N78" s="16">
        <f t="shared" si="4"/>
        <v>1.5280272418072435E-2</v>
      </c>
      <c r="O78" s="17">
        <f t="shared" si="5"/>
        <v>-0.10347967679055395</v>
      </c>
      <c r="P78" s="17">
        <f t="shared" si="5"/>
        <v>-9.7251585623678652E-2</v>
      </c>
      <c r="Q78" s="18">
        <f t="shared" si="6"/>
        <v>100.09603382323334</v>
      </c>
      <c r="R78" s="18">
        <f t="shared" si="7"/>
        <v>91.763935031376903</v>
      </c>
      <c r="S78" s="36">
        <f>SUM(J73:J79)</f>
        <v>2755</v>
      </c>
      <c r="T78" s="30" t="s">
        <v>3</v>
      </c>
      <c r="U78" s="1738"/>
    </row>
    <row r="79" spans="1:21" ht="18" thickBot="1">
      <c r="A79" s="10" t="s">
        <v>16</v>
      </c>
      <c r="B79" s="19">
        <f>+CHAMNORD!B79</f>
        <v>46096</v>
      </c>
      <c r="C79" s="75">
        <f>IF(H79=0,"",'[6]2025-2026'!C78)</f>
        <v>11175.82</v>
      </c>
      <c r="D79" s="68">
        <f>+'[6]2025'!C79</f>
        <v>10622.2</v>
      </c>
      <c r="E79" s="68">
        <f>+'[6]2025'!D79</f>
        <v>10527.9</v>
      </c>
      <c r="F79" s="20">
        <f>+'[6]2025'!E79</f>
        <v>438</v>
      </c>
      <c r="G79" s="73">
        <f>+'[6]2025'!F79</f>
        <v>12000</v>
      </c>
      <c r="H79" s="42">
        <f>+'[6]2025'!G79</f>
        <v>11833.87</v>
      </c>
      <c r="I79" s="13">
        <f>+'[6]2025'!H79</f>
        <v>11743.47</v>
      </c>
      <c r="J79" s="14">
        <f>+'[6]2025'!I79</f>
        <v>506</v>
      </c>
      <c r="K79" s="15">
        <f>+'[6]2025'!J79</f>
        <v>99.99</v>
      </c>
      <c r="L79" s="15">
        <f>+'[6]2025'!K79</f>
        <v>108.06</v>
      </c>
      <c r="M79" s="15">
        <f>+'[6]2025'!L79</f>
        <v>27.65</v>
      </c>
      <c r="N79" s="16">
        <f t="shared" si="4"/>
        <v>2.3544999902073236E-3</v>
      </c>
      <c r="O79" s="17">
        <f t="shared" si="5"/>
        <v>0.115461773003163</v>
      </c>
      <c r="P79" s="17">
        <f t="shared" si="5"/>
        <v>0.15525114155251141</v>
      </c>
      <c r="Q79" s="18">
        <f t="shared" si="6"/>
        <v>117.44644464446445</v>
      </c>
      <c r="R79" s="18">
        <f t="shared" si="7"/>
        <v>108.67545807884508</v>
      </c>
      <c r="S79" s="37">
        <f>(S78-SUM(F73:F79))/SUM(F73:F79)</f>
        <v>3.8447041085563516E-2</v>
      </c>
      <c r="T79" s="47">
        <f>SUM(M73:M79)/SUM(I73:I79)</f>
        <v>4.6548043666011767E-3</v>
      </c>
      <c r="U79" s="1739"/>
    </row>
    <row r="80" spans="1:21" ht="17" customHeight="1" thickTop="1">
      <c r="A80" s="10" t="s">
        <v>9</v>
      </c>
      <c r="B80" s="19">
        <f>+CHAMNORD!B80</f>
        <v>46097</v>
      </c>
      <c r="C80" s="75">
        <f>IF(H80=0,"",'[6]2025-2026'!C79)</f>
        <v>10622.2</v>
      </c>
      <c r="D80" s="68">
        <f>+'[6]2025'!C80</f>
        <v>4607.24</v>
      </c>
      <c r="E80" s="68">
        <f>+'[6]2025'!D80</f>
        <v>4585.7700000000004</v>
      </c>
      <c r="F80" s="20">
        <f>+'[6]2025'!E80</f>
        <v>265</v>
      </c>
      <c r="G80" s="73">
        <f>+'[6]2025'!F80</f>
        <v>4600</v>
      </c>
      <c r="H80" s="42">
        <f>+'[6]2025'!G80</f>
        <v>4924.8</v>
      </c>
      <c r="I80" s="13">
        <f>+'[6]2025'!H80</f>
        <v>4904</v>
      </c>
      <c r="J80" s="14">
        <f>+'[6]2025'!I80</f>
        <v>240</v>
      </c>
      <c r="K80" s="15">
        <f>+'[6]2025'!J80</f>
        <v>70.510000000000005</v>
      </c>
      <c r="L80" s="15">
        <f>+'[6]2025'!K80</f>
        <v>87.39</v>
      </c>
      <c r="M80" s="15">
        <f>+'[6]2025'!L80</f>
        <v>35.26</v>
      </c>
      <c r="N80" s="16">
        <f t="shared" si="4"/>
        <v>7.1900489396411089E-3</v>
      </c>
      <c r="O80" s="17">
        <f t="shared" si="5"/>
        <v>6.939510703764025E-2</v>
      </c>
      <c r="P80" s="17">
        <f t="shared" si="5"/>
        <v>-9.4339622641509441E-2</v>
      </c>
      <c r="Q80" s="18">
        <f t="shared" si="6"/>
        <v>69.550418380371568</v>
      </c>
      <c r="R80" s="18">
        <f t="shared" si="7"/>
        <v>56.116260441698131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19">
        <f>+CHAMNORD!B81</f>
        <v>46098</v>
      </c>
      <c r="C81" s="75">
        <f>IF(H81=0,"",'[6]2025-2026'!C80)</f>
        <v>4607.24</v>
      </c>
      <c r="D81" s="68">
        <f>+'[6]2025'!C81</f>
        <v>6269.21</v>
      </c>
      <c r="E81" s="68">
        <f>+'[6]2025'!D81</f>
        <v>6221.04</v>
      </c>
      <c r="F81" s="20">
        <f>+'[6]2025'!E81</f>
        <v>327</v>
      </c>
      <c r="G81" s="73">
        <f>+'[6]2025'!F81</f>
        <v>6300</v>
      </c>
      <c r="H81" s="42">
        <f>+'[6]2025'!G81</f>
        <v>6384.99</v>
      </c>
      <c r="I81" s="13">
        <f>+'[6]2025'!H81</f>
        <v>6343.99</v>
      </c>
      <c r="J81" s="14">
        <f>+'[6]2025'!I81</f>
        <v>303</v>
      </c>
      <c r="K81" s="15">
        <f>+'[6]2025'!J81</f>
        <v>75.709999999999994</v>
      </c>
      <c r="L81" s="15">
        <f>+'[6]2025'!K81</f>
        <v>91.09</v>
      </c>
      <c r="M81" s="15">
        <f>+'[6]2025'!L81</f>
        <v>58.4</v>
      </c>
      <c r="N81" s="16">
        <f t="shared" si="4"/>
        <v>9.2055630604714073E-3</v>
      </c>
      <c r="O81" s="17">
        <f t="shared" si="5"/>
        <v>1.9763576508107939E-2</v>
      </c>
      <c r="P81" s="17">
        <f t="shared" si="5"/>
        <v>-7.3394495412844041E-2</v>
      </c>
      <c r="Q81" s="18">
        <f t="shared" si="6"/>
        <v>83.793290186236959</v>
      </c>
      <c r="R81" s="18">
        <f t="shared" si="7"/>
        <v>69.645295861236136</v>
      </c>
      <c r="S81" s="34">
        <f>SUM(I80:I86)</f>
        <v>62340.1</v>
      </c>
      <c r="T81" s="45" t="s">
        <v>41</v>
      </c>
      <c r="U81" s="1738"/>
    </row>
    <row r="82" spans="1:21">
      <c r="A82" s="10" t="s">
        <v>12</v>
      </c>
      <c r="B82" s="19">
        <f>+CHAMNORD!B82</f>
        <v>46099</v>
      </c>
      <c r="C82" s="75">
        <f>IF(H82=0,"",'[6]2025-2026'!C81)</f>
        <v>6269.21</v>
      </c>
      <c r="D82" s="68">
        <f>+'[6]2025'!C82</f>
        <v>7827.81</v>
      </c>
      <c r="E82" s="68">
        <f>+'[6]2025'!D82</f>
        <v>7756.9</v>
      </c>
      <c r="F82" s="20">
        <f>+'[6]2025'!E82</f>
        <v>404</v>
      </c>
      <c r="G82" s="73">
        <f>+'[6]2025'!F82</f>
        <v>7800</v>
      </c>
      <c r="H82" s="42">
        <f>+'[6]2025'!G82</f>
        <v>8495.44</v>
      </c>
      <c r="I82" s="13">
        <f>+'[6]2025'!H82</f>
        <v>8430.36</v>
      </c>
      <c r="J82" s="14">
        <f>+'[6]2025'!I82</f>
        <v>401</v>
      </c>
      <c r="K82" s="15">
        <f>+'[6]2025'!J82</f>
        <v>85.93</v>
      </c>
      <c r="L82" s="15">
        <f>+'[6]2025'!K82</f>
        <v>101.35</v>
      </c>
      <c r="M82" s="15">
        <f>+'[6]2025'!L82</f>
        <v>41.78</v>
      </c>
      <c r="N82" s="16">
        <f t="shared" si="4"/>
        <v>4.9558974942944308E-3</v>
      </c>
      <c r="O82" s="17">
        <f t="shared" si="5"/>
        <v>8.6820766027665822E-2</v>
      </c>
      <c r="P82" s="17">
        <f t="shared" si="5"/>
        <v>-7.4257425742574254E-3</v>
      </c>
      <c r="Q82" s="18">
        <f t="shared" si="6"/>
        <v>98.107296636797386</v>
      </c>
      <c r="R82" s="18">
        <f t="shared" si="7"/>
        <v>83.180661075481012</v>
      </c>
      <c r="S82" s="35">
        <f>(S81-SUM(E80:E86))/SUM(E80:E86)</f>
        <v>3.6538333317537572E-2</v>
      </c>
      <c r="T82" s="48">
        <f>SUM(I80:I86)/SUM(K80:K86)</f>
        <v>100.16082904884317</v>
      </c>
      <c r="U82" s="1738"/>
    </row>
    <row r="83" spans="1:21">
      <c r="A83" s="10" t="s">
        <v>13</v>
      </c>
      <c r="B83" s="19">
        <f>+CHAMNORD!B83</f>
        <v>46100</v>
      </c>
      <c r="C83" s="75">
        <f>IF(H83=0,"",'[6]2025-2026'!C82)</f>
        <v>7827.81</v>
      </c>
      <c r="D83" s="68">
        <f>+'[6]2025'!C83</f>
        <v>5858.6</v>
      </c>
      <c r="E83" s="68">
        <f>+'[6]2025'!D83</f>
        <v>5818.18</v>
      </c>
      <c r="F83" s="20">
        <f>+'[6]2025'!E83</f>
        <v>299</v>
      </c>
      <c r="G83" s="73">
        <f>+'[6]2025'!F83</f>
        <v>5900</v>
      </c>
      <c r="H83" s="42">
        <f>+'[6]2025'!G83</f>
        <v>6706.98</v>
      </c>
      <c r="I83" s="13">
        <f>+'[6]2025'!H83</f>
        <v>6664.67</v>
      </c>
      <c r="J83" s="14">
        <f>+'[6]2025'!I83</f>
        <v>317</v>
      </c>
      <c r="K83" s="15">
        <f>+'[6]2025'!J83</f>
        <v>77.41</v>
      </c>
      <c r="L83" s="15">
        <f>+'[6]2025'!K83</f>
        <v>82.57</v>
      </c>
      <c r="M83" s="15">
        <f>+'[6]2025'!L83</f>
        <v>31.36</v>
      </c>
      <c r="N83" s="16">
        <f t="shared" si="4"/>
        <v>4.7054092700763881E-3</v>
      </c>
      <c r="O83" s="17">
        <f t="shared" si="5"/>
        <v>0.14549051421578565</v>
      </c>
      <c r="P83" s="17">
        <f t="shared" si="5"/>
        <v>6.0200668896321072E-2</v>
      </c>
      <c r="Q83" s="18">
        <f t="shared" si="6"/>
        <v>86.095724066658065</v>
      </c>
      <c r="R83" s="18">
        <f t="shared" si="7"/>
        <v>80.715392999878901</v>
      </c>
      <c r="S83" s="34"/>
      <c r="T83" s="29" t="s">
        <v>8</v>
      </c>
      <c r="U83" s="1738"/>
    </row>
    <row r="84" spans="1:21">
      <c r="A84" s="10" t="s">
        <v>14</v>
      </c>
      <c r="B84" s="19">
        <f>+CHAMNORD!B84</f>
        <v>46101</v>
      </c>
      <c r="C84" s="75">
        <f>IF(H84=0,"",'[6]2025-2026'!C83)</f>
        <v>5858.6</v>
      </c>
      <c r="D84" s="68">
        <f>+'[6]2025'!C84</f>
        <v>10073.959999999999</v>
      </c>
      <c r="E84" s="68">
        <f>+'[6]2025'!D84</f>
        <v>10002.31</v>
      </c>
      <c r="F84" s="20">
        <f>+'[6]2025'!E84</f>
        <v>497</v>
      </c>
      <c r="G84" s="73">
        <f>+'[6]2025'!F84</f>
        <v>10600</v>
      </c>
      <c r="H84" s="42">
        <f>+'[6]2025'!G84</f>
        <v>12229.92</v>
      </c>
      <c r="I84" s="13">
        <f>+'[6]2025'!H84</f>
        <v>12133.63</v>
      </c>
      <c r="J84" s="14">
        <f>+'[6]2025'!I84</f>
        <v>582</v>
      </c>
      <c r="K84" s="15">
        <f>+'[6]2025'!J84</f>
        <v>107.23</v>
      </c>
      <c r="L84" s="15">
        <f>+'[6]2025'!K84</f>
        <v>122.54</v>
      </c>
      <c r="M84" s="15">
        <f>+'[6]2025'!L84</f>
        <v>29.93</v>
      </c>
      <c r="N84" s="16">
        <f t="shared" si="4"/>
        <v>2.4666979296385336E-3</v>
      </c>
      <c r="O84" s="17">
        <f t="shared" si="5"/>
        <v>0.21308277787831009</v>
      </c>
      <c r="P84" s="17">
        <f t="shared" si="5"/>
        <v>0.17102615694164991</v>
      </c>
      <c r="Q84" s="18">
        <f t="shared" si="6"/>
        <v>113.15518045323137</v>
      </c>
      <c r="R84" s="18">
        <f t="shared" si="7"/>
        <v>99.01770850334583</v>
      </c>
      <c r="S84" s="36" t="s">
        <v>40</v>
      </c>
      <c r="T84" s="48">
        <f>SUM(I80:I86)/SUM(L80:L86)</f>
        <v>87.087856055208633</v>
      </c>
      <c r="U84" s="1738"/>
    </row>
    <row r="85" spans="1:21">
      <c r="A85" s="10" t="s">
        <v>15</v>
      </c>
      <c r="B85" s="19">
        <f>+CHAMNORD!B85</f>
        <v>46102</v>
      </c>
      <c r="C85" s="75">
        <f>IF(H85=0,"",'[6]2025-2026'!C84)</f>
        <v>10073.959999999999</v>
      </c>
      <c r="D85" s="68">
        <f>+'[6]2025'!C85</f>
        <v>12172.48</v>
      </c>
      <c r="E85" s="68">
        <f>+'[6]2025'!D85</f>
        <v>12066.51</v>
      </c>
      <c r="F85" s="20">
        <f>+'[6]2025'!E85</f>
        <v>532</v>
      </c>
      <c r="G85" s="73">
        <f>+'[6]2025'!F85</f>
        <v>12200</v>
      </c>
      <c r="H85" s="42">
        <f>+'[6]2025'!G85</f>
        <v>12993.85</v>
      </c>
      <c r="I85" s="13">
        <f>+'[6]2025'!H85</f>
        <v>12860.51</v>
      </c>
      <c r="J85" s="14">
        <f>+'[6]2025'!I85</f>
        <v>587</v>
      </c>
      <c r="K85" s="15">
        <f>+'[6]2025'!J85</f>
        <v>104.79</v>
      </c>
      <c r="L85" s="15">
        <f>+'[6]2025'!K85</f>
        <v>122.49</v>
      </c>
      <c r="M85" s="15">
        <f>+'[6]2025'!L85</f>
        <v>31.36</v>
      </c>
      <c r="N85" s="16">
        <f t="shared" si="4"/>
        <v>2.4384725022569089E-3</v>
      </c>
      <c r="O85" s="17">
        <f t="shared" si="5"/>
        <v>6.5801959307206476E-2</v>
      </c>
      <c r="P85" s="17">
        <f t="shared" si="5"/>
        <v>0.10338345864661654</v>
      </c>
      <c r="Q85" s="18">
        <f t="shared" si="6"/>
        <v>122.72650062028819</v>
      </c>
      <c r="R85" s="18">
        <f t="shared" si="7"/>
        <v>104.99232590415545</v>
      </c>
      <c r="S85" s="36">
        <f>SUM(J80:J86)</f>
        <v>2893</v>
      </c>
      <c r="T85" s="30" t="s">
        <v>3</v>
      </c>
      <c r="U85" s="1738"/>
    </row>
    <row r="86" spans="1:21" ht="18" thickBot="1">
      <c r="A86" s="10" t="s">
        <v>16</v>
      </c>
      <c r="B86" s="19">
        <f>+CHAMNORD!B86</f>
        <v>46103</v>
      </c>
      <c r="C86" s="75">
        <f>IF(H86=0,"",'[6]2025-2026'!C85)</f>
        <v>12172.48</v>
      </c>
      <c r="D86" s="68">
        <f>+'[6]2025'!C86</f>
        <v>13794.58</v>
      </c>
      <c r="E86" s="68">
        <f>+'[6]2025'!D86</f>
        <v>13691.88</v>
      </c>
      <c r="F86" s="20">
        <f>+'[6]2025'!E86</f>
        <v>581</v>
      </c>
      <c r="G86" s="73">
        <f>+'[6]2025'!F86</f>
        <v>13800</v>
      </c>
      <c r="H86" s="42">
        <f>+'[6]2025'!G86</f>
        <v>11091.41</v>
      </c>
      <c r="I86" s="13">
        <f>+'[6]2025'!H86</f>
        <v>11002.94</v>
      </c>
      <c r="J86" s="14">
        <f>+'[6]2025'!I86</f>
        <v>463</v>
      </c>
      <c r="K86" s="15">
        <f>+'[6]2025'!J86</f>
        <v>100.82</v>
      </c>
      <c r="L86" s="15">
        <f>+'[6]2025'!K86</f>
        <v>108.4</v>
      </c>
      <c r="M86" s="15">
        <f>+'[6]2025'!L86</f>
        <v>47.55</v>
      </c>
      <c r="N86" s="16">
        <f t="shared" si="4"/>
        <v>4.3215722343300971E-3</v>
      </c>
      <c r="O86" s="17">
        <f t="shared" si="5"/>
        <v>-0.19638939283721438</v>
      </c>
      <c r="P86" s="17">
        <f t="shared" si="5"/>
        <v>-0.20309810671256454</v>
      </c>
      <c r="Q86" s="18">
        <f t="shared" si="6"/>
        <v>109.1344971235866</v>
      </c>
      <c r="R86" s="18">
        <f t="shared" si="7"/>
        <v>101.50313653136531</v>
      </c>
      <c r="S86" s="37">
        <f>(S85-SUM(F80:F86))/SUM(F80:F86)</f>
        <v>-4.1308089500860581E-3</v>
      </c>
      <c r="T86" s="47">
        <f>SUM(M80:M86)/SUM(I80:I86)</f>
        <v>4.4215520988898005E-3</v>
      </c>
      <c r="U86" s="1739"/>
    </row>
    <row r="87" spans="1:21" ht="17" customHeight="1" thickTop="1">
      <c r="A87" s="10" t="s">
        <v>9</v>
      </c>
      <c r="B87" s="19">
        <f>+CHAMNORD!B87</f>
        <v>46104</v>
      </c>
      <c r="C87" s="75">
        <f>IF(H87=0,"",'[6]2025-2026'!C86)</f>
        <v>13794.58</v>
      </c>
      <c r="D87" s="68">
        <f>+'[6]2025'!C87</f>
        <v>4869.4799999999996</v>
      </c>
      <c r="E87" s="68">
        <f>+'[6]2025'!D87</f>
        <v>4835.01</v>
      </c>
      <c r="F87" s="20">
        <f>+'[6]2025'!E87</f>
        <v>258</v>
      </c>
      <c r="G87" s="73">
        <f>+'[6]2025'!F87</f>
        <v>4900</v>
      </c>
      <c r="H87" s="42">
        <f>+'[6]2025'!G87</f>
        <v>4924.0600000000004</v>
      </c>
      <c r="I87" s="13">
        <f>+'[6]2025'!H87</f>
        <v>4887</v>
      </c>
      <c r="J87" s="14">
        <f>+'[6]2025'!I87</f>
        <v>253</v>
      </c>
      <c r="K87" s="15">
        <f>+'[6]2025'!J87</f>
        <v>78.569999999999993</v>
      </c>
      <c r="L87" s="15">
        <f>+'[6]2025'!K87</f>
        <v>86.08</v>
      </c>
      <c r="M87" s="15">
        <f>+'[6]2025'!L87</f>
        <v>20.11</v>
      </c>
      <c r="N87" s="16">
        <f t="shared" si="4"/>
        <v>4.1149989768774296E-3</v>
      </c>
      <c r="O87" s="17">
        <f t="shared" si="5"/>
        <v>1.0752821607400972E-2</v>
      </c>
      <c r="P87" s="17">
        <f t="shared" si="5"/>
        <v>-1.937984496124031E-2</v>
      </c>
      <c r="Q87" s="18">
        <f t="shared" si="6"/>
        <v>62.199312714776639</v>
      </c>
      <c r="R87" s="18">
        <f t="shared" si="7"/>
        <v>56.772769516728623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19">
        <f>+CHAMNORD!B88</f>
        <v>46105</v>
      </c>
      <c r="C88" s="75">
        <f>IF(H88=0,"",'[6]2025-2026'!C87)</f>
        <v>4869.4799999999996</v>
      </c>
      <c r="D88" s="68">
        <f>+'[6]2025'!C88</f>
        <v>6024.6</v>
      </c>
      <c r="E88" s="68">
        <f>+'[6]2025'!D88</f>
        <v>5868.98</v>
      </c>
      <c r="F88" s="20">
        <f>+'[6]2025'!E88</f>
        <v>292</v>
      </c>
      <c r="G88" s="73">
        <f>+'[6]2025'!F88</f>
        <v>5900</v>
      </c>
      <c r="H88" s="42">
        <f>+'[6]2025'!G88</f>
        <v>5658.75</v>
      </c>
      <c r="I88" s="13">
        <f>+'[6]2025'!H88</f>
        <v>5551.08</v>
      </c>
      <c r="J88" s="14">
        <f>+'[6]2025'!I88</f>
        <v>294</v>
      </c>
      <c r="K88" s="15">
        <f>+'[6]2025'!J88</f>
        <v>77.02</v>
      </c>
      <c r="L88" s="15">
        <f>+'[6]2025'!K88</f>
        <v>84.39</v>
      </c>
      <c r="M88" s="15">
        <f>+'[6]2025'!L88</f>
        <v>22.25</v>
      </c>
      <c r="N88" s="16">
        <f t="shared" si="4"/>
        <v>4.0082290293060093E-3</v>
      </c>
      <c r="O88" s="17">
        <f t="shared" si="5"/>
        <v>-5.4166141305644191E-2</v>
      </c>
      <c r="P88" s="17">
        <f t="shared" si="5"/>
        <v>6.8493150684931503E-3</v>
      </c>
      <c r="Q88" s="18">
        <f t="shared" si="6"/>
        <v>72.073227733056356</v>
      </c>
      <c r="R88" s="18">
        <f t="shared" si="7"/>
        <v>65.778883753999281</v>
      </c>
      <c r="S88" s="34">
        <f>SUM(I87:I93)</f>
        <v>63269.13</v>
      </c>
      <c r="T88" s="45" t="s">
        <v>41</v>
      </c>
      <c r="U88" s="1738"/>
    </row>
    <row r="89" spans="1:21">
      <c r="A89" s="10" t="s">
        <v>12</v>
      </c>
      <c r="B89" s="19">
        <f>+CHAMNORD!B89</f>
        <v>46106</v>
      </c>
      <c r="C89" s="75">
        <f>IF(H89=0,"",'[6]2025-2026'!C88)</f>
        <v>6024.6</v>
      </c>
      <c r="D89" s="68">
        <f>+'[6]2025'!C89</f>
        <v>8926.43</v>
      </c>
      <c r="E89" s="68">
        <f>+'[6]2025'!D89</f>
        <v>8708.27</v>
      </c>
      <c r="F89" s="20">
        <f>+'[6]2025'!E89</f>
        <v>440</v>
      </c>
      <c r="G89" s="73">
        <f>+'[6]2025'!F89</f>
        <v>8800</v>
      </c>
      <c r="H89" s="42">
        <f>+'[6]2025'!G89</f>
        <v>8322.76</v>
      </c>
      <c r="I89" s="13">
        <f>+'[6]2025'!H89</f>
        <v>8137.37</v>
      </c>
      <c r="J89" s="14">
        <f>+'[6]2025'!I89</f>
        <v>389</v>
      </c>
      <c r="K89" s="15">
        <f>+'[6]2025'!J89</f>
        <v>77.510000000000005</v>
      </c>
      <c r="L89" s="15">
        <f>+'[6]2025'!K89</f>
        <v>93.37</v>
      </c>
      <c r="M89" s="15">
        <f>+'[6]2025'!L89</f>
        <v>48.03</v>
      </c>
      <c r="N89" s="16">
        <f t="shared" si="4"/>
        <v>5.9023984407738624E-3</v>
      </c>
      <c r="O89" s="17">
        <f t="shared" si="5"/>
        <v>-6.5558371524998715E-2</v>
      </c>
      <c r="P89" s="17">
        <f t="shared" si="5"/>
        <v>-0.11590909090909091</v>
      </c>
      <c r="Q89" s="18">
        <f t="shared" si="6"/>
        <v>104.98477615791509</v>
      </c>
      <c r="R89" s="18">
        <f t="shared" si="7"/>
        <v>87.151868908643024</v>
      </c>
      <c r="S89" s="35">
        <f>(S88-SUM(E87:E93))/SUM(E87:E93)</f>
        <v>-2.5532868502885723E-2</v>
      </c>
      <c r="T89" s="48">
        <f>SUM(I87:I93)/SUM(K87:K93)</f>
        <v>104.07989932389083</v>
      </c>
      <c r="U89" s="1738"/>
    </row>
    <row r="90" spans="1:21">
      <c r="A90" s="10" t="s">
        <v>13</v>
      </c>
      <c r="B90" s="19">
        <f>+CHAMNORD!B90</f>
        <v>46107</v>
      </c>
      <c r="C90" s="75">
        <f>IF(H90=0,"",'[6]2025-2026'!C89)</f>
        <v>8926.43</v>
      </c>
      <c r="D90" s="68">
        <f>+'[6]2025'!C90</f>
        <v>6696.22</v>
      </c>
      <c r="E90" s="68">
        <f>+'[6]2025'!D90</f>
        <v>6527.07</v>
      </c>
      <c r="F90" s="20">
        <f>+'[6]2025'!E90</f>
        <v>344</v>
      </c>
      <c r="G90" s="73">
        <f>+'[6]2025'!F90</f>
        <v>6600</v>
      </c>
      <c r="H90" s="42">
        <f>+'[6]2025'!G90</f>
        <v>6709.47</v>
      </c>
      <c r="I90" s="13">
        <f>+'[6]2025'!H90</f>
        <v>6572.2</v>
      </c>
      <c r="J90" s="14">
        <f>+'[6]2025'!I90</f>
        <v>310</v>
      </c>
      <c r="K90" s="15">
        <f>+'[6]2025'!J90</f>
        <v>76.31</v>
      </c>
      <c r="L90" s="15">
        <f>+'[6]2025'!K90</f>
        <v>91.49</v>
      </c>
      <c r="M90" s="15">
        <f>+'[6]2025'!L90</f>
        <v>17.350000000000001</v>
      </c>
      <c r="N90" s="16">
        <f t="shared" si="4"/>
        <v>2.6399074891208427E-3</v>
      </c>
      <c r="O90" s="17">
        <f t="shared" si="5"/>
        <v>6.9142815995538748E-3</v>
      </c>
      <c r="P90" s="17">
        <f t="shared" si="5"/>
        <v>-9.8837209302325577E-2</v>
      </c>
      <c r="Q90" s="18">
        <f t="shared" si="6"/>
        <v>86.125016380553006</v>
      </c>
      <c r="R90" s="18">
        <f t="shared" si="7"/>
        <v>71.835173242977376</v>
      </c>
      <c r="S90" s="34"/>
      <c r="T90" s="29" t="s">
        <v>8</v>
      </c>
      <c r="U90" s="1738"/>
    </row>
    <row r="91" spans="1:21">
      <c r="A91" s="10" t="s">
        <v>14</v>
      </c>
      <c r="B91" s="19">
        <f>+CHAMNORD!B91</f>
        <v>46108</v>
      </c>
      <c r="C91" s="75">
        <f>IF(H91=0,"",'[6]2025-2026'!C90)</f>
        <v>6696.22</v>
      </c>
      <c r="D91" s="68">
        <f>+'[6]2025'!C91</f>
        <v>11532.04</v>
      </c>
      <c r="E91" s="68">
        <f>+'[6]2025'!D91</f>
        <v>11357.94</v>
      </c>
      <c r="F91" s="20">
        <f>+'[6]2025'!E91</f>
        <v>543</v>
      </c>
      <c r="G91" s="73">
        <f>+'[6]2025'!F91</f>
        <v>11500</v>
      </c>
      <c r="H91" s="42">
        <f>+'[6]2025'!G91</f>
        <v>12013.22</v>
      </c>
      <c r="I91" s="13">
        <f>+'[6]2025'!H91</f>
        <v>11872.27</v>
      </c>
      <c r="J91" s="14">
        <f>+'[6]2025'!I91</f>
        <v>530</v>
      </c>
      <c r="K91" s="15">
        <f>+'[6]2025'!J91</f>
        <v>91.6</v>
      </c>
      <c r="L91" s="15">
        <f>+'[6]2025'!K91</f>
        <v>114.48</v>
      </c>
      <c r="M91" s="15">
        <f>+'[6]2025'!L91</f>
        <v>51.99</v>
      </c>
      <c r="N91" s="16">
        <f t="shared" si="4"/>
        <v>4.3791119979582679E-3</v>
      </c>
      <c r="O91" s="17">
        <f t="shared" si="5"/>
        <v>4.5283739833103527E-2</v>
      </c>
      <c r="P91" s="17">
        <f t="shared" si="5"/>
        <v>-2.3941068139963169E-2</v>
      </c>
      <c r="Q91" s="18">
        <f t="shared" si="6"/>
        <v>129.6099344978166</v>
      </c>
      <c r="R91" s="18">
        <f t="shared" si="7"/>
        <v>103.70606219426975</v>
      </c>
      <c r="S91" s="36" t="s">
        <v>40</v>
      </c>
      <c r="T91" s="48">
        <f>SUM(I87:I93)/SUM(L87:L93)</f>
        <v>89.39727014539443</v>
      </c>
      <c r="U91" s="1738"/>
    </row>
    <row r="92" spans="1:21">
      <c r="A92" s="10" t="s">
        <v>15</v>
      </c>
      <c r="B92" s="19">
        <f>+CHAMNORD!B92</f>
        <v>46109</v>
      </c>
      <c r="C92" s="75">
        <f>IF(H92=0,"",'[6]2025-2026'!C91)</f>
        <v>11532.04</v>
      </c>
      <c r="D92" s="68">
        <f>+'[6]2025'!C92</f>
        <v>13413.89</v>
      </c>
      <c r="E92" s="68">
        <f>+'[6]2025'!D92</f>
        <v>13136.94</v>
      </c>
      <c r="F92" s="20">
        <f>+'[6]2025'!E92</f>
        <v>556</v>
      </c>
      <c r="G92" s="73">
        <f>+'[6]2025'!F92</f>
        <v>13200</v>
      </c>
      <c r="H92" s="42">
        <f>+'[6]2025'!G92</f>
        <v>11985.86</v>
      </c>
      <c r="I92" s="13">
        <f>+'[6]2025'!H92</f>
        <v>11748.59</v>
      </c>
      <c r="J92" s="14">
        <f>+'[6]2025'!I92</f>
        <v>528</v>
      </c>
      <c r="K92" s="15">
        <f>+'[6]2025'!J92</f>
        <v>102.98</v>
      </c>
      <c r="L92" s="15">
        <f>+'[6]2025'!K92</f>
        <v>121.51</v>
      </c>
      <c r="M92" s="15">
        <f>+'[6]2025'!L92</f>
        <v>91.81</v>
      </c>
      <c r="N92" s="16">
        <f t="shared" si="4"/>
        <v>7.8145547678487373E-3</v>
      </c>
      <c r="O92" s="17">
        <f t="shared" si="5"/>
        <v>-0.10568290636936763</v>
      </c>
      <c r="P92" s="17">
        <f t="shared" si="5"/>
        <v>-5.0359712230215826E-2</v>
      </c>
      <c r="Q92" s="18">
        <f t="shared" si="6"/>
        <v>114.08613322975334</v>
      </c>
      <c r="R92" s="18">
        <f t="shared" si="7"/>
        <v>96.688256110608179</v>
      </c>
      <c r="S92" s="36">
        <f>SUM(J87:J93)</f>
        <v>2885</v>
      </c>
      <c r="T92" s="30" t="s">
        <v>3</v>
      </c>
      <c r="U92" s="1738"/>
    </row>
    <row r="93" spans="1:21" ht="18" thickBot="1">
      <c r="A93" s="10" t="s">
        <v>16</v>
      </c>
      <c r="B93" s="19">
        <f>+CHAMNORD!B93</f>
        <v>46110</v>
      </c>
      <c r="C93" s="75">
        <f>IF(H93=0,"",'[6]2025-2026'!C92)</f>
        <v>13413.89</v>
      </c>
      <c r="D93" s="68">
        <f>+'[6]2025'!C93</f>
        <v>14780.36</v>
      </c>
      <c r="E93" s="68">
        <f>+'[6]2025'!D93</f>
        <v>14492.69</v>
      </c>
      <c r="F93" s="20">
        <f>+'[6]2025'!E93</f>
        <v>648</v>
      </c>
      <c r="G93" s="73">
        <f>+'[6]2025'!F93</f>
        <v>14600</v>
      </c>
      <c r="H93" s="42">
        <f>+'[6]2025'!G93</f>
        <v>14754.79</v>
      </c>
      <c r="I93" s="13">
        <f>+'[6]2025'!H93</f>
        <v>14500.62</v>
      </c>
      <c r="J93" s="14">
        <f>+'[6]2025'!I93</f>
        <v>581</v>
      </c>
      <c r="K93" s="15">
        <f>+'[6]2025'!J93</f>
        <v>103.9</v>
      </c>
      <c r="L93" s="15">
        <f>+'[6]2025'!K93</f>
        <v>116.41</v>
      </c>
      <c r="M93" s="15">
        <f>+'[6]2025'!L93</f>
        <v>38.729999999999997</v>
      </c>
      <c r="N93" s="16">
        <f t="shared" si="4"/>
        <v>2.6709202778915655E-3</v>
      </c>
      <c r="O93" s="17">
        <f t="shared" si="5"/>
        <v>5.4717240208686517E-4</v>
      </c>
      <c r="P93" s="17">
        <f t="shared" si="5"/>
        <v>-0.10339506172839506</v>
      </c>
      <c r="Q93" s="18">
        <f t="shared" si="6"/>
        <v>139.56323387872953</v>
      </c>
      <c r="R93" s="18">
        <f t="shared" si="7"/>
        <v>124.5650717292329</v>
      </c>
      <c r="S93" s="37">
        <f>(S92-SUM(F87:F93))/SUM(F87:F93)</f>
        <v>-6.3615709185329439E-2</v>
      </c>
      <c r="T93" s="47">
        <f>SUM(M87:M93)/SUM(I87:I93)</f>
        <v>4.5878614104540409E-3</v>
      </c>
      <c r="U93" s="1739"/>
    </row>
    <row r="94" spans="1:21" ht="17" customHeight="1" thickTop="1">
      <c r="A94" s="10" t="s">
        <v>9</v>
      </c>
      <c r="B94" s="19">
        <f>+CHAMNORD!B94</f>
        <v>46111</v>
      </c>
      <c r="C94" s="75">
        <f>IF(H94=0,"",'[6]2025-2026'!C93)</f>
        <v>14780.36</v>
      </c>
      <c r="D94" s="68">
        <f>+'[6]2025'!C94</f>
        <v>5415.96</v>
      </c>
      <c r="E94" s="68">
        <f>+'[6]2025'!D94</f>
        <v>5332.31</v>
      </c>
      <c r="F94" s="20">
        <f>+'[6]2025'!E94</f>
        <v>287</v>
      </c>
      <c r="G94" s="73">
        <f>+'[6]2025'!F94</f>
        <v>5700</v>
      </c>
      <c r="H94" s="42">
        <f>+'[6]2025'!G94</f>
        <v>5633.02</v>
      </c>
      <c r="I94" s="13">
        <f>+'[6]2025'!H94</f>
        <v>5549.09</v>
      </c>
      <c r="J94" s="14">
        <f>+'[6]2025'!I94</f>
        <v>261</v>
      </c>
      <c r="K94" s="15">
        <f>+'[6]2025'!J94</f>
        <v>73.88</v>
      </c>
      <c r="L94" s="15">
        <f>+'[6]2025'!K94</f>
        <v>89.24</v>
      </c>
      <c r="M94" s="15">
        <f>+'[6]2025'!L94</f>
        <v>39.4</v>
      </c>
      <c r="N94" s="16">
        <f t="shared" si="4"/>
        <v>7.1002632864127268E-3</v>
      </c>
      <c r="O94" s="17">
        <f t="shared" si="5"/>
        <v>4.0654050495938857E-2</v>
      </c>
      <c r="P94" s="17">
        <f t="shared" si="5"/>
        <v>-9.0592334494773524E-2</v>
      </c>
      <c r="Q94" s="18">
        <f t="shared" si="6"/>
        <v>75.109501894964808</v>
      </c>
      <c r="R94" s="18">
        <f t="shared" si="7"/>
        <v>62.181645002241154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19">
        <f>+CHAMNORD!B95</f>
        <v>46112</v>
      </c>
      <c r="C95" s="75">
        <f>IF(H95=0,"",'[6]2025-2026'!C94)</f>
        <v>5415.96</v>
      </c>
      <c r="D95" s="68">
        <f>+'[6]2025'!C95</f>
        <v>7522.22</v>
      </c>
      <c r="E95" s="68">
        <f>+'[6]2025'!D95</f>
        <v>7386.8</v>
      </c>
      <c r="F95" s="20">
        <f>+'[6]2025'!E95</f>
        <v>404</v>
      </c>
      <c r="G95" s="73">
        <f>+'[6]2025'!F95</f>
        <v>7800</v>
      </c>
      <c r="H95" s="42">
        <f>+'[6]2025'!G95</f>
        <v>6182.55</v>
      </c>
      <c r="I95" s="13">
        <f>+'[6]2025'!H95</f>
        <v>6038.53</v>
      </c>
      <c r="J95" s="14">
        <f>+'[6]2025'!I95</f>
        <v>285</v>
      </c>
      <c r="K95" s="15">
        <f>+'[6]2025'!J95</f>
        <v>73.73</v>
      </c>
      <c r="L95" s="15">
        <f>+'[6]2025'!K95</f>
        <v>90.22</v>
      </c>
      <c r="M95" s="15">
        <f>+'[6]2025'!L95</f>
        <v>48.47</v>
      </c>
      <c r="N95" s="16">
        <f t="shared" si="4"/>
        <v>8.0267879765439608E-3</v>
      </c>
      <c r="O95" s="17">
        <f t="shared" si="5"/>
        <v>-0.18252423241457741</v>
      </c>
      <c r="P95" s="17">
        <f t="shared" si="5"/>
        <v>-0.29455445544554454</v>
      </c>
      <c r="Q95" s="18">
        <f t="shared" si="6"/>
        <v>81.900583209005831</v>
      </c>
      <c r="R95" s="18">
        <f t="shared" si="7"/>
        <v>66.931168255375752</v>
      </c>
      <c r="S95" s="34">
        <f>SUM(I94:I100)</f>
        <v>63180.37</v>
      </c>
      <c r="T95" s="45" t="s">
        <v>41</v>
      </c>
      <c r="U95" s="1738"/>
    </row>
    <row r="96" spans="1:21">
      <c r="A96" s="10" t="s">
        <v>12</v>
      </c>
      <c r="B96" s="19">
        <f>+CHAMNORD!B96</f>
        <v>46113</v>
      </c>
      <c r="C96" s="75">
        <f>IF(H96=0,"",'[6]2025-2026'!C95)</f>
        <v>7522.22</v>
      </c>
      <c r="D96" s="68">
        <f>+'[6]2025'!C96</f>
        <v>10554.24</v>
      </c>
      <c r="E96" s="68">
        <f>+'[6]2025'!D96</f>
        <v>10381.879999999999</v>
      </c>
      <c r="F96" s="20">
        <f>+'[6]2025'!E96</f>
        <v>530</v>
      </c>
      <c r="G96" s="73">
        <f>+'[6]2025'!F96</f>
        <v>10500</v>
      </c>
      <c r="H96" s="42">
        <f>+'[6]2025'!G96</f>
        <v>9290.9699999999993</v>
      </c>
      <c r="I96" s="13">
        <f>+'[6]2025'!H96</f>
        <v>9117.2000000000007</v>
      </c>
      <c r="J96" s="14">
        <f>+'[6]2025'!I96</f>
        <v>440</v>
      </c>
      <c r="K96" s="15">
        <f>+'[6]2025'!J96</f>
        <v>86.32</v>
      </c>
      <c r="L96" s="15">
        <f>+'[6]2025'!K96</f>
        <v>103.15</v>
      </c>
      <c r="M96" s="15">
        <f>+'[6]2025'!L96</f>
        <v>51.9</v>
      </c>
      <c r="N96" s="16">
        <f t="shared" si="4"/>
        <v>5.692537182468301E-3</v>
      </c>
      <c r="O96" s="17">
        <f t="shared" si="5"/>
        <v>-0.12181608725972547</v>
      </c>
      <c r="P96" s="17">
        <f t="shared" si="5"/>
        <v>-0.16981132075471697</v>
      </c>
      <c r="Q96" s="18">
        <f t="shared" si="6"/>
        <v>105.62094531974051</v>
      </c>
      <c r="R96" s="18">
        <f t="shared" si="7"/>
        <v>88.387784779447415</v>
      </c>
      <c r="S96" s="35">
        <f>(S95-SUM(E94:E100))/SUM(E94:E100)</f>
        <v>-0.1122634507879563</v>
      </c>
      <c r="T96" s="48">
        <f>SUM(I94:I100)/SUM(K94:K100)</f>
        <v>97.870606459608084</v>
      </c>
      <c r="U96" s="1738"/>
    </row>
    <row r="97" spans="1:21">
      <c r="A97" s="10" t="s">
        <v>13</v>
      </c>
      <c r="B97" s="19">
        <f>+CHAMNORD!B97</f>
        <v>46114</v>
      </c>
      <c r="C97" s="75">
        <f>IF(H97=0,"",'[6]2025-2026'!C96)</f>
        <v>10554.24</v>
      </c>
      <c r="D97" s="68">
        <f>+'[6]2025'!C97</f>
        <v>8216.2900000000009</v>
      </c>
      <c r="E97" s="68">
        <f>+'[6]2025'!D97</f>
        <v>8157.95</v>
      </c>
      <c r="F97" s="20">
        <f>+'[6]2025'!E97</f>
        <v>397</v>
      </c>
      <c r="G97" s="73">
        <f>+'[6]2025'!F97</f>
        <v>8200</v>
      </c>
      <c r="H97" s="42">
        <f>+'[6]2025'!G97</f>
        <v>7563.52</v>
      </c>
      <c r="I97" s="13">
        <f>+'[6]2025'!H97</f>
        <v>7457.59</v>
      </c>
      <c r="J97" s="14">
        <f>+'[6]2025'!I97</f>
        <v>366</v>
      </c>
      <c r="K97" s="15">
        <f>+'[6]2025'!J97</f>
        <v>88.74</v>
      </c>
      <c r="L97" s="15">
        <f>+'[6]2025'!K97</f>
        <v>104.36</v>
      </c>
      <c r="M97" s="15">
        <f>+'[6]2025'!L97</f>
        <v>28.99</v>
      </c>
      <c r="N97" s="16">
        <f t="shared" si="4"/>
        <v>3.8873148027714043E-3</v>
      </c>
      <c r="O97" s="17">
        <f t="shared" si="5"/>
        <v>-8.5849999080651357E-2</v>
      </c>
      <c r="P97" s="17">
        <f t="shared" si="5"/>
        <v>-7.8085642317380355E-2</v>
      </c>
      <c r="Q97" s="18">
        <f t="shared" si="6"/>
        <v>84.038652242506203</v>
      </c>
      <c r="R97" s="18">
        <f t="shared" si="7"/>
        <v>71.460233806055967</v>
      </c>
      <c r="S97" s="34"/>
      <c r="T97" s="29" t="s">
        <v>8</v>
      </c>
      <c r="U97" s="1738"/>
    </row>
    <row r="98" spans="1:21">
      <c r="A98" s="10" t="s">
        <v>14</v>
      </c>
      <c r="B98" s="19">
        <f>+CHAMNORD!B98</f>
        <v>46115</v>
      </c>
      <c r="C98" s="75">
        <f>IF(H98=0,"",'[6]2025-2026'!C97)</f>
        <v>8216.2900000000009</v>
      </c>
      <c r="D98" s="68">
        <f>+'[6]2025'!C98</f>
        <v>11730.62</v>
      </c>
      <c r="E98" s="68">
        <f>+'[6]2025'!D98</f>
        <v>11640.93</v>
      </c>
      <c r="F98" s="20">
        <f>+'[6]2025'!E98</f>
        <v>569</v>
      </c>
      <c r="G98" s="73">
        <f>+'[6]2025'!F98</f>
        <v>12900</v>
      </c>
      <c r="H98" s="42">
        <f>+'[6]2025'!G98</f>
        <v>13318.05</v>
      </c>
      <c r="I98" s="13">
        <f>+'[6]2025'!H98</f>
        <v>13128.28</v>
      </c>
      <c r="J98" s="14">
        <f>+'[6]2025'!I98</f>
        <v>571</v>
      </c>
      <c r="K98" s="15">
        <f>+'[6]2025'!J98</f>
        <v>118.3</v>
      </c>
      <c r="L98" s="15">
        <f>+'[6]2025'!K98</f>
        <v>135.59</v>
      </c>
      <c r="M98" s="15">
        <f>+'[6]2025'!L98</f>
        <v>29</v>
      </c>
      <c r="N98" s="16">
        <f t="shared" si="4"/>
        <v>2.2089717769578346E-3</v>
      </c>
      <c r="O98" s="17">
        <f t="shared" si="5"/>
        <v>0.12776900127395321</v>
      </c>
      <c r="P98" s="17">
        <f t="shared" si="5"/>
        <v>3.5149384885764497E-3</v>
      </c>
      <c r="Q98" s="18">
        <f t="shared" si="6"/>
        <v>110.97447168216399</v>
      </c>
      <c r="R98" s="18">
        <f t="shared" si="7"/>
        <v>96.823364554908181</v>
      </c>
      <c r="S98" s="36" t="s">
        <v>40</v>
      </c>
      <c r="T98" s="48">
        <f>SUM(I94:I100)/SUM(L94:L100)</f>
        <v>83.207609540240483</v>
      </c>
      <c r="U98" s="1738"/>
    </row>
    <row r="99" spans="1:21">
      <c r="A99" s="10" t="s">
        <v>15</v>
      </c>
      <c r="B99" s="19">
        <f>+CHAMNORD!B99</f>
        <v>46116</v>
      </c>
      <c r="C99" s="75">
        <f>IF(H99=0,"",'[6]2025-2026'!C98)</f>
        <v>11730.62</v>
      </c>
      <c r="D99" s="68">
        <f>+'[6]2025'!C99</f>
        <v>14191.91</v>
      </c>
      <c r="E99" s="68">
        <f>+'[6]2025'!D99</f>
        <v>14048.75</v>
      </c>
      <c r="F99" s="20">
        <f>+'[6]2025'!E99</f>
        <v>651</v>
      </c>
      <c r="G99" s="73">
        <f>+'[6]2025'!F99</f>
        <v>12900</v>
      </c>
      <c r="H99" s="42">
        <f>+'[6]2025'!G99</f>
        <v>11749.88</v>
      </c>
      <c r="I99" s="13">
        <f>+'[6]2025'!H99</f>
        <v>11523.9</v>
      </c>
      <c r="J99" s="14">
        <f>+'[6]2025'!I99</f>
        <v>526</v>
      </c>
      <c r="K99" s="15">
        <f>+'[6]2025'!J99</f>
        <v>107.99</v>
      </c>
      <c r="L99" s="15">
        <f>+'[6]2025'!K99</f>
        <v>125.46</v>
      </c>
      <c r="M99" s="15">
        <f>+'[6]2025'!L99</f>
        <v>35.28</v>
      </c>
      <c r="N99" s="16">
        <f t="shared" si="4"/>
        <v>3.0614635670215815E-3</v>
      </c>
      <c r="O99" s="17">
        <f t="shared" si="5"/>
        <v>-0.17972061571314177</v>
      </c>
      <c r="P99" s="17">
        <f t="shared" si="5"/>
        <v>-0.19201228878648233</v>
      </c>
      <c r="Q99" s="18">
        <f t="shared" si="6"/>
        <v>106.7126585794981</v>
      </c>
      <c r="R99" s="18">
        <f t="shared" si="7"/>
        <v>91.853180296508853</v>
      </c>
      <c r="S99" s="36">
        <f>SUM(J94:J100)</f>
        <v>2885</v>
      </c>
      <c r="T99" s="30" t="s">
        <v>3</v>
      </c>
      <c r="U99" s="1738"/>
    </row>
    <row r="100" spans="1:21" ht="18" thickBot="1">
      <c r="A100" s="10" t="s">
        <v>16</v>
      </c>
      <c r="B100" s="19">
        <f>+CHAMNORD!B100</f>
        <v>46117</v>
      </c>
      <c r="C100" s="75">
        <f>IF(H100=0,"",'[6]2025-2026'!C99)</f>
        <v>14191.91</v>
      </c>
      <c r="D100" s="68">
        <f>+'[6]2025'!C100</f>
        <v>14334.79</v>
      </c>
      <c r="E100" s="68">
        <f>+'[6]2025'!D100</f>
        <v>14221.56</v>
      </c>
      <c r="F100" s="20">
        <f>+'[6]2025'!E100</f>
        <v>668</v>
      </c>
      <c r="G100" s="73">
        <f>+'[6]2025'!F100</f>
        <v>12600</v>
      </c>
      <c r="H100" s="42">
        <f>+'[6]2025'!G100</f>
        <v>10532.28</v>
      </c>
      <c r="I100" s="13">
        <f>+'[6]2025'!H100</f>
        <v>10365.780000000001</v>
      </c>
      <c r="J100" s="14">
        <f>+'[6]2025'!I100</f>
        <v>436</v>
      </c>
      <c r="K100" s="15">
        <f>+'[6]2025'!J100</f>
        <v>96.59</v>
      </c>
      <c r="L100" s="15">
        <f>+'[6]2025'!K100</f>
        <v>111.29</v>
      </c>
      <c r="M100" s="15">
        <f>+'[6]2025'!L100</f>
        <v>58.94</v>
      </c>
      <c r="N100" s="16">
        <f t="shared" si="4"/>
        <v>5.6860168747552035E-3</v>
      </c>
      <c r="O100" s="17">
        <f t="shared" si="5"/>
        <v>-0.27112215537535961</v>
      </c>
      <c r="P100" s="17">
        <f t="shared" si="5"/>
        <v>-0.3473053892215569</v>
      </c>
      <c r="Q100" s="18">
        <f t="shared" si="6"/>
        <v>107.31732063360596</v>
      </c>
      <c r="R100" s="18">
        <f t="shared" si="7"/>
        <v>93.14206128133705</v>
      </c>
      <c r="S100" s="37">
        <f>(S99-SUM(F94:F100))/SUM(F94:F100)</f>
        <v>-0.177124928693668</v>
      </c>
      <c r="T100" s="47">
        <f>SUM(M94:M100)/SUM(I94:I100)</f>
        <v>4.6213721128888609E-3</v>
      </c>
      <c r="U100" s="1739"/>
    </row>
    <row r="101" spans="1:21" ht="17" customHeight="1" thickTop="1">
      <c r="A101" s="10" t="s">
        <v>9</v>
      </c>
      <c r="B101" s="19">
        <f>+CHAMNORD!B101</f>
        <v>46118</v>
      </c>
      <c r="C101" s="75">
        <f>IF(H101=0,"",'[6]2025-2026'!C100)</f>
        <v>14334.79</v>
      </c>
      <c r="D101" s="68">
        <f>+'[6]2025'!C101</f>
        <v>6091.05</v>
      </c>
      <c r="E101" s="68">
        <f>+'[6]2025'!D101</f>
        <v>6049.47</v>
      </c>
      <c r="F101" s="20">
        <f>+'[6]2025'!E101</f>
        <v>321</v>
      </c>
      <c r="G101" s="73">
        <f>+'[6]2025'!F101</f>
        <v>12900</v>
      </c>
      <c r="H101" s="42">
        <f>+'[6]2025'!G101</f>
        <v>11428.88</v>
      </c>
      <c r="I101" s="13">
        <f>+'[6]2025'!H101</f>
        <v>11253.17</v>
      </c>
      <c r="J101" s="14">
        <f>+'[6]2025'!I101</f>
        <v>467</v>
      </c>
      <c r="K101" s="15">
        <f>+'[6]2025'!J101</f>
        <v>106.66</v>
      </c>
      <c r="L101" s="15">
        <f>+'[6]2025'!K101</f>
        <v>122.25</v>
      </c>
      <c r="M101" s="15">
        <f>+'[6]2025'!L101</f>
        <v>29.38</v>
      </c>
      <c r="N101" s="16">
        <f t="shared" si="4"/>
        <v>2.6108198845303143E-3</v>
      </c>
      <c r="O101" s="17">
        <f t="shared" si="5"/>
        <v>0.86019105805963159</v>
      </c>
      <c r="P101" s="17">
        <f t="shared" si="5"/>
        <v>0.45482866043613707</v>
      </c>
      <c r="Q101" s="18">
        <f t="shared" si="6"/>
        <v>105.50506281642603</v>
      </c>
      <c r="R101" s="18">
        <f t="shared" si="7"/>
        <v>92.050470347648258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19">
        <f>+CHAMNORD!B102</f>
        <v>46119</v>
      </c>
      <c r="C102" s="75">
        <f>IF(H102=0,"",'[6]2025-2026'!C101)</f>
        <v>6091.05</v>
      </c>
      <c r="D102" s="68">
        <f>+'[6]2025'!C102</f>
        <v>7336.18</v>
      </c>
      <c r="E102" s="68">
        <f>+'[6]2025'!D102</f>
        <v>7275.34</v>
      </c>
      <c r="F102" s="20">
        <f>+'[6]2025'!E102</f>
        <v>389</v>
      </c>
      <c r="G102" s="73">
        <f>+'[6]2025'!F102</f>
        <v>7600</v>
      </c>
      <c r="H102" s="42">
        <f>+'[6]2025'!G102</f>
        <v>7901.89</v>
      </c>
      <c r="I102" s="13">
        <f>+'[6]2025'!H102</f>
        <v>7787.48</v>
      </c>
      <c r="J102" s="14">
        <f>+'[6]2025'!I102</f>
        <v>370</v>
      </c>
      <c r="K102" s="15">
        <f>+'[6]2025'!J102</f>
        <v>82.67</v>
      </c>
      <c r="L102" s="15">
        <f>+'[6]2025'!K102</f>
        <v>97.48</v>
      </c>
      <c r="M102" s="15">
        <f>+'[6]2025'!L102</f>
        <v>14.65</v>
      </c>
      <c r="N102" s="16">
        <f t="shared" si="4"/>
        <v>1.8812247350876023E-3</v>
      </c>
      <c r="O102" s="17">
        <f t="shared" si="5"/>
        <v>7.0393960969521621E-2</v>
      </c>
      <c r="P102" s="17">
        <f t="shared" si="5"/>
        <v>-4.8843187660668377E-2</v>
      </c>
      <c r="Q102" s="18">
        <f t="shared" si="6"/>
        <v>94.199588726261027</v>
      </c>
      <c r="R102" s="18">
        <f t="shared" si="7"/>
        <v>79.887977020927366</v>
      </c>
      <c r="S102" s="34">
        <f>SUM(I101:I107)</f>
        <v>71027.41</v>
      </c>
      <c r="T102" s="45" t="s">
        <v>41</v>
      </c>
      <c r="U102" s="1738"/>
    </row>
    <row r="103" spans="1:21">
      <c r="A103" s="10" t="s">
        <v>12</v>
      </c>
      <c r="B103" s="19">
        <f>+CHAMNORD!B103</f>
        <v>46120</v>
      </c>
      <c r="C103" s="75">
        <f>IF(H103=0,"",'[6]2025-2026'!C102)</f>
        <v>7336.18</v>
      </c>
      <c r="D103" s="68">
        <f>+'[6]2025'!C103</f>
        <v>8577.92</v>
      </c>
      <c r="E103" s="68">
        <f>+'[6]2025'!D103</f>
        <v>8490.07</v>
      </c>
      <c r="F103" s="20">
        <f>+'[6]2025'!E103</f>
        <v>461</v>
      </c>
      <c r="G103" s="73">
        <f>+'[6]2025'!F103</f>
        <v>8800</v>
      </c>
      <c r="H103" s="42">
        <f>+'[6]2025'!G103</f>
        <v>8234</v>
      </c>
      <c r="I103" s="13">
        <f>+'[6]2025'!H103</f>
        <v>8104.49</v>
      </c>
      <c r="J103" s="14">
        <f>+'[6]2025'!I103</f>
        <v>412</v>
      </c>
      <c r="K103" s="15">
        <f>+'[6]2025'!J103</f>
        <v>81.510000000000005</v>
      </c>
      <c r="L103" s="15">
        <f>+'[6]2025'!K103</f>
        <v>96</v>
      </c>
      <c r="M103" s="15">
        <f>+'[6]2025'!L103</f>
        <v>36.03</v>
      </c>
      <c r="N103" s="16">
        <f t="shared" si="4"/>
        <v>4.4456838123065117E-3</v>
      </c>
      <c r="O103" s="17">
        <f t="shared" si="5"/>
        <v>-4.5415408824662218E-2</v>
      </c>
      <c r="P103" s="17">
        <f t="shared" si="5"/>
        <v>-0.10629067245119306</v>
      </c>
      <c r="Q103" s="18">
        <f t="shared" si="6"/>
        <v>99.429395166237256</v>
      </c>
      <c r="R103" s="18">
        <f t="shared" si="7"/>
        <v>84.421770833333326</v>
      </c>
      <c r="S103" s="35">
        <f>(S102-SUM(E101:E107))/SUM(E101:E107)</f>
        <v>6.5675330914533772E-2</v>
      </c>
      <c r="T103" s="48">
        <f>SUM(I101:I107)/SUM(K101:K107)</f>
        <v>103.3336388500931</v>
      </c>
      <c r="U103" s="1738"/>
    </row>
    <row r="104" spans="1:21">
      <c r="A104" s="10" t="s">
        <v>13</v>
      </c>
      <c r="B104" s="19">
        <f>+CHAMNORD!B104</f>
        <v>46121</v>
      </c>
      <c r="C104" s="75">
        <f>IF(H104=0,"",'[6]2025-2026'!C103)</f>
        <v>8577.92</v>
      </c>
      <c r="D104" s="68">
        <f>+'[6]2025'!C104</f>
        <v>6986.96</v>
      </c>
      <c r="E104" s="68">
        <f>+'[6]2025'!D104</f>
        <v>6937.4</v>
      </c>
      <c r="F104" s="20">
        <f>+'[6]2025'!E104</f>
        <v>368</v>
      </c>
      <c r="G104" s="73">
        <f>+'[6]2025'!F104</f>
        <v>7200</v>
      </c>
      <c r="H104" s="42">
        <f>+'[6]2025'!G104</f>
        <v>9254.2099999999991</v>
      </c>
      <c r="I104" s="13">
        <f>+'[6]2025'!H104</f>
        <v>9104.09</v>
      </c>
      <c r="J104" s="14">
        <f>+'[6]2025'!I104</f>
        <v>429</v>
      </c>
      <c r="K104" s="15">
        <f>+'[6]2025'!J104</f>
        <v>93.03</v>
      </c>
      <c r="L104" s="15">
        <f>+'[6]2025'!K104</f>
        <v>102.07</v>
      </c>
      <c r="M104" s="15">
        <f>+'[6]2025'!L104</f>
        <v>87.22</v>
      </c>
      <c r="N104" s="16">
        <f t="shared" si="4"/>
        <v>9.5803095092425496E-3</v>
      </c>
      <c r="O104" s="17">
        <f t="shared" si="5"/>
        <v>0.31232017758814551</v>
      </c>
      <c r="P104" s="17">
        <f t="shared" si="5"/>
        <v>0.16576086956521738</v>
      </c>
      <c r="Q104" s="18">
        <f t="shared" si="6"/>
        <v>97.861872514242719</v>
      </c>
      <c r="R104" s="18">
        <f t="shared" si="7"/>
        <v>89.194572352307247</v>
      </c>
      <c r="S104" s="34"/>
      <c r="T104" s="29" t="s">
        <v>8</v>
      </c>
      <c r="U104" s="1738"/>
    </row>
    <row r="105" spans="1:21">
      <c r="A105" s="10" t="s">
        <v>14</v>
      </c>
      <c r="B105" s="19">
        <f>+CHAMNORD!B105</f>
        <v>46122</v>
      </c>
      <c r="C105" s="75">
        <f>IF(H105=0,"",'[6]2025-2026'!C104)</f>
        <v>6986.96</v>
      </c>
      <c r="D105" s="68">
        <f>+'[6]2025'!C105</f>
        <v>12388.39</v>
      </c>
      <c r="E105" s="68">
        <f>+'[6]2025'!D105</f>
        <v>12289.54</v>
      </c>
      <c r="F105" s="20">
        <f>+'[6]2025'!E105</f>
        <v>585</v>
      </c>
      <c r="G105" s="73">
        <f>+'[6]2025'!F105</f>
        <v>12800</v>
      </c>
      <c r="H105" s="42">
        <f>+'[6]2025'!G105</f>
        <v>10763</v>
      </c>
      <c r="I105" s="13">
        <f>+'[6]2025'!H105</f>
        <v>10614.88</v>
      </c>
      <c r="J105" s="14">
        <f>+'[6]2025'!I105</f>
        <v>505</v>
      </c>
      <c r="K105" s="15">
        <f>+'[6]2025'!J105</f>
        <v>106.22</v>
      </c>
      <c r="L105" s="15">
        <f>+'[6]2025'!K105</f>
        <v>121.5</v>
      </c>
      <c r="M105" s="15">
        <f>+'[6]2025'!L105</f>
        <v>54.67</v>
      </c>
      <c r="N105" s="16">
        <f t="shared" si="4"/>
        <v>5.1503172904451113E-3</v>
      </c>
      <c r="O105" s="17">
        <f t="shared" si="5"/>
        <v>-0.1362671019419768</v>
      </c>
      <c r="P105" s="17">
        <f t="shared" si="5"/>
        <v>-0.13675213675213677</v>
      </c>
      <c r="Q105" s="18">
        <f t="shared" si="6"/>
        <v>99.932969308981356</v>
      </c>
      <c r="R105" s="18">
        <f t="shared" si="7"/>
        <v>87.365267489711925</v>
      </c>
      <c r="S105" s="36" t="s">
        <v>40</v>
      </c>
      <c r="T105" s="48">
        <f>SUM(I101:I107)/SUM(L101:L107)</f>
        <v>89.625623036252833</v>
      </c>
      <c r="U105" s="1738"/>
    </row>
    <row r="106" spans="1:21">
      <c r="A106" s="10" t="s">
        <v>15</v>
      </c>
      <c r="B106" s="19">
        <f>+CHAMNORD!B106</f>
        <v>46123</v>
      </c>
      <c r="C106" s="75">
        <f>IF(H106=0,"",'[6]2025-2026'!C105)</f>
        <v>12388.39</v>
      </c>
      <c r="D106" s="68">
        <f>+'[6]2025'!C106</f>
        <v>13178.22</v>
      </c>
      <c r="E106" s="68">
        <f>+'[6]2025'!D106</f>
        <v>13043.6</v>
      </c>
      <c r="F106" s="20">
        <f>+'[6]2025'!E106</f>
        <v>557</v>
      </c>
      <c r="G106" s="73">
        <f>+'[6]2025'!F106</f>
        <v>12900</v>
      </c>
      <c r="H106" s="42">
        <f>+'[6]2025'!G106</f>
        <v>11032.93</v>
      </c>
      <c r="I106" s="13">
        <f>+'[6]2025'!H106</f>
        <v>10826.84</v>
      </c>
      <c r="J106" s="14">
        <f>+'[6]2025'!I106</f>
        <v>482</v>
      </c>
      <c r="K106" s="15">
        <f>+'[6]2025'!J106</f>
        <v>101.07</v>
      </c>
      <c r="L106" s="15">
        <f>+'[6]2025'!K106</f>
        <v>120.1</v>
      </c>
      <c r="M106" s="15">
        <f>+'[6]2025'!L106</f>
        <v>39.159999999999997</v>
      </c>
      <c r="N106" s="16">
        <f t="shared" si="4"/>
        <v>3.6169371672621002E-3</v>
      </c>
      <c r="O106" s="17">
        <f t="shared" si="5"/>
        <v>-0.16995001379987121</v>
      </c>
      <c r="P106" s="17">
        <f t="shared" si="5"/>
        <v>-0.13464991023339318</v>
      </c>
      <c r="Q106" s="18">
        <f t="shared" si="6"/>
        <v>107.1221925398239</v>
      </c>
      <c r="R106" s="18">
        <f t="shared" si="7"/>
        <v>90.148542880932567</v>
      </c>
      <c r="S106" s="36">
        <f>SUM(J101:J107)</f>
        <v>3211</v>
      </c>
      <c r="T106" s="30" t="s">
        <v>3</v>
      </c>
      <c r="U106" s="1738"/>
    </row>
    <row r="107" spans="1:21" ht="18" thickBot="1">
      <c r="A107" s="10" t="s">
        <v>16</v>
      </c>
      <c r="B107" s="19">
        <f>+CHAMNORD!B107</f>
        <v>46124</v>
      </c>
      <c r="C107" s="75">
        <f>IF(H107=0,"",'[6]2025-2026'!C106)</f>
        <v>13178.22</v>
      </c>
      <c r="D107" s="68">
        <f>+'[6]2025'!C107</f>
        <v>12656.28</v>
      </c>
      <c r="E107" s="68">
        <f>+'[6]2025'!D107</f>
        <v>12564.72</v>
      </c>
      <c r="F107" s="20">
        <f>+'[6]2025'!E107</f>
        <v>547</v>
      </c>
      <c r="G107" s="73">
        <f>+'[6]2025'!F107</f>
        <v>12700</v>
      </c>
      <c r="H107" s="42">
        <f>+'[6]2025'!G107</f>
        <v>13527.42</v>
      </c>
      <c r="I107" s="13">
        <f>+'[6]2025'!H107</f>
        <v>13336.46</v>
      </c>
      <c r="J107" s="14">
        <f>+'[6]2025'!I107</f>
        <v>546</v>
      </c>
      <c r="K107" s="15">
        <f>+'[6]2025'!J107</f>
        <v>116.2</v>
      </c>
      <c r="L107" s="15">
        <f>+'[6]2025'!K107</f>
        <v>133.09</v>
      </c>
      <c r="M107" s="15">
        <f>+'[6]2025'!L107</f>
        <v>73.64</v>
      </c>
      <c r="N107" s="16">
        <f t="shared" si="4"/>
        <v>5.5217051601399473E-3</v>
      </c>
      <c r="O107" s="17">
        <f t="shared" si="5"/>
        <v>6.142118566907976E-2</v>
      </c>
      <c r="P107" s="17">
        <f t="shared" si="5"/>
        <v>-1.8281535648994515E-3</v>
      </c>
      <c r="Q107" s="18">
        <f t="shared" si="6"/>
        <v>114.77160068846815</v>
      </c>
      <c r="R107" s="18">
        <f t="shared" si="7"/>
        <v>100.20632654594634</v>
      </c>
      <c r="S107" s="37">
        <f>(S106-SUM(F101:F107))/SUM(F101:F107)</f>
        <v>-5.2664188351920693E-3</v>
      </c>
      <c r="T107" s="47">
        <f>SUM(M101:M107)/SUM(I101:I107)</f>
        <v>4.7129692607403252E-3</v>
      </c>
      <c r="U107" s="1739"/>
    </row>
    <row r="108" spans="1:21" ht="17" customHeight="1" thickTop="1">
      <c r="A108" s="10" t="s">
        <v>9</v>
      </c>
      <c r="B108" s="19">
        <f>+CHAMNORD!B108</f>
        <v>46125</v>
      </c>
      <c r="C108" s="75">
        <f>IF(H108=0,"",'[6]2025-2026'!C107)</f>
        <v>12656.28</v>
      </c>
      <c r="D108" s="68">
        <f>+'[6]2025'!C108</f>
        <v>5073.41</v>
      </c>
      <c r="E108" s="68">
        <f>+'[6]2025'!D108</f>
        <v>5032.45</v>
      </c>
      <c r="F108" s="20">
        <f>+'[6]2025'!E108</f>
        <v>284</v>
      </c>
      <c r="G108" s="73">
        <f>+'[6]2025'!F108</f>
        <v>6500</v>
      </c>
      <c r="H108" s="42">
        <f>+'[6]2025'!G108</f>
        <v>6505.09</v>
      </c>
      <c r="I108" s="13">
        <f>+'[6]2025'!H108</f>
        <v>6404.13</v>
      </c>
      <c r="J108" s="14">
        <f>+'[6]2025'!I108</f>
        <v>310</v>
      </c>
      <c r="K108" s="15">
        <f>+'[6]2025'!J108</f>
        <v>97.85</v>
      </c>
      <c r="L108" s="15">
        <f>+'[6]2025'!K108</f>
        <v>113.5</v>
      </c>
      <c r="M108" s="15">
        <f>+'[6]2025'!L108</f>
        <v>37.630000000000003</v>
      </c>
      <c r="N108" s="16">
        <f t="shared" si="4"/>
        <v>5.8758957110489644E-3</v>
      </c>
      <c r="O108" s="17">
        <f t="shared" si="5"/>
        <v>0.2725670399109778</v>
      </c>
      <c r="P108" s="17">
        <f t="shared" si="5"/>
        <v>9.154929577464789E-2</v>
      </c>
      <c r="Q108" s="18">
        <f t="shared" si="6"/>
        <v>65.448441492079724</v>
      </c>
      <c r="R108" s="18">
        <f t="shared" si="7"/>
        <v>56.424052863436124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19">
        <f>+CHAMNORD!B109</f>
        <v>46126</v>
      </c>
      <c r="C109" s="75">
        <f>IF(H109=0,"",'[6]2025-2026'!C108)</f>
        <v>5073.41</v>
      </c>
      <c r="D109" s="68">
        <f>+'[6]2025'!C109</f>
        <v>7756.63</v>
      </c>
      <c r="E109" s="68">
        <f>+'[6]2025'!D109</f>
        <v>7705.25</v>
      </c>
      <c r="F109" s="20">
        <f>+'[6]2025'!E109</f>
        <v>383</v>
      </c>
      <c r="G109" s="73">
        <f>+'[6]2025'!F109</f>
        <v>8000</v>
      </c>
      <c r="H109" s="42">
        <f>+'[6]2025'!G109</f>
        <v>7210.41</v>
      </c>
      <c r="I109" s="13">
        <f>+'[6]2025'!H109</f>
        <v>7076.13</v>
      </c>
      <c r="J109" s="14">
        <f>+'[6]2025'!I109</f>
        <v>325</v>
      </c>
      <c r="K109" s="15">
        <f>+'[6]2025'!J109</f>
        <v>78.05</v>
      </c>
      <c r="L109" s="15">
        <f>+'[6]2025'!K109</f>
        <v>86.35</v>
      </c>
      <c r="M109" s="15">
        <f>+'[6]2025'!L109</f>
        <v>33.04</v>
      </c>
      <c r="N109" s="16">
        <f t="shared" si="4"/>
        <v>4.6692189092060205E-3</v>
      </c>
      <c r="O109" s="17">
        <f t="shared" si="5"/>
        <v>-8.1648226858310871E-2</v>
      </c>
      <c r="P109" s="17">
        <f t="shared" si="5"/>
        <v>-0.1514360313315927</v>
      </c>
      <c r="Q109" s="18">
        <f t="shared" si="6"/>
        <v>90.661499039077526</v>
      </c>
      <c r="R109" s="18">
        <f t="shared" si="7"/>
        <v>81.947075854082229</v>
      </c>
      <c r="S109" s="34">
        <f>SUM(I108:I114)</f>
        <v>64894.19</v>
      </c>
      <c r="T109" s="45" t="s">
        <v>41</v>
      </c>
      <c r="U109" s="1738"/>
    </row>
    <row r="110" spans="1:21">
      <c r="A110" s="10" t="s">
        <v>12</v>
      </c>
      <c r="B110" s="19">
        <f>+CHAMNORD!B110</f>
        <v>46127</v>
      </c>
      <c r="C110" s="75">
        <f>IF(H110=0,"",'[6]2025-2026'!C109)</f>
        <v>7756.63</v>
      </c>
      <c r="D110" s="68">
        <f>+'[6]2025'!C110</f>
        <v>8444.07</v>
      </c>
      <c r="E110" s="68">
        <f>+'[6]2025'!D110</f>
        <v>8364.7000000000007</v>
      </c>
      <c r="F110" s="20">
        <f>+'[6]2025'!E110</f>
        <v>412</v>
      </c>
      <c r="G110" s="73">
        <f>+'[6]2025'!F110</f>
        <v>8400</v>
      </c>
      <c r="H110" s="42">
        <f>+'[6]2025'!G110</f>
        <v>8630.9500000000007</v>
      </c>
      <c r="I110" s="13">
        <f>+'[6]2025'!H110</f>
        <v>8470.14</v>
      </c>
      <c r="J110" s="14">
        <f>+'[6]2025'!I110</f>
        <v>409</v>
      </c>
      <c r="K110" s="15">
        <f>+'[6]2025'!J110</f>
        <v>87.31</v>
      </c>
      <c r="L110" s="15">
        <f>+'[6]2025'!K110</f>
        <v>95.33</v>
      </c>
      <c r="M110" s="15">
        <f>+'[6]2025'!L110</f>
        <v>35.909999999999997</v>
      </c>
      <c r="N110" s="16">
        <f t="shared" si="4"/>
        <v>4.2395993454653639E-3</v>
      </c>
      <c r="O110" s="17">
        <f t="shared" si="5"/>
        <v>1.2605353449615489E-2</v>
      </c>
      <c r="P110" s="17">
        <f t="shared" si="5"/>
        <v>-7.2815533980582527E-3</v>
      </c>
      <c r="Q110" s="18">
        <f t="shared" si="6"/>
        <v>97.012255182682381</v>
      </c>
      <c r="R110" s="18">
        <f t="shared" si="7"/>
        <v>88.85072904647015</v>
      </c>
      <c r="S110" s="35">
        <f>(S109-SUM(E108:E114))/SUM(E108:E114)</f>
        <v>2.0143587454097278E-2</v>
      </c>
      <c r="T110" s="48">
        <f>SUM(I108:I114)/SUM(K108:K114)</f>
        <v>101.72459792456971</v>
      </c>
      <c r="U110" s="1738"/>
    </row>
    <row r="111" spans="1:21">
      <c r="A111" s="10" t="s">
        <v>13</v>
      </c>
      <c r="B111" s="19">
        <f>+CHAMNORD!B111</f>
        <v>46128</v>
      </c>
      <c r="C111" s="75">
        <f>IF(H111=0,"",'[6]2025-2026'!C110)</f>
        <v>8444.07</v>
      </c>
      <c r="D111" s="68">
        <f>+'[6]2025'!C111</f>
        <v>7089.19</v>
      </c>
      <c r="E111" s="68">
        <f>+'[6]2025'!D111</f>
        <v>7042.98</v>
      </c>
      <c r="F111" s="20">
        <f>+'[6]2025'!E111</f>
        <v>368</v>
      </c>
      <c r="G111" s="73">
        <f>+'[6]2025'!F111</f>
        <v>7700</v>
      </c>
      <c r="H111" s="42">
        <f>+'[6]2025'!G111</f>
        <v>9280.77</v>
      </c>
      <c r="I111" s="13">
        <f>+'[6]2025'!H111</f>
        <v>9107.57</v>
      </c>
      <c r="J111" s="14">
        <f>+'[6]2025'!I111</f>
        <v>383</v>
      </c>
      <c r="K111" s="15">
        <f>+'[6]2025'!J111</f>
        <v>74.81</v>
      </c>
      <c r="L111" s="15">
        <f>+'[6]2025'!K111</f>
        <v>91.18</v>
      </c>
      <c r="M111" s="15">
        <f>+'[6]2025'!L111</f>
        <v>50.02</v>
      </c>
      <c r="N111" s="16">
        <f t="shared" si="4"/>
        <v>5.4921345649827568E-3</v>
      </c>
      <c r="O111" s="17">
        <f t="shared" si="5"/>
        <v>0.2931415395187833</v>
      </c>
      <c r="P111" s="17">
        <f t="shared" si="5"/>
        <v>4.0760869565217392E-2</v>
      </c>
      <c r="Q111" s="18">
        <f t="shared" si="6"/>
        <v>121.74268145969789</v>
      </c>
      <c r="R111" s="18">
        <f t="shared" si="7"/>
        <v>99.885610879578849</v>
      </c>
      <c r="S111" s="34"/>
      <c r="T111" s="29" t="s">
        <v>8</v>
      </c>
      <c r="U111" s="1738"/>
    </row>
    <row r="112" spans="1:21">
      <c r="A112" s="10" t="s">
        <v>14</v>
      </c>
      <c r="B112" s="19">
        <f>+CHAMNORD!B112</f>
        <v>46129</v>
      </c>
      <c r="C112" s="75">
        <f>IF(H112=0,"",'[6]2025-2026'!C111)</f>
        <v>7089.19</v>
      </c>
      <c r="D112" s="68">
        <f>+'[6]2025'!C112</f>
        <v>12859.54</v>
      </c>
      <c r="E112" s="68">
        <f>+'[6]2025'!D112</f>
        <v>12754.14</v>
      </c>
      <c r="F112" s="20">
        <f>+'[6]2025'!E112</f>
        <v>636</v>
      </c>
      <c r="G112" s="73">
        <f>+'[6]2025'!F112</f>
        <v>12900</v>
      </c>
      <c r="H112" s="42">
        <f>+'[6]2025'!G112</f>
        <v>10977.28</v>
      </c>
      <c r="I112" s="13">
        <f>+'[6]2025'!H112</f>
        <v>10799.75</v>
      </c>
      <c r="J112" s="14">
        <f>+'[6]2025'!I112</f>
        <v>481</v>
      </c>
      <c r="K112" s="15">
        <f>+'[6]2025'!J112</f>
        <v>97.42</v>
      </c>
      <c r="L112" s="15">
        <f>+'[6]2025'!K112</f>
        <v>114.11</v>
      </c>
      <c r="M112" s="15">
        <f>+'[6]2025'!L112</f>
        <v>30.75</v>
      </c>
      <c r="N112" s="16">
        <f t="shared" si="4"/>
        <v>2.8472881316697145E-3</v>
      </c>
      <c r="O112" s="17">
        <f t="shared" si="5"/>
        <v>-0.15323573365197493</v>
      </c>
      <c r="P112" s="17">
        <f t="shared" si="5"/>
        <v>-0.24371069182389937</v>
      </c>
      <c r="Q112" s="18">
        <f t="shared" si="6"/>
        <v>110.85762677068364</v>
      </c>
      <c r="R112" s="18">
        <f t="shared" si="7"/>
        <v>94.643326614670059</v>
      </c>
      <c r="S112" s="36" t="s">
        <v>40</v>
      </c>
      <c r="T112" s="48">
        <f>SUM(I108:I114)/SUM(L108:L114)</f>
        <v>87.927741043845856</v>
      </c>
      <c r="U112" s="1738"/>
    </row>
    <row r="113" spans="1:21">
      <c r="A113" s="10" t="s">
        <v>15</v>
      </c>
      <c r="B113" s="19">
        <f>+CHAMNORD!B113</f>
        <v>46130</v>
      </c>
      <c r="C113" s="75">
        <f>IF(H113=0,"",'[6]2025-2026'!C112)</f>
        <v>12859.54</v>
      </c>
      <c r="D113" s="68">
        <f>+'[6]2025'!C113</f>
        <v>12893.46</v>
      </c>
      <c r="E113" s="68">
        <f>+'[6]2025'!D113</f>
        <v>12771.11</v>
      </c>
      <c r="F113" s="20">
        <f>+'[6]2025'!E113</f>
        <v>618</v>
      </c>
      <c r="G113" s="73">
        <f>+'[6]2025'!F113</f>
        <v>12900</v>
      </c>
      <c r="H113" s="42">
        <f>+'[6]2025'!G113</f>
        <v>11122.52</v>
      </c>
      <c r="I113" s="13">
        <f>+'[6]2025'!H113</f>
        <v>10937.7</v>
      </c>
      <c r="J113" s="14">
        <f>+'[6]2025'!I113</f>
        <v>485</v>
      </c>
      <c r="K113" s="15">
        <f>+'[6]2025'!J113</f>
        <v>100.56</v>
      </c>
      <c r="L113" s="15">
        <f>+'[6]2025'!K113</f>
        <v>118.37</v>
      </c>
      <c r="M113" s="15">
        <f>+'[6]2025'!L113</f>
        <v>12.25</v>
      </c>
      <c r="N113" s="16">
        <f t="shared" si="4"/>
        <v>1.1199795203744845E-3</v>
      </c>
      <c r="O113" s="17">
        <f t="shared" si="5"/>
        <v>-0.14355917379147151</v>
      </c>
      <c r="P113" s="17">
        <f t="shared" si="5"/>
        <v>-0.21521035598705501</v>
      </c>
      <c r="Q113" s="18">
        <f t="shared" si="6"/>
        <v>108.76789976133652</v>
      </c>
      <c r="R113" s="18">
        <f t="shared" si="7"/>
        <v>92.402635802990631</v>
      </c>
      <c r="S113" s="36">
        <f>SUM(J108:J114)</f>
        <v>2932</v>
      </c>
      <c r="T113" s="30" t="s">
        <v>3</v>
      </c>
      <c r="U113" s="1738"/>
    </row>
    <row r="114" spans="1:21" ht="18" thickBot="1">
      <c r="A114" s="10" t="s">
        <v>16</v>
      </c>
      <c r="B114" s="19">
        <f>+CHAMNORD!B114</f>
        <v>46131</v>
      </c>
      <c r="C114" s="75">
        <f>IF(H114=0,"",'[6]2025-2026'!C113)</f>
        <v>12893.46</v>
      </c>
      <c r="D114" s="68">
        <f>+'[6]2025'!C114</f>
        <v>10031.94</v>
      </c>
      <c r="E114" s="68">
        <f>+'[6]2025'!D114</f>
        <v>9942.17</v>
      </c>
      <c r="F114" s="20">
        <f>+'[6]2025'!E114</f>
        <v>469</v>
      </c>
      <c r="G114" s="73">
        <f>+'[6]2025'!F114</f>
        <v>13400</v>
      </c>
      <c r="H114" s="42">
        <f>+'[6]2025'!G114</f>
        <v>12284.82</v>
      </c>
      <c r="I114" s="13">
        <f>+'[6]2025'!H114</f>
        <v>12098.77</v>
      </c>
      <c r="J114" s="14">
        <f>+'[6]2025'!I114</f>
        <v>539</v>
      </c>
      <c r="K114" s="15">
        <f>+'[6]2025'!J114</f>
        <v>101.94</v>
      </c>
      <c r="L114" s="15">
        <f>+'[6]2025'!K114</f>
        <v>119.2</v>
      </c>
      <c r="M114" s="15">
        <f>+'[6]2025'!L114</f>
        <v>25.41</v>
      </c>
      <c r="N114" s="16">
        <f t="shared" si="4"/>
        <v>2.1002134927765384E-3</v>
      </c>
      <c r="O114" s="17">
        <f t="shared" si="5"/>
        <v>0.21691441606812198</v>
      </c>
      <c r="P114" s="17">
        <f t="shared" si="5"/>
        <v>0.14925373134328357</v>
      </c>
      <c r="Q114" s="18">
        <f t="shared" si="6"/>
        <v>118.6852069845007</v>
      </c>
      <c r="R114" s="18">
        <f t="shared" si="7"/>
        <v>101.49974832214765</v>
      </c>
      <c r="S114" s="37">
        <f>(S113-SUM(F108:F114))/SUM(F108:F114)</f>
        <v>-7.5078864353312305E-2</v>
      </c>
      <c r="T114" s="47">
        <f>SUM(M108:M114)/SUM(I108:I114)</f>
        <v>3.4673365982378387E-3</v>
      </c>
      <c r="U114" s="1739"/>
    </row>
    <row r="115" spans="1:21" ht="17" customHeight="1" thickTop="1">
      <c r="A115" s="10" t="s">
        <v>9</v>
      </c>
      <c r="B115" s="19">
        <f>+CHAMNORD!B115</f>
        <v>46132</v>
      </c>
      <c r="C115" s="75">
        <f>IF(H115=0,"",'[6]2025-2026'!C114)</f>
        <v>10031.94</v>
      </c>
      <c r="D115" s="68">
        <f>+'[6]2025'!C115</f>
        <v>11468.23</v>
      </c>
      <c r="E115" s="68">
        <f>+'[6]2025'!D115</f>
        <v>11368</v>
      </c>
      <c r="F115" s="20">
        <f>+'[6]2025'!E115</f>
        <v>548</v>
      </c>
      <c r="G115" s="73">
        <f>+'[6]2025'!F115</f>
        <v>5700</v>
      </c>
      <c r="H115" s="42">
        <f>+'[6]2025'!G115</f>
        <v>5189.68</v>
      </c>
      <c r="I115" s="13">
        <f>+'[6]2025'!H115</f>
        <v>5130.95</v>
      </c>
      <c r="J115" s="14">
        <f>+'[6]2025'!I115</f>
        <v>275</v>
      </c>
      <c r="K115" s="15">
        <f>+'[6]2025'!J115</f>
        <v>67.900000000000006</v>
      </c>
      <c r="L115" s="15">
        <f>+'[6]2025'!K115</f>
        <v>82.9</v>
      </c>
      <c r="M115" s="15">
        <f>+'[6]2025'!L115</f>
        <v>13.01</v>
      </c>
      <c r="N115" s="16">
        <f t="shared" si="4"/>
        <v>2.5355928239409855E-3</v>
      </c>
      <c r="O115" s="17">
        <f t="shared" si="5"/>
        <v>-0.54864971850809285</v>
      </c>
      <c r="P115" s="17">
        <f t="shared" si="5"/>
        <v>-0.4981751824817518</v>
      </c>
      <c r="Q115" s="18">
        <f t="shared" si="6"/>
        <v>75.56627393225331</v>
      </c>
      <c r="R115" s="18">
        <f t="shared" si="7"/>
        <v>61.893244873341366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19">
        <f>+CHAMNORD!B116</f>
        <v>46133</v>
      </c>
      <c r="C116" s="75">
        <f>IF(H116=0,"",'[6]2025-2026'!C115)</f>
        <v>11468.23</v>
      </c>
      <c r="D116" s="68">
        <f>+'[6]2025'!C116</f>
        <v>8457.27</v>
      </c>
      <c r="E116" s="68">
        <f>+'[6]2025'!D116</f>
        <v>8367.52</v>
      </c>
      <c r="F116" s="20">
        <f>+'[6]2025'!E116</f>
        <v>414</v>
      </c>
      <c r="G116" s="73">
        <f>+'[6]2025'!F116</f>
        <v>6500</v>
      </c>
      <c r="H116" s="42">
        <f>+'[6]2025'!G116</f>
        <v>6655.88</v>
      </c>
      <c r="I116" s="13">
        <f>+'[6]2025'!H116</f>
        <v>6579.27</v>
      </c>
      <c r="J116" s="14">
        <f>+'[6]2025'!I116</f>
        <v>302</v>
      </c>
      <c r="K116" s="15">
        <f>+'[6]2025'!J116</f>
        <v>64.97</v>
      </c>
      <c r="L116" s="15">
        <f>+'[6]2025'!K116</f>
        <v>81.53</v>
      </c>
      <c r="M116" s="15">
        <f>+'[6]2025'!L116</f>
        <v>20.53</v>
      </c>
      <c r="N116" s="16">
        <f t="shared" si="4"/>
        <v>3.1204069752419341E-3</v>
      </c>
      <c r="O116" s="17">
        <f t="shared" si="5"/>
        <v>-0.21371326271105415</v>
      </c>
      <c r="P116" s="17">
        <f t="shared" si="5"/>
        <v>-0.27053140096618356</v>
      </c>
      <c r="Q116" s="18">
        <f t="shared" si="6"/>
        <v>101.26627674311221</v>
      </c>
      <c r="R116" s="18">
        <f t="shared" si="7"/>
        <v>80.69753464982216</v>
      </c>
      <c r="S116" s="34">
        <f>SUM(I115:I121)</f>
        <v>61560.83</v>
      </c>
      <c r="T116" s="45" t="s">
        <v>41</v>
      </c>
      <c r="U116" s="1738"/>
    </row>
    <row r="117" spans="1:21">
      <c r="A117" s="10" t="s">
        <v>12</v>
      </c>
      <c r="B117" s="19">
        <f>+CHAMNORD!B117</f>
        <v>46134</v>
      </c>
      <c r="C117" s="75">
        <f>IF(H117=0,"",'[6]2025-2026'!C116)</f>
        <v>8457.27</v>
      </c>
      <c r="D117" s="68">
        <f>+'[6]2025'!C117</f>
        <v>7408.82</v>
      </c>
      <c r="E117" s="68">
        <f>+'[6]2025'!D117</f>
        <v>7326.9</v>
      </c>
      <c r="F117" s="20">
        <f>+'[6]2025'!E117</f>
        <v>370</v>
      </c>
      <c r="G117" s="73">
        <f>+'[6]2025'!F117</f>
        <v>7600</v>
      </c>
      <c r="H117" s="42">
        <f>+'[6]2025'!G117</f>
        <v>7988.5</v>
      </c>
      <c r="I117" s="13">
        <f>+'[6]2025'!H117</f>
        <v>7849.96</v>
      </c>
      <c r="J117" s="14">
        <f>+'[6]2025'!I117</f>
        <v>394</v>
      </c>
      <c r="K117" s="15">
        <f>+'[6]2025'!J117</f>
        <v>76.33</v>
      </c>
      <c r="L117" s="15">
        <f>+'[6]2025'!K117</f>
        <v>99.45</v>
      </c>
      <c r="M117" s="15">
        <f>+'[6]2025'!L117</f>
        <v>42.99</v>
      </c>
      <c r="N117" s="16">
        <f t="shared" si="4"/>
        <v>5.4764610265530022E-3</v>
      </c>
      <c r="O117" s="17">
        <f t="shared" si="5"/>
        <v>7.1388991251416067E-2</v>
      </c>
      <c r="P117" s="17">
        <f t="shared" si="5"/>
        <v>6.4864864864864868E-2</v>
      </c>
      <c r="Q117" s="18">
        <f t="shared" si="6"/>
        <v>102.84239486440457</v>
      </c>
      <c r="R117" s="18">
        <f t="shared" si="7"/>
        <v>78.933735545500255</v>
      </c>
      <c r="S117" s="35">
        <f>(S116-SUM(E115:E121))/SUM(E115:E121)</f>
        <v>-0.12528528018201085</v>
      </c>
      <c r="T117" s="48">
        <f>SUM(I115:I121)/SUM(K115:K121)</f>
        <v>104.66502881819883</v>
      </c>
      <c r="U117" s="1738"/>
    </row>
    <row r="118" spans="1:21">
      <c r="A118" s="10" t="s">
        <v>13</v>
      </c>
      <c r="B118" s="19">
        <f>+CHAMNORD!B118</f>
        <v>46135</v>
      </c>
      <c r="C118" s="75">
        <f>IF(H118=0,"",'[6]2025-2026'!C117)</f>
        <v>7408.82</v>
      </c>
      <c r="D118" s="68">
        <f>+'[6]2025'!C118</f>
        <v>8686.59</v>
      </c>
      <c r="E118" s="68">
        <f>+'[6]2025'!D118</f>
        <v>8601.31</v>
      </c>
      <c r="F118" s="20">
        <f>+'[6]2025'!E118</f>
        <v>441</v>
      </c>
      <c r="G118" s="73">
        <f>+'[6]2025'!F118</f>
        <v>7200</v>
      </c>
      <c r="H118" s="42">
        <f>+'[6]2025'!G118</f>
        <v>6967.29</v>
      </c>
      <c r="I118" s="13">
        <f>+'[6]2025'!H118</f>
        <v>6857.85</v>
      </c>
      <c r="J118" s="14">
        <f>+'[6]2025'!I118</f>
        <v>333</v>
      </c>
      <c r="K118" s="15">
        <f>+'[6]2025'!J118</f>
        <v>69.39</v>
      </c>
      <c r="L118" s="15">
        <f>+'[6]2025'!K118</f>
        <v>76.5</v>
      </c>
      <c r="M118" s="15">
        <f>+'[6]2025'!L118</f>
        <v>124.48</v>
      </c>
      <c r="N118" s="16">
        <f t="shared" si="4"/>
        <v>1.815146146386987E-2</v>
      </c>
      <c r="O118" s="17">
        <f t="shared" si="5"/>
        <v>-0.20269703103364478</v>
      </c>
      <c r="P118" s="17">
        <f t="shared" si="5"/>
        <v>-0.24489795918367346</v>
      </c>
      <c r="Q118" s="18">
        <f t="shared" si="6"/>
        <v>98.830523130134026</v>
      </c>
      <c r="R118" s="18">
        <f t="shared" si="7"/>
        <v>89.645098039215696</v>
      </c>
      <c r="S118" s="34"/>
      <c r="T118" s="29" t="s">
        <v>8</v>
      </c>
      <c r="U118" s="1738"/>
    </row>
    <row r="119" spans="1:21">
      <c r="A119" s="10" t="s">
        <v>14</v>
      </c>
      <c r="B119" s="19">
        <f>+CHAMNORD!B119</f>
        <v>46136</v>
      </c>
      <c r="C119" s="75">
        <f>IF(H119=0,"",'[6]2025-2026'!C118)</f>
        <v>8686.59</v>
      </c>
      <c r="D119" s="68">
        <f>+'[6]2025'!C119</f>
        <v>11057.23</v>
      </c>
      <c r="E119" s="68">
        <f>+'[6]2025'!D119</f>
        <v>10932.41</v>
      </c>
      <c r="F119" s="20">
        <f>+'[6]2025'!E119</f>
        <v>561</v>
      </c>
      <c r="G119" s="73">
        <f>+'[6]2025'!F119</f>
        <v>11800</v>
      </c>
      <c r="H119" s="42">
        <f>+'[6]2025'!G119</f>
        <v>11540.16</v>
      </c>
      <c r="I119" s="13">
        <f>+'[6]2025'!H119</f>
        <v>11391.1</v>
      </c>
      <c r="J119" s="14">
        <f>+'[6]2025'!I119</f>
        <v>514</v>
      </c>
      <c r="K119" s="15">
        <f>+'[6]2025'!J119</f>
        <v>110.64</v>
      </c>
      <c r="L119" s="15">
        <f>+'[6]2025'!K119</f>
        <v>127.5</v>
      </c>
      <c r="M119" s="15">
        <f>+'[6]2025'!L119</f>
        <v>34.18</v>
      </c>
      <c r="N119" s="16">
        <f t="shared" si="4"/>
        <v>3.0005881784902246E-3</v>
      </c>
      <c r="O119" s="17">
        <f t="shared" si="5"/>
        <v>4.1956896969652664E-2</v>
      </c>
      <c r="P119" s="17">
        <f t="shared" si="5"/>
        <v>-8.3778966131907315E-2</v>
      </c>
      <c r="Q119" s="18">
        <f t="shared" si="6"/>
        <v>102.95643528561099</v>
      </c>
      <c r="R119" s="18">
        <f t="shared" si="7"/>
        <v>89.341960784313727</v>
      </c>
      <c r="S119" s="36" t="s">
        <v>40</v>
      </c>
      <c r="T119" s="48">
        <f>SUM(I115:I121)/SUM(L115:L121)</f>
        <v>87.896327707815757</v>
      </c>
      <c r="U119" s="1738"/>
    </row>
    <row r="120" spans="1:21">
      <c r="A120" s="10" t="s">
        <v>15</v>
      </c>
      <c r="B120" s="19">
        <f>+CHAMNORD!B120</f>
        <v>46137</v>
      </c>
      <c r="C120" s="75">
        <f>IF(H120=0,"",'[6]2025-2026'!C119)</f>
        <v>11057.23</v>
      </c>
      <c r="D120" s="68">
        <f>+'[6]2025'!C120</f>
        <v>11037.15</v>
      </c>
      <c r="E120" s="68">
        <f>+'[6]2025'!D120</f>
        <v>10923.4</v>
      </c>
      <c r="F120" s="20">
        <f>+'[6]2025'!E120</f>
        <v>495</v>
      </c>
      <c r="G120" s="73">
        <f>+'[6]2025'!F120</f>
        <v>11400</v>
      </c>
      <c r="H120" s="42">
        <f>+'[6]2025'!G120</f>
        <v>11075.29</v>
      </c>
      <c r="I120" s="13">
        <f>+'[6]2025'!H120</f>
        <v>10907.4</v>
      </c>
      <c r="J120" s="14">
        <f>+'[6]2025'!I120</f>
        <v>509</v>
      </c>
      <c r="K120" s="15">
        <f>+'[6]2025'!J120</f>
        <v>100.44</v>
      </c>
      <c r="L120" s="15">
        <f>+'[6]2025'!K120</f>
        <v>118</v>
      </c>
      <c r="M120" s="15">
        <f>+'[6]2025'!L120</f>
        <v>18.8</v>
      </c>
      <c r="N120" s="16">
        <f t="shared" si="4"/>
        <v>1.7236004914095019E-3</v>
      </c>
      <c r="O120" s="17">
        <f t="shared" si="5"/>
        <v>-1.4647454089386088E-3</v>
      </c>
      <c r="P120" s="17">
        <f t="shared" si="5"/>
        <v>2.8282828282828285E-2</v>
      </c>
      <c r="Q120" s="18">
        <f t="shared" si="6"/>
        <v>108.59617682198328</v>
      </c>
      <c r="R120" s="18">
        <f t="shared" si="7"/>
        <v>92.435593220338987</v>
      </c>
      <c r="S120" s="36">
        <f>SUM(J115:J121)</f>
        <v>2865</v>
      </c>
      <c r="T120" s="30" t="s">
        <v>3</v>
      </c>
      <c r="U120" s="1738"/>
    </row>
    <row r="121" spans="1:21" ht="18" thickBot="1">
      <c r="A121" s="10" t="s">
        <v>16</v>
      </c>
      <c r="B121" s="19">
        <f>+CHAMNORD!B121</f>
        <v>46138</v>
      </c>
      <c r="C121" s="75">
        <f>IF(H121=0,"",'[6]2025-2026'!C120)</f>
        <v>11037.15</v>
      </c>
      <c r="D121" s="68">
        <f>+'[6]2025'!C121</f>
        <v>12952.33</v>
      </c>
      <c r="E121" s="68">
        <f>+'[6]2025'!D121</f>
        <v>12858.64</v>
      </c>
      <c r="F121" s="20">
        <f>+'[6]2025'!E121</f>
        <v>536</v>
      </c>
      <c r="G121" s="73">
        <f>+'[6]2025'!F121</f>
        <v>13000</v>
      </c>
      <c r="H121" s="42">
        <f>+'[6]2025'!G121</f>
        <v>13009.86</v>
      </c>
      <c r="I121" s="13">
        <f>+'[6]2025'!H121</f>
        <v>12844.3</v>
      </c>
      <c r="J121" s="14">
        <f>+'[6]2025'!I121</f>
        <v>538</v>
      </c>
      <c r="K121" s="15">
        <f>+'[6]2025'!J121</f>
        <v>98.5</v>
      </c>
      <c r="L121" s="15">
        <f>+'[6]2025'!K121</f>
        <v>114.5</v>
      </c>
      <c r="M121" s="15">
        <f>+'[6]2025'!L121</f>
        <v>32.4</v>
      </c>
      <c r="N121" s="16">
        <f t="shared" si="4"/>
        <v>2.5225197169172317E-3</v>
      </c>
      <c r="O121" s="17">
        <f t="shared" si="5"/>
        <v>-1.1152034740843624E-3</v>
      </c>
      <c r="P121" s="17">
        <f t="shared" si="5"/>
        <v>3.7313432835820895E-3</v>
      </c>
      <c r="Q121" s="18">
        <f t="shared" si="6"/>
        <v>130.39898477157359</v>
      </c>
      <c r="R121" s="18">
        <f t="shared" si="7"/>
        <v>112.17729257641921</v>
      </c>
      <c r="S121" s="37">
        <f>(S120-SUM(F115:F121))/SUM(F115:F121)</f>
        <v>-0.14858841010401189</v>
      </c>
      <c r="T121" s="47">
        <f>SUM(M115:M121)/SUM(I115:I121)</f>
        <v>4.6521465028980273E-3</v>
      </c>
      <c r="U121" s="1739"/>
    </row>
    <row r="122" spans="1:21" ht="17" customHeight="1" thickTop="1">
      <c r="A122" s="10" t="s">
        <v>9</v>
      </c>
      <c r="B122" s="19">
        <f>+CHAMNORD!B122</f>
        <v>46139</v>
      </c>
      <c r="C122" s="75">
        <f>IF(H122=0,"",'[6]2025-2026'!C121)</f>
        <v>12952.33</v>
      </c>
      <c r="D122" s="68">
        <f>+'[6]2025'!C122</f>
        <v>7768.17</v>
      </c>
      <c r="E122" s="68">
        <f>+'[6]2025'!D122</f>
        <v>7704.39</v>
      </c>
      <c r="F122" s="20">
        <f>+'[6]2025'!E122</f>
        <v>387</v>
      </c>
      <c r="G122" s="73">
        <f>+'[6]2025'!F122</f>
        <v>5600</v>
      </c>
      <c r="H122" s="42">
        <f>+'[6]2025'!G122</f>
        <v>6216</v>
      </c>
      <c r="I122" s="13">
        <f>+'[6]2025'!H122</f>
        <v>6154.06</v>
      </c>
      <c r="J122" s="14">
        <f>+'[6]2025'!I122</f>
        <v>305</v>
      </c>
      <c r="K122" s="15">
        <f>+'[6]2025'!J122</f>
        <v>65.819999999999993</v>
      </c>
      <c r="L122" s="15">
        <f>+'[6]2025'!K122</f>
        <v>83.07</v>
      </c>
      <c r="M122" s="15">
        <f>+'[6]2025'!L122</f>
        <v>24.68</v>
      </c>
      <c r="N122" s="16">
        <f t="shared" si="4"/>
        <v>4.0103606399677612E-3</v>
      </c>
      <c r="O122" s="17">
        <f t="shared" si="5"/>
        <v>-0.20122683301338587</v>
      </c>
      <c r="P122" s="17">
        <f t="shared" si="5"/>
        <v>-0.21188630490956073</v>
      </c>
      <c r="Q122" s="18">
        <f t="shared" si="6"/>
        <v>93.498328775448215</v>
      </c>
      <c r="R122" s="18">
        <f t="shared" si="7"/>
        <v>74.082821716624551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19">
        <f>+CHAMNORD!B123</f>
        <v>46140</v>
      </c>
      <c r="C123" s="75">
        <f>IF(H123=0,"",'[6]2025-2026'!C122)</f>
        <v>7768.17</v>
      </c>
      <c r="D123" s="68">
        <f>+'[6]2025'!C123</f>
        <v>8993.4</v>
      </c>
      <c r="E123" s="68">
        <f>+'[6]2025'!D123</f>
        <v>8899.1</v>
      </c>
      <c r="F123" s="20">
        <f>+'[6]2025'!E123</f>
        <v>425</v>
      </c>
      <c r="G123" s="73">
        <f>+'[6]2025'!F123</f>
        <v>6600</v>
      </c>
      <c r="H123" s="42">
        <f>+'[6]2025'!G123</f>
        <v>5853.05</v>
      </c>
      <c r="I123" s="13">
        <f>+'[6]2025'!H123</f>
        <v>5779.01</v>
      </c>
      <c r="J123" s="14">
        <f>+'[6]2025'!I123</f>
        <v>279</v>
      </c>
      <c r="K123" s="15">
        <f>+'[6]2025'!J123</f>
        <v>59.92</v>
      </c>
      <c r="L123" s="15">
        <f>+'[6]2025'!K123</f>
        <v>75.290000000000006</v>
      </c>
      <c r="M123" s="15">
        <f>+'[6]2025'!L123</f>
        <v>23.13</v>
      </c>
      <c r="N123" s="16">
        <f t="shared" si="4"/>
        <v>4.0024156386647535E-3</v>
      </c>
      <c r="O123" s="17">
        <f t="shared" si="5"/>
        <v>-0.35060736478969784</v>
      </c>
      <c r="P123" s="17">
        <f t="shared" si="5"/>
        <v>-0.34352941176470586</v>
      </c>
      <c r="Q123" s="18">
        <f t="shared" si="6"/>
        <v>96.445427236315084</v>
      </c>
      <c r="R123" s="18">
        <f t="shared" si="7"/>
        <v>76.756674193119935</v>
      </c>
      <c r="S123" s="34">
        <f>SUM(I122:I128)</f>
        <v>69271.48</v>
      </c>
      <c r="T123" s="45" t="s">
        <v>41</v>
      </c>
      <c r="U123" s="1738"/>
    </row>
    <row r="124" spans="1:21">
      <c r="A124" s="10" t="s">
        <v>12</v>
      </c>
      <c r="B124" s="19">
        <f>+CHAMNORD!B124</f>
        <v>46141</v>
      </c>
      <c r="C124" s="75">
        <f>IF(H124=0,"",'[6]2025-2026'!C123)</f>
        <v>8993.4</v>
      </c>
      <c r="D124" s="68">
        <f>+'[6]2025'!C124</f>
        <v>9619.5400000000009</v>
      </c>
      <c r="E124" s="68">
        <f>+'[6]2025'!D124</f>
        <v>9514.74</v>
      </c>
      <c r="F124" s="20">
        <f>+'[6]2025'!E124</f>
        <v>467</v>
      </c>
      <c r="G124" s="73">
        <f>+'[6]2025'!F124</f>
        <v>7900</v>
      </c>
      <c r="H124" s="42">
        <f>+'[6]2025'!G124</f>
        <v>9766.17</v>
      </c>
      <c r="I124" s="13">
        <f>+'[6]2025'!H124</f>
        <v>9613.7999999999993</v>
      </c>
      <c r="J124" s="14">
        <f>+'[6]2025'!I124</f>
        <v>432</v>
      </c>
      <c r="K124" s="15">
        <f>+'[6]2025'!J124</f>
        <v>86.11</v>
      </c>
      <c r="L124" s="15">
        <f>+'[6]2025'!K124</f>
        <v>94.25</v>
      </c>
      <c r="M124" s="15">
        <f>+'[6]2025'!L124</f>
        <v>26.45</v>
      </c>
      <c r="N124" s="16">
        <f t="shared" si="4"/>
        <v>2.7512534065614012E-3</v>
      </c>
      <c r="O124" s="17">
        <f t="shared" si="5"/>
        <v>1.0411214599663206E-2</v>
      </c>
      <c r="P124" s="17">
        <f t="shared" si="5"/>
        <v>-7.4946466809421838E-2</v>
      </c>
      <c r="Q124" s="18">
        <f t="shared" si="6"/>
        <v>111.64556962025316</v>
      </c>
      <c r="R124" s="18">
        <f t="shared" si="7"/>
        <v>102.00318302387267</v>
      </c>
      <c r="S124" s="35">
        <f>(S123-SUM(E122:E128))/SUM(E122:E128)</f>
        <v>-0.10102232355133629</v>
      </c>
      <c r="T124" s="48">
        <f>SUM(I122:I128)/SUM(K122:K128)</f>
        <v>113.37951126896573</v>
      </c>
      <c r="U124" s="1738"/>
    </row>
    <row r="125" spans="1:21">
      <c r="A125" s="10" t="s">
        <v>13</v>
      </c>
      <c r="B125" s="19">
        <f>+CHAMNORD!B125</f>
        <v>46142</v>
      </c>
      <c r="C125" s="75">
        <f>IF(H125=0,"",'[6]2025-2026'!C124)</f>
        <v>9619.5400000000009</v>
      </c>
      <c r="D125" s="68">
        <f>+'[6]2025'!C125</f>
        <v>15723.42</v>
      </c>
      <c r="E125" s="68">
        <f>+'[6]2025'!D125</f>
        <v>15582.28</v>
      </c>
      <c r="F125" s="20">
        <f>+'[6]2025'!E125</f>
        <v>698</v>
      </c>
      <c r="G125" s="73">
        <f>+'[6]2025'!F125</f>
        <v>9400</v>
      </c>
      <c r="H125" s="42">
        <f>+'[6]2025'!G125</f>
        <v>10451.06</v>
      </c>
      <c r="I125" s="13">
        <f>+'[6]2025'!H125</f>
        <v>10354.26</v>
      </c>
      <c r="J125" s="14">
        <f>+'[6]2025'!I125</f>
        <v>455</v>
      </c>
      <c r="K125" s="15">
        <f>+'[6]2025'!J125</f>
        <v>81.88</v>
      </c>
      <c r="L125" s="15">
        <f>+'[6]2025'!K125</f>
        <v>99.4</v>
      </c>
      <c r="M125" s="15">
        <f>+'[6]2025'!L125</f>
        <v>91.3</v>
      </c>
      <c r="N125" s="16">
        <f t="shared" si="4"/>
        <v>8.8176267545918285E-3</v>
      </c>
      <c r="O125" s="17">
        <f t="shared" si="5"/>
        <v>-0.33551059280156692</v>
      </c>
      <c r="P125" s="17">
        <f t="shared" si="5"/>
        <v>-0.34813753581661894</v>
      </c>
      <c r="Q125" s="18">
        <f t="shared" si="6"/>
        <v>126.45652173913045</v>
      </c>
      <c r="R125" s="18">
        <f t="shared" si="7"/>
        <v>104.16760563380281</v>
      </c>
      <c r="S125" s="34"/>
      <c r="T125" s="29" t="s">
        <v>8</v>
      </c>
      <c r="U125" s="1738"/>
    </row>
    <row r="126" spans="1:21">
      <c r="A126" s="10" t="s">
        <v>14</v>
      </c>
      <c r="B126" s="19">
        <f>+CHAMNORD!B126</f>
        <v>46143</v>
      </c>
      <c r="C126" s="75">
        <f>IF(H126=0,"",'[6]2025-2026'!C125)</f>
        <v>15723.42</v>
      </c>
      <c r="D126" s="68">
        <f>+'[6]2025'!C126</f>
        <v>11371</v>
      </c>
      <c r="E126" s="68">
        <f>+'[6]2025'!D126</f>
        <v>11250.15</v>
      </c>
      <c r="F126" s="20">
        <f>+'[6]2025'!E126</f>
        <v>507</v>
      </c>
      <c r="G126" s="73">
        <f>+'[6]2025'!F126</f>
        <v>13000</v>
      </c>
      <c r="H126" s="42">
        <f>+'[6]2025'!G126</f>
        <v>14246.45</v>
      </c>
      <c r="I126" s="13">
        <f>+'[6]2025'!H126</f>
        <v>14110.43</v>
      </c>
      <c r="J126" s="14">
        <f>+'[6]2025'!I126</f>
        <v>616</v>
      </c>
      <c r="K126" s="15">
        <f>+'[6]2025'!J126</f>
        <v>117</v>
      </c>
      <c r="L126" s="15">
        <f>+'[6]2025'!K126</f>
        <v>268</v>
      </c>
      <c r="M126" s="15">
        <f>+'[6]2025'!L126</f>
        <v>50.44</v>
      </c>
      <c r="N126" s="16">
        <f t="shared" si="4"/>
        <v>3.5746607296871886E-3</v>
      </c>
      <c r="O126" s="17">
        <f t="shared" si="5"/>
        <v>0.25424372119482858</v>
      </c>
      <c r="P126" s="17">
        <f t="shared" si="5"/>
        <v>0.21499013806706113</v>
      </c>
      <c r="Q126" s="18">
        <f t="shared" si="6"/>
        <v>120.60196581196581</v>
      </c>
      <c r="R126" s="18">
        <f t="shared" si="7"/>
        <v>52.650858208955228</v>
      </c>
      <c r="S126" s="36" t="s">
        <v>40</v>
      </c>
      <c r="T126" s="48">
        <f>SUM(I122:I128)/SUM(L122:L128)</f>
        <v>81.238762035440786</v>
      </c>
      <c r="U126" s="1738"/>
    </row>
    <row r="127" spans="1:21">
      <c r="A127" s="10" t="s">
        <v>15</v>
      </c>
      <c r="B127" s="19">
        <f>+CHAMNORD!B127</f>
        <v>46144</v>
      </c>
      <c r="C127" s="75">
        <f>IF(H127=0,"",'[6]2025-2026'!C126)</f>
        <v>11371</v>
      </c>
      <c r="D127" s="68">
        <f>+'[6]2025'!C127</f>
        <v>11039.08</v>
      </c>
      <c r="E127" s="68">
        <f>+'[6]2025'!D127</f>
        <v>10934.99</v>
      </c>
      <c r="F127" s="20">
        <f>+'[6]2025'!E127</f>
        <v>508</v>
      </c>
      <c r="G127" s="73">
        <f>+'[6]2025'!F127</f>
        <v>11000</v>
      </c>
      <c r="H127" s="42">
        <f>+'[6]2025'!G127</f>
        <v>10014.08</v>
      </c>
      <c r="I127" s="13">
        <f>+'[6]2025'!H127</f>
        <v>9912.31</v>
      </c>
      <c r="J127" s="14">
        <f>+'[6]2025'!I127</f>
        <v>425</v>
      </c>
      <c r="K127" s="15">
        <f>+'[6]2025'!J127</f>
        <v>102.55</v>
      </c>
      <c r="L127" s="15">
        <f>+'[6]2025'!K127</f>
        <v>119.28</v>
      </c>
      <c r="M127" s="15">
        <f>+'[6]2025'!L127</f>
        <v>53.41</v>
      </c>
      <c r="N127" s="16">
        <f t="shared" si="4"/>
        <v>5.3882495603951048E-3</v>
      </c>
      <c r="O127" s="17">
        <f t="shared" si="5"/>
        <v>-9.3523633766468953E-2</v>
      </c>
      <c r="P127" s="17">
        <f t="shared" si="5"/>
        <v>-0.16338582677165353</v>
      </c>
      <c r="Q127" s="18">
        <f t="shared" si="6"/>
        <v>96.658313018039976</v>
      </c>
      <c r="R127" s="18">
        <f t="shared" si="7"/>
        <v>83.101190476190467</v>
      </c>
      <c r="S127" s="36">
        <f>SUM(J122:J128)</f>
        <v>3067</v>
      </c>
      <c r="T127" s="30" t="s">
        <v>3</v>
      </c>
      <c r="U127" s="1738"/>
    </row>
    <row r="128" spans="1:21" ht="18" thickBot="1">
      <c r="A128" s="10" t="s">
        <v>16</v>
      </c>
      <c r="B128" s="19">
        <f>+CHAMNORD!B128</f>
        <v>46145</v>
      </c>
      <c r="C128" s="75">
        <f>IF(H128=0,"",'[6]2025-2026'!C127)</f>
        <v>11039.08</v>
      </c>
      <c r="D128" s="68">
        <f>+'[6]2025'!C128</f>
        <v>13266.49</v>
      </c>
      <c r="E128" s="68">
        <f>+'[6]2025'!D128</f>
        <v>13170.19</v>
      </c>
      <c r="F128" s="20">
        <f>+'[6]2025'!E128</f>
        <v>559</v>
      </c>
      <c r="G128" s="73">
        <f>+'[6]2025'!F128</f>
        <v>13300</v>
      </c>
      <c r="H128" s="42">
        <f>+'[6]2025'!G128</f>
        <v>13469.21</v>
      </c>
      <c r="I128" s="13">
        <f>+'[6]2025'!H128</f>
        <v>13347.61</v>
      </c>
      <c r="J128" s="14">
        <f>+'[6]2025'!I128</f>
        <v>555</v>
      </c>
      <c r="K128" s="15">
        <f>+'[6]2025'!J128</f>
        <v>97.69</v>
      </c>
      <c r="L128" s="15">
        <f>+'[6]2025'!K128</f>
        <v>113.4</v>
      </c>
      <c r="M128" s="15">
        <f>+'[6]2025'!L128</f>
        <v>135.16999999999999</v>
      </c>
      <c r="N128" s="16">
        <f t="shared" si="4"/>
        <v>1.0126906614742264E-2</v>
      </c>
      <c r="O128" s="17">
        <f t="shared" si="5"/>
        <v>1.3471331848667336E-2</v>
      </c>
      <c r="P128" s="17">
        <f t="shared" si="5"/>
        <v>-7.1556350626118068E-3</v>
      </c>
      <c r="Q128" s="18">
        <f t="shared" si="6"/>
        <v>136.63230627495139</v>
      </c>
      <c r="R128" s="18">
        <f t="shared" si="7"/>
        <v>117.70379188712522</v>
      </c>
      <c r="S128" s="37">
        <f>(S127-SUM(F122:F128))/SUM(F122:F128)</f>
        <v>-0.13629963390594199</v>
      </c>
      <c r="T128" s="47">
        <f>SUM(M122:M128)/SUM(I122:I128)</f>
        <v>5.8404988604256755E-3</v>
      </c>
      <c r="U128" s="1739"/>
    </row>
    <row r="129" spans="1:21" ht="17" customHeight="1" thickTop="1">
      <c r="A129" s="10" t="s">
        <v>9</v>
      </c>
      <c r="B129" s="19">
        <f>+CHAMNORD!B129</f>
        <v>46146</v>
      </c>
      <c r="C129" s="75">
        <f>IF(H129=0,"",'[6]2025-2026'!C128)</f>
        <v>13266.49</v>
      </c>
      <c r="D129" s="68">
        <f>+'[6]2025'!C129</f>
        <v>5518.42</v>
      </c>
      <c r="E129" s="68">
        <f>+'[6]2025'!D129</f>
        <v>5491.12</v>
      </c>
      <c r="F129" s="20">
        <f>+'[6]2025'!E129</f>
        <v>298</v>
      </c>
      <c r="G129" s="73">
        <f>+'[6]2025'!F129</f>
        <v>5800</v>
      </c>
      <c r="H129" s="42">
        <f>+'[6]2025'!G129</f>
        <v>6214.95</v>
      </c>
      <c r="I129" s="13">
        <f>+'[6]2025'!H129</f>
        <v>6175.25</v>
      </c>
      <c r="J129" s="14">
        <f>+'[6]2025'!I129</f>
        <v>285</v>
      </c>
      <c r="K129" s="15">
        <f>+'[6]2025'!J129</f>
        <v>71.75</v>
      </c>
      <c r="L129" s="15">
        <f>+'[6]2025'!K129</f>
        <v>79.2</v>
      </c>
      <c r="M129" s="15">
        <f>+'[6]2025'!L129</f>
        <v>12.46</v>
      </c>
      <c r="N129" s="16">
        <f t="shared" si="4"/>
        <v>2.0177320756244689E-3</v>
      </c>
      <c r="O129" s="17">
        <f t="shared" si="5"/>
        <v>0.12458842640481362</v>
      </c>
      <c r="P129" s="17">
        <f t="shared" si="5"/>
        <v>-4.3624161073825503E-2</v>
      </c>
      <c r="Q129" s="18">
        <f t="shared" si="6"/>
        <v>86.066202090592341</v>
      </c>
      <c r="R129" s="18">
        <f t="shared" si="7"/>
        <v>77.970328282828277</v>
      </c>
      <c r="S129" s="33" t="s">
        <v>39</v>
      </c>
      <c r="T129" s="31" t="s">
        <v>42</v>
      </c>
      <c r="U129" s="1737" t="s">
        <v>101</v>
      </c>
    </row>
    <row r="130" spans="1:21">
      <c r="A130" s="10" t="s">
        <v>11</v>
      </c>
      <c r="B130" s="19">
        <f>+CHAMNORD!B130</f>
        <v>46147</v>
      </c>
      <c r="C130" s="75">
        <f>IF(H130=0,"",'[6]2025-2026'!C129)</f>
        <v>5518.42</v>
      </c>
      <c r="D130" s="68">
        <f>+'[6]2025'!C130</f>
        <v>6767.53</v>
      </c>
      <c r="E130" s="68">
        <f>+'[6]2025'!D130</f>
        <v>6708.99</v>
      </c>
      <c r="F130" s="20">
        <f>+'[6]2025'!E130</f>
        <v>353</v>
      </c>
      <c r="G130" s="73">
        <f>+'[6]2025'!F130</f>
        <v>7100</v>
      </c>
      <c r="H130" s="42">
        <f>+'[6]2025'!G130</f>
        <v>6742.3</v>
      </c>
      <c r="I130" s="13">
        <f>+'[6]2025'!H130</f>
        <v>6647.86</v>
      </c>
      <c r="J130" s="14">
        <f>+'[6]2025'!I130</f>
        <v>328</v>
      </c>
      <c r="K130" s="15">
        <f>+'[6]2025'!J130</f>
        <v>59.15</v>
      </c>
      <c r="L130" s="15">
        <f>+'[6]2025'!K130</f>
        <v>69.150000000000006</v>
      </c>
      <c r="M130" s="15">
        <f>+'[6]2025'!L130</f>
        <v>71.489999999999995</v>
      </c>
      <c r="N130" s="16">
        <f t="shared" si="4"/>
        <v>1.0753836572972355E-2</v>
      </c>
      <c r="O130" s="17">
        <f t="shared" si="5"/>
        <v>-9.1116546603885393E-3</v>
      </c>
      <c r="P130" s="17">
        <f t="shared" si="5"/>
        <v>-7.0821529745042494E-2</v>
      </c>
      <c r="Q130" s="18">
        <f t="shared" si="6"/>
        <v>112.3898562975486</v>
      </c>
      <c r="R130" s="18">
        <f t="shared" si="7"/>
        <v>96.136804049168461</v>
      </c>
      <c r="S130" s="34">
        <f>SUM(I129:I135)</f>
        <v>66340.180000000008</v>
      </c>
      <c r="T130" s="45" t="s">
        <v>41</v>
      </c>
      <c r="U130" s="1738"/>
    </row>
    <row r="131" spans="1:21">
      <c r="A131" s="10" t="s">
        <v>12</v>
      </c>
      <c r="B131" s="19">
        <f>+CHAMNORD!B131</f>
        <v>46148</v>
      </c>
      <c r="C131" s="75">
        <f>IF(H131=0,"",'[6]2025-2026'!C130)</f>
        <v>6767.53</v>
      </c>
      <c r="D131" s="68">
        <f>+'[6]2025'!C131</f>
        <v>10545.38</v>
      </c>
      <c r="E131" s="68">
        <f>+'[6]2025'!D131</f>
        <v>10457.6</v>
      </c>
      <c r="F131" s="20">
        <f>+'[6]2025'!E131</f>
        <v>507</v>
      </c>
      <c r="G131" s="73">
        <f>+'[6]2025'!F131</f>
        <v>9800</v>
      </c>
      <c r="H131" s="42">
        <f>+'[6]2025'!G131</f>
        <v>9082.94</v>
      </c>
      <c r="I131" s="13">
        <f>+'[6]2025'!H131</f>
        <v>8994.43</v>
      </c>
      <c r="J131" s="14">
        <f>+'[6]2025'!I131</f>
        <v>416</v>
      </c>
      <c r="K131" s="15">
        <f>+'[6]2025'!J131</f>
        <v>74.72</v>
      </c>
      <c r="L131" s="15">
        <f>+'[6]2025'!K131</f>
        <v>89.09</v>
      </c>
      <c r="M131" s="15">
        <f>+'[6]2025'!L131</f>
        <v>17.66</v>
      </c>
      <c r="N131" s="16">
        <f t="shared" si="4"/>
        <v>1.9634373717956556E-3</v>
      </c>
      <c r="O131" s="17">
        <f t="shared" si="5"/>
        <v>-0.13991451193390453</v>
      </c>
      <c r="P131" s="17">
        <f t="shared" si="5"/>
        <v>-0.17948717948717949</v>
      </c>
      <c r="Q131" s="18">
        <f t="shared" si="6"/>
        <v>120.37513383297645</v>
      </c>
      <c r="R131" s="18">
        <f t="shared" si="7"/>
        <v>100.95891794814233</v>
      </c>
      <c r="S131" s="35">
        <f>(S130-SUM(E129:E135))/SUM(E129:E135)</f>
        <v>-1.0549388202302326E-2</v>
      </c>
      <c r="T131" s="48">
        <f>SUM(I129:I135)/SUM(K129:K135)</f>
        <v>109.00815011995138</v>
      </c>
      <c r="U131" s="1738"/>
    </row>
    <row r="132" spans="1:21">
      <c r="A132" s="10" t="s">
        <v>13</v>
      </c>
      <c r="B132" s="19">
        <f>+CHAMNORD!B132</f>
        <v>46149</v>
      </c>
      <c r="C132" s="75">
        <f>IF(H132=0,"",'[6]2025-2026'!C131)</f>
        <v>10545.38</v>
      </c>
      <c r="D132" s="68">
        <f>+'[6]2025'!C132</f>
        <v>11446.18</v>
      </c>
      <c r="E132" s="68">
        <f>+'[6]2025'!D132</f>
        <v>11355.81</v>
      </c>
      <c r="F132" s="20">
        <f>+'[6]2025'!E132</f>
        <v>509</v>
      </c>
      <c r="G132" s="73">
        <f>+'[6]2025'!F132</f>
        <v>6000</v>
      </c>
      <c r="H132" s="42">
        <f>+'[6]2025'!G132</f>
        <v>9907.67</v>
      </c>
      <c r="I132" s="13">
        <f>+'[6]2025'!H132</f>
        <v>9831.76</v>
      </c>
      <c r="J132" s="14">
        <f>+'[6]2025'!I132</f>
        <v>468</v>
      </c>
      <c r="K132" s="15">
        <f>+'[6]2025'!J132</f>
        <v>80.319999999999993</v>
      </c>
      <c r="L132" s="15">
        <f>+'[6]2025'!K132</f>
        <v>95.46</v>
      </c>
      <c r="M132" s="15">
        <f>+'[6]2025'!L132</f>
        <v>74.569999999999993</v>
      </c>
      <c r="N132" s="16">
        <f t="shared" ref="N132:N195" si="8">IF(M132=0,"",M132/I132)</f>
        <v>7.5846033670472013E-3</v>
      </c>
      <c r="O132" s="17">
        <f t="shared" ref="O132:P195" si="9">IF(I132=0,"",(I132-E132)/E132)</f>
        <v>-0.13420883230698641</v>
      </c>
      <c r="P132" s="17">
        <f t="shared" si="9"/>
        <v>-8.0550098231827114E-2</v>
      </c>
      <c r="Q132" s="18">
        <f t="shared" ref="Q132:Q195" si="10">IF(I132=0,"",I132/K132)</f>
        <v>122.4073705179283</v>
      </c>
      <c r="R132" s="18">
        <f t="shared" ref="R132:R195" si="11">I132/L132</f>
        <v>102.99350513304003</v>
      </c>
      <c r="S132" s="34"/>
      <c r="T132" s="29" t="s">
        <v>8</v>
      </c>
      <c r="U132" s="1738"/>
    </row>
    <row r="133" spans="1:21">
      <c r="A133" s="10" t="s">
        <v>14</v>
      </c>
      <c r="B133" s="19">
        <f>+CHAMNORD!B133</f>
        <v>46150</v>
      </c>
      <c r="C133" s="75">
        <f>IF(H133=0,"",'[6]2025-2026'!C132)</f>
        <v>11446.18</v>
      </c>
      <c r="D133" s="68">
        <f>+'[6]2025'!C133</f>
        <v>9561.15</v>
      </c>
      <c r="E133" s="68">
        <f>+'[6]2025'!D133</f>
        <v>9472.5499999999993</v>
      </c>
      <c r="F133" s="20">
        <f>+'[6]2025'!E133</f>
        <v>486</v>
      </c>
      <c r="G133" s="73">
        <f>+'[6]2025'!F133</f>
        <v>13800</v>
      </c>
      <c r="H133" s="42">
        <f>+'[6]2025'!G133</f>
        <v>11138.78</v>
      </c>
      <c r="I133" s="13">
        <f>+'[6]2025'!H133</f>
        <v>11021.61</v>
      </c>
      <c r="J133" s="14">
        <f>+'[6]2025'!I133</f>
        <v>518</v>
      </c>
      <c r="K133" s="15">
        <f>+'[6]2025'!J133</f>
        <v>115.14</v>
      </c>
      <c r="L133" s="15">
        <f>+'[6]2025'!K133</f>
        <v>130.01</v>
      </c>
      <c r="M133" s="15">
        <f>+'[6]2025'!L133</f>
        <v>52.18</v>
      </c>
      <c r="N133" s="16">
        <f t="shared" si="8"/>
        <v>4.7343355462586677E-3</v>
      </c>
      <c r="O133" s="17">
        <f t="shared" si="9"/>
        <v>0.16353146723955023</v>
      </c>
      <c r="P133" s="17">
        <f t="shared" si="9"/>
        <v>6.584362139917696E-2</v>
      </c>
      <c r="Q133" s="18">
        <f t="shared" si="10"/>
        <v>95.723553934340813</v>
      </c>
      <c r="R133" s="18">
        <f t="shared" si="11"/>
        <v>84.775094223521279</v>
      </c>
      <c r="S133" s="36" t="s">
        <v>40</v>
      </c>
      <c r="T133" s="48">
        <f>SUM(I129:I135)/SUM(L129:L135)</f>
        <v>94.203771548663781</v>
      </c>
      <c r="U133" s="1738"/>
    </row>
    <row r="134" spans="1:21">
      <c r="A134" s="10" t="s">
        <v>15</v>
      </c>
      <c r="B134" s="19">
        <f>+CHAMNORD!B134</f>
        <v>46151</v>
      </c>
      <c r="C134" s="75">
        <f>IF(H134=0,"",'[6]2025-2026'!C133)</f>
        <v>9561.15</v>
      </c>
      <c r="D134" s="68">
        <f>+'[6]2025'!C134</f>
        <v>10802.98</v>
      </c>
      <c r="E134" s="68">
        <f>+'[6]2025'!D134</f>
        <v>10691.18</v>
      </c>
      <c r="F134" s="20">
        <f>+'[6]2025'!E134</f>
        <v>523</v>
      </c>
      <c r="G134" s="73">
        <f>+'[6]2025'!F134</f>
        <v>10800</v>
      </c>
      <c r="H134" s="42">
        <f>+'[6]2025'!G134</f>
        <v>9563.35</v>
      </c>
      <c r="I134" s="13">
        <f>+'[6]2025'!H134</f>
        <v>9448.16</v>
      </c>
      <c r="J134" s="14">
        <f>+'[6]2025'!I134</f>
        <v>482</v>
      </c>
      <c r="K134" s="15">
        <f>+'[6]2025'!J134</f>
        <v>101.51</v>
      </c>
      <c r="L134" s="15">
        <f>+'[6]2025'!K134</f>
        <v>120</v>
      </c>
      <c r="M134" s="15">
        <f>+'[6]2025'!L134</f>
        <v>43.16</v>
      </c>
      <c r="N134" s="16">
        <f t="shared" si="8"/>
        <v>4.5680852144756225E-3</v>
      </c>
      <c r="O134" s="17">
        <f t="shared" si="9"/>
        <v>-0.11626593135650137</v>
      </c>
      <c r="P134" s="17">
        <f t="shared" si="9"/>
        <v>-7.8393881453154873E-2</v>
      </c>
      <c r="Q134" s="18">
        <f t="shared" si="10"/>
        <v>93.076150132991813</v>
      </c>
      <c r="R134" s="18">
        <f t="shared" si="11"/>
        <v>78.734666666666669</v>
      </c>
      <c r="S134" s="36">
        <f>SUM(J129:J135)</f>
        <v>3112</v>
      </c>
      <c r="T134" s="30" t="s">
        <v>3</v>
      </c>
      <c r="U134" s="1738"/>
    </row>
    <row r="135" spans="1:21" ht="18" thickBot="1">
      <c r="A135" s="10" t="s">
        <v>16</v>
      </c>
      <c r="B135" s="19">
        <f>+CHAMNORD!B135</f>
        <v>46152</v>
      </c>
      <c r="C135" s="75">
        <f>IF(H135=0,"",'[6]2025-2026'!C134)</f>
        <v>10802.98</v>
      </c>
      <c r="D135" s="68">
        <f>+'[6]2025'!C135</f>
        <v>12973.63</v>
      </c>
      <c r="E135" s="68">
        <f>+'[6]2025'!D135</f>
        <v>12870.24</v>
      </c>
      <c r="F135" s="20">
        <f>+'[6]2025'!E135</f>
        <v>610</v>
      </c>
      <c r="G135" s="73">
        <f>+'[6]2025'!F135</f>
        <v>13000</v>
      </c>
      <c r="H135" s="42">
        <f>+'[6]2025'!G135</f>
        <v>14366.06</v>
      </c>
      <c r="I135" s="13">
        <f>+'[6]2025'!H135</f>
        <v>14221.11</v>
      </c>
      <c r="J135" s="14">
        <f>+'[6]2025'!I135</f>
        <v>615</v>
      </c>
      <c r="K135" s="15">
        <f>+'[6]2025'!J135</f>
        <v>105.99</v>
      </c>
      <c r="L135" s="15">
        <f>+'[6]2025'!K135</f>
        <v>121.31</v>
      </c>
      <c r="M135" s="15">
        <f>+'[6]2025'!L135</f>
        <v>103.39</v>
      </c>
      <c r="N135" s="16">
        <f t="shared" si="8"/>
        <v>7.2701779256330902E-3</v>
      </c>
      <c r="O135" s="17">
        <f t="shared" si="9"/>
        <v>0.10496074665274313</v>
      </c>
      <c r="P135" s="17">
        <f t="shared" si="9"/>
        <v>8.1967213114754103E-3</v>
      </c>
      <c r="Q135" s="18">
        <f t="shared" si="10"/>
        <v>134.17407302575717</v>
      </c>
      <c r="R135" s="18">
        <f t="shared" si="11"/>
        <v>117.22949468304344</v>
      </c>
      <c r="S135" s="37">
        <f>(S134-SUM(F129:F135))/SUM(F129:F135)</f>
        <v>-5.2951917224589168E-2</v>
      </c>
      <c r="T135" s="47">
        <f>SUM(M129:M135)/SUM(I129:I135)</f>
        <v>5.651326239995127E-3</v>
      </c>
      <c r="U135" s="1739"/>
    </row>
    <row r="136" spans="1:21" ht="17" customHeight="1" thickTop="1">
      <c r="A136" s="10" t="s">
        <v>9</v>
      </c>
      <c r="B136" s="19">
        <f>+CHAMNORD!B136</f>
        <v>46153</v>
      </c>
      <c r="C136" s="75">
        <f>IF(H136=0,"",'[6]2025-2026'!C135)</f>
        <v>12973.63</v>
      </c>
      <c r="D136" s="68">
        <f>+'[6]2025'!C136</f>
        <v>4824.3500000000004</v>
      </c>
      <c r="E136" s="68">
        <f>+'[6]2025'!D136</f>
        <v>4793.76</v>
      </c>
      <c r="F136" s="20">
        <f>+'[6]2025'!E136</f>
        <v>287</v>
      </c>
      <c r="G136" s="73">
        <f>+'[6]2025'!F136</f>
        <v>5500</v>
      </c>
      <c r="H136" s="42">
        <f>+'[6]2025'!G136</f>
        <v>5355.58</v>
      </c>
      <c r="I136" s="13">
        <f>+'[6]2025'!H136</f>
        <v>5321.77</v>
      </c>
      <c r="J136" s="14">
        <f>+'[6]2025'!I136</f>
        <v>267</v>
      </c>
      <c r="K136" s="15">
        <f>+'[6]2025'!J136</f>
        <v>65.39</v>
      </c>
      <c r="L136" s="15">
        <f>+'[6]2025'!K136</f>
        <v>80.16</v>
      </c>
      <c r="M136" s="15">
        <f>+'[6]2025'!L136</f>
        <v>19.329999999999998</v>
      </c>
      <c r="N136" s="16">
        <f t="shared" si="8"/>
        <v>3.6322501724050452E-3</v>
      </c>
      <c r="O136" s="17">
        <f t="shared" si="9"/>
        <v>0.11014527218717671</v>
      </c>
      <c r="P136" s="17">
        <f t="shared" si="9"/>
        <v>-6.968641114982578E-2</v>
      </c>
      <c r="Q136" s="18">
        <f t="shared" si="10"/>
        <v>81.385074170362444</v>
      </c>
      <c r="R136" s="18">
        <f t="shared" si="11"/>
        <v>66.389346307385239</v>
      </c>
      <c r="S136" s="33" t="s">
        <v>39</v>
      </c>
      <c r="T136" s="31" t="s">
        <v>42</v>
      </c>
      <c r="U136" s="1737" t="s">
        <v>102</v>
      </c>
    </row>
    <row r="137" spans="1:21">
      <c r="A137" s="10" t="s">
        <v>11</v>
      </c>
      <c r="B137" s="19">
        <f>+CHAMNORD!B137</f>
        <v>46154</v>
      </c>
      <c r="C137" s="75">
        <f>IF(H137=0,"",'[6]2025-2026'!C136)</f>
        <v>4824.3500000000004</v>
      </c>
      <c r="D137" s="68">
        <f>+'[6]2025'!C137</f>
        <v>6824.68</v>
      </c>
      <c r="E137" s="68">
        <f>+'[6]2025'!D137</f>
        <v>6775.23</v>
      </c>
      <c r="F137" s="20">
        <f>+'[6]2025'!E137</f>
        <v>369</v>
      </c>
      <c r="G137" s="73">
        <f>+'[6]2025'!F137</f>
        <v>6800</v>
      </c>
      <c r="H137" s="42">
        <f>+'[6]2025'!G137</f>
        <v>6957.26</v>
      </c>
      <c r="I137" s="13">
        <f>+'[6]2025'!H137</f>
        <v>6880.64</v>
      </c>
      <c r="J137" s="14">
        <f>+'[6]2025'!I137</f>
        <v>364</v>
      </c>
      <c r="K137" s="15">
        <f>+'[6]2025'!J137</f>
        <v>69.95</v>
      </c>
      <c r="L137" s="15">
        <f>+'[6]2025'!K137</f>
        <v>85.46</v>
      </c>
      <c r="M137" s="15">
        <f>+'[6]2025'!L137</f>
        <v>20.16</v>
      </c>
      <c r="N137" s="16">
        <f t="shared" si="8"/>
        <v>2.9299600037205839E-3</v>
      </c>
      <c r="O137" s="17">
        <f t="shared" si="9"/>
        <v>1.5558143413581645E-2</v>
      </c>
      <c r="P137" s="17">
        <f t="shared" si="9"/>
        <v>-1.3550135501355014E-2</v>
      </c>
      <c r="Q137" s="18">
        <f t="shared" si="10"/>
        <v>98.3651179413867</v>
      </c>
      <c r="R137" s="18">
        <f t="shared" si="11"/>
        <v>80.512988532646858</v>
      </c>
      <c r="S137" s="34">
        <f>SUM(I136:I142)</f>
        <v>63879.229999999996</v>
      </c>
      <c r="T137" s="45" t="s">
        <v>41</v>
      </c>
      <c r="U137" s="1738"/>
    </row>
    <row r="138" spans="1:21">
      <c r="A138" s="10" t="s">
        <v>12</v>
      </c>
      <c r="B138" s="19">
        <f>+CHAMNORD!B138</f>
        <v>46155</v>
      </c>
      <c r="C138" s="75">
        <f>IF(H138=0,"",'[6]2025-2026'!C137)</f>
        <v>6824.68</v>
      </c>
      <c r="D138" s="68">
        <f>+'[6]2025'!C138</f>
        <v>9093.6200000000008</v>
      </c>
      <c r="E138" s="68">
        <f>+'[6]2025'!D138</f>
        <v>9019.4699999999993</v>
      </c>
      <c r="F138" s="20">
        <f>+'[6]2025'!E138</f>
        <v>486</v>
      </c>
      <c r="G138" s="73">
        <f>+'[6]2025'!F138</f>
        <v>9400</v>
      </c>
      <c r="H138" s="42">
        <f>+'[6]2025'!G138</f>
        <v>11021.01</v>
      </c>
      <c r="I138" s="13">
        <f>+'[6]2025'!H138</f>
        <v>10907.86</v>
      </c>
      <c r="J138" s="14">
        <f>+'[6]2025'!I138</f>
        <v>524</v>
      </c>
      <c r="K138" s="15">
        <f>+'[6]2025'!J138</f>
        <v>100.15</v>
      </c>
      <c r="L138" s="15">
        <f>+'[6]2025'!K138</f>
        <v>109.25</v>
      </c>
      <c r="M138" s="15">
        <f>+'[6]2025'!L138</f>
        <v>44.38</v>
      </c>
      <c r="N138" s="16">
        <f t="shared" si="8"/>
        <v>4.0686257432713657E-3</v>
      </c>
      <c r="O138" s="17">
        <f t="shared" si="9"/>
        <v>0.20936817795280668</v>
      </c>
      <c r="P138" s="17">
        <f t="shared" si="9"/>
        <v>7.8189300411522639E-2</v>
      </c>
      <c r="Q138" s="18">
        <f t="shared" si="10"/>
        <v>108.91522715926111</v>
      </c>
      <c r="R138" s="18">
        <f t="shared" si="11"/>
        <v>99.843112128146458</v>
      </c>
      <c r="S138" s="35">
        <f>(S137-SUM(E136:E142))/SUM(E136:E142)</f>
        <v>1.2194084051093468E-3</v>
      </c>
      <c r="T138" s="48">
        <f>SUM(I136:I142)/SUM(K136:K142)</f>
        <v>97.005709860138793</v>
      </c>
      <c r="U138" s="1738"/>
    </row>
    <row r="139" spans="1:21">
      <c r="A139" s="10" t="s">
        <v>13</v>
      </c>
      <c r="B139" s="19">
        <f>+CHAMNORD!B139</f>
        <v>46156</v>
      </c>
      <c r="C139" s="75">
        <f>IF(H139=0,"",'[6]2025-2026'!C138)</f>
        <v>9093.6200000000008</v>
      </c>
      <c r="D139" s="68">
        <f>+'[6]2025'!C139</f>
        <v>8113.74</v>
      </c>
      <c r="E139" s="68">
        <f>+'[6]2025'!D139</f>
        <v>8065.63</v>
      </c>
      <c r="F139" s="20">
        <f>+'[6]2025'!E139</f>
        <v>391</v>
      </c>
      <c r="G139" s="73">
        <f>+'[6]2025'!F139</f>
        <v>13500</v>
      </c>
      <c r="H139" s="42">
        <f>+'[6]2025'!G139</f>
        <v>10518.66</v>
      </c>
      <c r="I139" s="13">
        <f>+'[6]2025'!H139</f>
        <v>10445.120000000001</v>
      </c>
      <c r="J139" s="14">
        <f>+'[6]2025'!I139</f>
        <v>457</v>
      </c>
      <c r="K139" s="15">
        <f>+'[6]2025'!J139</f>
        <v>113.22</v>
      </c>
      <c r="L139" s="15">
        <f>+'[6]2025'!K139</f>
        <v>120.35</v>
      </c>
      <c r="M139" s="15">
        <f>+'[6]2025'!L139</f>
        <v>31.57</v>
      </c>
      <c r="N139" s="16">
        <f t="shared" si="8"/>
        <v>3.0224640789191506E-3</v>
      </c>
      <c r="O139" s="17">
        <f t="shared" si="9"/>
        <v>0.295016012388369</v>
      </c>
      <c r="P139" s="17">
        <f t="shared" si="9"/>
        <v>0.16879795396419436</v>
      </c>
      <c r="Q139" s="18">
        <f t="shared" si="10"/>
        <v>92.255078608019787</v>
      </c>
      <c r="R139" s="18">
        <f t="shared" si="11"/>
        <v>86.789530535936862</v>
      </c>
      <c r="S139" s="34"/>
      <c r="T139" s="29" t="s">
        <v>8</v>
      </c>
      <c r="U139" s="1738"/>
    </row>
    <row r="140" spans="1:21">
      <c r="A140" s="10" t="s">
        <v>14</v>
      </c>
      <c r="B140" s="19">
        <f>+CHAMNORD!B140</f>
        <v>46157</v>
      </c>
      <c r="C140" s="75">
        <f>IF(H140=0,"",'[6]2025-2026'!C139)</f>
        <v>8113.74</v>
      </c>
      <c r="D140" s="68">
        <f>+'[6]2025'!C140</f>
        <v>10916.38</v>
      </c>
      <c r="E140" s="68">
        <f>+'[6]2025'!D140</f>
        <v>10846.11</v>
      </c>
      <c r="F140" s="20">
        <f>+'[6]2025'!E140</f>
        <v>554</v>
      </c>
      <c r="G140" s="73">
        <f>+'[6]2025'!F140</f>
        <v>10900</v>
      </c>
      <c r="H140" s="42">
        <f>+'[6]2025'!G140</f>
        <v>8181.63</v>
      </c>
      <c r="I140" s="13">
        <f>+'[6]2025'!H140</f>
        <v>8093.71</v>
      </c>
      <c r="J140" s="14">
        <f>+'[6]2025'!I140</f>
        <v>390</v>
      </c>
      <c r="K140" s="15">
        <f>+'[6]2025'!J140</f>
        <v>97.87</v>
      </c>
      <c r="L140" s="15">
        <f>+'[6]2025'!K140</f>
        <v>114.37</v>
      </c>
      <c r="M140" s="15">
        <f>+'[6]2025'!L140</f>
        <v>31.87</v>
      </c>
      <c r="N140" s="16">
        <f t="shared" si="8"/>
        <v>3.9376256376865496E-3</v>
      </c>
      <c r="O140" s="17">
        <f t="shared" si="9"/>
        <v>-0.25376840175878729</v>
      </c>
      <c r="P140" s="17">
        <f t="shared" si="9"/>
        <v>-0.29602888086642598</v>
      </c>
      <c r="Q140" s="18">
        <f t="shared" si="10"/>
        <v>82.698579748646154</v>
      </c>
      <c r="R140" s="18">
        <f t="shared" si="11"/>
        <v>70.767771268689344</v>
      </c>
      <c r="S140" s="36" t="s">
        <v>40</v>
      </c>
      <c r="T140" s="48">
        <f>SUM(I136:I142)/SUM(L136:L142)</f>
        <v>85.473172232926544</v>
      </c>
      <c r="U140" s="1738"/>
    </row>
    <row r="141" spans="1:21">
      <c r="A141" s="10" t="s">
        <v>15</v>
      </c>
      <c r="B141" s="19">
        <f>+CHAMNORD!B141</f>
        <v>46158</v>
      </c>
      <c r="C141" s="75">
        <f>IF(H141=0,"",'[6]2025-2026'!C140)</f>
        <v>10916.38</v>
      </c>
      <c r="D141" s="68">
        <f>+'[6]2025'!C141</f>
        <v>10491.14</v>
      </c>
      <c r="E141" s="68">
        <f>+'[6]2025'!D141</f>
        <v>10398.719999999999</v>
      </c>
      <c r="F141" s="20">
        <f>+'[6]2025'!E141</f>
        <v>525</v>
      </c>
      <c r="G141" s="73">
        <f>+'[6]2025'!F141</f>
        <v>10500</v>
      </c>
      <c r="H141" s="42">
        <f>+'[6]2025'!G141</f>
        <v>8603.5499999999993</v>
      </c>
      <c r="I141" s="13">
        <f>+'[6]2025'!H141</f>
        <v>8526.75</v>
      </c>
      <c r="J141" s="14">
        <f>+'[6]2025'!I141</f>
        <v>402</v>
      </c>
      <c r="K141" s="15">
        <f>+'[6]2025'!J141</f>
        <v>97.53</v>
      </c>
      <c r="L141" s="15">
        <f>+'[6]2025'!K141</f>
        <v>114.33</v>
      </c>
      <c r="M141" s="15">
        <f>+'[6]2025'!L141</f>
        <v>47.64</v>
      </c>
      <c r="N141" s="16">
        <f t="shared" si="8"/>
        <v>5.5871228780015837E-3</v>
      </c>
      <c r="O141" s="17">
        <f t="shared" si="9"/>
        <v>-0.18001927160265874</v>
      </c>
      <c r="P141" s="17">
        <f t="shared" si="9"/>
        <v>-0.23428571428571429</v>
      </c>
      <c r="Q141" s="18">
        <f t="shared" si="10"/>
        <v>87.426945555213777</v>
      </c>
      <c r="R141" s="18">
        <f t="shared" si="11"/>
        <v>74.580162686958801</v>
      </c>
      <c r="S141" s="36">
        <f>SUM(J136:J142)</f>
        <v>2956</v>
      </c>
      <c r="T141" s="30" t="s">
        <v>3</v>
      </c>
      <c r="U141" s="1738"/>
    </row>
    <row r="142" spans="1:21" ht="18" thickBot="1">
      <c r="A142" s="10" t="s">
        <v>16</v>
      </c>
      <c r="B142" s="19">
        <f>+CHAMNORD!B142</f>
        <v>46159</v>
      </c>
      <c r="C142" s="75">
        <f>IF(H142=0,"",'[6]2025-2026'!C141)</f>
        <v>10491.14</v>
      </c>
      <c r="D142" s="68">
        <f>+'[6]2025'!C142</f>
        <v>14010.5</v>
      </c>
      <c r="E142" s="68">
        <f>+'[6]2025'!D142</f>
        <v>13902.51</v>
      </c>
      <c r="F142" s="20">
        <f>+'[6]2025'!E142</f>
        <v>637</v>
      </c>
      <c r="G142" s="73">
        <f>+'[6]2025'!F142</f>
        <v>14000</v>
      </c>
      <c r="H142" s="42">
        <f>+'[6]2025'!G142</f>
        <v>13842.62</v>
      </c>
      <c r="I142" s="13">
        <f>+'[6]2025'!H142</f>
        <v>13703.38</v>
      </c>
      <c r="J142" s="14">
        <f>+'[6]2025'!I142</f>
        <v>552</v>
      </c>
      <c r="K142" s="15">
        <f>+'[6]2025'!J142</f>
        <v>114.4</v>
      </c>
      <c r="L142" s="15">
        <f>+'[6]2025'!K142</f>
        <v>123.44</v>
      </c>
      <c r="M142" s="15">
        <f>+'[6]2025'!L142</f>
        <v>44.24</v>
      </c>
      <c r="N142" s="16">
        <f t="shared" si="8"/>
        <v>3.228400584381372E-3</v>
      </c>
      <c r="O142" s="17">
        <f t="shared" si="9"/>
        <v>-1.4323312840631009E-2</v>
      </c>
      <c r="P142" s="17">
        <f t="shared" si="9"/>
        <v>-0.13343799058084774</v>
      </c>
      <c r="Q142" s="18">
        <f t="shared" si="10"/>
        <v>119.7847902097902</v>
      </c>
      <c r="R142" s="18">
        <f t="shared" si="11"/>
        <v>111.01247569669475</v>
      </c>
      <c r="S142" s="37">
        <f>(S141-SUM(F136:F142))/SUM(F136:F142)</f>
        <v>-9.018159433671899E-2</v>
      </c>
      <c r="T142" s="47">
        <f>SUM(M136:M142)/SUM(I136:I142)</f>
        <v>3.7444095678673649E-3</v>
      </c>
      <c r="U142" s="1739"/>
    </row>
    <row r="143" spans="1:21" ht="17" customHeight="1" thickTop="1">
      <c r="A143" s="10" t="s">
        <v>9</v>
      </c>
      <c r="B143" s="19">
        <f>+CHAMNORD!B143</f>
        <v>46160</v>
      </c>
      <c r="C143" s="75">
        <f>IF(H143=0,"",'[6]2025-2026'!C142)</f>
        <v>14010.5</v>
      </c>
      <c r="D143" s="68">
        <f>+'[6]2025'!C143</f>
        <v>6604.72</v>
      </c>
      <c r="E143" s="68">
        <f>+'[6]2025'!D143</f>
        <v>6553.95</v>
      </c>
      <c r="F143" s="20">
        <f>+'[6]2025'!E143</f>
        <v>345</v>
      </c>
      <c r="G143" s="73">
        <f>+'[6]2025'!F143</f>
        <v>6100</v>
      </c>
      <c r="H143" s="42">
        <f>+'[6]2025'!G143</f>
        <v>5065.5</v>
      </c>
      <c r="I143" s="13">
        <f>+'[6]2025'!H143</f>
        <v>5025.2700000000004</v>
      </c>
      <c r="J143" s="14">
        <f>+'[6]2025'!I143</f>
        <v>273</v>
      </c>
      <c r="K143" s="15">
        <f>+'[6]2025'!J143</f>
        <v>74.849999999999994</v>
      </c>
      <c r="L143" s="15">
        <f>+'[6]2025'!K143</f>
        <v>82.36</v>
      </c>
      <c r="M143" s="15">
        <f>+'[6]2025'!L143</f>
        <v>23.74</v>
      </c>
      <c r="N143" s="16">
        <f t="shared" si="8"/>
        <v>4.7241242759095527E-3</v>
      </c>
      <c r="O143" s="17">
        <f t="shared" si="9"/>
        <v>-0.23324559998169034</v>
      </c>
      <c r="P143" s="17">
        <f t="shared" si="9"/>
        <v>-0.20869565217391303</v>
      </c>
      <c r="Q143" s="18">
        <f t="shared" si="10"/>
        <v>67.137875751503017</v>
      </c>
      <c r="R143" s="18">
        <f t="shared" si="11"/>
        <v>61.015905779504621</v>
      </c>
      <c r="S143" s="33" t="s">
        <v>39</v>
      </c>
      <c r="T143" s="31" t="s">
        <v>42</v>
      </c>
      <c r="U143" s="1737" t="s">
        <v>103</v>
      </c>
    </row>
    <row r="144" spans="1:21">
      <c r="A144" s="10" t="s">
        <v>11</v>
      </c>
      <c r="B144" s="19">
        <f>+CHAMNORD!B144</f>
        <v>46161</v>
      </c>
      <c r="C144" s="75">
        <f>IF(H144=0,"",'[6]2025-2026'!C143)</f>
        <v>6604.72</v>
      </c>
      <c r="D144" s="68">
        <f>+'[6]2025'!C144</f>
        <v>5949.5</v>
      </c>
      <c r="E144" s="68">
        <f>+'[6]2025'!D144</f>
        <v>5913.74</v>
      </c>
      <c r="F144" s="20">
        <f>+'[6]2025'!E144</f>
        <v>318</v>
      </c>
      <c r="G144" s="73">
        <f>+'[6]2025'!F144</f>
        <v>6200</v>
      </c>
      <c r="H144" s="42">
        <f>+'[6]2025'!G144</f>
        <v>6622.31</v>
      </c>
      <c r="I144" s="13">
        <f>+'[6]2025'!H144</f>
        <v>6565.02</v>
      </c>
      <c r="J144" s="14">
        <f>+'[6]2025'!I144</f>
        <v>329</v>
      </c>
      <c r="K144" s="15">
        <f>+'[6]2025'!J144</f>
        <v>70.72</v>
      </c>
      <c r="L144" s="15">
        <f>+'[6]2025'!K144</f>
        <v>94.41</v>
      </c>
      <c r="M144" s="15">
        <f>+'[6]2025'!L144</f>
        <v>16.98</v>
      </c>
      <c r="N144" s="16">
        <f t="shared" si="8"/>
        <v>2.5864353802425581E-3</v>
      </c>
      <c r="O144" s="17">
        <f t="shared" si="9"/>
        <v>0.1101299685140031</v>
      </c>
      <c r="P144" s="17">
        <f t="shared" si="9"/>
        <v>3.4591194968553458E-2</v>
      </c>
      <c r="Q144" s="18">
        <f t="shared" si="10"/>
        <v>92.83116515837105</v>
      </c>
      <c r="R144" s="18">
        <f t="shared" si="11"/>
        <v>69.537337146488724</v>
      </c>
      <c r="S144" s="34">
        <f>SUM(I143:I149)</f>
        <v>55000.42</v>
      </c>
      <c r="T144" s="45" t="s">
        <v>41</v>
      </c>
      <c r="U144" s="1738"/>
    </row>
    <row r="145" spans="1:21">
      <c r="A145" s="10" t="s">
        <v>12</v>
      </c>
      <c r="B145" s="19">
        <f>+CHAMNORD!B145</f>
        <v>46162</v>
      </c>
      <c r="C145" s="75">
        <f>IF(H145=0,"",'[6]2025-2026'!C144)</f>
        <v>5949.5</v>
      </c>
      <c r="D145" s="68">
        <f>+'[6]2025'!C145</f>
        <v>7907.2</v>
      </c>
      <c r="E145" s="68">
        <f>+'[6]2025'!D145</f>
        <v>7821.97</v>
      </c>
      <c r="F145" s="20">
        <f>+'[6]2025'!E145</f>
        <v>415</v>
      </c>
      <c r="G145" s="73">
        <f>+'[6]2025'!F145</f>
        <v>7900</v>
      </c>
      <c r="H145" s="42">
        <f>+'[6]2025'!G145</f>
        <v>6331.2</v>
      </c>
      <c r="I145" s="13">
        <f>+'[6]2025'!H145</f>
        <v>6255.26</v>
      </c>
      <c r="J145" s="14">
        <f>+'[6]2025'!I145</f>
        <v>328</v>
      </c>
      <c r="K145" s="15">
        <f>+'[6]2025'!J145</f>
        <v>118.69</v>
      </c>
      <c r="L145" s="15">
        <f>+'[6]2025'!K145</f>
        <v>136.35</v>
      </c>
      <c r="M145" s="15">
        <f>+'[6]2025'!L145</f>
        <v>43.06</v>
      </c>
      <c r="N145" s="16">
        <f t="shared" si="8"/>
        <v>6.8838065883752237E-3</v>
      </c>
      <c r="O145" s="17">
        <f t="shared" si="9"/>
        <v>-0.20029608909264546</v>
      </c>
      <c r="P145" s="17">
        <f t="shared" si="9"/>
        <v>-0.20963855421686747</v>
      </c>
      <c r="Q145" s="18">
        <f t="shared" si="10"/>
        <v>52.70250231696015</v>
      </c>
      <c r="R145" s="18">
        <f t="shared" si="11"/>
        <v>45.876494316098281</v>
      </c>
      <c r="S145" s="35">
        <f>(S144-SUM(E143:E149))/SUM(E143:E149)</f>
        <v>-0.10554155061156915</v>
      </c>
      <c r="T145" s="48">
        <f>SUM(I143:I149)/SUM(K143:K149)</f>
        <v>87.134899637204725</v>
      </c>
      <c r="U145" s="1738"/>
    </row>
    <row r="146" spans="1:21">
      <c r="A146" s="10" t="s">
        <v>13</v>
      </c>
      <c r="B146" s="19">
        <f>+CHAMNORD!B146</f>
        <v>46163</v>
      </c>
      <c r="C146" s="75">
        <f>IF(H146=0,"",'[6]2025-2026'!C145)</f>
        <v>7907.2</v>
      </c>
      <c r="D146" s="68">
        <f>+'[6]2025'!C146</f>
        <v>7408.1</v>
      </c>
      <c r="E146" s="68">
        <f>+'[6]2025'!D146</f>
        <v>7346.72</v>
      </c>
      <c r="F146" s="20">
        <f>+'[6]2025'!E146</f>
        <v>395</v>
      </c>
      <c r="G146" s="73">
        <f>+'[6]2025'!F146</f>
        <v>7300</v>
      </c>
      <c r="H146" s="42">
        <f>+'[6]2025'!G146</f>
        <v>6735.31</v>
      </c>
      <c r="I146" s="13">
        <f>+'[6]2025'!H146</f>
        <v>6685.23</v>
      </c>
      <c r="J146" s="14">
        <f>+'[6]2025'!I146</f>
        <v>340</v>
      </c>
      <c r="K146" s="15">
        <f>+'[6]2025'!J146</f>
        <v>68.08</v>
      </c>
      <c r="L146" s="15">
        <f>+'[6]2025'!K146</f>
        <v>83.26</v>
      </c>
      <c r="M146" s="15">
        <f>+'[6]2025'!L146</f>
        <v>56.29</v>
      </c>
      <c r="N146" s="16">
        <f t="shared" si="8"/>
        <v>8.4200543586383722E-3</v>
      </c>
      <c r="O146" s="17">
        <f t="shared" si="9"/>
        <v>-9.0038820044863646E-2</v>
      </c>
      <c r="P146" s="17">
        <f t="shared" si="9"/>
        <v>-0.13924050632911392</v>
      </c>
      <c r="Q146" s="18">
        <f t="shared" si="10"/>
        <v>98.196680376028198</v>
      </c>
      <c r="R146" s="18">
        <f t="shared" si="11"/>
        <v>80.293418208023056</v>
      </c>
      <c r="S146" s="34"/>
      <c r="T146" s="29" t="s">
        <v>8</v>
      </c>
      <c r="U146" s="1738"/>
    </row>
    <row r="147" spans="1:21">
      <c r="A147" s="10" t="s">
        <v>14</v>
      </c>
      <c r="B147" s="19">
        <f>+CHAMNORD!B147</f>
        <v>46164</v>
      </c>
      <c r="C147" s="75">
        <f>IF(H147=0,"",'[6]2025-2026'!C146)</f>
        <v>7408.1</v>
      </c>
      <c r="D147" s="68">
        <f>+'[6]2025'!C147</f>
        <v>10577.67</v>
      </c>
      <c r="E147" s="68">
        <f>+'[6]2025'!D147</f>
        <v>10492.44</v>
      </c>
      <c r="F147" s="20">
        <f>+'[6]2025'!E147</f>
        <v>527</v>
      </c>
      <c r="G147" s="73">
        <f>+'[6]2025'!F147</f>
        <v>10900</v>
      </c>
      <c r="H147" s="42">
        <f>+'[6]2025'!G147</f>
        <v>10031.57</v>
      </c>
      <c r="I147" s="13">
        <f>+'[6]2025'!H147</f>
        <v>9928.11</v>
      </c>
      <c r="J147" s="14">
        <f>+'[6]2025'!I147</f>
        <v>457</v>
      </c>
      <c r="K147" s="15">
        <f>+'[6]2025'!J147</f>
        <v>97.53</v>
      </c>
      <c r="L147" s="15">
        <f>+'[6]2025'!K147</f>
        <v>128.26</v>
      </c>
      <c r="M147" s="15">
        <f>+'[6]2025'!L147</f>
        <v>25.68</v>
      </c>
      <c r="N147" s="16">
        <f t="shared" si="8"/>
        <v>2.5865950316827672E-3</v>
      </c>
      <c r="O147" s="17">
        <f t="shared" si="9"/>
        <v>-5.3784439081853208E-2</v>
      </c>
      <c r="P147" s="17">
        <f t="shared" si="9"/>
        <v>-0.13282732447817835</v>
      </c>
      <c r="Q147" s="18">
        <f t="shared" si="10"/>
        <v>101.7954475545986</v>
      </c>
      <c r="R147" s="18">
        <f t="shared" si="11"/>
        <v>77.406128177140189</v>
      </c>
      <c r="S147" s="36" t="s">
        <v>40</v>
      </c>
      <c r="T147" s="48">
        <f>SUM(I143:I149)/SUM(L143:L149)</f>
        <v>72.244447071495188</v>
      </c>
      <c r="U147" s="1738"/>
    </row>
    <row r="148" spans="1:21">
      <c r="A148" s="10" t="s">
        <v>15</v>
      </c>
      <c r="B148" s="19">
        <f>+CHAMNORD!B148</f>
        <v>46165</v>
      </c>
      <c r="C148" s="75">
        <f>IF(H148=0,"",'[6]2025-2026'!C147)</f>
        <v>10577.67</v>
      </c>
      <c r="D148" s="68">
        <f>+'[6]2025'!C148</f>
        <v>12514.43</v>
      </c>
      <c r="E148" s="68">
        <f>+'[6]2025'!D148</f>
        <v>12411.61</v>
      </c>
      <c r="F148" s="20">
        <f>+'[6]2025'!E148</f>
        <v>606</v>
      </c>
      <c r="G148" s="73">
        <f>+'[6]2025'!F148</f>
        <v>11000</v>
      </c>
      <c r="H148" s="42">
        <f>+'[6]2025'!G148</f>
        <v>9098.9699999999993</v>
      </c>
      <c r="I148" s="13">
        <f>+'[6]2025'!H148</f>
        <v>9000.14</v>
      </c>
      <c r="J148" s="14">
        <f>+'[6]2025'!I148</f>
        <v>445</v>
      </c>
      <c r="K148" s="15">
        <f>+'[6]2025'!J148</f>
        <v>101.02</v>
      </c>
      <c r="L148" s="15">
        <f>+'[6]2025'!K148</f>
        <v>119.11</v>
      </c>
      <c r="M148" s="15">
        <f>+'[6]2025'!L148</f>
        <v>68.900000000000006</v>
      </c>
      <c r="N148" s="16">
        <f t="shared" si="8"/>
        <v>7.65543647098823E-3</v>
      </c>
      <c r="O148" s="17">
        <f t="shared" si="9"/>
        <v>-0.27486119850688195</v>
      </c>
      <c r="P148" s="17">
        <f t="shared" si="9"/>
        <v>-0.26567656765676567</v>
      </c>
      <c r="Q148" s="18">
        <f t="shared" si="10"/>
        <v>89.092654919817861</v>
      </c>
      <c r="R148" s="18">
        <f t="shared" si="11"/>
        <v>75.561581731172865</v>
      </c>
      <c r="S148" s="36">
        <f>SUM(J143:J149)</f>
        <v>2709</v>
      </c>
      <c r="T148" s="30" t="s">
        <v>3</v>
      </c>
      <c r="U148" s="1738"/>
    </row>
    <row r="149" spans="1:21" ht="18" thickBot="1">
      <c r="A149" s="10" t="s">
        <v>16</v>
      </c>
      <c r="B149" s="19">
        <f>+CHAMNORD!B149</f>
        <v>46166</v>
      </c>
      <c r="C149" s="75">
        <f>IF(H149=0,"",'[6]2025-2026'!C148)</f>
        <v>12514.43</v>
      </c>
      <c r="D149" s="68">
        <f>+'[6]2025'!C149</f>
        <v>11040.16</v>
      </c>
      <c r="E149" s="68">
        <f>+'[6]2025'!D149</f>
        <v>10949.76</v>
      </c>
      <c r="F149" s="20">
        <f>+'[6]2025'!E149</f>
        <v>465</v>
      </c>
      <c r="G149" s="73">
        <f>+'[6]2025'!F149</f>
        <v>11000</v>
      </c>
      <c r="H149" s="42">
        <f>+'[6]2025'!G149</f>
        <v>11641.59</v>
      </c>
      <c r="I149" s="13">
        <f>+'[6]2025'!H149</f>
        <v>11541.39</v>
      </c>
      <c r="J149" s="14">
        <f>+'[6]2025'!I149</f>
        <v>537</v>
      </c>
      <c r="K149" s="15">
        <f>+'[6]2025'!J149</f>
        <v>100.32</v>
      </c>
      <c r="L149" s="15">
        <f>+'[6]2025'!K149</f>
        <v>117.56</v>
      </c>
      <c r="M149" s="15">
        <f>+'[6]2025'!L149</f>
        <v>40.76</v>
      </c>
      <c r="N149" s="16">
        <f t="shared" si="8"/>
        <v>3.5316370038617532E-3</v>
      </c>
      <c r="O149" s="17">
        <f t="shared" si="9"/>
        <v>5.4031321234437941E-2</v>
      </c>
      <c r="P149" s="17">
        <f t="shared" si="9"/>
        <v>0.15483870967741936</v>
      </c>
      <c r="Q149" s="18">
        <f t="shared" si="10"/>
        <v>115.04575358851675</v>
      </c>
      <c r="R149" s="18">
        <f t="shared" si="11"/>
        <v>98.174464103436534</v>
      </c>
      <c r="S149" s="37">
        <f>(S148-SUM(F143:F149))/SUM(F143:F149)</f>
        <v>-0.11787691305763595</v>
      </c>
      <c r="T149" s="47">
        <f>SUM(M143:M149)/SUM(I143:I149)</f>
        <v>5.0074163070027468E-3</v>
      </c>
      <c r="U149" s="1739"/>
    </row>
    <row r="150" spans="1:21" ht="17" customHeight="1" thickTop="1">
      <c r="A150" s="10" t="s">
        <v>9</v>
      </c>
      <c r="B150" s="19">
        <f>+CHAMNORD!B150</f>
        <v>46167</v>
      </c>
      <c r="C150" s="75">
        <f>IF(H150=0,"",'[6]2025-2026'!C149)</f>
        <v>11040.16</v>
      </c>
      <c r="D150" s="68">
        <f>+'[6]2025'!C150</f>
        <v>5682.72</v>
      </c>
      <c r="E150" s="68">
        <f>+'[6]2025'!D150</f>
        <v>5647.61</v>
      </c>
      <c r="F150" s="20">
        <f>+'[6]2025'!E150</f>
        <v>317</v>
      </c>
      <c r="G150" s="73">
        <f>+'[6]2025'!F150</f>
        <v>13200</v>
      </c>
      <c r="H150" s="42">
        <f>+'[6]2025'!G150</f>
        <v>11418.17</v>
      </c>
      <c r="I150" s="13">
        <f>+'[6]2025'!H150</f>
        <v>11318.08</v>
      </c>
      <c r="J150" s="14">
        <f>+'[6]2025'!I150</f>
        <v>516</v>
      </c>
      <c r="K150" s="15">
        <f>+'[6]2025'!J150</f>
        <v>93.59</v>
      </c>
      <c r="L150" s="15">
        <f>+'[6]2025'!K150</f>
        <v>117.37</v>
      </c>
      <c r="M150" s="15">
        <f>+'[6]2025'!L150</f>
        <v>24.66</v>
      </c>
      <c r="N150" s="16">
        <f t="shared" si="8"/>
        <v>2.1788147813056632E-3</v>
      </c>
      <c r="O150" s="17">
        <f t="shared" si="9"/>
        <v>1.0040477299246939</v>
      </c>
      <c r="P150" s="17">
        <f t="shared" si="9"/>
        <v>0.62776025236593058</v>
      </c>
      <c r="Q150" s="18">
        <f t="shared" si="10"/>
        <v>120.93257826690885</v>
      </c>
      <c r="R150" s="18">
        <f t="shared" si="11"/>
        <v>96.430774473886004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19">
        <f>+CHAMNORD!B151</f>
        <v>46168</v>
      </c>
      <c r="C151" s="75">
        <f>IF(H151=0,"",'[6]2025-2026'!C150)</f>
        <v>5682.72</v>
      </c>
      <c r="D151" s="68">
        <f>+'[6]2025'!C151</f>
        <v>6986.42</v>
      </c>
      <c r="E151" s="68">
        <f>+'[6]2025'!D151</f>
        <v>6927.21</v>
      </c>
      <c r="F151" s="20">
        <f>+'[6]2025'!E151</f>
        <v>364</v>
      </c>
      <c r="G151" s="73">
        <f>+'[6]2025'!F151</f>
        <v>7000</v>
      </c>
      <c r="H151" s="42">
        <f>+'[6]2025'!G151</f>
        <v>5511.16</v>
      </c>
      <c r="I151" s="13">
        <f>+'[6]2025'!H151</f>
        <v>5472.14</v>
      </c>
      <c r="J151" s="14">
        <f>+'[6]2025'!I151</f>
        <v>293</v>
      </c>
      <c r="K151" s="15">
        <f>+'[6]2025'!J151</f>
        <v>72.11</v>
      </c>
      <c r="L151" s="15">
        <f>+'[6]2025'!K151</f>
        <v>80.510000000000005</v>
      </c>
      <c r="M151" s="15">
        <f>+'[6]2025'!L151</f>
        <v>24.91</v>
      </c>
      <c r="N151" s="16">
        <f t="shared" si="8"/>
        <v>4.5521496160551445E-3</v>
      </c>
      <c r="O151" s="17">
        <f t="shared" si="9"/>
        <v>-0.21005137710564567</v>
      </c>
      <c r="P151" s="17">
        <f t="shared" si="9"/>
        <v>-0.19505494505494506</v>
      </c>
      <c r="Q151" s="18">
        <f t="shared" si="10"/>
        <v>75.886007488559144</v>
      </c>
      <c r="R151" s="18">
        <f t="shared" si="11"/>
        <v>67.96845112408397</v>
      </c>
      <c r="S151" s="34">
        <f>SUM(I150:I156)</f>
        <v>63266.48</v>
      </c>
      <c r="T151" s="45" t="s">
        <v>41</v>
      </c>
      <c r="U151" s="1738"/>
    </row>
    <row r="152" spans="1:21">
      <c r="A152" s="10" t="s">
        <v>12</v>
      </c>
      <c r="B152" s="19">
        <f>+CHAMNORD!B152</f>
        <v>46169</v>
      </c>
      <c r="C152" s="75">
        <f>IF(H152=0,"",'[6]2025-2026'!C151)</f>
        <v>6986.42</v>
      </c>
      <c r="D152" s="68">
        <f>+'[6]2025'!C152</f>
        <v>12361.06</v>
      </c>
      <c r="E152" s="68">
        <f>+'[6]2025'!D152</f>
        <v>12250.48</v>
      </c>
      <c r="F152" s="20">
        <f>+'[6]2025'!E152</f>
        <v>561</v>
      </c>
      <c r="G152" s="73">
        <f>+'[6]2025'!F152</f>
        <v>8900</v>
      </c>
      <c r="H152" s="42">
        <f>+'[6]2025'!G152</f>
        <v>7407.7</v>
      </c>
      <c r="I152" s="13">
        <f>+'[6]2025'!H152</f>
        <v>7331.63</v>
      </c>
      <c r="J152" s="14">
        <f>+'[6]2025'!I152</f>
        <v>356</v>
      </c>
      <c r="K152" s="15">
        <f>+'[6]2025'!J152</f>
        <v>66.83</v>
      </c>
      <c r="L152" s="15">
        <f>+'[6]2025'!K152</f>
        <v>83.27</v>
      </c>
      <c r="M152" s="15">
        <f>+'[6]2025'!L152</f>
        <v>59.1</v>
      </c>
      <c r="N152" s="16">
        <f t="shared" si="8"/>
        <v>8.060963251009667E-3</v>
      </c>
      <c r="O152" s="17">
        <f t="shared" si="9"/>
        <v>-0.4015230423624217</v>
      </c>
      <c r="P152" s="17">
        <f t="shared" si="9"/>
        <v>-0.36541889483065954</v>
      </c>
      <c r="Q152" s="18">
        <f t="shared" si="10"/>
        <v>109.70567110579081</v>
      </c>
      <c r="R152" s="18">
        <f t="shared" si="11"/>
        <v>88.046475321244145</v>
      </c>
      <c r="S152" s="35">
        <f>(S151-SUM(E150:E156))/SUM(E150:E156)</f>
        <v>-0.16457351660302785</v>
      </c>
      <c r="T152" s="48">
        <f>SUM(I150:I156)/SUM(K150:K156)</f>
        <v>110.15509976668872</v>
      </c>
      <c r="U152" s="1738"/>
    </row>
    <row r="153" spans="1:21">
      <c r="A153" s="10" t="s">
        <v>13</v>
      </c>
      <c r="B153" s="19">
        <f>+CHAMNORD!B153</f>
        <v>46170</v>
      </c>
      <c r="C153" s="75">
        <f>IF(H153=0,"",'[6]2025-2026'!C152)</f>
        <v>12361.06</v>
      </c>
      <c r="D153" s="68">
        <f>+'[6]2025'!C153</f>
        <v>13142.5</v>
      </c>
      <c r="E153" s="68">
        <f>+'[6]2025'!D153</f>
        <v>13022.13</v>
      </c>
      <c r="F153" s="20">
        <f>+'[6]2025'!E153</f>
        <v>584</v>
      </c>
      <c r="G153" s="73">
        <f>+'[6]2025'!F153</f>
        <v>7400</v>
      </c>
      <c r="H153" s="42">
        <f>+'[6]2025'!G153</f>
        <v>7371.01</v>
      </c>
      <c r="I153" s="13">
        <f>+'[6]2025'!H153</f>
        <v>7312.94</v>
      </c>
      <c r="J153" s="14">
        <f>+'[6]2025'!I153</f>
        <v>344</v>
      </c>
      <c r="K153" s="15">
        <f>+'[6]2025'!J153</f>
        <v>59.86</v>
      </c>
      <c r="L153" s="15">
        <f>+'[6]2025'!K153</f>
        <v>83.4</v>
      </c>
      <c r="M153" s="15">
        <f>+'[6]2025'!L153</f>
        <v>39.39</v>
      </c>
      <c r="N153" s="16">
        <f t="shared" si="8"/>
        <v>5.3863425653704255E-3</v>
      </c>
      <c r="O153" s="17">
        <f t="shared" si="9"/>
        <v>-0.43842213217038994</v>
      </c>
      <c r="P153" s="17">
        <f t="shared" si="9"/>
        <v>-0.41095890410958902</v>
      </c>
      <c r="Q153" s="18">
        <f t="shared" si="10"/>
        <v>122.16739057801536</v>
      </c>
      <c r="R153" s="18">
        <f t="shared" si="11"/>
        <v>87.6851318944844</v>
      </c>
      <c r="S153" s="34"/>
      <c r="T153" s="29" t="s">
        <v>8</v>
      </c>
      <c r="U153" s="1738"/>
    </row>
    <row r="154" spans="1:21">
      <c r="A154" s="10" t="s">
        <v>14</v>
      </c>
      <c r="B154" s="19">
        <f>+CHAMNORD!B154</f>
        <v>46171</v>
      </c>
      <c r="C154" s="75">
        <f>IF(H154=0,"",'[6]2025-2026'!C153)</f>
        <v>13142.5</v>
      </c>
      <c r="D154" s="68">
        <f>+'[6]2025'!C154</f>
        <v>11767.78</v>
      </c>
      <c r="E154" s="68">
        <f>+'[6]2025'!D154</f>
        <v>11674.69</v>
      </c>
      <c r="F154" s="20">
        <f>+'[6]2025'!E154</f>
        <v>534</v>
      </c>
      <c r="G154" s="73">
        <f>+'[6]2025'!F154</f>
        <v>11800</v>
      </c>
      <c r="H154" s="42">
        <f>+'[6]2025'!G154</f>
        <v>10778.07</v>
      </c>
      <c r="I154" s="13">
        <f>+'[6]2025'!H154</f>
        <v>10635.27</v>
      </c>
      <c r="J154" s="14">
        <f>+'[6]2025'!I154</f>
        <v>478</v>
      </c>
      <c r="K154" s="15">
        <f>+'[6]2025'!J154</f>
        <v>93.55</v>
      </c>
      <c r="L154" s="15">
        <f>+'[6]2025'!K154</f>
        <v>115.35</v>
      </c>
      <c r="M154" s="15">
        <f>+'[6]2025'!L154</f>
        <v>29.96</v>
      </c>
      <c r="N154" s="16">
        <f t="shared" si="8"/>
        <v>2.8170417864332546E-3</v>
      </c>
      <c r="O154" s="17">
        <f t="shared" si="9"/>
        <v>-8.9031914337768289E-2</v>
      </c>
      <c r="P154" s="17">
        <f t="shared" si="9"/>
        <v>-0.10486891385767791</v>
      </c>
      <c r="Q154" s="18">
        <f t="shared" si="10"/>
        <v>113.68540887226084</v>
      </c>
      <c r="R154" s="18">
        <f t="shared" si="11"/>
        <v>92.2</v>
      </c>
      <c r="S154" s="36" t="s">
        <v>40</v>
      </c>
      <c r="T154" s="48">
        <f>SUM(I150:I156)/SUM(L150:L156)</f>
        <v>91.363495891518767</v>
      </c>
      <c r="U154" s="1738"/>
    </row>
    <row r="155" spans="1:21">
      <c r="A155" s="10" t="s">
        <v>15</v>
      </c>
      <c r="B155" s="19">
        <f>+CHAMNORD!B155</f>
        <v>46172</v>
      </c>
      <c r="C155" s="75">
        <f>IF(H155=0,"",'[6]2025-2026'!C154)</f>
        <v>11767.78</v>
      </c>
      <c r="D155" s="68">
        <f>+'[6]2025'!C155</f>
        <v>10553.29</v>
      </c>
      <c r="E155" s="68">
        <f>+'[6]2025'!D155</f>
        <v>10472.66</v>
      </c>
      <c r="F155" s="20">
        <f>+'[6]2025'!E155</f>
        <v>475</v>
      </c>
      <c r="G155" s="73">
        <f>+'[6]2025'!F155</f>
        <v>10600</v>
      </c>
      <c r="H155" s="42">
        <f>+'[6]2025'!G155</f>
        <v>9684.4</v>
      </c>
      <c r="I155" s="13">
        <f>+'[6]2025'!H155</f>
        <v>9547.77</v>
      </c>
      <c r="J155" s="14">
        <f>+'[6]2025'!I155</f>
        <v>438</v>
      </c>
      <c r="K155" s="15">
        <f>+'[6]2025'!J155</f>
        <v>89.89</v>
      </c>
      <c r="L155" s="15">
        <f>+'[6]2025'!K155</f>
        <v>98.46</v>
      </c>
      <c r="M155" s="15">
        <f>+'[6]2025'!L155</f>
        <v>38.99</v>
      </c>
      <c r="N155" s="16">
        <f t="shared" si="8"/>
        <v>4.0836760835252627E-3</v>
      </c>
      <c r="O155" s="17">
        <f t="shared" si="9"/>
        <v>-8.8314716604950355E-2</v>
      </c>
      <c r="P155" s="17">
        <f t="shared" si="9"/>
        <v>-7.7894736842105267E-2</v>
      </c>
      <c r="Q155" s="18">
        <f t="shared" si="10"/>
        <v>106.21615307598177</v>
      </c>
      <c r="R155" s="18">
        <f t="shared" si="11"/>
        <v>96.971054235222439</v>
      </c>
      <c r="S155" s="36">
        <f>SUM(J150:J156)</f>
        <v>2899</v>
      </c>
      <c r="T155" s="30" t="s">
        <v>3</v>
      </c>
      <c r="U155" s="1738"/>
    </row>
    <row r="156" spans="1:21" ht="18" thickBot="1">
      <c r="A156" s="10" t="s">
        <v>16</v>
      </c>
      <c r="B156" s="19">
        <f>+CHAMNORD!B156</f>
        <v>46173</v>
      </c>
      <c r="C156" s="75">
        <f>IF(H156=0,"",'[6]2025-2026'!C155)</f>
        <v>10553.29</v>
      </c>
      <c r="D156" s="68">
        <f>+'[6]2025'!C156</f>
        <v>15836.92</v>
      </c>
      <c r="E156" s="68">
        <f>+'[6]2025'!D156</f>
        <v>15734.78</v>
      </c>
      <c r="F156" s="20">
        <f>+'[6]2025'!E156</f>
        <v>658</v>
      </c>
      <c r="G156" s="73">
        <f>+'[6]2025'!F156</f>
        <v>14700</v>
      </c>
      <c r="H156" s="42">
        <f>+'[6]2025'!G156</f>
        <v>11780.4</v>
      </c>
      <c r="I156" s="13">
        <f>+'[6]2025'!H156</f>
        <v>11648.65</v>
      </c>
      <c r="J156" s="14">
        <f>+'[6]2025'!I156</f>
        <v>474</v>
      </c>
      <c r="K156" s="15">
        <f>+'[6]2025'!J156</f>
        <v>98.51</v>
      </c>
      <c r="L156" s="15">
        <f>+'[6]2025'!K156</f>
        <v>114.11</v>
      </c>
      <c r="M156" s="15">
        <f>+'[6]2025'!L156</f>
        <v>33.71</v>
      </c>
      <c r="N156" s="16">
        <f t="shared" si="8"/>
        <v>2.8938975761139706E-3</v>
      </c>
      <c r="O156" s="17">
        <f t="shared" si="9"/>
        <v>-0.25968777447158464</v>
      </c>
      <c r="P156" s="17">
        <f t="shared" si="9"/>
        <v>-0.2796352583586626</v>
      </c>
      <c r="Q156" s="18">
        <f t="shared" si="10"/>
        <v>118.24840117754542</v>
      </c>
      <c r="R156" s="18">
        <f t="shared" si="11"/>
        <v>102.08263955832092</v>
      </c>
      <c r="S156" s="37">
        <f>(S155-SUM(F150:F156))/SUM(F150:F156)</f>
        <v>-0.17005439450329229</v>
      </c>
      <c r="T156" s="47">
        <f>SUM(M150:M156)/SUM(I150:I156)</f>
        <v>3.9629200170453616E-3</v>
      </c>
      <c r="U156" s="1739"/>
    </row>
    <row r="157" spans="1:21" ht="17" customHeight="1" thickTop="1">
      <c r="A157" s="10" t="s">
        <v>9</v>
      </c>
      <c r="B157" s="19">
        <f>+CHAMNORD!B157</f>
        <v>46174</v>
      </c>
      <c r="C157" s="75">
        <f>IF(H157=0,"",'[6]2025-2026'!C156)</f>
        <v>15836.92</v>
      </c>
      <c r="D157" s="68">
        <f>+'[6]2025'!C157</f>
        <v>6292.79</v>
      </c>
      <c r="E157" s="68">
        <f>+'[6]2025'!D157</f>
        <v>6251.15</v>
      </c>
      <c r="F157" s="20">
        <f>+'[6]2025'!E157</f>
        <v>333</v>
      </c>
      <c r="G157" s="73">
        <f>+'[6]2025'!F157</f>
        <v>6600</v>
      </c>
      <c r="H157" s="42">
        <f>+'[6]2025'!G157</f>
        <v>6610.61</v>
      </c>
      <c r="I157" s="13">
        <f>+'[6]2025'!H157</f>
        <v>6555.76</v>
      </c>
      <c r="J157" s="14">
        <f>+'[6]2025'!I157</f>
        <v>320</v>
      </c>
      <c r="K157" s="15">
        <f>+'[6]2025'!J157</f>
        <v>73.5</v>
      </c>
      <c r="L157" s="15">
        <f>+'[6]2025'!K157</f>
        <v>89.36</v>
      </c>
      <c r="M157" s="15">
        <f>+'[6]2025'!L157</f>
        <v>19.45</v>
      </c>
      <c r="N157" s="16">
        <f t="shared" si="8"/>
        <v>2.9668566268441798E-3</v>
      </c>
      <c r="O157" s="17">
        <f t="shared" si="9"/>
        <v>4.8728633931356728E-2</v>
      </c>
      <c r="P157" s="17">
        <f t="shared" si="9"/>
        <v>-3.903903903903904E-2</v>
      </c>
      <c r="Q157" s="18">
        <f t="shared" si="10"/>
        <v>89.19401360544218</v>
      </c>
      <c r="R157" s="18">
        <f t="shared" si="11"/>
        <v>73.36347358997314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19">
        <f>+CHAMNORD!B158</f>
        <v>46175</v>
      </c>
      <c r="C158" s="75">
        <f>IF(H158=0,"",'[6]2025-2026'!C157)</f>
        <v>6292.79</v>
      </c>
      <c r="D158" s="68">
        <f>+'[6]2025'!C158</f>
        <v>7795.8</v>
      </c>
      <c r="E158" s="68">
        <f>+'[6]2025'!D158</f>
        <v>7719.87</v>
      </c>
      <c r="F158" s="20">
        <f>+'[6]2025'!E158</f>
        <v>392</v>
      </c>
      <c r="G158" s="73">
        <f>+'[6]2025'!F158</f>
        <v>8000</v>
      </c>
      <c r="H158" s="42">
        <f>+'[6]2025'!G158</f>
        <v>7551.5</v>
      </c>
      <c r="I158" s="13">
        <f>+'[6]2025'!H158</f>
        <v>7394.09</v>
      </c>
      <c r="J158" s="14">
        <f>+'[6]2025'!I158</f>
        <v>360</v>
      </c>
      <c r="K158" s="15">
        <f>+'[6]2025'!J158</f>
        <v>71.67</v>
      </c>
      <c r="L158" s="15">
        <f>+'[6]2025'!K158</f>
        <v>88.07</v>
      </c>
      <c r="M158" s="15">
        <f>+'[6]2025'!L158</f>
        <v>26.02</v>
      </c>
      <c r="N158" s="16">
        <f t="shared" si="8"/>
        <v>3.5190266821204502E-3</v>
      </c>
      <c r="O158" s="17">
        <f t="shared" si="9"/>
        <v>-4.2200192490288016E-2</v>
      </c>
      <c r="P158" s="17">
        <f t="shared" si="9"/>
        <v>-8.1632653061224483E-2</v>
      </c>
      <c r="Q158" s="18">
        <f t="shared" si="10"/>
        <v>103.16855029998605</v>
      </c>
      <c r="R158" s="18">
        <f t="shared" si="11"/>
        <v>83.956966049733168</v>
      </c>
      <c r="S158" s="34">
        <f>SUM(I157:I163)</f>
        <v>67538.31</v>
      </c>
      <c r="T158" s="45" t="s">
        <v>41</v>
      </c>
      <c r="U158" s="1738"/>
    </row>
    <row r="159" spans="1:21">
      <c r="A159" s="10" t="s">
        <v>12</v>
      </c>
      <c r="B159" s="19">
        <f>+CHAMNORD!B159</f>
        <v>46176</v>
      </c>
      <c r="C159" s="75">
        <f>IF(H159=0,"",'[6]2025-2026'!C158)</f>
        <v>7795.8</v>
      </c>
      <c r="D159" s="68">
        <f>+'[6]2025'!C159</f>
        <v>9380.1299999999992</v>
      </c>
      <c r="E159" s="68">
        <f>+'[6]2025'!D159</f>
        <v>9294.8799999999992</v>
      </c>
      <c r="F159" s="20">
        <f>+'[6]2025'!E159</f>
        <v>454</v>
      </c>
      <c r="G159" s="73">
        <f>+'[6]2025'!F159</f>
        <v>9700</v>
      </c>
      <c r="H159" s="42">
        <f>+'[6]2025'!G159</f>
        <v>8802.41</v>
      </c>
      <c r="I159" s="13">
        <f>+'[6]2025'!H159</f>
        <v>8652.07</v>
      </c>
      <c r="J159" s="14">
        <f>+'[6]2025'!I159</f>
        <v>454</v>
      </c>
      <c r="K159" s="15">
        <f>+'[6]2025'!J159</f>
        <v>78.37</v>
      </c>
      <c r="L159" s="15">
        <f>+'[6]2025'!K159</f>
        <v>102.27</v>
      </c>
      <c r="M159" s="15">
        <f>+'[6]2025'!L159</f>
        <v>48.78</v>
      </c>
      <c r="N159" s="16">
        <f t="shared" si="8"/>
        <v>5.6379571593849799E-3</v>
      </c>
      <c r="O159" s="17">
        <f t="shared" si="9"/>
        <v>-6.9157428605856081E-2</v>
      </c>
      <c r="P159" s="17">
        <f t="shared" si="9"/>
        <v>0</v>
      </c>
      <c r="Q159" s="18">
        <f t="shared" si="10"/>
        <v>110.40028071966313</v>
      </c>
      <c r="R159" s="18">
        <f t="shared" si="11"/>
        <v>84.600273785078713</v>
      </c>
      <c r="S159" s="35">
        <f>(S158-SUM(E157:E163))/SUM(E157:E163)</f>
        <v>-4.5800193698648205E-2</v>
      </c>
      <c r="T159" s="48">
        <f>SUM(I157:I163)/SUM(K157:K163)</f>
        <v>110.79664353560706</v>
      </c>
      <c r="U159" s="1738"/>
    </row>
    <row r="160" spans="1:21">
      <c r="A160" s="10" t="s">
        <v>13</v>
      </c>
      <c r="B160" s="19">
        <f>+CHAMNORD!B160</f>
        <v>46177</v>
      </c>
      <c r="C160" s="75">
        <f>IF(H160=0,"",'[6]2025-2026'!C159)</f>
        <v>9380.1299999999992</v>
      </c>
      <c r="D160" s="68">
        <f>+'[6]2025'!C160</f>
        <v>8862.66</v>
      </c>
      <c r="E160" s="68">
        <f>+'[6]2025'!D160</f>
        <v>8819.5300000000007</v>
      </c>
      <c r="F160" s="20">
        <f>+'[6]2025'!E160</f>
        <v>446</v>
      </c>
      <c r="G160" s="73">
        <f>+'[6]2025'!F160</f>
        <v>8900</v>
      </c>
      <c r="H160" s="42">
        <f>+'[6]2025'!G160</f>
        <v>7133.35</v>
      </c>
      <c r="I160" s="13">
        <f>+'[6]2025'!H160</f>
        <v>7030.83</v>
      </c>
      <c r="J160" s="14">
        <f>+'[6]2025'!I160</f>
        <v>346</v>
      </c>
      <c r="K160" s="15">
        <f>+'[6]2025'!J160</f>
        <v>56.43</v>
      </c>
      <c r="L160" s="15">
        <f>+'[6]2025'!K160</f>
        <v>80.099999999999994</v>
      </c>
      <c r="M160" s="15">
        <f>+'[6]2025'!L160</f>
        <v>71.260000000000005</v>
      </c>
      <c r="N160" s="16">
        <f t="shared" si="8"/>
        <v>1.0135360974451097E-2</v>
      </c>
      <c r="O160" s="17">
        <f t="shared" si="9"/>
        <v>-0.20281126091753196</v>
      </c>
      <c r="P160" s="17">
        <f t="shared" si="9"/>
        <v>-0.22421524663677131</v>
      </c>
      <c r="Q160" s="18">
        <f t="shared" si="10"/>
        <v>124.59383306751728</v>
      </c>
      <c r="R160" s="18">
        <f t="shared" si="11"/>
        <v>87.775655430711609</v>
      </c>
      <c r="S160" s="34"/>
      <c r="T160" s="29" t="s">
        <v>8</v>
      </c>
      <c r="U160" s="1738"/>
    </row>
    <row r="161" spans="1:21">
      <c r="A161" s="10" t="s">
        <v>14</v>
      </c>
      <c r="B161" s="19">
        <f>+CHAMNORD!B161</f>
        <v>46178</v>
      </c>
      <c r="C161" s="75">
        <f>IF(H161=0,"",'[6]2025-2026'!C160)</f>
        <v>8862.66</v>
      </c>
      <c r="D161" s="68">
        <f>+'[6]2025'!C161</f>
        <v>13277.46</v>
      </c>
      <c r="E161" s="68">
        <f>+'[6]2025'!D161</f>
        <v>13161.64</v>
      </c>
      <c r="F161" s="20">
        <f>+'[6]2025'!E161</f>
        <v>627</v>
      </c>
      <c r="G161" s="73">
        <f>+'[6]2025'!F161</f>
        <v>13700</v>
      </c>
      <c r="H161" s="42">
        <f>+'[6]2025'!G161</f>
        <v>12756.65</v>
      </c>
      <c r="I161" s="13">
        <f>+'[6]2025'!H161</f>
        <v>12590.85</v>
      </c>
      <c r="J161" s="14">
        <f>+'[6]2025'!I161</f>
        <v>562</v>
      </c>
      <c r="K161" s="15">
        <f>+'[6]2025'!J161</f>
        <v>105.35</v>
      </c>
      <c r="L161" s="15">
        <f>+'[6]2025'!K161</f>
        <v>121.1</v>
      </c>
      <c r="M161" s="15">
        <f>+'[6]2025'!L161</f>
        <v>65.739999999999995</v>
      </c>
      <c r="N161" s="16">
        <f t="shared" si="8"/>
        <v>5.2212519408935849E-3</v>
      </c>
      <c r="O161" s="17">
        <f t="shared" si="9"/>
        <v>-4.336769581906199E-2</v>
      </c>
      <c r="P161" s="17">
        <f t="shared" si="9"/>
        <v>-0.10366826156299841</v>
      </c>
      <c r="Q161" s="18">
        <f t="shared" si="10"/>
        <v>119.51447555766494</v>
      </c>
      <c r="R161" s="18">
        <f t="shared" si="11"/>
        <v>103.9706853839802</v>
      </c>
      <c r="S161" s="36" t="s">
        <v>40</v>
      </c>
      <c r="T161" s="48">
        <f>SUM(I157:I163)/SUM(L157:L163)</f>
        <v>91.345753817439174</v>
      </c>
      <c r="U161" s="1738"/>
    </row>
    <row r="162" spans="1:21">
      <c r="A162" s="10" t="s">
        <v>15</v>
      </c>
      <c r="B162" s="19">
        <f>+CHAMNORD!B162</f>
        <v>46179</v>
      </c>
      <c r="C162" s="75">
        <f>IF(H162=0,"",'[6]2025-2026'!C161)</f>
        <v>13277.46</v>
      </c>
      <c r="D162" s="68">
        <f>+'[6]2025'!C162</f>
        <v>12187.9</v>
      </c>
      <c r="E162" s="68">
        <f>+'[6]2025'!D162</f>
        <v>12076.59</v>
      </c>
      <c r="F162" s="20">
        <f>+'[6]2025'!E162</f>
        <v>545</v>
      </c>
      <c r="G162" s="73">
        <f>+'[6]2025'!F162</f>
        <v>12600</v>
      </c>
      <c r="H162" s="42">
        <f>+'[6]2025'!G162</f>
        <v>11758.38</v>
      </c>
      <c r="I162" s="13">
        <f>+'[6]2025'!H162</f>
        <v>11590.31</v>
      </c>
      <c r="J162" s="14">
        <f>+'[6]2025'!I162</f>
        <v>525</v>
      </c>
      <c r="K162" s="15">
        <f>+'[6]2025'!J162</f>
        <v>100.52</v>
      </c>
      <c r="L162" s="15">
        <f>+'[6]2025'!K162</f>
        <v>118.09</v>
      </c>
      <c r="M162" s="15">
        <f>+'[6]2025'!L162</f>
        <v>58.5</v>
      </c>
      <c r="N162" s="16">
        <f t="shared" si="8"/>
        <v>5.047319700681E-3</v>
      </c>
      <c r="O162" s="17">
        <f t="shared" si="9"/>
        <v>-4.0266333460024777E-2</v>
      </c>
      <c r="P162" s="17">
        <f t="shared" si="9"/>
        <v>-3.669724770642202E-2</v>
      </c>
      <c r="Q162" s="18">
        <f t="shared" si="10"/>
        <v>115.30352168722642</v>
      </c>
      <c r="R162" s="18">
        <f t="shared" si="11"/>
        <v>98.148107375730362</v>
      </c>
      <c r="S162" s="36">
        <f>SUM(J157:J163)</f>
        <v>3145</v>
      </c>
      <c r="T162" s="30" t="s">
        <v>3</v>
      </c>
      <c r="U162" s="1738"/>
    </row>
    <row r="163" spans="1:21" ht="18" thickBot="1">
      <c r="A163" s="10" t="s">
        <v>16</v>
      </c>
      <c r="B163" s="19">
        <f>+CHAMNORD!B163</f>
        <v>46180</v>
      </c>
      <c r="C163" s="75">
        <f>IF(H163=0,"",'[6]2025-2026'!C162)</f>
        <v>12187.9</v>
      </c>
      <c r="D163" s="68">
        <f>+'[6]2025'!C163</f>
        <v>13569.64</v>
      </c>
      <c r="E163" s="68">
        <f>+'[6]2025'!D163</f>
        <v>13456.39</v>
      </c>
      <c r="F163" s="20">
        <f>+'[6]2025'!E163</f>
        <v>600</v>
      </c>
      <c r="G163" s="73">
        <f>+'[6]2025'!F163</f>
        <v>14100</v>
      </c>
      <c r="H163" s="42">
        <f>+'[6]2025'!G163</f>
        <v>13903.63</v>
      </c>
      <c r="I163" s="13">
        <f>+'[6]2025'!H163</f>
        <v>13724.4</v>
      </c>
      <c r="J163" s="14">
        <f>+'[6]2025'!I163</f>
        <v>578</v>
      </c>
      <c r="K163" s="15">
        <f>+'[6]2025'!J163</f>
        <v>123.73</v>
      </c>
      <c r="L163" s="15">
        <f>+'[6]2025'!K163</f>
        <v>140.38</v>
      </c>
      <c r="M163" s="15">
        <f>+'[6]2025'!L163</f>
        <v>70.260000000000005</v>
      </c>
      <c r="N163" s="16">
        <f t="shared" si="8"/>
        <v>5.1193494797586786E-3</v>
      </c>
      <c r="O163" s="17">
        <f t="shared" si="9"/>
        <v>1.9916931658490889E-2</v>
      </c>
      <c r="P163" s="17">
        <f t="shared" si="9"/>
        <v>-3.6666666666666667E-2</v>
      </c>
      <c r="Q163" s="18">
        <f t="shared" si="10"/>
        <v>110.92216923947304</v>
      </c>
      <c r="R163" s="18">
        <f t="shared" si="11"/>
        <v>97.766063541815072</v>
      </c>
      <c r="S163" s="37">
        <f>(S162-SUM(F157:F163))/SUM(F157:F163)</f>
        <v>-7.4183102737709741E-2</v>
      </c>
      <c r="T163" s="47">
        <f>SUM(M157:M163)/SUM(I157:I163)</f>
        <v>5.3304561514790644E-3</v>
      </c>
      <c r="U163" s="1739"/>
    </row>
    <row r="164" spans="1:21" ht="17" customHeight="1" thickTop="1">
      <c r="A164" s="10" t="s">
        <v>9</v>
      </c>
      <c r="B164" s="19">
        <f>+CHAMNORD!B164</f>
        <v>46181</v>
      </c>
      <c r="C164" s="75" t="str">
        <f>IF(H164=0,"",'[6]2025-2026'!C163)</f>
        <v/>
      </c>
      <c r="D164" s="68" t="str">
        <f>+'[6]2025'!C164</f>
        <v/>
      </c>
      <c r="E164" s="68" t="str">
        <f>+'[6]2025'!D164</f>
        <v/>
      </c>
      <c r="F164" s="20" t="str">
        <f>+'[6]2025'!E164</f>
        <v/>
      </c>
      <c r="G164" s="73" t="str">
        <f>+'[6]2025'!F164</f>
        <v/>
      </c>
      <c r="H164" s="42">
        <f>+'[6]2025'!G164</f>
        <v>0</v>
      </c>
      <c r="I164" s="13">
        <f>+'[6]2025'!H164</f>
        <v>0</v>
      </c>
      <c r="J164" s="14">
        <f>+'[6]2025'!I164</f>
        <v>0</v>
      </c>
      <c r="K164" s="15">
        <f>+'[6]2025'!J164</f>
        <v>0</v>
      </c>
      <c r="L164" s="15">
        <f>+'[6]2025'!K164</f>
        <v>0</v>
      </c>
      <c r="M164" s="15">
        <f>+'[6]2025'!L164</f>
        <v>0</v>
      </c>
      <c r="N164" s="16" t="str">
        <f t="shared" si="8"/>
        <v/>
      </c>
      <c r="O164" s="17" t="str">
        <f t="shared" si="9"/>
        <v/>
      </c>
      <c r="P164" s="17" t="str">
        <f t="shared" si="9"/>
        <v/>
      </c>
      <c r="Q164" s="18" t="str">
        <f t="shared" si="10"/>
        <v/>
      </c>
      <c r="R164" s="18" t="e">
        <f t="shared" si="11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19">
        <f>+CHAMNORD!B165</f>
        <v>46182</v>
      </c>
      <c r="C165" s="75" t="str">
        <f>IF(H165=0,"",'[6]2025-2026'!C164)</f>
        <v/>
      </c>
      <c r="D165" s="68" t="str">
        <f>+'[6]2025'!C165</f>
        <v/>
      </c>
      <c r="E165" s="68" t="str">
        <f>+'[6]2025'!D165</f>
        <v/>
      </c>
      <c r="F165" s="20" t="str">
        <f>+'[6]2025'!E165</f>
        <v/>
      </c>
      <c r="G165" s="73" t="str">
        <f>+'[6]2025'!F165</f>
        <v/>
      </c>
      <c r="H165" s="42">
        <f>+'[6]2025'!G165</f>
        <v>0</v>
      </c>
      <c r="I165" s="13">
        <f>+'[6]2025'!H165</f>
        <v>0</v>
      </c>
      <c r="J165" s="14">
        <f>+'[6]2025'!I165</f>
        <v>0</v>
      </c>
      <c r="K165" s="15">
        <f>+'[6]2025'!J165</f>
        <v>0</v>
      </c>
      <c r="L165" s="15">
        <f>+'[6]2025'!K165</f>
        <v>0</v>
      </c>
      <c r="M165" s="15">
        <f>+'[6]2025'!L165</f>
        <v>0</v>
      </c>
      <c r="N165" s="16" t="str">
        <f t="shared" si="8"/>
        <v/>
      </c>
      <c r="O165" s="17" t="str">
        <f t="shared" si="9"/>
        <v/>
      </c>
      <c r="P165" s="17" t="str">
        <f t="shared" si="9"/>
        <v/>
      </c>
      <c r="Q165" s="18" t="str">
        <f t="shared" si="10"/>
        <v/>
      </c>
      <c r="R165" s="18" t="e">
        <f t="shared" si="11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19">
        <f>+CHAMNORD!B166</f>
        <v>46183</v>
      </c>
      <c r="C166" s="75" t="str">
        <f>IF(H166=0,"",'[6]2025-2026'!C165)</f>
        <v/>
      </c>
      <c r="D166" s="68" t="str">
        <f>+'[6]2025'!C166</f>
        <v/>
      </c>
      <c r="E166" s="68" t="str">
        <f>+'[6]2025'!D166</f>
        <v/>
      </c>
      <c r="F166" s="20" t="str">
        <f>+'[6]2025'!E166</f>
        <v/>
      </c>
      <c r="G166" s="73" t="str">
        <f>+'[6]2025'!F166</f>
        <v/>
      </c>
      <c r="H166" s="42">
        <f>+'[6]2025'!G166</f>
        <v>0</v>
      </c>
      <c r="I166" s="13">
        <f>+'[6]2025'!H166</f>
        <v>0</v>
      </c>
      <c r="J166" s="14">
        <f>+'[6]2025'!I166</f>
        <v>0</v>
      </c>
      <c r="K166" s="15">
        <f>+'[6]2025'!J166</f>
        <v>0</v>
      </c>
      <c r="L166" s="15">
        <f>+'[6]2025'!K166</f>
        <v>0</v>
      </c>
      <c r="M166" s="15">
        <f>+'[6]2025'!L166</f>
        <v>0</v>
      </c>
      <c r="N166" s="16" t="str">
        <f t="shared" si="8"/>
        <v/>
      </c>
      <c r="O166" s="17" t="str">
        <f t="shared" si="9"/>
        <v/>
      </c>
      <c r="P166" s="17" t="str">
        <f t="shared" si="9"/>
        <v/>
      </c>
      <c r="Q166" s="18" t="str">
        <f t="shared" si="10"/>
        <v/>
      </c>
      <c r="R166" s="18" t="e">
        <f t="shared" si="11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19">
        <f>+CHAMNORD!B167</f>
        <v>46184</v>
      </c>
      <c r="C167" s="75" t="str">
        <f>IF(H167=0,"",'[6]2025-2026'!C166)</f>
        <v/>
      </c>
      <c r="D167" s="68" t="str">
        <f>+'[6]2025'!C167</f>
        <v/>
      </c>
      <c r="E167" s="68" t="str">
        <f>+'[6]2025'!D167</f>
        <v/>
      </c>
      <c r="F167" s="20" t="str">
        <f>+'[6]2025'!E167</f>
        <v/>
      </c>
      <c r="G167" s="73" t="str">
        <f>+'[6]2025'!F167</f>
        <v/>
      </c>
      <c r="H167" s="42">
        <f>+'[6]2025'!G167</f>
        <v>0</v>
      </c>
      <c r="I167" s="13">
        <f>+'[6]2025'!H167</f>
        <v>0</v>
      </c>
      <c r="J167" s="14">
        <f>+'[6]2025'!I167</f>
        <v>0</v>
      </c>
      <c r="K167" s="15">
        <f>+'[6]2025'!J167</f>
        <v>0</v>
      </c>
      <c r="L167" s="15">
        <f>+'[6]2025'!K167</f>
        <v>0</v>
      </c>
      <c r="M167" s="15">
        <f>+'[6]2025'!L167</f>
        <v>0</v>
      </c>
      <c r="N167" s="16" t="str">
        <f t="shared" si="8"/>
        <v/>
      </c>
      <c r="O167" s="17" t="str">
        <f t="shared" si="9"/>
        <v/>
      </c>
      <c r="P167" s="17" t="str">
        <f t="shared" si="9"/>
        <v/>
      </c>
      <c r="Q167" s="18" t="str">
        <f t="shared" si="10"/>
        <v/>
      </c>
      <c r="R167" s="18" t="e">
        <f t="shared" si="11"/>
        <v>#DIV/0!</v>
      </c>
      <c r="S167" s="34"/>
      <c r="T167" s="29" t="s">
        <v>8</v>
      </c>
      <c r="U167" s="1738"/>
    </row>
    <row r="168" spans="1:21">
      <c r="A168" s="10" t="s">
        <v>14</v>
      </c>
      <c r="B168" s="19">
        <f>+CHAMNORD!B168</f>
        <v>46185</v>
      </c>
      <c r="C168" s="75" t="str">
        <f>IF(H168=0,"",'[6]2025-2026'!C167)</f>
        <v/>
      </c>
      <c r="D168" s="68" t="str">
        <f>+'[6]2025'!C168</f>
        <v/>
      </c>
      <c r="E168" s="68" t="str">
        <f>+'[6]2025'!D168</f>
        <v/>
      </c>
      <c r="F168" s="20" t="str">
        <f>+'[6]2025'!E168</f>
        <v/>
      </c>
      <c r="G168" s="73" t="str">
        <f>+'[6]2025'!F168</f>
        <v/>
      </c>
      <c r="H168" s="42">
        <f>+'[6]2025'!G168</f>
        <v>0</v>
      </c>
      <c r="I168" s="13">
        <f>+'[6]2025'!H168</f>
        <v>0</v>
      </c>
      <c r="J168" s="14">
        <f>+'[6]2025'!I168</f>
        <v>0</v>
      </c>
      <c r="K168" s="15">
        <f>+'[6]2025'!J168</f>
        <v>0</v>
      </c>
      <c r="L168" s="15">
        <f>+'[6]2025'!K168</f>
        <v>0</v>
      </c>
      <c r="M168" s="15">
        <f>+'[6]2025'!L168</f>
        <v>0</v>
      </c>
      <c r="N168" s="16" t="str">
        <f t="shared" si="8"/>
        <v/>
      </c>
      <c r="O168" s="17" t="str">
        <f t="shared" si="9"/>
        <v/>
      </c>
      <c r="P168" s="17" t="str">
        <f t="shared" si="9"/>
        <v/>
      </c>
      <c r="Q168" s="18" t="str">
        <f t="shared" si="10"/>
        <v/>
      </c>
      <c r="R168" s="18" t="e">
        <f t="shared" si="11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19">
        <f>+CHAMNORD!B169</f>
        <v>46186</v>
      </c>
      <c r="C169" s="75" t="str">
        <f>IF(H169=0,"",'[6]2025-2026'!C168)</f>
        <v/>
      </c>
      <c r="D169" s="68" t="str">
        <f>+'[6]2025'!C169</f>
        <v/>
      </c>
      <c r="E169" s="68" t="str">
        <f>+'[6]2025'!D169</f>
        <v/>
      </c>
      <c r="F169" s="20" t="str">
        <f>+'[6]2025'!E169</f>
        <v/>
      </c>
      <c r="G169" s="73" t="str">
        <f>+'[6]2025'!F169</f>
        <v/>
      </c>
      <c r="H169" s="42">
        <f>+'[6]2025'!G169</f>
        <v>0</v>
      </c>
      <c r="I169" s="13">
        <f>+'[6]2025'!H169</f>
        <v>0</v>
      </c>
      <c r="J169" s="14">
        <f>+'[6]2025'!I169</f>
        <v>0</v>
      </c>
      <c r="K169" s="15">
        <f>+'[6]2025'!J169</f>
        <v>0</v>
      </c>
      <c r="L169" s="15">
        <f>+'[6]2025'!K169</f>
        <v>0</v>
      </c>
      <c r="M169" s="15">
        <f>+'[6]2025'!L169</f>
        <v>0</v>
      </c>
      <c r="N169" s="16" t="str">
        <f t="shared" si="8"/>
        <v/>
      </c>
      <c r="O169" s="17" t="str">
        <f t="shared" si="9"/>
        <v/>
      </c>
      <c r="P169" s="17" t="str">
        <f t="shared" si="9"/>
        <v/>
      </c>
      <c r="Q169" s="18" t="str">
        <f t="shared" si="10"/>
        <v/>
      </c>
      <c r="R169" s="18" t="e">
        <f t="shared" si="11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19">
        <f>+CHAMNORD!B170</f>
        <v>46187</v>
      </c>
      <c r="C170" s="75" t="str">
        <f>IF(H170=0,"",'[6]2025-2026'!C169)</f>
        <v/>
      </c>
      <c r="D170" s="68" t="str">
        <f>+'[6]2025'!C170</f>
        <v/>
      </c>
      <c r="E170" s="68" t="str">
        <f>+'[6]2025'!D170</f>
        <v/>
      </c>
      <c r="F170" s="20" t="str">
        <f>+'[6]2025'!E170</f>
        <v/>
      </c>
      <c r="G170" s="73" t="str">
        <f>+'[6]2025'!F170</f>
        <v/>
      </c>
      <c r="H170" s="42">
        <f>+'[6]2025'!G170</f>
        <v>0</v>
      </c>
      <c r="I170" s="13">
        <f>+'[6]2025'!H170</f>
        <v>0</v>
      </c>
      <c r="J170" s="14">
        <f>+'[6]2025'!I170</f>
        <v>0</v>
      </c>
      <c r="K170" s="15">
        <f>+'[6]2025'!J170</f>
        <v>0</v>
      </c>
      <c r="L170" s="15">
        <f>+'[6]2025'!K170</f>
        <v>0</v>
      </c>
      <c r="M170" s="15">
        <f>+'[6]2025'!L170</f>
        <v>0</v>
      </c>
      <c r="N170" s="16" t="str">
        <f t="shared" si="8"/>
        <v/>
      </c>
      <c r="O170" s="17" t="str">
        <f t="shared" si="9"/>
        <v/>
      </c>
      <c r="P170" s="17" t="str">
        <f t="shared" si="9"/>
        <v/>
      </c>
      <c r="Q170" s="18" t="str">
        <f t="shared" si="10"/>
        <v/>
      </c>
      <c r="R170" s="18" t="e">
        <f t="shared" si="11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19">
        <f>+CHAMNORD!B171</f>
        <v>46188</v>
      </c>
      <c r="C171" s="75" t="str">
        <f>IF(H171=0,"",'[6]2025-2026'!C170)</f>
        <v/>
      </c>
      <c r="D171" s="68" t="str">
        <f>+'[6]2025'!C171</f>
        <v/>
      </c>
      <c r="E171" s="68" t="str">
        <f>+'[6]2025'!D171</f>
        <v/>
      </c>
      <c r="F171" s="20" t="str">
        <f>+'[6]2025'!E171</f>
        <v/>
      </c>
      <c r="G171" s="73" t="str">
        <f>+'[6]2025'!F171</f>
        <v/>
      </c>
      <c r="H171" s="42">
        <f>+'[6]2025'!G171</f>
        <v>0</v>
      </c>
      <c r="I171" s="13">
        <f>+'[6]2025'!H171</f>
        <v>0</v>
      </c>
      <c r="J171" s="14">
        <f>+'[6]2025'!I171</f>
        <v>0</v>
      </c>
      <c r="K171" s="15">
        <f>+'[6]2025'!J171</f>
        <v>0</v>
      </c>
      <c r="L171" s="15">
        <f>+'[6]2025'!K171</f>
        <v>0</v>
      </c>
      <c r="M171" s="15">
        <f>+'[6]2025'!L171</f>
        <v>0</v>
      </c>
      <c r="N171" s="16" t="str">
        <f t="shared" si="8"/>
        <v/>
      </c>
      <c r="O171" s="17" t="str">
        <f t="shared" si="9"/>
        <v/>
      </c>
      <c r="P171" s="17" t="str">
        <f t="shared" si="9"/>
        <v/>
      </c>
      <c r="Q171" s="18" t="str">
        <f t="shared" si="10"/>
        <v/>
      </c>
      <c r="R171" s="18" t="e">
        <f t="shared" si="11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19">
        <f>+CHAMNORD!B172</f>
        <v>46189</v>
      </c>
      <c r="C172" s="75" t="str">
        <f>IF(H172=0,"",'[6]2025-2026'!C171)</f>
        <v/>
      </c>
      <c r="D172" s="68" t="str">
        <f>+'[6]2025'!C172</f>
        <v/>
      </c>
      <c r="E172" s="68" t="str">
        <f>+'[6]2025'!D172</f>
        <v/>
      </c>
      <c r="F172" s="20" t="str">
        <f>+'[6]2025'!E172</f>
        <v/>
      </c>
      <c r="G172" s="73" t="str">
        <f>+'[6]2025'!F172</f>
        <v/>
      </c>
      <c r="H172" s="42">
        <f>+'[6]2025'!G172</f>
        <v>0</v>
      </c>
      <c r="I172" s="13">
        <f>+'[6]2025'!H172</f>
        <v>0</v>
      </c>
      <c r="J172" s="14">
        <f>+'[6]2025'!I172</f>
        <v>0</v>
      </c>
      <c r="K172" s="15">
        <f>+'[6]2025'!J172</f>
        <v>0</v>
      </c>
      <c r="L172" s="15">
        <f>+'[6]2025'!K172</f>
        <v>0</v>
      </c>
      <c r="M172" s="15">
        <f>+'[6]2025'!L172</f>
        <v>0</v>
      </c>
      <c r="N172" s="16" t="str">
        <f t="shared" si="8"/>
        <v/>
      </c>
      <c r="O172" s="17" t="str">
        <f t="shared" si="9"/>
        <v/>
      </c>
      <c r="P172" s="17" t="str">
        <f t="shared" si="9"/>
        <v/>
      </c>
      <c r="Q172" s="18" t="str">
        <f t="shared" si="10"/>
        <v/>
      </c>
      <c r="R172" s="18" t="e">
        <f t="shared" si="11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19">
        <f>+CHAMNORD!B173</f>
        <v>46190</v>
      </c>
      <c r="C173" s="75" t="str">
        <f>IF(H173=0,"",'[6]2025-2026'!C172)</f>
        <v/>
      </c>
      <c r="D173" s="68" t="str">
        <f>+'[6]2025'!C173</f>
        <v/>
      </c>
      <c r="E173" s="68" t="str">
        <f>+'[6]2025'!D173</f>
        <v/>
      </c>
      <c r="F173" s="20" t="str">
        <f>+'[6]2025'!E173</f>
        <v/>
      </c>
      <c r="G173" s="73" t="str">
        <f>+'[6]2025'!F173</f>
        <v/>
      </c>
      <c r="H173" s="42">
        <f>+'[6]2025'!G173</f>
        <v>0</v>
      </c>
      <c r="I173" s="13">
        <f>+'[6]2025'!H173</f>
        <v>0</v>
      </c>
      <c r="J173" s="14">
        <f>+'[6]2025'!I173</f>
        <v>0</v>
      </c>
      <c r="K173" s="15">
        <f>+'[6]2025'!J173</f>
        <v>0</v>
      </c>
      <c r="L173" s="15">
        <f>+'[6]2025'!K173</f>
        <v>0</v>
      </c>
      <c r="M173" s="15">
        <f>+'[6]2025'!L173</f>
        <v>0</v>
      </c>
      <c r="N173" s="16" t="str">
        <f t="shared" si="8"/>
        <v/>
      </c>
      <c r="O173" s="17" t="str">
        <f t="shared" si="9"/>
        <v/>
      </c>
      <c r="P173" s="17" t="str">
        <f t="shared" si="9"/>
        <v/>
      </c>
      <c r="Q173" s="18" t="str">
        <f t="shared" si="10"/>
        <v/>
      </c>
      <c r="R173" s="18" t="e">
        <f t="shared" si="11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19">
        <f>+CHAMNORD!B174</f>
        <v>46191</v>
      </c>
      <c r="C174" s="75" t="str">
        <f>IF(H174=0,"",'[6]2025-2026'!C173)</f>
        <v/>
      </c>
      <c r="D174" s="68" t="str">
        <f>+'[6]2025'!C174</f>
        <v/>
      </c>
      <c r="E174" s="68" t="str">
        <f>+'[6]2025'!D174</f>
        <v/>
      </c>
      <c r="F174" s="20" t="str">
        <f>+'[6]2025'!E174</f>
        <v/>
      </c>
      <c r="G174" s="73" t="str">
        <f>+'[6]2025'!F174</f>
        <v/>
      </c>
      <c r="H174" s="42">
        <f>+'[6]2025'!G174</f>
        <v>0</v>
      </c>
      <c r="I174" s="13">
        <f>+'[6]2025'!H174</f>
        <v>0</v>
      </c>
      <c r="J174" s="14">
        <f>+'[6]2025'!I174</f>
        <v>0</v>
      </c>
      <c r="K174" s="15">
        <f>+'[6]2025'!J174</f>
        <v>0</v>
      </c>
      <c r="L174" s="15">
        <f>+'[6]2025'!K174</f>
        <v>0</v>
      </c>
      <c r="M174" s="15">
        <f>+'[6]2025'!L174</f>
        <v>0</v>
      </c>
      <c r="N174" s="16" t="str">
        <f t="shared" si="8"/>
        <v/>
      </c>
      <c r="O174" s="17" t="str">
        <f t="shared" si="9"/>
        <v/>
      </c>
      <c r="P174" s="17" t="str">
        <f t="shared" si="9"/>
        <v/>
      </c>
      <c r="Q174" s="18" t="str">
        <f t="shared" si="10"/>
        <v/>
      </c>
      <c r="R174" s="18" t="e">
        <f t="shared" si="11"/>
        <v>#DIV/0!</v>
      </c>
      <c r="S174" s="34"/>
      <c r="T174" s="29" t="s">
        <v>8</v>
      </c>
      <c r="U174" s="1738"/>
    </row>
    <row r="175" spans="1:21">
      <c r="A175" s="10" t="s">
        <v>14</v>
      </c>
      <c r="B175" s="19">
        <f>+CHAMNORD!B175</f>
        <v>46192</v>
      </c>
      <c r="C175" s="75" t="str">
        <f>IF(H175=0,"",'[6]2025-2026'!C174)</f>
        <v/>
      </c>
      <c r="D175" s="68" t="str">
        <f>+'[6]2025'!C175</f>
        <v/>
      </c>
      <c r="E175" s="68" t="str">
        <f>+'[6]2025'!D175</f>
        <v/>
      </c>
      <c r="F175" s="20" t="str">
        <f>+'[6]2025'!E175</f>
        <v/>
      </c>
      <c r="G175" s="73" t="str">
        <f>+'[6]2025'!F175</f>
        <v/>
      </c>
      <c r="H175" s="42">
        <f>+'[6]2025'!G175</f>
        <v>0</v>
      </c>
      <c r="I175" s="13">
        <f>+'[6]2025'!H175</f>
        <v>0</v>
      </c>
      <c r="J175" s="14">
        <f>+'[6]2025'!I175</f>
        <v>0</v>
      </c>
      <c r="K175" s="15">
        <f>+'[6]2025'!J175</f>
        <v>0</v>
      </c>
      <c r="L175" s="15">
        <f>+'[6]2025'!K175</f>
        <v>0</v>
      </c>
      <c r="M175" s="15">
        <f>+'[6]2025'!L175</f>
        <v>0</v>
      </c>
      <c r="N175" s="16" t="str">
        <f t="shared" si="8"/>
        <v/>
      </c>
      <c r="O175" s="17" t="str">
        <f t="shared" si="9"/>
        <v/>
      </c>
      <c r="P175" s="17" t="str">
        <f t="shared" si="9"/>
        <v/>
      </c>
      <c r="Q175" s="18" t="str">
        <f t="shared" si="10"/>
        <v/>
      </c>
      <c r="R175" s="18" t="e">
        <f t="shared" si="11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19">
        <f>+CHAMNORD!B176</f>
        <v>46193</v>
      </c>
      <c r="C176" s="75" t="str">
        <f>IF(H176=0,"",'[6]2025-2026'!C175)</f>
        <v/>
      </c>
      <c r="D176" s="68" t="str">
        <f>+'[6]2025'!C176</f>
        <v/>
      </c>
      <c r="E176" s="68" t="str">
        <f>+'[6]2025'!D176</f>
        <v/>
      </c>
      <c r="F176" s="20" t="str">
        <f>+'[6]2025'!E176</f>
        <v/>
      </c>
      <c r="G176" s="73" t="str">
        <f>+'[6]2025'!F176</f>
        <v/>
      </c>
      <c r="H176" s="42">
        <f>+'[6]2025'!G176</f>
        <v>0</v>
      </c>
      <c r="I176" s="13">
        <f>+'[6]2025'!H176</f>
        <v>0</v>
      </c>
      <c r="J176" s="14">
        <f>+'[6]2025'!I176</f>
        <v>0</v>
      </c>
      <c r="K176" s="15">
        <f>+'[6]2025'!J176</f>
        <v>0</v>
      </c>
      <c r="L176" s="15">
        <f>+'[6]2025'!K176</f>
        <v>0</v>
      </c>
      <c r="M176" s="15">
        <f>+'[6]2025'!L176</f>
        <v>0</v>
      </c>
      <c r="N176" s="16" t="str">
        <f t="shared" si="8"/>
        <v/>
      </c>
      <c r="O176" s="17" t="str">
        <f t="shared" si="9"/>
        <v/>
      </c>
      <c r="P176" s="17" t="str">
        <f t="shared" si="9"/>
        <v/>
      </c>
      <c r="Q176" s="18" t="str">
        <f t="shared" si="10"/>
        <v/>
      </c>
      <c r="R176" s="18" t="e">
        <f t="shared" si="11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19">
        <f>+CHAMNORD!B177</f>
        <v>46194</v>
      </c>
      <c r="C177" s="75" t="str">
        <f>IF(H177=0,"",'[6]2025-2026'!C176)</f>
        <v/>
      </c>
      <c r="D177" s="68" t="str">
        <f>+'[6]2025'!C177</f>
        <v/>
      </c>
      <c r="E177" s="68" t="str">
        <f>+'[6]2025'!D177</f>
        <v/>
      </c>
      <c r="F177" s="20" t="str">
        <f>+'[6]2025'!E177</f>
        <v/>
      </c>
      <c r="G177" s="73" t="str">
        <f>+'[6]2025'!F177</f>
        <v/>
      </c>
      <c r="H177" s="42">
        <f>+'[6]2025'!G177</f>
        <v>0</v>
      </c>
      <c r="I177" s="13">
        <f>+'[6]2025'!H177</f>
        <v>0</v>
      </c>
      <c r="J177" s="14">
        <f>+'[6]2025'!I177</f>
        <v>0</v>
      </c>
      <c r="K177" s="15">
        <f>+'[6]2025'!J177</f>
        <v>0</v>
      </c>
      <c r="L177" s="15">
        <f>+'[6]2025'!K177</f>
        <v>0</v>
      </c>
      <c r="M177" s="15">
        <f>+'[6]2025'!L177</f>
        <v>0</v>
      </c>
      <c r="N177" s="16" t="str">
        <f t="shared" si="8"/>
        <v/>
      </c>
      <c r="O177" s="17" t="str">
        <f t="shared" si="9"/>
        <v/>
      </c>
      <c r="P177" s="17" t="str">
        <f t="shared" si="9"/>
        <v/>
      </c>
      <c r="Q177" s="18" t="str">
        <f t="shared" si="10"/>
        <v/>
      </c>
      <c r="R177" s="18" t="e">
        <f t="shared" si="11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19">
        <f>+CHAMNORD!B178</f>
        <v>46195</v>
      </c>
      <c r="C178" s="75" t="str">
        <f>IF(H178=0,"",'[6]2025-2026'!C177)</f>
        <v/>
      </c>
      <c r="D178" s="68" t="str">
        <f>+'[6]2025'!C178</f>
        <v/>
      </c>
      <c r="E178" s="68" t="str">
        <f>+'[6]2025'!D178</f>
        <v/>
      </c>
      <c r="F178" s="20" t="str">
        <f>+'[6]2025'!E178</f>
        <v/>
      </c>
      <c r="G178" s="73" t="str">
        <f>+'[6]2025'!F178</f>
        <v/>
      </c>
      <c r="H178" s="42">
        <f>+'[6]2025'!G178</f>
        <v>0</v>
      </c>
      <c r="I178" s="13">
        <f>+'[6]2025'!H178</f>
        <v>0</v>
      </c>
      <c r="J178" s="14">
        <f>+'[6]2025'!I178</f>
        <v>0</v>
      </c>
      <c r="K178" s="15">
        <f>+'[6]2025'!J178</f>
        <v>0</v>
      </c>
      <c r="L178" s="15">
        <f>+'[6]2025'!K178</f>
        <v>0</v>
      </c>
      <c r="M178" s="15">
        <f>+'[6]2025'!L178</f>
        <v>0</v>
      </c>
      <c r="N178" s="16" t="str">
        <f t="shared" si="8"/>
        <v/>
      </c>
      <c r="O178" s="17" t="str">
        <f t="shared" si="9"/>
        <v/>
      </c>
      <c r="P178" s="17" t="str">
        <f t="shared" si="9"/>
        <v/>
      </c>
      <c r="Q178" s="18" t="str">
        <f t="shared" si="10"/>
        <v/>
      </c>
      <c r="R178" s="18" t="e">
        <f t="shared" si="11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19">
        <f>+CHAMNORD!B179</f>
        <v>46196</v>
      </c>
      <c r="C179" s="75" t="str">
        <f>IF(H179=0,"",'[6]2025-2026'!C178)</f>
        <v/>
      </c>
      <c r="D179" s="68" t="str">
        <f>+'[6]2025'!C179</f>
        <v/>
      </c>
      <c r="E179" s="68" t="str">
        <f>+'[6]2025'!D179</f>
        <v/>
      </c>
      <c r="F179" s="20" t="str">
        <f>+'[6]2025'!E179</f>
        <v/>
      </c>
      <c r="G179" s="73" t="str">
        <f>+'[6]2025'!F179</f>
        <v/>
      </c>
      <c r="H179" s="42">
        <f>+'[6]2025'!G179</f>
        <v>0</v>
      </c>
      <c r="I179" s="13">
        <f>+'[6]2025'!H179</f>
        <v>0</v>
      </c>
      <c r="J179" s="14">
        <f>+'[6]2025'!I179</f>
        <v>0</v>
      </c>
      <c r="K179" s="15">
        <f>+'[6]2025'!J179</f>
        <v>0</v>
      </c>
      <c r="L179" s="15">
        <f>+'[6]2025'!K179</f>
        <v>0</v>
      </c>
      <c r="M179" s="15">
        <f>+'[6]2025'!L179</f>
        <v>0</v>
      </c>
      <c r="N179" s="16" t="str">
        <f t="shared" si="8"/>
        <v/>
      </c>
      <c r="O179" s="17" t="str">
        <f t="shared" si="9"/>
        <v/>
      </c>
      <c r="P179" s="17" t="str">
        <f t="shared" si="9"/>
        <v/>
      </c>
      <c r="Q179" s="18" t="str">
        <f t="shared" si="10"/>
        <v/>
      </c>
      <c r="R179" s="18" t="e">
        <f t="shared" si="11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19">
        <f>+CHAMNORD!B180</f>
        <v>46197</v>
      </c>
      <c r="C180" s="75" t="str">
        <f>IF(H180=0,"",'[6]2025-2026'!C179)</f>
        <v/>
      </c>
      <c r="D180" s="68" t="str">
        <f>+'[6]2025'!C180</f>
        <v/>
      </c>
      <c r="E180" s="68" t="str">
        <f>+'[6]2025'!D180</f>
        <v/>
      </c>
      <c r="F180" s="20" t="str">
        <f>+'[6]2025'!E180</f>
        <v/>
      </c>
      <c r="G180" s="73" t="str">
        <f>+'[6]2025'!F180</f>
        <v/>
      </c>
      <c r="H180" s="42">
        <f>+'[6]2025'!G180</f>
        <v>0</v>
      </c>
      <c r="I180" s="13">
        <f>+'[6]2025'!H180</f>
        <v>0</v>
      </c>
      <c r="J180" s="14">
        <f>+'[6]2025'!I180</f>
        <v>0</v>
      </c>
      <c r="K180" s="15">
        <f>+'[6]2025'!J180</f>
        <v>0</v>
      </c>
      <c r="L180" s="15">
        <f>+'[6]2025'!K180</f>
        <v>0</v>
      </c>
      <c r="M180" s="15">
        <f>+'[6]2025'!L180</f>
        <v>0</v>
      </c>
      <c r="N180" s="16" t="str">
        <f t="shared" si="8"/>
        <v/>
      </c>
      <c r="O180" s="17" t="str">
        <f t="shared" si="9"/>
        <v/>
      </c>
      <c r="P180" s="17" t="str">
        <f t="shared" si="9"/>
        <v/>
      </c>
      <c r="Q180" s="18" t="str">
        <f t="shared" si="10"/>
        <v/>
      </c>
      <c r="R180" s="18" t="e">
        <f t="shared" si="11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19">
        <f>+CHAMNORD!B181</f>
        <v>46198</v>
      </c>
      <c r="C181" s="75" t="str">
        <f>IF(H181=0,"",'[6]2025-2026'!C180)</f>
        <v/>
      </c>
      <c r="D181" s="68" t="str">
        <f>+'[6]2025'!C181</f>
        <v/>
      </c>
      <c r="E181" s="68" t="str">
        <f>+'[6]2025'!D181</f>
        <v/>
      </c>
      <c r="F181" s="20" t="str">
        <f>+'[6]2025'!E181</f>
        <v/>
      </c>
      <c r="G181" s="73" t="str">
        <f>+'[6]2025'!F181</f>
        <v/>
      </c>
      <c r="H181" s="42">
        <f>+'[6]2025'!G181</f>
        <v>0</v>
      </c>
      <c r="I181" s="13">
        <f>+'[6]2025'!H181</f>
        <v>0</v>
      </c>
      <c r="J181" s="14">
        <f>+'[6]2025'!I181</f>
        <v>0</v>
      </c>
      <c r="K181" s="15">
        <f>+'[6]2025'!J181</f>
        <v>0</v>
      </c>
      <c r="L181" s="15">
        <f>+'[6]2025'!K181</f>
        <v>0</v>
      </c>
      <c r="M181" s="15">
        <f>+'[6]2025'!L181</f>
        <v>0</v>
      </c>
      <c r="N181" s="16" t="str">
        <f t="shared" si="8"/>
        <v/>
      </c>
      <c r="O181" s="17" t="str">
        <f t="shared" si="9"/>
        <v/>
      </c>
      <c r="P181" s="17" t="str">
        <f t="shared" si="9"/>
        <v/>
      </c>
      <c r="Q181" s="18" t="str">
        <f t="shared" si="10"/>
        <v/>
      </c>
      <c r="R181" s="18" t="e">
        <f t="shared" si="11"/>
        <v>#DIV/0!</v>
      </c>
      <c r="S181" s="34"/>
      <c r="T181" s="29" t="s">
        <v>8</v>
      </c>
      <c r="U181" s="1738"/>
    </row>
    <row r="182" spans="1:21">
      <c r="A182" s="10" t="s">
        <v>14</v>
      </c>
      <c r="B182" s="19">
        <f>+CHAMNORD!B182</f>
        <v>46199</v>
      </c>
      <c r="C182" s="75" t="str">
        <f>IF(H182=0,"",'[6]2025-2026'!C181)</f>
        <v/>
      </c>
      <c r="D182" s="68" t="str">
        <f>+'[6]2025'!C182</f>
        <v/>
      </c>
      <c r="E182" s="68" t="str">
        <f>+'[6]2025'!D182</f>
        <v/>
      </c>
      <c r="F182" s="20" t="str">
        <f>+'[6]2025'!E182</f>
        <v/>
      </c>
      <c r="G182" s="73" t="str">
        <f>+'[6]2025'!F182</f>
        <v/>
      </c>
      <c r="H182" s="42">
        <f>+'[6]2025'!G182</f>
        <v>0</v>
      </c>
      <c r="I182" s="13">
        <f>+'[6]2025'!H182</f>
        <v>0</v>
      </c>
      <c r="J182" s="14">
        <f>+'[6]2025'!I182</f>
        <v>0</v>
      </c>
      <c r="K182" s="15">
        <f>+'[6]2025'!J182</f>
        <v>0</v>
      </c>
      <c r="L182" s="15">
        <f>+'[6]2025'!K182</f>
        <v>0</v>
      </c>
      <c r="M182" s="15">
        <f>+'[6]2025'!L182</f>
        <v>0</v>
      </c>
      <c r="N182" s="16" t="str">
        <f t="shared" si="8"/>
        <v/>
      </c>
      <c r="O182" s="17" t="str">
        <f t="shared" si="9"/>
        <v/>
      </c>
      <c r="P182" s="17" t="str">
        <f t="shared" si="9"/>
        <v/>
      </c>
      <c r="Q182" s="18" t="str">
        <f t="shared" si="10"/>
        <v/>
      </c>
      <c r="R182" s="18" t="e">
        <f t="shared" si="11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19">
        <f>+CHAMNORD!B183</f>
        <v>46200</v>
      </c>
      <c r="C183" s="75" t="str">
        <f>IF(H183=0,"",'[6]2025-2026'!C182)</f>
        <v/>
      </c>
      <c r="D183" s="68" t="str">
        <f>+'[6]2025'!C183</f>
        <v/>
      </c>
      <c r="E183" s="68" t="str">
        <f>+'[6]2025'!D183</f>
        <v/>
      </c>
      <c r="F183" s="20" t="str">
        <f>+'[6]2025'!E183</f>
        <v/>
      </c>
      <c r="G183" s="73" t="str">
        <f>+'[6]2025'!F183</f>
        <v/>
      </c>
      <c r="H183" s="42">
        <f>+'[6]2025'!G183</f>
        <v>0</v>
      </c>
      <c r="I183" s="13">
        <f>+'[6]2025'!H183</f>
        <v>0</v>
      </c>
      <c r="J183" s="14">
        <f>+'[6]2025'!I183</f>
        <v>0</v>
      </c>
      <c r="K183" s="15">
        <f>+'[6]2025'!J183</f>
        <v>0</v>
      </c>
      <c r="L183" s="15">
        <f>+'[6]2025'!K183</f>
        <v>0</v>
      </c>
      <c r="M183" s="15">
        <f>+'[6]2025'!L183</f>
        <v>0</v>
      </c>
      <c r="N183" s="16" t="str">
        <f t="shared" si="8"/>
        <v/>
      </c>
      <c r="O183" s="17" t="str">
        <f t="shared" si="9"/>
        <v/>
      </c>
      <c r="P183" s="17" t="str">
        <f t="shared" si="9"/>
        <v/>
      </c>
      <c r="Q183" s="18" t="str">
        <f t="shared" si="10"/>
        <v/>
      </c>
      <c r="R183" s="18" t="e">
        <f t="shared" si="11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19">
        <f>+CHAMNORD!B184</f>
        <v>46201</v>
      </c>
      <c r="C184" s="75" t="str">
        <f>IF(H184=0,"",'[6]2025-2026'!C183)</f>
        <v/>
      </c>
      <c r="D184" s="68" t="str">
        <f>+'[6]2025'!C184</f>
        <v/>
      </c>
      <c r="E184" s="68" t="str">
        <f>+'[6]2025'!D184</f>
        <v/>
      </c>
      <c r="F184" s="20" t="str">
        <f>+'[6]2025'!E184</f>
        <v/>
      </c>
      <c r="G184" s="73" t="str">
        <f>+'[6]2025'!F184</f>
        <v/>
      </c>
      <c r="H184" s="42">
        <f>+'[6]2025'!G184</f>
        <v>0</v>
      </c>
      <c r="I184" s="13">
        <f>+'[6]2025'!H184</f>
        <v>0</v>
      </c>
      <c r="J184" s="14">
        <f>+'[6]2025'!I184</f>
        <v>0</v>
      </c>
      <c r="K184" s="15">
        <f>+'[6]2025'!J184</f>
        <v>0</v>
      </c>
      <c r="L184" s="15">
        <f>+'[6]2025'!K184</f>
        <v>0</v>
      </c>
      <c r="M184" s="15">
        <f>+'[6]2025'!L184</f>
        <v>0</v>
      </c>
      <c r="N184" s="16" t="str">
        <f t="shared" si="8"/>
        <v/>
      </c>
      <c r="O184" s="17" t="str">
        <f t="shared" si="9"/>
        <v/>
      </c>
      <c r="P184" s="17" t="str">
        <f t="shared" si="9"/>
        <v/>
      </c>
      <c r="Q184" s="18" t="str">
        <f t="shared" si="10"/>
        <v/>
      </c>
      <c r="R184" s="18" t="e">
        <f t="shared" si="11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19">
        <f>+CHAMNORD!B185</f>
        <v>46202</v>
      </c>
      <c r="C185" s="75" t="str">
        <f>IF(H185=0,"",'[6]2025-2026'!C184)</f>
        <v/>
      </c>
      <c r="D185" s="68" t="str">
        <f>+'[6]2025'!C185</f>
        <v/>
      </c>
      <c r="E185" s="68" t="str">
        <f>+'[6]2025'!D185</f>
        <v/>
      </c>
      <c r="F185" s="20" t="str">
        <f>+'[6]2025'!E185</f>
        <v/>
      </c>
      <c r="G185" s="73" t="str">
        <f>+'[6]2025'!F185</f>
        <v/>
      </c>
      <c r="H185" s="42">
        <f>+'[6]2025'!G185</f>
        <v>0</v>
      </c>
      <c r="I185" s="13">
        <f>+'[6]2025'!H185</f>
        <v>0</v>
      </c>
      <c r="J185" s="14">
        <f>+'[6]2025'!I185</f>
        <v>0</v>
      </c>
      <c r="K185" s="15">
        <f>+'[6]2025'!J185</f>
        <v>0</v>
      </c>
      <c r="L185" s="15">
        <f>+'[6]2025'!K185</f>
        <v>0</v>
      </c>
      <c r="M185" s="15">
        <f>+'[6]2025'!L185</f>
        <v>0</v>
      </c>
      <c r="N185" s="16" t="str">
        <f t="shared" si="8"/>
        <v/>
      </c>
      <c r="O185" s="17" t="str">
        <f t="shared" si="9"/>
        <v/>
      </c>
      <c r="P185" s="17" t="str">
        <f t="shared" si="9"/>
        <v/>
      </c>
      <c r="Q185" s="18" t="str">
        <f t="shared" si="10"/>
        <v/>
      </c>
      <c r="R185" s="18" t="e">
        <f t="shared" si="11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19">
        <f>+CHAMNORD!B186</f>
        <v>46203</v>
      </c>
      <c r="C186" s="75" t="str">
        <f>IF(H186=0,"",'[6]2025-2026'!C185)</f>
        <v/>
      </c>
      <c r="D186" s="68" t="str">
        <f>+'[6]2025'!C186</f>
        <v/>
      </c>
      <c r="E186" s="68" t="str">
        <f>+'[6]2025'!D186</f>
        <v/>
      </c>
      <c r="F186" s="20" t="str">
        <f>+'[6]2025'!E186</f>
        <v/>
      </c>
      <c r="G186" s="73" t="str">
        <f>+'[6]2025'!F186</f>
        <v/>
      </c>
      <c r="H186" s="42">
        <f>+'[6]2025'!G186</f>
        <v>0</v>
      </c>
      <c r="I186" s="13">
        <f>+'[6]2025'!H186</f>
        <v>0</v>
      </c>
      <c r="J186" s="14">
        <f>+'[6]2025'!I186</f>
        <v>0</v>
      </c>
      <c r="K186" s="15">
        <f>+'[6]2025'!J186</f>
        <v>0</v>
      </c>
      <c r="L186" s="15">
        <f>+'[6]2025'!K186</f>
        <v>0</v>
      </c>
      <c r="M186" s="15">
        <f>+'[6]2025'!L186</f>
        <v>0</v>
      </c>
      <c r="N186" s="16" t="str">
        <f t="shared" si="8"/>
        <v/>
      </c>
      <c r="O186" s="17" t="str">
        <f t="shared" si="9"/>
        <v/>
      </c>
      <c r="P186" s="17" t="str">
        <f t="shared" si="9"/>
        <v/>
      </c>
      <c r="Q186" s="18" t="str">
        <f t="shared" si="10"/>
        <v/>
      </c>
      <c r="R186" s="18" t="e">
        <f t="shared" si="11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19">
        <f>+CHAMNORD!B187</f>
        <v>46204</v>
      </c>
      <c r="C187" s="75" t="str">
        <f>IF(H187=0,"",'[6]2025-2026'!C186)</f>
        <v/>
      </c>
      <c r="D187" s="68" t="str">
        <f>+'[6]2025'!C187</f>
        <v/>
      </c>
      <c r="E187" s="68" t="str">
        <f>+'[6]2025'!D187</f>
        <v/>
      </c>
      <c r="F187" s="20" t="str">
        <f>+'[6]2025'!E187</f>
        <v/>
      </c>
      <c r="G187" s="73" t="str">
        <f>+'[6]2025'!F187</f>
        <v/>
      </c>
      <c r="H187" s="42">
        <f>+'[6]2025'!G187</f>
        <v>0</v>
      </c>
      <c r="I187" s="13">
        <f>+'[6]2025'!H187</f>
        <v>0</v>
      </c>
      <c r="J187" s="14">
        <f>+'[6]2025'!I187</f>
        <v>0</v>
      </c>
      <c r="K187" s="15">
        <f>+'[6]2025'!J187</f>
        <v>0</v>
      </c>
      <c r="L187" s="15">
        <f>+'[6]2025'!K187</f>
        <v>0</v>
      </c>
      <c r="M187" s="15">
        <f>+'[6]2025'!L187</f>
        <v>0</v>
      </c>
      <c r="N187" s="16" t="str">
        <f t="shared" si="8"/>
        <v/>
      </c>
      <c r="O187" s="17" t="str">
        <f t="shared" si="9"/>
        <v/>
      </c>
      <c r="P187" s="17" t="str">
        <f t="shared" si="9"/>
        <v/>
      </c>
      <c r="Q187" s="18" t="str">
        <f t="shared" si="10"/>
        <v/>
      </c>
      <c r="R187" s="18" t="e">
        <f t="shared" si="11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19">
        <f>+CHAMNORD!B188</f>
        <v>46205</v>
      </c>
      <c r="C188" s="75" t="str">
        <f>IF(H188=0,"",'[6]2025-2026'!C187)</f>
        <v/>
      </c>
      <c r="D188" s="68" t="str">
        <f>+'[6]2025'!C188</f>
        <v/>
      </c>
      <c r="E188" s="68" t="str">
        <f>+'[6]2025'!D188</f>
        <v/>
      </c>
      <c r="F188" s="20" t="str">
        <f>+'[6]2025'!E188</f>
        <v/>
      </c>
      <c r="G188" s="73" t="str">
        <f>+'[6]2025'!F188</f>
        <v/>
      </c>
      <c r="H188" s="42">
        <f>+'[6]2025'!G188</f>
        <v>0</v>
      </c>
      <c r="I188" s="13">
        <f>+'[6]2025'!H188</f>
        <v>0</v>
      </c>
      <c r="J188" s="14">
        <f>+'[6]2025'!I188</f>
        <v>0</v>
      </c>
      <c r="K188" s="15">
        <f>+'[6]2025'!J188</f>
        <v>0</v>
      </c>
      <c r="L188" s="15">
        <f>+'[6]2025'!K188</f>
        <v>0</v>
      </c>
      <c r="M188" s="15">
        <f>+'[6]2025'!L188</f>
        <v>0</v>
      </c>
      <c r="N188" s="16" t="str">
        <f t="shared" si="8"/>
        <v/>
      </c>
      <c r="O188" s="17" t="str">
        <f t="shared" si="9"/>
        <v/>
      </c>
      <c r="P188" s="17" t="str">
        <f t="shared" si="9"/>
        <v/>
      </c>
      <c r="Q188" s="18" t="str">
        <f t="shared" si="10"/>
        <v/>
      </c>
      <c r="R188" s="18" t="e">
        <f t="shared" si="11"/>
        <v>#DIV/0!</v>
      </c>
      <c r="S188" s="34"/>
      <c r="T188" s="29" t="s">
        <v>8</v>
      </c>
      <c r="U188" s="1738"/>
    </row>
    <row r="189" spans="1:21">
      <c r="A189" s="10" t="s">
        <v>14</v>
      </c>
      <c r="B189" s="19">
        <f>+CHAMNORD!B189</f>
        <v>46206</v>
      </c>
      <c r="C189" s="75" t="str">
        <f>IF(H189=0,"",'[6]2025-2026'!C188)</f>
        <v/>
      </c>
      <c r="D189" s="68" t="str">
        <f>+'[6]2025'!C189</f>
        <v/>
      </c>
      <c r="E189" s="68" t="str">
        <f>+'[6]2025'!D189</f>
        <v/>
      </c>
      <c r="F189" s="20" t="str">
        <f>+'[6]2025'!E189</f>
        <v/>
      </c>
      <c r="G189" s="73" t="str">
        <f>+'[6]2025'!F189</f>
        <v/>
      </c>
      <c r="H189" s="42">
        <f>+'[6]2025'!G189</f>
        <v>0</v>
      </c>
      <c r="I189" s="13">
        <f>+'[6]2025'!H189</f>
        <v>0</v>
      </c>
      <c r="J189" s="14">
        <f>+'[6]2025'!I189</f>
        <v>0</v>
      </c>
      <c r="K189" s="15">
        <f>+'[6]2025'!J189</f>
        <v>0</v>
      </c>
      <c r="L189" s="15">
        <f>+'[6]2025'!K189</f>
        <v>0</v>
      </c>
      <c r="M189" s="15">
        <f>+'[6]2025'!L189</f>
        <v>0</v>
      </c>
      <c r="N189" s="16" t="str">
        <f t="shared" si="8"/>
        <v/>
      </c>
      <c r="O189" s="17" t="str">
        <f t="shared" si="9"/>
        <v/>
      </c>
      <c r="P189" s="17" t="str">
        <f t="shared" si="9"/>
        <v/>
      </c>
      <c r="Q189" s="18" t="str">
        <f t="shared" si="10"/>
        <v/>
      </c>
      <c r="R189" s="18" t="e">
        <f t="shared" si="11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19">
        <f>+CHAMNORD!B190</f>
        <v>46207</v>
      </c>
      <c r="C190" s="75" t="str">
        <f>IF(H190=0,"",'[6]2025-2026'!C189)</f>
        <v/>
      </c>
      <c r="D190" s="68" t="str">
        <f>+'[6]2025'!C190</f>
        <v/>
      </c>
      <c r="E190" s="68" t="str">
        <f>+'[6]2025'!D190</f>
        <v/>
      </c>
      <c r="F190" s="20" t="str">
        <f>+'[6]2025'!E190</f>
        <v/>
      </c>
      <c r="G190" s="73" t="str">
        <f>+'[6]2025'!F190</f>
        <v/>
      </c>
      <c r="H190" s="42">
        <f>+'[6]2025'!G190</f>
        <v>0</v>
      </c>
      <c r="I190" s="13">
        <f>+'[6]2025'!H190</f>
        <v>0</v>
      </c>
      <c r="J190" s="14">
        <f>+'[6]2025'!I190</f>
        <v>0</v>
      </c>
      <c r="K190" s="15">
        <f>+'[6]2025'!J190</f>
        <v>0</v>
      </c>
      <c r="L190" s="15">
        <f>+'[6]2025'!K190</f>
        <v>0</v>
      </c>
      <c r="M190" s="15">
        <f>+'[6]2025'!L190</f>
        <v>0</v>
      </c>
      <c r="N190" s="16" t="str">
        <f t="shared" si="8"/>
        <v/>
      </c>
      <c r="O190" s="17" t="str">
        <f t="shared" si="9"/>
        <v/>
      </c>
      <c r="P190" s="17" t="str">
        <f t="shared" si="9"/>
        <v/>
      </c>
      <c r="Q190" s="18" t="str">
        <f t="shared" si="10"/>
        <v/>
      </c>
      <c r="R190" s="18" t="e">
        <f t="shared" si="11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19">
        <f>+CHAMNORD!B191</f>
        <v>46208</v>
      </c>
      <c r="C191" s="75" t="str">
        <f>IF(H191=0,"",'[6]2025-2026'!C190)</f>
        <v/>
      </c>
      <c r="D191" s="68" t="str">
        <f>+'[6]2025'!C191</f>
        <v/>
      </c>
      <c r="E191" s="68" t="str">
        <f>+'[6]2025'!D191</f>
        <v/>
      </c>
      <c r="F191" s="20" t="str">
        <f>+'[6]2025'!E191</f>
        <v/>
      </c>
      <c r="G191" s="73" t="str">
        <f>+'[6]2025'!F191</f>
        <v/>
      </c>
      <c r="H191" s="42">
        <f>+'[6]2025'!G191</f>
        <v>0</v>
      </c>
      <c r="I191" s="13">
        <f>+'[6]2025'!H191</f>
        <v>0</v>
      </c>
      <c r="J191" s="14">
        <f>+'[6]2025'!I191</f>
        <v>0</v>
      </c>
      <c r="K191" s="15">
        <f>+'[6]2025'!J191</f>
        <v>0</v>
      </c>
      <c r="L191" s="15">
        <f>+'[6]2025'!K191</f>
        <v>0</v>
      </c>
      <c r="M191" s="15">
        <f>+'[6]2025'!L191</f>
        <v>0</v>
      </c>
      <c r="N191" s="16" t="str">
        <f t="shared" si="8"/>
        <v/>
      </c>
      <c r="O191" s="17" t="str">
        <f t="shared" si="9"/>
        <v/>
      </c>
      <c r="P191" s="17" t="str">
        <f t="shared" si="9"/>
        <v/>
      </c>
      <c r="Q191" s="18" t="str">
        <f t="shared" si="10"/>
        <v/>
      </c>
      <c r="R191" s="18" t="e">
        <f t="shared" si="11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19">
        <f>+CHAMNORD!B192</f>
        <v>46209</v>
      </c>
      <c r="C192" s="75" t="str">
        <f>IF(H192=0,"",'[6]2025-2026'!C191)</f>
        <v/>
      </c>
      <c r="D192" s="68" t="str">
        <f>+'[6]2025'!C192</f>
        <v/>
      </c>
      <c r="E192" s="68" t="str">
        <f>+'[6]2025'!D192</f>
        <v/>
      </c>
      <c r="F192" s="20" t="str">
        <f>+'[6]2025'!E192</f>
        <v/>
      </c>
      <c r="G192" s="73" t="str">
        <f>+'[6]2025'!F192</f>
        <v/>
      </c>
      <c r="H192" s="42">
        <f>+'[6]2025'!G192</f>
        <v>0</v>
      </c>
      <c r="I192" s="13">
        <f>+'[6]2025'!H192</f>
        <v>0</v>
      </c>
      <c r="J192" s="14">
        <f>+'[6]2025'!I192</f>
        <v>0</v>
      </c>
      <c r="K192" s="15">
        <f>+'[6]2025'!J192</f>
        <v>0</v>
      </c>
      <c r="L192" s="15">
        <f>+'[6]2025'!K192</f>
        <v>0</v>
      </c>
      <c r="M192" s="15">
        <f>+'[6]2025'!L192</f>
        <v>0</v>
      </c>
      <c r="N192" s="16" t="str">
        <f t="shared" si="8"/>
        <v/>
      </c>
      <c r="O192" s="17" t="str">
        <f t="shared" si="9"/>
        <v/>
      </c>
      <c r="P192" s="17" t="str">
        <f t="shared" si="9"/>
        <v/>
      </c>
      <c r="Q192" s="18" t="str">
        <f t="shared" si="10"/>
        <v/>
      </c>
      <c r="R192" s="18" t="e">
        <f t="shared" si="11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19">
        <f>+CHAMNORD!B193</f>
        <v>46210</v>
      </c>
      <c r="C193" s="75" t="str">
        <f>IF(H193=0,"",'[6]2025-2026'!C192)</f>
        <v/>
      </c>
      <c r="D193" s="68" t="str">
        <f>+'[6]2025'!C193</f>
        <v/>
      </c>
      <c r="E193" s="68" t="str">
        <f>+'[6]2025'!D193</f>
        <v/>
      </c>
      <c r="F193" s="20" t="str">
        <f>+'[6]2025'!E193</f>
        <v/>
      </c>
      <c r="G193" s="73" t="str">
        <f>+'[6]2025'!F193</f>
        <v/>
      </c>
      <c r="H193" s="42">
        <f>+'[6]2025'!G193</f>
        <v>0</v>
      </c>
      <c r="I193" s="13">
        <f>+'[6]2025'!H193</f>
        <v>0</v>
      </c>
      <c r="J193" s="14">
        <f>+'[6]2025'!I193</f>
        <v>0</v>
      </c>
      <c r="K193" s="15">
        <f>+'[6]2025'!J193</f>
        <v>0</v>
      </c>
      <c r="L193" s="15">
        <f>+'[6]2025'!K193</f>
        <v>0</v>
      </c>
      <c r="M193" s="15">
        <f>+'[6]2025'!L193</f>
        <v>0</v>
      </c>
      <c r="N193" s="16" t="str">
        <f t="shared" si="8"/>
        <v/>
      </c>
      <c r="O193" s="17" t="str">
        <f t="shared" si="9"/>
        <v/>
      </c>
      <c r="P193" s="17" t="str">
        <f t="shared" si="9"/>
        <v/>
      </c>
      <c r="Q193" s="18" t="str">
        <f t="shared" si="10"/>
        <v/>
      </c>
      <c r="R193" s="18" t="e">
        <f t="shared" si="11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19">
        <f>+CHAMNORD!B194</f>
        <v>46211</v>
      </c>
      <c r="C194" s="75" t="str">
        <f>IF(H194=0,"",'[6]2025-2026'!C193)</f>
        <v/>
      </c>
      <c r="D194" s="68" t="str">
        <f>+'[6]2025'!C194</f>
        <v/>
      </c>
      <c r="E194" s="68" t="str">
        <f>+'[6]2025'!D194</f>
        <v/>
      </c>
      <c r="F194" s="20" t="str">
        <f>+'[6]2025'!E194</f>
        <v/>
      </c>
      <c r="G194" s="73" t="str">
        <f>+'[6]2025'!F194</f>
        <v/>
      </c>
      <c r="H194" s="42">
        <f>+'[6]2025'!G194</f>
        <v>0</v>
      </c>
      <c r="I194" s="13">
        <f>+'[6]2025'!H194</f>
        <v>0</v>
      </c>
      <c r="J194" s="14">
        <f>+'[6]2025'!I194</f>
        <v>0</v>
      </c>
      <c r="K194" s="15">
        <f>+'[6]2025'!J194</f>
        <v>0</v>
      </c>
      <c r="L194" s="15">
        <f>+'[6]2025'!K194</f>
        <v>0</v>
      </c>
      <c r="M194" s="15">
        <f>+'[6]2025'!L194</f>
        <v>0</v>
      </c>
      <c r="N194" s="16" t="str">
        <f t="shared" si="8"/>
        <v/>
      </c>
      <c r="O194" s="17" t="str">
        <f t="shared" si="9"/>
        <v/>
      </c>
      <c r="P194" s="17" t="str">
        <f t="shared" si="9"/>
        <v/>
      </c>
      <c r="Q194" s="18" t="str">
        <f t="shared" si="10"/>
        <v/>
      </c>
      <c r="R194" s="18" t="e">
        <f t="shared" si="11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19">
        <f>+CHAMNORD!B195</f>
        <v>46212</v>
      </c>
      <c r="C195" s="75" t="str">
        <f>IF(H195=0,"",'[6]2025-2026'!C194)</f>
        <v/>
      </c>
      <c r="D195" s="68" t="str">
        <f>+'[6]2025'!C195</f>
        <v/>
      </c>
      <c r="E195" s="68" t="str">
        <f>+'[6]2025'!D195</f>
        <v/>
      </c>
      <c r="F195" s="20" t="str">
        <f>+'[6]2025'!E195</f>
        <v/>
      </c>
      <c r="G195" s="73" t="str">
        <f>+'[6]2025'!F195</f>
        <v/>
      </c>
      <c r="H195" s="42">
        <f>+'[6]2025'!G195</f>
        <v>0</v>
      </c>
      <c r="I195" s="13">
        <f>+'[6]2025'!H195</f>
        <v>0</v>
      </c>
      <c r="J195" s="14">
        <f>+'[6]2025'!I195</f>
        <v>0</v>
      </c>
      <c r="K195" s="15">
        <f>+'[6]2025'!J195</f>
        <v>0</v>
      </c>
      <c r="L195" s="15">
        <f>+'[6]2025'!K195</f>
        <v>0</v>
      </c>
      <c r="M195" s="15">
        <f>+'[6]2025'!L195</f>
        <v>0</v>
      </c>
      <c r="N195" s="16" t="str">
        <f t="shared" si="8"/>
        <v/>
      </c>
      <c r="O195" s="17" t="str">
        <f t="shared" si="9"/>
        <v/>
      </c>
      <c r="P195" s="17" t="str">
        <f t="shared" si="9"/>
        <v/>
      </c>
      <c r="Q195" s="18" t="str">
        <f t="shared" si="10"/>
        <v/>
      </c>
      <c r="R195" s="18" t="e">
        <f t="shared" si="11"/>
        <v>#DIV/0!</v>
      </c>
      <c r="S195" s="34"/>
      <c r="T195" s="29" t="s">
        <v>8</v>
      </c>
      <c r="U195" s="1738"/>
    </row>
    <row r="196" spans="1:21">
      <c r="A196" s="10" t="s">
        <v>14</v>
      </c>
      <c r="B196" s="19">
        <f>+CHAMNORD!B196</f>
        <v>46213</v>
      </c>
      <c r="C196" s="75" t="str">
        <f>IF(H196=0,"",'[6]2025-2026'!C195)</f>
        <v/>
      </c>
      <c r="D196" s="68" t="str">
        <f>+'[6]2025'!C196</f>
        <v/>
      </c>
      <c r="E196" s="68" t="str">
        <f>+'[6]2025'!D196</f>
        <v/>
      </c>
      <c r="F196" s="20" t="str">
        <f>+'[6]2025'!E196</f>
        <v/>
      </c>
      <c r="G196" s="73" t="str">
        <f>+'[6]2025'!F196</f>
        <v/>
      </c>
      <c r="H196" s="42">
        <f>+'[6]2025'!G196</f>
        <v>0</v>
      </c>
      <c r="I196" s="13">
        <f>+'[6]2025'!H196</f>
        <v>0</v>
      </c>
      <c r="J196" s="14">
        <f>+'[6]2025'!I196</f>
        <v>0</v>
      </c>
      <c r="K196" s="15">
        <f>+'[6]2025'!J196</f>
        <v>0</v>
      </c>
      <c r="L196" s="15">
        <f>+'[6]2025'!K196</f>
        <v>0</v>
      </c>
      <c r="M196" s="15">
        <f>+'[6]2025'!L196</f>
        <v>0</v>
      </c>
      <c r="N196" s="16" t="str">
        <f t="shared" ref="N196:N259" si="12">IF(M196=0,"",M196/I196)</f>
        <v/>
      </c>
      <c r="O196" s="17" t="str">
        <f t="shared" ref="O196:P259" si="13">IF(I196=0,"",(I196-E196)/E196)</f>
        <v/>
      </c>
      <c r="P196" s="17" t="str">
        <f t="shared" si="13"/>
        <v/>
      </c>
      <c r="Q196" s="18" t="str">
        <f t="shared" ref="Q196:Q259" si="14">IF(I196=0,"",I196/K196)</f>
        <v/>
      </c>
      <c r="R196" s="18" t="e">
        <f t="shared" ref="R196:R259" si="15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19">
        <f>+CHAMNORD!B197</f>
        <v>46214</v>
      </c>
      <c r="C197" s="75" t="str">
        <f>IF(H197=0,"",'[6]2025-2026'!C196)</f>
        <v/>
      </c>
      <c r="D197" s="68" t="str">
        <f>+'[6]2025'!C197</f>
        <v/>
      </c>
      <c r="E197" s="68" t="str">
        <f>+'[6]2025'!D197</f>
        <v/>
      </c>
      <c r="F197" s="20" t="str">
        <f>+'[6]2025'!E197</f>
        <v/>
      </c>
      <c r="G197" s="73" t="str">
        <f>+'[6]2025'!F197</f>
        <v/>
      </c>
      <c r="H197" s="42">
        <f>+'[6]2025'!G197</f>
        <v>0</v>
      </c>
      <c r="I197" s="13">
        <f>+'[6]2025'!H197</f>
        <v>0</v>
      </c>
      <c r="J197" s="14">
        <f>+'[6]2025'!I197</f>
        <v>0</v>
      </c>
      <c r="K197" s="15">
        <f>+'[6]2025'!J197</f>
        <v>0</v>
      </c>
      <c r="L197" s="15">
        <f>+'[6]2025'!K197</f>
        <v>0</v>
      </c>
      <c r="M197" s="15">
        <f>+'[6]2025'!L197</f>
        <v>0</v>
      </c>
      <c r="N197" s="16" t="str">
        <f t="shared" si="12"/>
        <v/>
      </c>
      <c r="O197" s="17" t="str">
        <f t="shared" si="13"/>
        <v/>
      </c>
      <c r="P197" s="17" t="str">
        <f t="shared" si="13"/>
        <v/>
      </c>
      <c r="Q197" s="18" t="str">
        <f t="shared" si="14"/>
        <v/>
      </c>
      <c r="R197" s="18" t="e">
        <f t="shared" si="15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19">
        <f>+CHAMNORD!B198</f>
        <v>46215</v>
      </c>
      <c r="C198" s="75" t="str">
        <f>IF(H198=0,"",'[6]2025-2026'!C197)</f>
        <v/>
      </c>
      <c r="D198" s="68" t="str">
        <f>+'[6]2025'!C198</f>
        <v/>
      </c>
      <c r="E198" s="68" t="str">
        <f>+'[6]2025'!D198</f>
        <v/>
      </c>
      <c r="F198" s="20" t="str">
        <f>+'[6]2025'!E198</f>
        <v/>
      </c>
      <c r="G198" s="73" t="str">
        <f>+'[6]2025'!F198</f>
        <v/>
      </c>
      <c r="H198" s="42">
        <f>+'[6]2025'!G198</f>
        <v>0</v>
      </c>
      <c r="I198" s="13">
        <f>+'[6]2025'!H198</f>
        <v>0</v>
      </c>
      <c r="J198" s="14">
        <f>+'[6]2025'!I198</f>
        <v>0</v>
      </c>
      <c r="K198" s="15">
        <f>+'[6]2025'!J198</f>
        <v>0</v>
      </c>
      <c r="L198" s="15">
        <f>+'[6]2025'!K198</f>
        <v>0</v>
      </c>
      <c r="M198" s="15">
        <f>+'[6]2025'!L198</f>
        <v>0</v>
      </c>
      <c r="N198" s="16" t="str">
        <f t="shared" si="12"/>
        <v/>
      </c>
      <c r="O198" s="17" t="str">
        <f t="shared" si="13"/>
        <v/>
      </c>
      <c r="P198" s="17" t="str">
        <f t="shared" si="13"/>
        <v/>
      </c>
      <c r="Q198" s="18" t="str">
        <f t="shared" si="14"/>
        <v/>
      </c>
      <c r="R198" s="18" t="e">
        <f t="shared" si="15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19">
        <f>+CHAMNORD!B199</f>
        <v>46216</v>
      </c>
      <c r="C199" s="75" t="str">
        <f>IF(H199=0,"",'[6]2025-2026'!C198)</f>
        <v/>
      </c>
      <c r="D199" s="68" t="str">
        <f>+'[6]2025'!C199</f>
        <v/>
      </c>
      <c r="E199" s="68" t="str">
        <f>+'[6]2025'!D199</f>
        <v/>
      </c>
      <c r="F199" s="20" t="str">
        <f>+'[6]2025'!E199</f>
        <v/>
      </c>
      <c r="G199" s="73" t="str">
        <f>+'[6]2025'!F199</f>
        <v/>
      </c>
      <c r="H199" s="42">
        <f>+'[6]2025'!G199</f>
        <v>0</v>
      </c>
      <c r="I199" s="13">
        <f>+'[6]2025'!H199</f>
        <v>0</v>
      </c>
      <c r="J199" s="14">
        <f>+'[6]2025'!I199</f>
        <v>0</v>
      </c>
      <c r="K199" s="15">
        <f>+'[6]2025'!J199</f>
        <v>0</v>
      </c>
      <c r="L199" s="15">
        <f>+'[6]2025'!K199</f>
        <v>0</v>
      </c>
      <c r="M199" s="15">
        <f>+'[6]2025'!L199</f>
        <v>0</v>
      </c>
      <c r="N199" s="16" t="str">
        <f t="shared" si="12"/>
        <v/>
      </c>
      <c r="O199" s="17" t="str">
        <f t="shared" si="13"/>
        <v/>
      </c>
      <c r="P199" s="17" t="str">
        <f t="shared" si="13"/>
        <v/>
      </c>
      <c r="Q199" s="18" t="str">
        <f t="shared" si="14"/>
        <v/>
      </c>
      <c r="R199" s="18" t="e">
        <f t="shared" si="15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19">
        <f>+CHAMNORD!B200</f>
        <v>46217</v>
      </c>
      <c r="C200" s="75" t="str">
        <f>IF(H200=0,"",'[6]2025-2026'!C199)</f>
        <v/>
      </c>
      <c r="D200" s="68" t="str">
        <f>+'[6]2025'!C200</f>
        <v/>
      </c>
      <c r="E200" s="68" t="str">
        <f>+'[6]2025'!D200</f>
        <v/>
      </c>
      <c r="F200" s="20" t="str">
        <f>+'[6]2025'!E200</f>
        <v/>
      </c>
      <c r="G200" s="73" t="str">
        <f>+'[6]2025'!F200</f>
        <v/>
      </c>
      <c r="H200" s="42">
        <f>+'[6]2025'!G200</f>
        <v>0</v>
      </c>
      <c r="I200" s="13">
        <f>+'[6]2025'!H200</f>
        <v>0</v>
      </c>
      <c r="J200" s="14">
        <f>+'[6]2025'!I200</f>
        <v>0</v>
      </c>
      <c r="K200" s="15">
        <f>+'[6]2025'!J200</f>
        <v>0</v>
      </c>
      <c r="L200" s="15">
        <f>+'[6]2025'!K200</f>
        <v>0</v>
      </c>
      <c r="M200" s="15">
        <f>+'[6]2025'!L200</f>
        <v>0</v>
      </c>
      <c r="N200" s="16" t="str">
        <f t="shared" si="12"/>
        <v/>
      </c>
      <c r="O200" s="17" t="str">
        <f t="shared" si="13"/>
        <v/>
      </c>
      <c r="P200" s="17" t="str">
        <f t="shared" si="13"/>
        <v/>
      </c>
      <c r="Q200" s="18" t="str">
        <f t="shared" si="14"/>
        <v/>
      </c>
      <c r="R200" s="18" t="e">
        <f t="shared" si="15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19">
        <f>+CHAMNORD!B201</f>
        <v>46218</v>
      </c>
      <c r="C201" s="75" t="str">
        <f>IF(H201=0,"",'[6]2025-2026'!C200)</f>
        <v/>
      </c>
      <c r="D201" s="68" t="str">
        <f>+'[6]2025'!C201</f>
        <v/>
      </c>
      <c r="E201" s="68" t="str">
        <f>+'[6]2025'!D201</f>
        <v/>
      </c>
      <c r="F201" s="20" t="str">
        <f>+'[6]2025'!E201</f>
        <v/>
      </c>
      <c r="G201" s="73" t="str">
        <f>+'[6]2025'!F201</f>
        <v/>
      </c>
      <c r="H201" s="42">
        <f>+'[6]2025'!G201</f>
        <v>0</v>
      </c>
      <c r="I201" s="13">
        <f>+'[6]2025'!H201</f>
        <v>0</v>
      </c>
      <c r="J201" s="14">
        <f>+'[6]2025'!I201</f>
        <v>0</v>
      </c>
      <c r="K201" s="15">
        <f>+'[6]2025'!J201</f>
        <v>0</v>
      </c>
      <c r="L201" s="15">
        <f>+'[6]2025'!K201</f>
        <v>0</v>
      </c>
      <c r="M201" s="15">
        <f>+'[6]2025'!L201</f>
        <v>0</v>
      </c>
      <c r="N201" s="16" t="str">
        <f t="shared" si="12"/>
        <v/>
      </c>
      <c r="O201" s="17" t="str">
        <f t="shared" si="13"/>
        <v/>
      </c>
      <c r="P201" s="17" t="str">
        <f t="shared" si="13"/>
        <v/>
      </c>
      <c r="Q201" s="18" t="str">
        <f t="shared" si="14"/>
        <v/>
      </c>
      <c r="R201" s="18" t="e">
        <f t="shared" si="15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19">
        <f>+CHAMNORD!B202</f>
        <v>46219</v>
      </c>
      <c r="C202" s="75" t="str">
        <f>IF(H202=0,"",'[6]2025-2026'!C201)</f>
        <v/>
      </c>
      <c r="D202" s="68" t="str">
        <f>+'[6]2025'!C202</f>
        <v/>
      </c>
      <c r="E202" s="68" t="str">
        <f>+'[6]2025'!D202</f>
        <v/>
      </c>
      <c r="F202" s="20" t="str">
        <f>+'[6]2025'!E202</f>
        <v/>
      </c>
      <c r="G202" s="73" t="str">
        <f>+'[6]2025'!F202</f>
        <v/>
      </c>
      <c r="H202" s="42">
        <f>+'[6]2025'!G202</f>
        <v>0</v>
      </c>
      <c r="I202" s="13">
        <f>+'[6]2025'!H202</f>
        <v>0</v>
      </c>
      <c r="J202" s="14">
        <f>+'[6]2025'!I202</f>
        <v>0</v>
      </c>
      <c r="K202" s="15">
        <f>+'[6]2025'!J202</f>
        <v>0</v>
      </c>
      <c r="L202" s="15">
        <f>+'[6]2025'!K202</f>
        <v>0</v>
      </c>
      <c r="M202" s="15">
        <f>+'[6]2025'!L202</f>
        <v>0</v>
      </c>
      <c r="N202" s="16" t="str">
        <f t="shared" si="12"/>
        <v/>
      </c>
      <c r="O202" s="17" t="str">
        <f t="shared" si="13"/>
        <v/>
      </c>
      <c r="P202" s="17" t="str">
        <f t="shared" si="13"/>
        <v/>
      </c>
      <c r="Q202" s="18" t="str">
        <f t="shared" si="14"/>
        <v/>
      </c>
      <c r="R202" s="18" t="e">
        <f t="shared" si="15"/>
        <v>#DIV/0!</v>
      </c>
      <c r="S202" s="34"/>
      <c r="T202" s="29" t="s">
        <v>8</v>
      </c>
      <c r="U202" s="1738"/>
    </row>
    <row r="203" spans="1:21">
      <c r="A203" s="10" t="s">
        <v>14</v>
      </c>
      <c r="B203" s="19">
        <f>+CHAMNORD!B203</f>
        <v>46220</v>
      </c>
      <c r="C203" s="75" t="str">
        <f>IF(H203=0,"",'[6]2025-2026'!C202)</f>
        <v/>
      </c>
      <c r="D203" s="68" t="str">
        <f>+'[6]2025'!C203</f>
        <v/>
      </c>
      <c r="E203" s="68" t="str">
        <f>+'[6]2025'!D203</f>
        <v/>
      </c>
      <c r="F203" s="20" t="str">
        <f>+'[6]2025'!E203</f>
        <v/>
      </c>
      <c r="G203" s="73" t="str">
        <f>+'[6]2025'!F203</f>
        <v/>
      </c>
      <c r="H203" s="42">
        <f>+'[6]2025'!G203</f>
        <v>0</v>
      </c>
      <c r="I203" s="13">
        <f>+'[6]2025'!H203</f>
        <v>0</v>
      </c>
      <c r="J203" s="14">
        <f>+'[6]2025'!I203</f>
        <v>0</v>
      </c>
      <c r="K203" s="15">
        <f>+'[6]2025'!J203</f>
        <v>0</v>
      </c>
      <c r="L203" s="15">
        <f>+'[6]2025'!K203</f>
        <v>0</v>
      </c>
      <c r="M203" s="15">
        <f>+'[6]2025'!L203</f>
        <v>0</v>
      </c>
      <c r="N203" s="16" t="str">
        <f t="shared" si="12"/>
        <v/>
      </c>
      <c r="O203" s="17" t="str">
        <f t="shared" si="13"/>
        <v/>
      </c>
      <c r="P203" s="17" t="str">
        <f t="shared" si="13"/>
        <v/>
      </c>
      <c r="Q203" s="18" t="str">
        <f t="shared" si="14"/>
        <v/>
      </c>
      <c r="R203" s="18" t="e">
        <f t="shared" si="15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19">
        <f>+CHAMNORD!B204</f>
        <v>46221</v>
      </c>
      <c r="C204" s="75" t="str">
        <f>IF(H204=0,"",'[6]2025-2026'!C203)</f>
        <v/>
      </c>
      <c r="D204" s="68" t="str">
        <f>+'[6]2025'!C204</f>
        <v/>
      </c>
      <c r="E204" s="68" t="str">
        <f>+'[6]2025'!D204</f>
        <v/>
      </c>
      <c r="F204" s="20" t="str">
        <f>+'[6]2025'!E204</f>
        <v/>
      </c>
      <c r="G204" s="73" t="str">
        <f>+'[6]2025'!F204</f>
        <v/>
      </c>
      <c r="H204" s="42">
        <f>+'[6]2025'!G204</f>
        <v>0</v>
      </c>
      <c r="I204" s="13">
        <f>+'[6]2025'!H204</f>
        <v>0</v>
      </c>
      <c r="J204" s="14">
        <f>+'[6]2025'!I204</f>
        <v>0</v>
      </c>
      <c r="K204" s="15">
        <f>+'[6]2025'!J204</f>
        <v>0</v>
      </c>
      <c r="L204" s="15">
        <f>+'[6]2025'!K204</f>
        <v>0</v>
      </c>
      <c r="M204" s="15">
        <f>+'[6]2025'!L204</f>
        <v>0</v>
      </c>
      <c r="N204" s="16" t="str">
        <f t="shared" si="12"/>
        <v/>
      </c>
      <c r="O204" s="17" t="str">
        <f t="shared" si="13"/>
        <v/>
      </c>
      <c r="P204" s="17" t="str">
        <f t="shared" si="13"/>
        <v/>
      </c>
      <c r="Q204" s="18" t="str">
        <f t="shared" si="14"/>
        <v/>
      </c>
      <c r="R204" s="18" t="e">
        <f t="shared" si="15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19">
        <f>+CHAMNORD!B205</f>
        <v>46222</v>
      </c>
      <c r="C205" s="75" t="str">
        <f>IF(H205=0,"",'[6]2025-2026'!C204)</f>
        <v/>
      </c>
      <c r="D205" s="68" t="str">
        <f>+'[6]2025'!C205</f>
        <v/>
      </c>
      <c r="E205" s="68" t="str">
        <f>+'[6]2025'!D205</f>
        <v/>
      </c>
      <c r="F205" s="20" t="str">
        <f>+'[6]2025'!E205</f>
        <v/>
      </c>
      <c r="G205" s="73" t="str">
        <f>+'[6]2025'!F205</f>
        <v/>
      </c>
      <c r="H205" s="42">
        <f>+'[6]2025'!G205</f>
        <v>0</v>
      </c>
      <c r="I205" s="13">
        <f>+'[6]2025'!H205</f>
        <v>0</v>
      </c>
      <c r="J205" s="14">
        <f>+'[6]2025'!I205</f>
        <v>0</v>
      </c>
      <c r="K205" s="15">
        <f>+'[6]2025'!J205</f>
        <v>0</v>
      </c>
      <c r="L205" s="15">
        <f>+'[6]2025'!K205</f>
        <v>0</v>
      </c>
      <c r="M205" s="15">
        <f>+'[6]2025'!L205</f>
        <v>0</v>
      </c>
      <c r="N205" s="16" t="str">
        <f t="shared" si="12"/>
        <v/>
      </c>
      <c r="O205" s="17" t="str">
        <f t="shared" si="13"/>
        <v/>
      </c>
      <c r="P205" s="17" t="str">
        <f t="shared" si="13"/>
        <v/>
      </c>
      <c r="Q205" s="18" t="str">
        <f t="shared" si="14"/>
        <v/>
      </c>
      <c r="R205" s="18" t="e">
        <f t="shared" si="15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19">
        <f>+CHAMNORD!B206</f>
        <v>46223</v>
      </c>
      <c r="C206" s="75" t="str">
        <f>IF(H206=0,"",'[6]2025-2026'!C205)</f>
        <v/>
      </c>
      <c r="D206" s="68" t="str">
        <f>+'[6]2025'!C206</f>
        <v/>
      </c>
      <c r="E206" s="68" t="str">
        <f>+'[6]2025'!D206</f>
        <v/>
      </c>
      <c r="F206" s="20" t="str">
        <f>+'[6]2025'!E206</f>
        <v/>
      </c>
      <c r="G206" s="73" t="str">
        <f>+'[6]2025'!F206</f>
        <v/>
      </c>
      <c r="H206" s="42">
        <f>+'[6]2025'!G206</f>
        <v>0</v>
      </c>
      <c r="I206" s="13">
        <f>+'[6]2025'!H206</f>
        <v>0</v>
      </c>
      <c r="J206" s="14">
        <f>+'[6]2025'!I206</f>
        <v>0</v>
      </c>
      <c r="K206" s="15">
        <f>+'[6]2025'!J206</f>
        <v>0</v>
      </c>
      <c r="L206" s="15">
        <f>+'[6]2025'!K206</f>
        <v>0</v>
      </c>
      <c r="M206" s="15">
        <f>+'[6]2025'!L206</f>
        <v>0</v>
      </c>
      <c r="N206" s="16" t="str">
        <f t="shared" si="12"/>
        <v/>
      </c>
      <c r="O206" s="17" t="str">
        <f t="shared" si="13"/>
        <v/>
      </c>
      <c r="P206" s="17" t="str">
        <f t="shared" si="13"/>
        <v/>
      </c>
      <c r="Q206" s="18" t="str">
        <f t="shared" si="14"/>
        <v/>
      </c>
      <c r="R206" s="18" t="e">
        <f t="shared" si="15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19">
        <f>+CHAMNORD!B207</f>
        <v>46224</v>
      </c>
      <c r="C207" s="75" t="str">
        <f>IF(H207=0,"",'[6]2025-2026'!C206)</f>
        <v/>
      </c>
      <c r="D207" s="68" t="str">
        <f>+'[6]2025'!C207</f>
        <v/>
      </c>
      <c r="E207" s="68" t="str">
        <f>+'[6]2025'!D207</f>
        <v/>
      </c>
      <c r="F207" s="20" t="str">
        <f>+'[6]2025'!E207</f>
        <v/>
      </c>
      <c r="G207" s="73" t="str">
        <f>+'[6]2025'!F207</f>
        <v/>
      </c>
      <c r="H207" s="42">
        <f>+'[6]2025'!G207</f>
        <v>0</v>
      </c>
      <c r="I207" s="13">
        <f>+'[6]2025'!H207</f>
        <v>0</v>
      </c>
      <c r="J207" s="14">
        <f>+'[6]2025'!I207</f>
        <v>0</v>
      </c>
      <c r="K207" s="15">
        <f>+'[6]2025'!J207</f>
        <v>0</v>
      </c>
      <c r="L207" s="15">
        <f>+'[6]2025'!K207</f>
        <v>0</v>
      </c>
      <c r="M207" s="15">
        <f>+'[6]2025'!L207</f>
        <v>0</v>
      </c>
      <c r="N207" s="16" t="str">
        <f t="shared" si="12"/>
        <v/>
      </c>
      <c r="O207" s="17" t="str">
        <f t="shared" si="13"/>
        <v/>
      </c>
      <c r="P207" s="17" t="str">
        <f t="shared" si="13"/>
        <v/>
      </c>
      <c r="Q207" s="18" t="str">
        <f t="shared" si="14"/>
        <v/>
      </c>
      <c r="R207" s="18" t="e">
        <f t="shared" si="15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19">
        <f>+CHAMNORD!B208</f>
        <v>46225</v>
      </c>
      <c r="C208" s="75" t="str">
        <f>IF(H208=0,"",'[6]2025-2026'!C207)</f>
        <v/>
      </c>
      <c r="D208" s="68" t="str">
        <f>+'[6]2025'!C208</f>
        <v/>
      </c>
      <c r="E208" s="68" t="str">
        <f>+'[6]2025'!D208</f>
        <v/>
      </c>
      <c r="F208" s="20" t="str">
        <f>+'[6]2025'!E208</f>
        <v/>
      </c>
      <c r="G208" s="73" t="str">
        <f>+'[6]2025'!F208</f>
        <v/>
      </c>
      <c r="H208" s="42">
        <f>+'[6]2025'!G208</f>
        <v>0</v>
      </c>
      <c r="I208" s="13">
        <f>+'[6]2025'!H208</f>
        <v>0</v>
      </c>
      <c r="J208" s="14">
        <f>+'[6]2025'!I208</f>
        <v>0</v>
      </c>
      <c r="K208" s="15">
        <f>+'[6]2025'!J208</f>
        <v>0</v>
      </c>
      <c r="L208" s="15">
        <f>+'[6]2025'!K208</f>
        <v>0</v>
      </c>
      <c r="M208" s="15">
        <f>+'[6]2025'!L208</f>
        <v>0</v>
      </c>
      <c r="N208" s="16" t="str">
        <f t="shared" si="12"/>
        <v/>
      </c>
      <c r="O208" s="17" t="str">
        <f t="shared" si="13"/>
        <v/>
      </c>
      <c r="P208" s="17" t="str">
        <f t="shared" si="13"/>
        <v/>
      </c>
      <c r="Q208" s="18" t="str">
        <f t="shared" si="14"/>
        <v/>
      </c>
      <c r="R208" s="18" t="e">
        <f t="shared" si="15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19">
        <f>+CHAMNORD!B209</f>
        <v>46226</v>
      </c>
      <c r="C209" s="75" t="str">
        <f>IF(H209=0,"",'[6]2025-2026'!C208)</f>
        <v/>
      </c>
      <c r="D209" s="68" t="str">
        <f>+'[6]2025'!C209</f>
        <v/>
      </c>
      <c r="E209" s="68" t="str">
        <f>+'[6]2025'!D209</f>
        <v/>
      </c>
      <c r="F209" s="20" t="str">
        <f>+'[6]2025'!E209</f>
        <v/>
      </c>
      <c r="G209" s="73" t="str">
        <f>+'[6]2025'!F209</f>
        <v/>
      </c>
      <c r="H209" s="42">
        <f>+'[6]2025'!G209</f>
        <v>0</v>
      </c>
      <c r="I209" s="13">
        <f>+'[6]2025'!H209</f>
        <v>0</v>
      </c>
      <c r="J209" s="14">
        <f>+'[6]2025'!I209</f>
        <v>0</v>
      </c>
      <c r="K209" s="15">
        <f>+'[6]2025'!J209</f>
        <v>0</v>
      </c>
      <c r="L209" s="15">
        <f>+'[6]2025'!K209</f>
        <v>0</v>
      </c>
      <c r="M209" s="15">
        <f>+'[6]2025'!L209</f>
        <v>0</v>
      </c>
      <c r="N209" s="16" t="str">
        <f t="shared" si="12"/>
        <v/>
      </c>
      <c r="O209" s="17" t="str">
        <f t="shared" si="13"/>
        <v/>
      </c>
      <c r="P209" s="17" t="str">
        <f t="shared" si="13"/>
        <v/>
      </c>
      <c r="Q209" s="18" t="str">
        <f t="shared" si="14"/>
        <v/>
      </c>
      <c r="R209" s="18" t="e">
        <f t="shared" si="15"/>
        <v>#DIV/0!</v>
      </c>
      <c r="S209" s="34"/>
      <c r="T209" s="29" t="s">
        <v>8</v>
      </c>
      <c r="U209" s="1738"/>
    </row>
    <row r="210" spans="1:21">
      <c r="A210" s="10" t="s">
        <v>14</v>
      </c>
      <c r="B210" s="19">
        <f>+CHAMNORD!B210</f>
        <v>46227</v>
      </c>
      <c r="C210" s="75" t="str">
        <f>IF(H210=0,"",'[6]2025-2026'!C209)</f>
        <v/>
      </c>
      <c r="D210" s="68" t="str">
        <f>+'[6]2025'!C210</f>
        <v/>
      </c>
      <c r="E210" s="68" t="str">
        <f>+'[6]2025'!D210</f>
        <v/>
      </c>
      <c r="F210" s="20" t="str">
        <f>+'[6]2025'!E210</f>
        <v/>
      </c>
      <c r="G210" s="73" t="str">
        <f>+'[6]2025'!F210</f>
        <v/>
      </c>
      <c r="H210" s="42">
        <f>+'[6]2025'!G210</f>
        <v>0</v>
      </c>
      <c r="I210" s="13">
        <f>+'[6]2025'!H210</f>
        <v>0</v>
      </c>
      <c r="J210" s="14">
        <f>+'[6]2025'!I210</f>
        <v>0</v>
      </c>
      <c r="K210" s="15">
        <f>+'[6]2025'!J210</f>
        <v>0</v>
      </c>
      <c r="L210" s="15">
        <f>+'[6]2025'!K210</f>
        <v>0</v>
      </c>
      <c r="M210" s="15">
        <f>+'[6]2025'!L210</f>
        <v>0</v>
      </c>
      <c r="N210" s="16" t="str">
        <f t="shared" si="12"/>
        <v/>
      </c>
      <c r="O210" s="17" t="str">
        <f t="shared" si="13"/>
        <v/>
      </c>
      <c r="P210" s="17" t="str">
        <f t="shared" si="13"/>
        <v/>
      </c>
      <c r="Q210" s="18" t="str">
        <f t="shared" si="14"/>
        <v/>
      </c>
      <c r="R210" s="18" t="e">
        <f t="shared" si="15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19">
        <f>+CHAMNORD!B211</f>
        <v>46228</v>
      </c>
      <c r="C211" s="75" t="str">
        <f>IF(H211=0,"",'[6]2025-2026'!C210)</f>
        <v/>
      </c>
      <c r="D211" s="68" t="str">
        <f>+'[6]2025'!C211</f>
        <v/>
      </c>
      <c r="E211" s="68" t="str">
        <f>+'[6]2025'!D211</f>
        <v/>
      </c>
      <c r="F211" s="20" t="str">
        <f>+'[6]2025'!E211</f>
        <v/>
      </c>
      <c r="G211" s="73" t="str">
        <f>+'[6]2025'!F211</f>
        <v/>
      </c>
      <c r="H211" s="42">
        <f>+'[6]2025'!G211</f>
        <v>0</v>
      </c>
      <c r="I211" s="13">
        <f>+'[6]2025'!H211</f>
        <v>0</v>
      </c>
      <c r="J211" s="14">
        <f>+'[6]2025'!I211</f>
        <v>0</v>
      </c>
      <c r="K211" s="15">
        <f>+'[6]2025'!J211</f>
        <v>0</v>
      </c>
      <c r="L211" s="15">
        <f>+'[6]2025'!K211</f>
        <v>0</v>
      </c>
      <c r="M211" s="15">
        <f>+'[6]2025'!L211</f>
        <v>0</v>
      </c>
      <c r="N211" s="16" t="str">
        <f t="shared" si="12"/>
        <v/>
      </c>
      <c r="O211" s="17" t="str">
        <f t="shared" si="13"/>
        <v/>
      </c>
      <c r="P211" s="17" t="str">
        <f t="shared" si="13"/>
        <v/>
      </c>
      <c r="Q211" s="18" t="str">
        <f t="shared" si="14"/>
        <v/>
      </c>
      <c r="R211" s="18" t="e">
        <f t="shared" si="15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19">
        <f>+CHAMNORD!B212</f>
        <v>46229</v>
      </c>
      <c r="C212" s="75" t="str">
        <f>IF(H212=0,"",'[6]2025-2026'!C211)</f>
        <v/>
      </c>
      <c r="D212" s="68" t="str">
        <f>+'[6]2025'!C212</f>
        <v/>
      </c>
      <c r="E212" s="68" t="str">
        <f>+'[6]2025'!D212</f>
        <v/>
      </c>
      <c r="F212" s="20" t="str">
        <f>+'[6]2025'!E212</f>
        <v/>
      </c>
      <c r="G212" s="73" t="str">
        <f>+'[6]2025'!F212</f>
        <v/>
      </c>
      <c r="H212" s="42">
        <f>+'[6]2025'!G212</f>
        <v>0</v>
      </c>
      <c r="I212" s="13">
        <f>+'[6]2025'!H212</f>
        <v>0</v>
      </c>
      <c r="J212" s="14">
        <f>+'[6]2025'!I212</f>
        <v>0</v>
      </c>
      <c r="K212" s="15">
        <f>+'[6]2025'!J212</f>
        <v>0</v>
      </c>
      <c r="L212" s="15">
        <f>+'[6]2025'!K212</f>
        <v>0</v>
      </c>
      <c r="M212" s="15">
        <f>+'[6]2025'!L212</f>
        <v>0</v>
      </c>
      <c r="N212" s="16" t="str">
        <f t="shared" si="12"/>
        <v/>
      </c>
      <c r="O212" s="17" t="str">
        <f t="shared" si="13"/>
        <v/>
      </c>
      <c r="P212" s="17" t="str">
        <f t="shared" si="13"/>
        <v/>
      </c>
      <c r="Q212" s="18" t="str">
        <f t="shared" si="14"/>
        <v/>
      </c>
      <c r="R212" s="18" t="e">
        <f t="shared" si="15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19">
        <f>+CHAMNORD!B213</f>
        <v>46230</v>
      </c>
      <c r="C213" s="75" t="str">
        <f>IF(H213=0,"",'[6]2025-2026'!C212)</f>
        <v/>
      </c>
      <c r="D213" s="68" t="str">
        <f>+'[6]2025'!C213</f>
        <v/>
      </c>
      <c r="E213" s="68" t="str">
        <f>+'[6]2025'!D213</f>
        <v/>
      </c>
      <c r="F213" s="20" t="str">
        <f>+'[6]2025'!E213</f>
        <v/>
      </c>
      <c r="G213" s="73" t="str">
        <f>+'[6]2025'!F213</f>
        <v/>
      </c>
      <c r="H213" s="42">
        <f>+'[6]2025'!G213</f>
        <v>0</v>
      </c>
      <c r="I213" s="13">
        <f>+'[6]2025'!H213</f>
        <v>0</v>
      </c>
      <c r="J213" s="14">
        <f>+'[6]2025'!I213</f>
        <v>0</v>
      </c>
      <c r="K213" s="15">
        <f>+'[6]2025'!J213</f>
        <v>0</v>
      </c>
      <c r="L213" s="15">
        <f>+'[6]2025'!K213</f>
        <v>0</v>
      </c>
      <c r="M213" s="15">
        <f>+'[6]2025'!L213</f>
        <v>0</v>
      </c>
      <c r="N213" s="16" t="str">
        <f t="shared" si="12"/>
        <v/>
      </c>
      <c r="O213" s="17" t="str">
        <f t="shared" si="13"/>
        <v/>
      </c>
      <c r="P213" s="17" t="str">
        <f t="shared" si="13"/>
        <v/>
      </c>
      <c r="Q213" s="18" t="str">
        <f t="shared" si="14"/>
        <v/>
      </c>
      <c r="R213" s="18" t="e">
        <f t="shared" si="15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19">
        <f>+CHAMNORD!B214</f>
        <v>46231</v>
      </c>
      <c r="C214" s="75" t="str">
        <f>IF(H214=0,"",'[6]2025-2026'!C213)</f>
        <v/>
      </c>
      <c r="D214" s="68" t="str">
        <f>+'[6]2025'!C214</f>
        <v/>
      </c>
      <c r="E214" s="68" t="str">
        <f>+'[6]2025'!D214</f>
        <v/>
      </c>
      <c r="F214" s="20" t="str">
        <f>+'[6]2025'!E214</f>
        <v/>
      </c>
      <c r="G214" s="73" t="str">
        <f>+'[6]2025'!F214</f>
        <v/>
      </c>
      <c r="H214" s="42">
        <f>+'[6]2025'!G214</f>
        <v>0</v>
      </c>
      <c r="I214" s="13">
        <f>+'[6]2025'!H214</f>
        <v>0</v>
      </c>
      <c r="J214" s="14">
        <f>+'[6]2025'!I214</f>
        <v>0</v>
      </c>
      <c r="K214" s="15">
        <f>+'[6]2025'!J214</f>
        <v>0</v>
      </c>
      <c r="L214" s="15">
        <f>+'[6]2025'!K214</f>
        <v>0</v>
      </c>
      <c r="M214" s="15">
        <f>+'[6]2025'!L214</f>
        <v>0</v>
      </c>
      <c r="N214" s="16" t="str">
        <f t="shared" si="12"/>
        <v/>
      </c>
      <c r="O214" s="17" t="str">
        <f t="shared" si="13"/>
        <v/>
      </c>
      <c r="P214" s="17" t="str">
        <f t="shared" si="13"/>
        <v/>
      </c>
      <c r="Q214" s="18" t="str">
        <f t="shared" si="14"/>
        <v/>
      </c>
      <c r="R214" s="18" t="e">
        <f t="shared" si="15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19">
        <f>+CHAMNORD!B215</f>
        <v>46232</v>
      </c>
      <c r="C215" s="75" t="str">
        <f>IF(H215=0,"",'[6]2025-2026'!C214)</f>
        <v/>
      </c>
      <c r="D215" s="68" t="str">
        <f>+'[6]2025'!C215</f>
        <v/>
      </c>
      <c r="E215" s="68" t="str">
        <f>+'[6]2025'!D215</f>
        <v/>
      </c>
      <c r="F215" s="20" t="str">
        <f>+'[6]2025'!E215</f>
        <v/>
      </c>
      <c r="G215" s="73" t="str">
        <f>+'[6]2025'!F215</f>
        <v/>
      </c>
      <c r="H215" s="42">
        <f>+'[6]2025'!G215</f>
        <v>0</v>
      </c>
      <c r="I215" s="13">
        <f>+'[6]2025'!H215</f>
        <v>0</v>
      </c>
      <c r="J215" s="14">
        <f>+'[6]2025'!I215</f>
        <v>0</v>
      </c>
      <c r="K215" s="15">
        <f>+'[6]2025'!J215</f>
        <v>0</v>
      </c>
      <c r="L215" s="15">
        <f>+'[6]2025'!K215</f>
        <v>0</v>
      </c>
      <c r="M215" s="15">
        <f>+'[6]2025'!L215</f>
        <v>0</v>
      </c>
      <c r="N215" s="16" t="str">
        <f t="shared" si="12"/>
        <v/>
      </c>
      <c r="O215" s="17" t="str">
        <f t="shared" si="13"/>
        <v/>
      </c>
      <c r="P215" s="17" t="str">
        <f t="shared" si="13"/>
        <v/>
      </c>
      <c r="Q215" s="18" t="str">
        <f t="shared" si="14"/>
        <v/>
      </c>
      <c r="R215" s="18" t="e">
        <f t="shared" si="15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19">
        <f>+CHAMNORD!B216</f>
        <v>46233</v>
      </c>
      <c r="C216" s="75" t="str">
        <f>IF(H216=0,"",'[6]2025-2026'!C215)</f>
        <v/>
      </c>
      <c r="D216" s="68" t="str">
        <f>+'[6]2025'!C216</f>
        <v/>
      </c>
      <c r="E216" s="68" t="str">
        <f>+'[6]2025'!D216</f>
        <v/>
      </c>
      <c r="F216" s="20" t="str">
        <f>+'[6]2025'!E216</f>
        <v/>
      </c>
      <c r="G216" s="73" t="str">
        <f>+'[6]2025'!F216</f>
        <v/>
      </c>
      <c r="H216" s="42">
        <f>+'[6]2025'!G216</f>
        <v>0</v>
      </c>
      <c r="I216" s="13">
        <f>+'[6]2025'!H216</f>
        <v>0</v>
      </c>
      <c r="J216" s="14">
        <f>+'[6]2025'!I216</f>
        <v>0</v>
      </c>
      <c r="K216" s="15">
        <f>+'[6]2025'!J216</f>
        <v>0</v>
      </c>
      <c r="L216" s="15">
        <f>+'[6]2025'!K216</f>
        <v>0</v>
      </c>
      <c r="M216" s="15">
        <f>+'[6]2025'!L216</f>
        <v>0</v>
      </c>
      <c r="N216" s="16" t="str">
        <f t="shared" si="12"/>
        <v/>
      </c>
      <c r="O216" s="17" t="str">
        <f t="shared" si="13"/>
        <v/>
      </c>
      <c r="P216" s="17" t="str">
        <f t="shared" si="13"/>
        <v/>
      </c>
      <c r="Q216" s="18" t="str">
        <f t="shared" si="14"/>
        <v/>
      </c>
      <c r="R216" s="18" t="e">
        <f t="shared" si="15"/>
        <v>#DIV/0!</v>
      </c>
      <c r="S216" s="34"/>
      <c r="T216" s="29" t="s">
        <v>8</v>
      </c>
      <c r="U216" s="1738"/>
    </row>
    <row r="217" spans="1:21">
      <c r="A217" s="10" t="s">
        <v>14</v>
      </c>
      <c r="B217" s="19">
        <f>+CHAMNORD!B217</f>
        <v>46234</v>
      </c>
      <c r="C217" s="75" t="str">
        <f>IF(H217=0,"",'[6]2025-2026'!C216)</f>
        <v/>
      </c>
      <c r="D217" s="68" t="str">
        <f>+'[6]2025'!C217</f>
        <v/>
      </c>
      <c r="E217" s="68" t="str">
        <f>+'[6]2025'!D217</f>
        <v/>
      </c>
      <c r="F217" s="20" t="str">
        <f>+'[6]2025'!E217</f>
        <v/>
      </c>
      <c r="G217" s="73" t="str">
        <f>+'[6]2025'!F217</f>
        <v/>
      </c>
      <c r="H217" s="42">
        <f>+'[6]2025'!G217</f>
        <v>0</v>
      </c>
      <c r="I217" s="13">
        <f>+'[6]2025'!H217</f>
        <v>0</v>
      </c>
      <c r="J217" s="14">
        <f>+'[6]2025'!I217</f>
        <v>0</v>
      </c>
      <c r="K217" s="15">
        <f>+'[6]2025'!J217</f>
        <v>0</v>
      </c>
      <c r="L217" s="15">
        <f>+'[6]2025'!K217</f>
        <v>0</v>
      </c>
      <c r="M217" s="15">
        <f>+'[6]2025'!L217</f>
        <v>0</v>
      </c>
      <c r="N217" s="16" t="str">
        <f t="shared" si="12"/>
        <v/>
      </c>
      <c r="O217" s="17" t="str">
        <f t="shared" si="13"/>
        <v/>
      </c>
      <c r="P217" s="17" t="str">
        <f t="shared" si="13"/>
        <v/>
      </c>
      <c r="Q217" s="18" t="str">
        <f t="shared" si="14"/>
        <v/>
      </c>
      <c r="R217" s="18" t="e">
        <f t="shared" si="15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19">
        <f>+CHAMNORD!B218</f>
        <v>46235</v>
      </c>
      <c r="C218" s="75" t="str">
        <f>IF(H218=0,"",'[6]2025-2026'!C217)</f>
        <v/>
      </c>
      <c r="D218" s="68" t="str">
        <f>+'[6]2025'!C218</f>
        <v/>
      </c>
      <c r="E218" s="68" t="str">
        <f>+'[6]2025'!D218</f>
        <v/>
      </c>
      <c r="F218" s="20" t="str">
        <f>+'[6]2025'!E218</f>
        <v/>
      </c>
      <c r="G218" s="73" t="str">
        <f>+'[6]2025'!F218</f>
        <v/>
      </c>
      <c r="H218" s="42">
        <f>+'[6]2025'!G218</f>
        <v>0</v>
      </c>
      <c r="I218" s="13">
        <f>+'[6]2025'!H218</f>
        <v>0</v>
      </c>
      <c r="J218" s="14">
        <f>+'[6]2025'!I218</f>
        <v>0</v>
      </c>
      <c r="K218" s="15">
        <f>+'[6]2025'!J218</f>
        <v>0</v>
      </c>
      <c r="L218" s="15">
        <f>+'[6]2025'!K218</f>
        <v>0</v>
      </c>
      <c r="M218" s="15">
        <f>+'[6]2025'!L218</f>
        <v>0</v>
      </c>
      <c r="N218" s="16" t="str">
        <f t="shared" si="12"/>
        <v/>
      </c>
      <c r="O218" s="17" t="str">
        <f t="shared" si="13"/>
        <v/>
      </c>
      <c r="P218" s="17" t="str">
        <f t="shared" si="13"/>
        <v/>
      </c>
      <c r="Q218" s="18" t="str">
        <f t="shared" si="14"/>
        <v/>
      </c>
      <c r="R218" s="18" t="e">
        <f t="shared" si="15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19">
        <f>+CHAMNORD!B219</f>
        <v>46236</v>
      </c>
      <c r="C219" s="75" t="str">
        <f>IF(H219=0,"",'[6]2025-2026'!C218)</f>
        <v/>
      </c>
      <c r="D219" s="68" t="str">
        <f>+'[6]2025'!C219</f>
        <v/>
      </c>
      <c r="E219" s="68" t="str">
        <f>+'[6]2025'!D219</f>
        <v/>
      </c>
      <c r="F219" s="20" t="str">
        <f>+'[6]2025'!E219</f>
        <v/>
      </c>
      <c r="G219" s="73" t="str">
        <f>+'[6]2025'!F219</f>
        <v/>
      </c>
      <c r="H219" s="42">
        <f>+'[6]2025'!G219</f>
        <v>0</v>
      </c>
      <c r="I219" s="13">
        <f>+'[6]2025'!H219</f>
        <v>0</v>
      </c>
      <c r="J219" s="14">
        <f>+'[6]2025'!I219</f>
        <v>0</v>
      </c>
      <c r="K219" s="15">
        <f>+'[6]2025'!J219</f>
        <v>0</v>
      </c>
      <c r="L219" s="15">
        <f>+'[6]2025'!K219</f>
        <v>0</v>
      </c>
      <c r="M219" s="15">
        <f>+'[6]2025'!L219</f>
        <v>0</v>
      </c>
      <c r="N219" s="16" t="str">
        <f t="shared" si="12"/>
        <v/>
      </c>
      <c r="O219" s="17" t="str">
        <f t="shared" si="13"/>
        <v/>
      </c>
      <c r="P219" s="17" t="str">
        <f t="shared" si="13"/>
        <v/>
      </c>
      <c r="Q219" s="18" t="str">
        <f t="shared" si="14"/>
        <v/>
      </c>
      <c r="R219" s="18" t="e">
        <f t="shared" si="15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19">
        <f>+CHAMNORD!B220</f>
        <v>46237</v>
      </c>
      <c r="C220" s="75" t="str">
        <f>IF(H220=0,"",'[6]2025-2026'!C219)</f>
        <v/>
      </c>
      <c r="D220" s="68" t="str">
        <f>+'[6]2025'!C220</f>
        <v/>
      </c>
      <c r="E220" s="68" t="str">
        <f>+'[6]2025'!D220</f>
        <v/>
      </c>
      <c r="F220" s="20" t="str">
        <f>+'[6]2025'!E220</f>
        <v/>
      </c>
      <c r="G220" s="73" t="str">
        <f>+'[6]2025'!F220</f>
        <v/>
      </c>
      <c r="H220" s="42">
        <f>+'[6]2025'!G220</f>
        <v>0</v>
      </c>
      <c r="I220" s="13">
        <f>+'[6]2025'!H220</f>
        <v>0</v>
      </c>
      <c r="J220" s="14">
        <f>+'[6]2025'!I220</f>
        <v>0</v>
      </c>
      <c r="K220" s="15">
        <f>+'[6]2025'!J220</f>
        <v>0</v>
      </c>
      <c r="L220" s="15">
        <f>+'[6]2025'!K220</f>
        <v>0</v>
      </c>
      <c r="M220" s="15">
        <f>+'[6]2025'!L220</f>
        <v>0</v>
      </c>
      <c r="N220" s="16" t="str">
        <f t="shared" si="12"/>
        <v/>
      </c>
      <c r="O220" s="17" t="str">
        <f t="shared" si="13"/>
        <v/>
      </c>
      <c r="P220" s="17" t="str">
        <f t="shared" si="13"/>
        <v/>
      </c>
      <c r="Q220" s="18" t="str">
        <f t="shared" si="14"/>
        <v/>
      </c>
      <c r="R220" s="18" t="e">
        <f t="shared" si="15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19">
        <f>+CHAMNORD!B221</f>
        <v>46238</v>
      </c>
      <c r="C221" s="75" t="str">
        <f>IF(H221=0,"",'[6]2025-2026'!C220)</f>
        <v/>
      </c>
      <c r="D221" s="68" t="str">
        <f>+'[6]2025'!C221</f>
        <v/>
      </c>
      <c r="E221" s="68" t="str">
        <f>+'[6]2025'!D221</f>
        <v/>
      </c>
      <c r="F221" s="20" t="str">
        <f>+'[6]2025'!E221</f>
        <v/>
      </c>
      <c r="G221" s="73" t="str">
        <f>+'[6]2025'!F221</f>
        <v/>
      </c>
      <c r="H221" s="42">
        <f>+'[6]2025'!G221</f>
        <v>0</v>
      </c>
      <c r="I221" s="13">
        <f>+'[6]2025'!H221</f>
        <v>0</v>
      </c>
      <c r="J221" s="14">
        <f>+'[6]2025'!I221</f>
        <v>0</v>
      </c>
      <c r="K221" s="15">
        <f>+'[6]2025'!J221</f>
        <v>0</v>
      </c>
      <c r="L221" s="15">
        <f>+'[6]2025'!K221</f>
        <v>0</v>
      </c>
      <c r="M221" s="15">
        <f>+'[6]2025'!L221</f>
        <v>0</v>
      </c>
      <c r="N221" s="16" t="str">
        <f t="shared" si="12"/>
        <v/>
      </c>
      <c r="O221" s="17" t="str">
        <f t="shared" si="13"/>
        <v/>
      </c>
      <c r="P221" s="17" t="str">
        <f t="shared" si="13"/>
        <v/>
      </c>
      <c r="Q221" s="18" t="str">
        <f t="shared" si="14"/>
        <v/>
      </c>
      <c r="R221" s="18" t="e">
        <f t="shared" si="15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19">
        <f>+CHAMNORD!B222</f>
        <v>46239</v>
      </c>
      <c r="C222" s="75" t="str">
        <f>IF(H222=0,"",'[6]2025-2026'!C221)</f>
        <v/>
      </c>
      <c r="D222" s="68" t="str">
        <f>+'[6]2025'!C222</f>
        <v/>
      </c>
      <c r="E222" s="68" t="str">
        <f>+'[6]2025'!D222</f>
        <v/>
      </c>
      <c r="F222" s="20" t="str">
        <f>+'[6]2025'!E222</f>
        <v/>
      </c>
      <c r="G222" s="73" t="str">
        <f>+'[6]2025'!F222</f>
        <v/>
      </c>
      <c r="H222" s="42">
        <f>+'[6]2025'!G222</f>
        <v>0</v>
      </c>
      <c r="I222" s="13">
        <f>+'[6]2025'!H222</f>
        <v>0</v>
      </c>
      <c r="J222" s="14">
        <f>+'[6]2025'!I222</f>
        <v>0</v>
      </c>
      <c r="K222" s="15">
        <f>+'[6]2025'!J222</f>
        <v>0</v>
      </c>
      <c r="L222" s="15">
        <f>+'[6]2025'!K222</f>
        <v>0</v>
      </c>
      <c r="M222" s="15">
        <f>+'[6]2025'!L222</f>
        <v>0</v>
      </c>
      <c r="N222" s="16" t="str">
        <f t="shared" si="12"/>
        <v/>
      </c>
      <c r="O222" s="17" t="str">
        <f t="shared" si="13"/>
        <v/>
      </c>
      <c r="P222" s="17" t="str">
        <f t="shared" si="13"/>
        <v/>
      </c>
      <c r="Q222" s="18" t="str">
        <f t="shared" si="14"/>
        <v/>
      </c>
      <c r="R222" s="18" t="e">
        <f t="shared" si="15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19">
        <f>+CHAMNORD!B223</f>
        <v>46240</v>
      </c>
      <c r="C223" s="75" t="str">
        <f>IF(H223=0,"",'[6]2025-2026'!C222)</f>
        <v/>
      </c>
      <c r="D223" s="68" t="str">
        <f>+'[6]2025'!C223</f>
        <v/>
      </c>
      <c r="E223" s="68" t="str">
        <f>+'[6]2025'!D223</f>
        <v/>
      </c>
      <c r="F223" s="20" t="str">
        <f>+'[6]2025'!E223</f>
        <v/>
      </c>
      <c r="G223" s="73" t="str">
        <f>+'[6]2025'!F223</f>
        <v/>
      </c>
      <c r="H223" s="42">
        <f>+'[6]2025'!G223</f>
        <v>0</v>
      </c>
      <c r="I223" s="13">
        <f>+'[6]2025'!H223</f>
        <v>0</v>
      </c>
      <c r="J223" s="14">
        <f>+'[6]2025'!I223</f>
        <v>0</v>
      </c>
      <c r="K223" s="15">
        <f>+'[6]2025'!J223</f>
        <v>0</v>
      </c>
      <c r="L223" s="15">
        <f>+'[6]2025'!K223</f>
        <v>0</v>
      </c>
      <c r="M223" s="15">
        <f>+'[6]2025'!L223</f>
        <v>0</v>
      </c>
      <c r="N223" s="16" t="str">
        <f t="shared" si="12"/>
        <v/>
      </c>
      <c r="O223" s="17" t="str">
        <f t="shared" si="13"/>
        <v/>
      </c>
      <c r="P223" s="17" t="str">
        <f t="shared" si="13"/>
        <v/>
      </c>
      <c r="Q223" s="18" t="str">
        <f t="shared" si="14"/>
        <v/>
      </c>
      <c r="R223" s="18" t="e">
        <f t="shared" si="15"/>
        <v>#DIV/0!</v>
      </c>
      <c r="S223" s="34"/>
      <c r="T223" s="29" t="s">
        <v>8</v>
      </c>
      <c r="U223" s="1738"/>
    </row>
    <row r="224" spans="1:21">
      <c r="A224" s="10" t="s">
        <v>14</v>
      </c>
      <c r="B224" s="19">
        <f>+CHAMNORD!B224</f>
        <v>46241</v>
      </c>
      <c r="C224" s="75" t="str">
        <f>IF(H224=0,"",'[6]2025-2026'!C223)</f>
        <v/>
      </c>
      <c r="D224" s="68" t="str">
        <f>+'[6]2025'!C224</f>
        <v/>
      </c>
      <c r="E224" s="68" t="str">
        <f>+'[6]2025'!D224</f>
        <v/>
      </c>
      <c r="F224" s="20" t="str">
        <f>+'[6]2025'!E224</f>
        <v/>
      </c>
      <c r="G224" s="73" t="str">
        <f>+'[6]2025'!F224</f>
        <v/>
      </c>
      <c r="H224" s="42">
        <f>+'[6]2025'!G224</f>
        <v>0</v>
      </c>
      <c r="I224" s="13">
        <f>+'[6]2025'!H224</f>
        <v>0</v>
      </c>
      <c r="J224" s="14">
        <f>+'[6]2025'!I224</f>
        <v>0</v>
      </c>
      <c r="K224" s="15">
        <f>+'[6]2025'!J224</f>
        <v>0</v>
      </c>
      <c r="L224" s="15">
        <f>+'[6]2025'!K224</f>
        <v>0</v>
      </c>
      <c r="M224" s="15">
        <f>+'[6]2025'!L224</f>
        <v>0</v>
      </c>
      <c r="N224" s="16" t="str">
        <f t="shared" si="12"/>
        <v/>
      </c>
      <c r="O224" s="17" t="str">
        <f t="shared" si="13"/>
        <v/>
      </c>
      <c r="P224" s="17" t="str">
        <f t="shared" si="13"/>
        <v/>
      </c>
      <c r="Q224" s="18" t="str">
        <f t="shared" si="14"/>
        <v/>
      </c>
      <c r="R224" s="18" t="e">
        <f t="shared" si="15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19">
        <f>+CHAMNORD!B225</f>
        <v>46242</v>
      </c>
      <c r="C225" s="75" t="str">
        <f>IF(H225=0,"",'[6]2025-2026'!C224)</f>
        <v/>
      </c>
      <c r="D225" s="68" t="str">
        <f>+'[6]2025'!C225</f>
        <v/>
      </c>
      <c r="E225" s="68" t="str">
        <f>+'[6]2025'!D225</f>
        <v/>
      </c>
      <c r="F225" s="20" t="str">
        <f>+'[6]2025'!E225</f>
        <v/>
      </c>
      <c r="G225" s="73" t="str">
        <f>+'[6]2025'!F225</f>
        <v/>
      </c>
      <c r="H225" s="42">
        <f>+'[6]2025'!G225</f>
        <v>0</v>
      </c>
      <c r="I225" s="13">
        <f>+'[6]2025'!H225</f>
        <v>0</v>
      </c>
      <c r="J225" s="14">
        <f>+'[6]2025'!I225</f>
        <v>0</v>
      </c>
      <c r="K225" s="15">
        <f>+'[6]2025'!J225</f>
        <v>0</v>
      </c>
      <c r="L225" s="15">
        <f>+'[6]2025'!K225</f>
        <v>0</v>
      </c>
      <c r="M225" s="15">
        <f>+'[6]2025'!L225</f>
        <v>0</v>
      </c>
      <c r="N225" s="16" t="str">
        <f t="shared" si="12"/>
        <v/>
      </c>
      <c r="O225" s="17" t="str">
        <f t="shared" si="13"/>
        <v/>
      </c>
      <c r="P225" s="17" t="str">
        <f t="shared" si="13"/>
        <v/>
      </c>
      <c r="Q225" s="18" t="str">
        <f t="shared" si="14"/>
        <v/>
      </c>
      <c r="R225" s="18" t="e">
        <f t="shared" si="15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19">
        <f>+CHAMNORD!B226</f>
        <v>46243</v>
      </c>
      <c r="C226" s="75" t="str">
        <f>IF(H226=0,"",'[6]2025-2026'!C225)</f>
        <v/>
      </c>
      <c r="D226" s="68" t="str">
        <f>+'[6]2025'!C226</f>
        <v/>
      </c>
      <c r="E226" s="68" t="str">
        <f>+'[6]2025'!D226</f>
        <v/>
      </c>
      <c r="F226" s="20" t="str">
        <f>+'[6]2025'!E226</f>
        <v/>
      </c>
      <c r="G226" s="73" t="str">
        <f>+'[6]2025'!F226</f>
        <v/>
      </c>
      <c r="H226" s="42">
        <f>+'[6]2025'!G226</f>
        <v>0</v>
      </c>
      <c r="I226" s="13">
        <f>+'[6]2025'!H226</f>
        <v>0</v>
      </c>
      <c r="J226" s="14">
        <f>+'[6]2025'!I226</f>
        <v>0</v>
      </c>
      <c r="K226" s="15">
        <f>+'[6]2025'!J226</f>
        <v>0</v>
      </c>
      <c r="L226" s="15">
        <f>+'[6]2025'!K226</f>
        <v>0</v>
      </c>
      <c r="M226" s="15">
        <f>+'[6]2025'!L226</f>
        <v>0</v>
      </c>
      <c r="N226" s="16" t="str">
        <f t="shared" si="12"/>
        <v/>
      </c>
      <c r="O226" s="17" t="str">
        <f t="shared" si="13"/>
        <v/>
      </c>
      <c r="P226" s="17" t="str">
        <f t="shared" si="13"/>
        <v/>
      </c>
      <c r="Q226" s="18" t="str">
        <f t="shared" si="14"/>
        <v/>
      </c>
      <c r="R226" s="18" t="e">
        <f t="shared" si="15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19">
        <f>+CHAMNORD!B227</f>
        <v>46244</v>
      </c>
      <c r="C227" s="75" t="str">
        <f>IF(H227=0,"",'[6]2025-2026'!C226)</f>
        <v/>
      </c>
      <c r="D227" s="68" t="str">
        <f>+'[6]2025'!C227</f>
        <v/>
      </c>
      <c r="E227" s="68" t="str">
        <f>+'[6]2025'!D227</f>
        <v/>
      </c>
      <c r="F227" s="20" t="str">
        <f>+'[6]2025'!E227</f>
        <v/>
      </c>
      <c r="G227" s="73" t="str">
        <f>+'[6]2025'!F227</f>
        <v/>
      </c>
      <c r="H227" s="42">
        <f>+'[6]2025'!G227</f>
        <v>0</v>
      </c>
      <c r="I227" s="13">
        <f>+'[6]2025'!H227</f>
        <v>0</v>
      </c>
      <c r="J227" s="14">
        <f>+'[6]2025'!I227</f>
        <v>0</v>
      </c>
      <c r="K227" s="15">
        <f>+'[6]2025'!J227</f>
        <v>0</v>
      </c>
      <c r="L227" s="15">
        <f>+'[6]2025'!K227</f>
        <v>0</v>
      </c>
      <c r="M227" s="15">
        <f>+'[6]2025'!L227</f>
        <v>0</v>
      </c>
      <c r="N227" s="16" t="str">
        <f t="shared" si="12"/>
        <v/>
      </c>
      <c r="O227" s="17" t="str">
        <f t="shared" si="13"/>
        <v/>
      </c>
      <c r="P227" s="17" t="str">
        <f t="shared" si="13"/>
        <v/>
      </c>
      <c r="Q227" s="18" t="str">
        <f t="shared" si="14"/>
        <v/>
      </c>
      <c r="R227" s="18" t="e">
        <f t="shared" si="15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19">
        <f>+CHAMNORD!B228</f>
        <v>46245</v>
      </c>
      <c r="C228" s="75" t="str">
        <f>IF(H228=0,"",'[6]2025-2026'!C227)</f>
        <v/>
      </c>
      <c r="D228" s="68" t="str">
        <f>+'[6]2025'!C228</f>
        <v/>
      </c>
      <c r="E228" s="68" t="str">
        <f>+'[6]2025'!D228</f>
        <v/>
      </c>
      <c r="F228" s="20" t="str">
        <f>+'[6]2025'!E228</f>
        <v/>
      </c>
      <c r="G228" s="73" t="str">
        <f>+'[6]2025'!F228</f>
        <v/>
      </c>
      <c r="H228" s="42">
        <f>+'[6]2025'!G228</f>
        <v>0</v>
      </c>
      <c r="I228" s="13">
        <f>+'[6]2025'!H228</f>
        <v>0</v>
      </c>
      <c r="J228" s="14">
        <f>+'[6]2025'!I228</f>
        <v>0</v>
      </c>
      <c r="K228" s="15">
        <f>+'[6]2025'!J228</f>
        <v>0</v>
      </c>
      <c r="L228" s="15">
        <f>+'[6]2025'!K228</f>
        <v>0</v>
      </c>
      <c r="M228" s="15">
        <f>+'[6]2025'!L228</f>
        <v>0</v>
      </c>
      <c r="N228" s="16" t="str">
        <f t="shared" si="12"/>
        <v/>
      </c>
      <c r="O228" s="17" t="str">
        <f t="shared" si="13"/>
        <v/>
      </c>
      <c r="P228" s="17" t="str">
        <f t="shared" si="13"/>
        <v/>
      </c>
      <c r="Q228" s="18" t="str">
        <f t="shared" si="14"/>
        <v/>
      </c>
      <c r="R228" s="18" t="e">
        <f t="shared" si="15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19">
        <f>+CHAMNORD!B229</f>
        <v>46246</v>
      </c>
      <c r="C229" s="75" t="str">
        <f>IF(H229=0,"",'[6]2025-2026'!C228)</f>
        <v/>
      </c>
      <c r="D229" s="68" t="str">
        <f>+'[6]2025'!C229</f>
        <v/>
      </c>
      <c r="E229" s="68" t="str">
        <f>+'[6]2025'!D229</f>
        <v/>
      </c>
      <c r="F229" s="20" t="str">
        <f>+'[6]2025'!E229</f>
        <v/>
      </c>
      <c r="G229" s="73" t="str">
        <f>+'[6]2025'!F229</f>
        <v/>
      </c>
      <c r="H229" s="42">
        <f>+'[6]2025'!G229</f>
        <v>0</v>
      </c>
      <c r="I229" s="13">
        <f>+'[6]2025'!H229</f>
        <v>0</v>
      </c>
      <c r="J229" s="14">
        <f>+'[6]2025'!I229</f>
        <v>0</v>
      </c>
      <c r="K229" s="15">
        <f>+'[6]2025'!J229</f>
        <v>0</v>
      </c>
      <c r="L229" s="15">
        <f>+'[6]2025'!K229</f>
        <v>0</v>
      </c>
      <c r="M229" s="15">
        <f>+'[6]2025'!L229</f>
        <v>0</v>
      </c>
      <c r="N229" s="16" t="str">
        <f t="shared" si="12"/>
        <v/>
      </c>
      <c r="O229" s="17" t="str">
        <f t="shared" si="13"/>
        <v/>
      </c>
      <c r="P229" s="17" t="str">
        <f t="shared" si="13"/>
        <v/>
      </c>
      <c r="Q229" s="18" t="str">
        <f t="shared" si="14"/>
        <v/>
      </c>
      <c r="R229" s="18" t="e">
        <f t="shared" si="15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19">
        <f>+CHAMNORD!B230</f>
        <v>46247</v>
      </c>
      <c r="C230" s="75" t="str">
        <f>IF(H230=0,"",'[6]2025-2026'!C229)</f>
        <v/>
      </c>
      <c r="D230" s="68" t="str">
        <f>+'[6]2025'!C230</f>
        <v/>
      </c>
      <c r="E230" s="68" t="str">
        <f>+'[6]2025'!D230</f>
        <v/>
      </c>
      <c r="F230" s="20" t="str">
        <f>+'[6]2025'!E230</f>
        <v/>
      </c>
      <c r="G230" s="73" t="str">
        <f>+'[6]2025'!F230</f>
        <v/>
      </c>
      <c r="H230" s="42">
        <f>+'[6]2025'!G230</f>
        <v>0</v>
      </c>
      <c r="I230" s="13">
        <f>+'[6]2025'!H230</f>
        <v>0</v>
      </c>
      <c r="J230" s="14">
        <f>+'[6]2025'!I230</f>
        <v>0</v>
      </c>
      <c r="K230" s="15">
        <f>+'[6]2025'!J230</f>
        <v>0</v>
      </c>
      <c r="L230" s="15">
        <f>+'[6]2025'!K230</f>
        <v>0</v>
      </c>
      <c r="M230" s="15">
        <f>+'[6]2025'!L230</f>
        <v>0</v>
      </c>
      <c r="N230" s="16" t="str">
        <f t="shared" si="12"/>
        <v/>
      </c>
      <c r="O230" s="17" t="str">
        <f t="shared" si="13"/>
        <v/>
      </c>
      <c r="P230" s="17" t="str">
        <f t="shared" si="13"/>
        <v/>
      </c>
      <c r="Q230" s="18" t="str">
        <f t="shared" si="14"/>
        <v/>
      </c>
      <c r="R230" s="18" t="e">
        <f t="shared" si="15"/>
        <v>#DIV/0!</v>
      </c>
      <c r="S230" s="34"/>
      <c r="T230" s="29" t="s">
        <v>8</v>
      </c>
      <c r="U230" s="1738"/>
    </row>
    <row r="231" spans="1:21">
      <c r="A231" s="10" t="s">
        <v>14</v>
      </c>
      <c r="B231" s="19">
        <f>+CHAMNORD!B231</f>
        <v>46248</v>
      </c>
      <c r="C231" s="75" t="str">
        <f>IF(H231=0,"",'[6]2025-2026'!C230)</f>
        <v/>
      </c>
      <c r="D231" s="68" t="str">
        <f>+'[6]2025'!C231</f>
        <v/>
      </c>
      <c r="E231" s="68" t="str">
        <f>+'[6]2025'!D231</f>
        <v/>
      </c>
      <c r="F231" s="20" t="str">
        <f>+'[6]2025'!E231</f>
        <v/>
      </c>
      <c r="G231" s="73" t="str">
        <f>+'[6]2025'!F231</f>
        <v/>
      </c>
      <c r="H231" s="42">
        <f>+'[6]2025'!G231</f>
        <v>0</v>
      </c>
      <c r="I231" s="13">
        <f>+'[6]2025'!H231</f>
        <v>0</v>
      </c>
      <c r="J231" s="14">
        <f>+'[6]2025'!I231</f>
        <v>0</v>
      </c>
      <c r="K231" s="15">
        <f>+'[6]2025'!J231</f>
        <v>0</v>
      </c>
      <c r="L231" s="15">
        <f>+'[6]2025'!K231</f>
        <v>0</v>
      </c>
      <c r="M231" s="15">
        <f>+'[6]2025'!L231</f>
        <v>0</v>
      </c>
      <c r="N231" s="16" t="str">
        <f t="shared" si="12"/>
        <v/>
      </c>
      <c r="O231" s="17" t="str">
        <f t="shared" si="13"/>
        <v/>
      </c>
      <c r="P231" s="17" t="str">
        <f t="shared" si="13"/>
        <v/>
      </c>
      <c r="Q231" s="18" t="str">
        <f t="shared" si="14"/>
        <v/>
      </c>
      <c r="R231" s="18" t="e">
        <f t="shared" si="15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19">
        <f>+CHAMNORD!B232</f>
        <v>46249</v>
      </c>
      <c r="C232" s="75" t="str">
        <f>IF(H232=0,"",'[6]2025-2026'!C231)</f>
        <v/>
      </c>
      <c r="D232" s="68" t="str">
        <f>+'[6]2025'!C232</f>
        <v/>
      </c>
      <c r="E232" s="68" t="str">
        <f>+'[6]2025'!D232</f>
        <v/>
      </c>
      <c r="F232" s="20" t="str">
        <f>+'[6]2025'!E232</f>
        <v/>
      </c>
      <c r="G232" s="73" t="str">
        <f>+'[6]2025'!F232</f>
        <v/>
      </c>
      <c r="H232" s="42">
        <f>+'[6]2025'!G232</f>
        <v>0</v>
      </c>
      <c r="I232" s="13">
        <f>+'[6]2025'!H232</f>
        <v>0</v>
      </c>
      <c r="J232" s="14">
        <f>+'[6]2025'!I232</f>
        <v>0</v>
      </c>
      <c r="K232" s="15">
        <f>+'[6]2025'!J232</f>
        <v>0</v>
      </c>
      <c r="L232" s="15">
        <f>+'[6]2025'!K232</f>
        <v>0</v>
      </c>
      <c r="M232" s="15">
        <f>+'[6]2025'!L232</f>
        <v>0</v>
      </c>
      <c r="N232" s="16" t="str">
        <f t="shared" si="12"/>
        <v/>
      </c>
      <c r="O232" s="17" t="str">
        <f t="shared" si="13"/>
        <v/>
      </c>
      <c r="P232" s="17" t="str">
        <f t="shared" si="13"/>
        <v/>
      </c>
      <c r="Q232" s="18" t="str">
        <f t="shared" si="14"/>
        <v/>
      </c>
      <c r="R232" s="18" t="e">
        <f t="shared" si="15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19">
        <f>+CHAMNORD!B233</f>
        <v>46250</v>
      </c>
      <c r="C233" s="75" t="str">
        <f>IF(H233=0,"",'[6]2025-2026'!C232)</f>
        <v/>
      </c>
      <c r="D233" s="68" t="str">
        <f>+'[6]2025'!C233</f>
        <v/>
      </c>
      <c r="E233" s="68" t="str">
        <f>+'[6]2025'!D233</f>
        <v/>
      </c>
      <c r="F233" s="20" t="str">
        <f>+'[6]2025'!E233</f>
        <v/>
      </c>
      <c r="G233" s="73" t="str">
        <f>+'[6]2025'!F233</f>
        <v/>
      </c>
      <c r="H233" s="42">
        <f>+'[6]2025'!G233</f>
        <v>0</v>
      </c>
      <c r="I233" s="13">
        <f>+'[6]2025'!H233</f>
        <v>0</v>
      </c>
      <c r="J233" s="14">
        <f>+'[6]2025'!I233</f>
        <v>0</v>
      </c>
      <c r="K233" s="15">
        <f>+'[6]2025'!J233</f>
        <v>0</v>
      </c>
      <c r="L233" s="15">
        <f>+'[6]2025'!K233</f>
        <v>0</v>
      </c>
      <c r="M233" s="15">
        <f>+'[6]2025'!L233</f>
        <v>0</v>
      </c>
      <c r="N233" s="16" t="str">
        <f t="shared" si="12"/>
        <v/>
      </c>
      <c r="O233" s="17" t="str">
        <f t="shared" si="13"/>
        <v/>
      </c>
      <c r="P233" s="17" t="str">
        <f t="shared" si="13"/>
        <v/>
      </c>
      <c r="Q233" s="18" t="str">
        <f t="shared" si="14"/>
        <v/>
      </c>
      <c r="R233" s="18" t="e">
        <f t="shared" si="15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19">
        <f>+CHAMNORD!B234</f>
        <v>46251</v>
      </c>
      <c r="C234" s="75" t="str">
        <f>IF(H234=0,"",'[6]2025-2026'!C233)</f>
        <v/>
      </c>
      <c r="D234" s="68" t="str">
        <f>+'[6]2025'!C234</f>
        <v/>
      </c>
      <c r="E234" s="68" t="str">
        <f>+'[6]2025'!D234</f>
        <v/>
      </c>
      <c r="F234" s="20" t="str">
        <f>+'[6]2025'!E234</f>
        <v/>
      </c>
      <c r="G234" s="73" t="str">
        <f>+'[6]2025'!F234</f>
        <v/>
      </c>
      <c r="H234" s="42">
        <f>+'[6]2025'!G234</f>
        <v>0</v>
      </c>
      <c r="I234" s="13">
        <f>+'[6]2025'!H234</f>
        <v>0</v>
      </c>
      <c r="J234" s="14">
        <f>+'[6]2025'!I234</f>
        <v>0</v>
      </c>
      <c r="K234" s="15">
        <f>+'[6]2025'!J234</f>
        <v>0</v>
      </c>
      <c r="L234" s="15">
        <f>+'[6]2025'!K234</f>
        <v>0</v>
      </c>
      <c r="M234" s="15">
        <f>+'[6]2025'!L234</f>
        <v>0</v>
      </c>
      <c r="N234" s="16" t="str">
        <f t="shared" si="12"/>
        <v/>
      </c>
      <c r="O234" s="17" t="str">
        <f t="shared" si="13"/>
        <v/>
      </c>
      <c r="P234" s="17" t="str">
        <f t="shared" si="13"/>
        <v/>
      </c>
      <c r="Q234" s="18" t="str">
        <f t="shared" si="14"/>
        <v/>
      </c>
      <c r="R234" s="18" t="e">
        <f t="shared" si="15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19">
        <f>+CHAMNORD!B235</f>
        <v>46252</v>
      </c>
      <c r="C235" s="75" t="str">
        <f>IF(H235=0,"",'[6]2025-2026'!C234)</f>
        <v/>
      </c>
      <c r="D235" s="68" t="str">
        <f>+'[6]2025'!C235</f>
        <v/>
      </c>
      <c r="E235" s="68" t="str">
        <f>+'[6]2025'!D235</f>
        <v/>
      </c>
      <c r="F235" s="20" t="str">
        <f>+'[6]2025'!E235</f>
        <v/>
      </c>
      <c r="G235" s="73" t="str">
        <f>+'[6]2025'!F235</f>
        <v/>
      </c>
      <c r="H235" s="42">
        <f>+'[6]2025'!G235</f>
        <v>0</v>
      </c>
      <c r="I235" s="13">
        <f>+'[6]2025'!H235</f>
        <v>0</v>
      </c>
      <c r="J235" s="14">
        <f>+'[6]2025'!I235</f>
        <v>0</v>
      </c>
      <c r="K235" s="15">
        <f>+'[6]2025'!J235</f>
        <v>0</v>
      </c>
      <c r="L235" s="15">
        <f>+'[6]2025'!K235</f>
        <v>0</v>
      </c>
      <c r="M235" s="15">
        <f>+'[6]2025'!L235</f>
        <v>0</v>
      </c>
      <c r="N235" s="16" t="str">
        <f t="shared" si="12"/>
        <v/>
      </c>
      <c r="O235" s="17" t="str">
        <f t="shared" si="13"/>
        <v/>
      </c>
      <c r="P235" s="17" t="str">
        <f t="shared" si="13"/>
        <v/>
      </c>
      <c r="Q235" s="18" t="str">
        <f t="shared" si="14"/>
        <v/>
      </c>
      <c r="R235" s="18" t="e">
        <f t="shared" si="15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19">
        <f>+CHAMNORD!B236</f>
        <v>46253</v>
      </c>
      <c r="C236" s="75" t="str">
        <f>IF(H236=0,"",'[6]2025-2026'!C235)</f>
        <v/>
      </c>
      <c r="D236" s="68" t="str">
        <f>+'[6]2025'!C236</f>
        <v/>
      </c>
      <c r="E236" s="68" t="str">
        <f>+'[6]2025'!D236</f>
        <v/>
      </c>
      <c r="F236" s="20" t="str">
        <f>+'[6]2025'!E236</f>
        <v/>
      </c>
      <c r="G236" s="73" t="str">
        <f>+'[6]2025'!F236</f>
        <v/>
      </c>
      <c r="H236" s="42">
        <f>+'[6]2025'!G236</f>
        <v>0</v>
      </c>
      <c r="I236" s="13">
        <f>+'[6]2025'!H236</f>
        <v>0</v>
      </c>
      <c r="J236" s="14">
        <f>+'[6]2025'!I236</f>
        <v>0</v>
      </c>
      <c r="K236" s="15">
        <f>+'[6]2025'!J236</f>
        <v>0</v>
      </c>
      <c r="L236" s="15">
        <f>+'[6]2025'!K236</f>
        <v>0</v>
      </c>
      <c r="M236" s="15">
        <f>+'[6]2025'!L236</f>
        <v>0</v>
      </c>
      <c r="N236" s="16" t="str">
        <f t="shared" si="12"/>
        <v/>
      </c>
      <c r="O236" s="17" t="str">
        <f t="shared" si="13"/>
        <v/>
      </c>
      <c r="P236" s="17" t="str">
        <f t="shared" si="13"/>
        <v/>
      </c>
      <c r="Q236" s="18" t="str">
        <f t="shared" si="14"/>
        <v/>
      </c>
      <c r="R236" s="18" t="e">
        <f t="shared" si="15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19">
        <f>+CHAMNORD!B237</f>
        <v>46254</v>
      </c>
      <c r="C237" s="75" t="str">
        <f>IF(H237=0,"",'[6]2025-2026'!C236)</f>
        <v/>
      </c>
      <c r="D237" s="68" t="str">
        <f>+'[6]2025'!C237</f>
        <v/>
      </c>
      <c r="E237" s="68" t="str">
        <f>+'[6]2025'!D237</f>
        <v/>
      </c>
      <c r="F237" s="20" t="str">
        <f>+'[6]2025'!E237</f>
        <v/>
      </c>
      <c r="G237" s="73" t="str">
        <f>+'[6]2025'!F237</f>
        <v/>
      </c>
      <c r="H237" s="42">
        <f>+'[6]2025'!G237</f>
        <v>0</v>
      </c>
      <c r="I237" s="13">
        <f>+'[6]2025'!H237</f>
        <v>0</v>
      </c>
      <c r="J237" s="14">
        <f>+'[6]2025'!I237</f>
        <v>0</v>
      </c>
      <c r="K237" s="15">
        <f>+'[6]2025'!J237</f>
        <v>0</v>
      </c>
      <c r="L237" s="15">
        <f>+'[6]2025'!K237</f>
        <v>0</v>
      </c>
      <c r="M237" s="15">
        <f>+'[6]2025'!L237</f>
        <v>0</v>
      </c>
      <c r="N237" s="16" t="str">
        <f t="shared" si="12"/>
        <v/>
      </c>
      <c r="O237" s="17" t="str">
        <f t="shared" si="13"/>
        <v/>
      </c>
      <c r="P237" s="17" t="str">
        <f t="shared" si="13"/>
        <v/>
      </c>
      <c r="Q237" s="18" t="str">
        <f t="shared" si="14"/>
        <v/>
      </c>
      <c r="R237" s="18" t="e">
        <f t="shared" si="15"/>
        <v>#DIV/0!</v>
      </c>
      <c r="S237" s="34"/>
      <c r="T237" s="29" t="s">
        <v>8</v>
      </c>
      <c r="U237" s="1738"/>
    </row>
    <row r="238" spans="1:21">
      <c r="A238" s="10" t="s">
        <v>14</v>
      </c>
      <c r="B238" s="19">
        <f>+CHAMNORD!B238</f>
        <v>46255</v>
      </c>
      <c r="C238" s="75" t="str">
        <f>IF(H238=0,"",'[6]2025-2026'!C237)</f>
        <v/>
      </c>
      <c r="D238" s="68" t="str">
        <f>+'[6]2025'!C238</f>
        <v/>
      </c>
      <c r="E238" s="68" t="str">
        <f>+'[6]2025'!D238</f>
        <v/>
      </c>
      <c r="F238" s="20" t="str">
        <f>+'[6]2025'!E238</f>
        <v/>
      </c>
      <c r="G238" s="73" t="str">
        <f>+'[6]2025'!F238</f>
        <v/>
      </c>
      <c r="H238" s="42">
        <f>+'[6]2025'!G238</f>
        <v>0</v>
      </c>
      <c r="I238" s="13">
        <f>+'[6]2025'!H238</f>
        <v>0</v>
      </c>
      <c r="J238" s="14">
        <f>+'[6]2025'!I238</f>
        <v>0</v>
      </c>
      <c r="K238" s="15">
        <f>+'[6]2025'!J238</f>
        <v>0</v>
      </c>
      <c r="L238" s="15">
        <f>+'[6]2025'!K238</f>
        <v>0</v>
      </c>
      <c r="M238" s="15">
        <f>+'[6]2025'!L238</f>
        <v>0</v>
      </c>
      <c r="N238" s="16" t="str">
        <f t="shared" si="12"/>
        <v/>
      </c>
      <c r="O238" s="17" t="str">
        <f t="shared" si="13"/>
        <v/>
      </c>
      <c r="P238" s="17" t="str">
        <f t="shared" si="13"/>
        <v/>
      </c>
      <c r="Q238" s="18" t="str">
        <f t="shared" si="14"/>
        <v/>
      </c>
      <c r="R238" s="18" t="e">
        <f t="shared" si="15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19">
        <f>+CHAMNORD!B239</f>
        <v>46256</v>
      </c>
      <c r="C239" s="75" t="str">
        <f>IF(H239=0,"",'[6]2025-2026'!C238)</f>
        <v/>
      </c>
      <c r="D239" s="68" t="str">
        <f>+'[6]2025'!C239</f>
        <v/>
      </c>
      <c r="E239" s="68" t="str">
        <f>+'[6]2025'!D239</f>
        <v/>
      </c>
      <c r="F239" s="20" t="str">
        <f>+'[6]2025'!E239</f>
        <v/>
      </c>
      <c r="G239" s="73" t="str">
        <f>+'[6]2025'!F239</f>
        <v/>
      </c>
      <c r="H239" s="42">
        <f>+'[6]2025'!G239</f>
        <v>0</v>
      </c>
      <c r="I239" s="13">
        <f>+'[6]2025'!H239</f>
        <v>0</v>
      </c>
      <c r="J239" s="14">
        <f>+'[6]2025'!I239</f>
        <v>0</v>
      </c>
      <c r="K239" s="15">
        <f>+'[6]2025'!J239</f>
        <v>0</v>
      </c>
      <c r="L239" s="15">
        <f>+'[6]2025'!K239</f>
        <v>0</v>
      </c>
      <c r="M239" s="15">
        <f>+'[6]2025'!L239</f>
        <v>0</v>
      </c>
      <c r="N239" s="16" t="str">
        <f t="shared" si="12"/>
        <v/>
      </c>
      <c r="O239" s="17" t="str">
        <f t="shared" si="13"/>
        <v/>
      </c>
      <c r="P239" s="17" t="str">
        <f t="shared" si="13"/>
        <v/>
      </c>
      <c r="Q239" s="18" t="str">
        <f t="shared" si="14"/>
        <v/>
      </c>
      <c r="R239" s="18" t="e">
        <f t="shared" si="15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19">
        <f>+CHAMNORD!B240</f>
        <v>46257</v>
      </c>
      <c r="C240" s="75" t="str">
        <f>IF(H240=0,"",'[6]2025-2026'!C239)</f>
        <v/>
      </c>
      <c r="D240" s="68" t="str">
        <f>+'[6]2025'!C240</f>
        <v/>
      </c>
      <c r="E240" s="68" t="str">
        <f>+'[6]2025'!D240</f>
        <v/>
      </c>
      <c r="F240" s="20" t="str">
        <f>+'[6]2025'!E240</f>
        <v/>
      </c>
      <c r="G240" s="73" t="str">
        <f>+'[6]2025'!F240</f>
        <v/>
      </c>
      <c r="H240" s="42">
        <f>+'[6]2025'!G240</f>
        <v>0</v>
      </c>
      <c r="I240" s="13">
        <f>+'[6]2025'!H240</f>
        <v>0</v>
      </c>
      <c r="J240" s="14">
        <f>+'[6]2025'!I240</f>
        <v>0</v>
      </c>
      <c r="K240" s="15">
        <f>+'[6]2025'!J240</f>
        <v>0</v>
      </c>
      <c r="L240" s="15">
        <f>+'[6]2025'!K240</f>
        <v>0</v>
      </c>
      <c r="M240" s="15">
        <f>+'[6]2025'!L240</f>
        <v>0</v>
      </c>
      <c r="N240" s="16" t="str">
        <f t="shared" si="12"/>
        <v/>
      </c>
      <c r="O240" s="17" t="str">
        <f t="shared" si="13"/>
        <v/>
      </c>
      <c r="P240" s="17" t="str">
        <f t="shared" si="13"/>
        <v/>
      </c>
      <c r="Q240" s="18" t="str">
        <f t="shared" si="14"/>
        <v/>
      </c>
      <c r="R240" s="18" t="e">
        <f t="shared" si="15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19">
        <f>+CHAMNORD!B241</f>
        <v>46258</v>
      </c>
      <c r="C241" s="75" t="str">
        <f>IF(H241=0,"",'[6]2025-2026'!C240)</f>
        <v/>
      </c>
      <c r="D241" s="68" t="str">
        <f>+'[6]2025'!C241</f>
        <v/>
      </c>
      <c r="E241" s="68" t="str">
        <f>+'[6]2025'!D241</f>
        <v/>
      </c>
      <c r="F241" s="20" t="str">
        <f>+'[6]2025'!E241</f>
        <v/>
      </c>
      <c r="G241" s="73" t="str">
        <f>+'[6]2025'!F241</f>
        <v/>
      </c>
      <c r="H241" s="42">
        <f>+'[6]2025'!G241</f>
        <v>0</v>
      </c>
      <c r="I241" s="13">
        <f>+'[6]2025'!H241</f>
        <v>0</v>
      </c>
      <c r="J241" s="14">
        <f>+'[6]2025'!I241</f>
        <v>0</v>
      </c>
      <c r="K241" s="15">
        <f>+'[6]2025'!J241</f>
        <v>0</v>
      </c>
      <c r="L241" s="15">
        <f>+'[6]2025'!K241</f>
        <v>0</v>
      </c>
      <c r="M241" s="15">
        <f>+'[6]2025'!L241</f>
        <v>0</v>
      </c>
      <c r="N241" s="16" t="str">
        <f t="shared" si="12"/>
        <v/>
      </c>
      <c r="O241" s="17" t="str">
        <f t="shared" si="13"/>
        <v/>
      </c>
      <c r="P241" s="17" t="str">
        <f t="shared" si="13"/>
        <v/>
      </c>
      <c r="Q241" s="18" t="str">
        <f t="shared" si="14"/>
        <v/>
      </c>
      <c r="R241" s="18" t="e">
        <f t="shared" si="15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19">
        <f>+CHAMNORD!B242</f>
        <v>46259</v>
      </c>
      <c r="C242" s="75" t="str">
        <f>IF(H242=0,"",'[6]2025-2026'!C241)</f>
        <v/>
      </c>
      <c r="D242" s="68" t="str">
        <f>+'[6]2025'!C242</f>
        <v/>
      </c>
      <c r="E242" s="68" t="str">
        <f>+'[6]2025'!D242</f>
        <v/>
      </c>
      <c r="F242" s="20" t="str">
        <f>+'[6]2025'!E242</f>
        <v/>
      </c>
      <c r="G242" s="73" t="str">
        <f>+'[6]2025'!F242</f>
        <v/>
      </c>
      <c r="H242" s="42">
        <f>+'[6]2025'!G242</f>
        <v>0</v>
      </c>
      <c r="I242" s="13">
        <f>+'[6]2025'!H242</f>
        <v>0</v>
      </c>
      <c r="J242" s="14">
        <f>+'[6]2025'!I242</f>
        <v>0</v>
      </c>
      <c r="K242" s="15">
        <f>+'[6]2025'!J242</f>
        <v>0</v>
      </c>
      <c r="L242" s="15">
        <f>+'[6]2025'!K242</f>
        <v>0</v>
      </c>
      <c r="M242" s="15">
        <f>+'[6]2025'!L242</f>
        <v>0</v>
      </c>
      <c r="N242" s="16" t="str">
        <f t="shared" si="12"/>
        <v/>
      </c>
      <c r="O242" s="17" t="str">
        <f t="shared" si="13"/>
        <v/>
      </c>
      <c r="P242" s="17" t="str">
        <f t="shared" si="13"/>
        <v/>
      </c>
      <c r="Q242" s="18" t="str">
        <f t="shared" si="14"/>
        <v/>
      </c>
      <c r="R242" s="18" t="e">
        <f t="shared" si="15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19">
        <f>+CHAMNORD!B243</f>
        <v>46260</v>
      </c>
      <c r="C243" s="75" t="str">
        <f>IF(H243=0,"",'[6]2025-2026'!C242)</f>
        <v/>
      </c>
      <c r="D243" s="68" t="str">
        <f>+'[6]2025'!C243</f>
        <v/>
      </c>
      <c r="E243" s="68" t="str">
        <f>+'[6]2025'!D243</f>
        <v/>
      </c>
      <c r="F243" s="20" t="str">
        <f>+'[6]2025'!E243</f>
        <v/>
      </c>
      <c r="G243" s="73" t="str">
        <f>+'[6]2025'!F243</f>
        <v/>
      </c>
      <c r="H243" s="42">
        <f>+'[6]2025'!G243</f>
        <v>0</v>
      </c>
      <c r="I243" s="13">
        <f>+'[6]2025'!H243</f>
        <v>0</v>
      </c>
      <c r="J243" s="14">
        <f>+'[6]2025'!I243</f>
        <v>0</v>
      </c>
      <c r="K243" s="15">
        <f>+'[6]2025'!J243</f>
        <v>0</v>
      </c>
      <c r="L243" s="15">
        <f>+'[6]2025'!K243</f>
        <v>0</v>
      </c>
      <c r="M243" s="15">
        <f>+'[6]2025'!L243</f>
        <v>0</v>
      </c>
      <c r="N243" s="16" t="str">
        <f t="shared" si="12"/>
        <v/>
      </c>
      <c r="O243" s="17" t="str">
        <f t="shared" si="13"/>
        <v/>
      </c>
      <c r="P243" s="17" t="str">
        <f t="shared" si="13"/>
        <v/>
      </c>
      <c r="Q243" s="18" t="str">
        <f t="shared" si="14"/>
        <v/>
      </c>
      <c r="R243" s="18" t="e">
        <f t="shared" si="15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19">
        <f>+CHAMNORD!B244</f>
        <v>46261</v>
      </c>
      <c r="C244" s="75" t="str">
        <f>IF(H244=0,"",'[6]2025-2026'!C243)</f>
        <v/>
      </c>
      <c r="D244" s="68" t="str">
        <f>+'[6]2025'!C244</f>
        <v/>
      </c>
      <c r="E244" s="68" t="str">
        <f>+'[6]2025'!D244</f>
        <v/>
      </c>
      <c r="F244" s="20" t="str">
        <f>+'[6]2025'!E244</f>
        <v/>
      </c>
      <c r="G244" s="73" t="str">
        <f>+'[6]2025'!F244</f>
        <v/>
      </c>
      <c r="H244" s="42">
        <f>+'[6]2025'!G244</f>
        <v>0</v>
      </c>
      <c r="I244" s="13">
        <f>+'[6]2025'!H244</f>
        <v>0</v>
      </c>
      <c r="J244" s="14">
        <f>+'[6]2025'!I244</f>
        <v>0</v>
      </c>
      <c r="K244" s="15">
        <f>+'[6]2025'!J244</f>
        <v>0</v>
      </c>
      <c r="L244" s="15">
        <f>+'[6]2025'!K244</f>
        <v>0</v>
      </c>
      <c r="M244" s="15">
        <f>+'[6]2025'!L244</f>
        <v>0</v>
      </c>
      <c r="N244" s="16" t="str">
        <f t="shared" si="12"/>
        <v/>
      </c>
      <c r="O244" s="17" t="str">
        <f t="shared" si="13"/>
        <v/>
      </c>
      <c r="P244" s="17" t="str">
        <f t="shared" si="13"/>
        <v/>
      </c>
      <c r="Q244" s="18" t="str">
        <f t="shared" si="14"/>
        <v/>
      </c>
      <c r="R244" s="18" t="e">
        <f t="shared" si="15"/>
        <v>#DIV/0!</v>
      </c>
      <c r="S244" s="34"/>
      <c r="T244" s="29" t="s">
        <v>8</v>
      </c>
      <c r="U244" s="1738"/>
    </row>
    <row r="245" spans="1:21">
      <c r="A245" s="10" t="s">
        <v>14</v>
      </c>
      <c r="B245" s="19">
        <f>+CHAMNORD!B245</f>
        <v>46262</v>
      </c>
      <c r="C245" s="75" t="str">
        <f>IF(H245=0,"",'[6]2025-2026'!C244)</f>
        <v/>
      </c>
      <c r="D245" s="68" t="str">
        <f>+'[6]2025'!C245</f>
        <v/>
      </c>
      <c r="E245" s="68" t="str">
        <f>+'[6]2025'!D245</f>
        <v/>
      </c>
      <c r="F245" s="20" t="str">
        <f>+'[6]2025'!E245</f>
        <v/>
      </c>
      <c r="G245" s="73" t="str">
        <f>+'[6]2025'!F245</f>
        <v/>
      </c>
      <c r="H245" s="42">
        <f>+'[6]2025'!G245</f>
        <v>0</v>
      </c>
      <c r="I245" s="13">
        <f>+'[6]2025'!H245</f>
        <v>0</v>
      </c>
      <c r="J245" s="14">
        <f>+'[6]2025'!I245</f>
        <v>0</v>
      </c>
      <c r="K245" s="15">
        <f>+'[6]2025'!J245</f>
        <v>0</v>
      </c>
      <c r="L245" s="15">
        <f>+'[6]2025'!K245</f>
        <v>0</v>
      </c>
      <c r="M245" s="15">
        <f>+'[6]2025'!L245</f>
        <v>0</v>
      </c>
      <c r="N245" s="16" t="str">
        <f t="shared" si="12"/>
        <v/>
      </c>
      <c r="O245" s="17" t="str">
        <f t="shared" si="13"/>
        <v/>
      </c>
      <c r="P245" s="17" t="str">
        <f t="shared" si="13"/>
        <v/>
      </c>
      <c r="Q245" s="18" t="str">
        <f t="shared" si="14"/>
        <v/>
      </c>
      <c r="R245" s="18" t="e">
        <f t="shared" si="15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19">
        <f>+CHAMNORD!B246</f>
        <v>46263</v>
      </c>
      <c r="C246" s="75" t="str">
        <f>IF(H246=0,"",'[6]2025-2026'!C245)</f>
        <v/>
      </c>
      <c r="D246" s="68" t="str">
        <f>+'[6]2025'!C246</f>
        <v/>
      </c>
      <c r="E246" s="68" t="str">
        <f>+'[6]2025'!D246</f>
        <v/>
      </c>
      <c r="F246" s="20" t="str">
        <f>+'[6]2025'!E246</f>
        <v/>
      </c>
      <c r="G246" s="73" t="str">
        <f>+'[6]2025'!F246</f>
        <v/>
      </c>
      <c r="H246" s="42">
        <f>+'[6]2025'!G246</f>
        <v>0</v>
      </c>
      <c r="I246" s="13">
        <f>+'[6]2025'!H246</f>
        <v>0</v>
      </c>
      <c r="J246" s="14">
        <f>+'[6]2025'!I246</f>
        <v>0</v>
      </c>
      <c r="K246" s="15">
        <f>+'[6]2025'!J246</f>
        <v>0</v>
      </c>
      <c r="L246" s="15">
        <f>+'[6]2025'!K246</f>
        <v>0</v>
      </c>
      <c r="M246" s="15">
        <f>+'[6]2025'!L246</f>
        <v>0</v>
      </c>
      <c r="N246" s="16" t="str">
        <f t="shared" si="12"/>
        <v/>
      </c>
      <c r="O246" s="17" t="str">
        <f t="shared" si="13"/>
        <v/>
      </c>
      <c r="P246" s="17" t="str">
        <f t="shared" si="13"/>
        <v/>
      </c>
      <c r="Q246" s="18" t="str">
        <f t="shared" si="14"/>
        <v/>
      </c>
      <c r="R246" s="18" t="e">
        <f t="shared" si="15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19">
        <f>+CHAMNORD!B247</f>
        <v>46264</v>
      </c>
      <c r="C247" s="75" t="str">
        <f>IF(H247=0,"",'[6]2025-2026'!C246)</f>
        <v/>
      </c>
      <c r="D247" s="68" t="str">
        <f>+'[6]2025'!C247</f>
        <v/>
      </c>
      <c r="E247" s="68" t="str">
        <f>+'[6]2025'!D247</f>
        <v/>
      </c>
      <c r="F247" s="20" t="str">
        <f>+'[6]2025'!E247</f>
        <v/>
      </c>
      <c r="G247" s="73" t="str">
        <f>+'[6]2025'!F247</f>
        <v/>
      </c>
      <c r="H247" s="42">
        <f>+'[6]2025'!G247</f>
        <v>0</v>
      </c>
      <c r="I247" s="13">
        <f>+'[6]2025'!H247</f>
        <v>0</v>
      </c>
      <c r="J247" s="14">
        <f>+'[6]2025'!I247</f>
        <v>0</v>
      </c>
      <c r="K247" s="15">
        <f>+'[6]2025'!J247</f>
        <v>0</v>
      </c>
      <c r="L247" s="15">
        <f>+'[6]2025'!K247</f>
        <v>0</v>
      </c>
      <c r="M247" s="15">
        <f>+'[6]2025'!L247</f>
        <v>0</v>
      </c>
      <c r="N247" s="16" t="str">
        <f t="shared" si="12"/>
        <v/>
      </c>
      <c r="O247" s="17" t="str">
        <f t="shared" si="13"/>
        <v/>
      </c>
      <c r="P247" s="17" t="str">
        <f t="shared" si="13"/>
        <v/>
      </c>
      <c r="Q247" s="18" t="str">
        <f t="shared" si="14"/>
        <v/>
      </c>
      <c r="R247" s="18" t="e">
        <f t="shared" si="15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19">
        <f>+CHAMNORD!B248</f>
        <v>46265</v>
      </c>
      <c r="C248" s="75" t="str">
        <f>IF(H248=0,"",'[6]2025-2026'!C247)</f>
        <v/>
      </c>
      <c r="D248" s="68" t="str">
        <f>+'[6]2025'!C248</f>
        <v/>
      </c>
      <c r="E248" s="68" t="str">
        <f>+'[6]2025'!D248</f>
        <v/>
      </c>
      <c r="F248" s="20" t="str">
        <f>+'[6]2025'!E248</f>
        <v/>
      </c>
      <c r="G248" s="73" t="str">
        <f>+'[6]2025'!F248</f>
        <v/>
      </c>
      <c r="H248" s="42">
        <f>+'[6]2025'!G248</f>
        <v>0</v>
      </c>
      <c r="I248" s="13">
        <f>+'[6]2025'!H248</f>
        <v>0</v>
      </c>
      <c r="J248" s="14">
        <f>+'[6]2025'!I248</f>
        <v>0</v>
      </c>
      <c r="K248" s="15">
        <f>+'[6]2025'!J248</f>
        <v>0</v>
      </c>
      <c r="L248" s="15">
        <f>+'[6]2025'!K248</f>
        <v>0</v>
      </c>
      <c r="M248" s="15">
        <f>+'[6]2025'!L248</f>
        <v>0</v>
      </c>
      <c r="N248" s="16" t="str">
        <f t="shared" si="12"/>
        <v/>
      </c>
      <c r="O248" s="17" t="str">
        <f t="shared" si="13"/>
        <v/>
      </c>
      <c r="P248" s="17" t="str">
        <f t="shared" si="13"/>
        <v/>
      </c>
      <c r="Q248" s="18" t="str">
        <f t="shared" si="14"/>
        <v/>
      </c>
      <c r="R248" s="18" t="e">
        <f t="shared" si="15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19">
        <f>+CHAMNORD!B249</f>
        <v>46266</v>
      </c>
      <c r="C249" s="75" t="str">
        <f>IF(H249=0,"",'[6]2025-2026'!C248)</f>
        <v/>
      </c>
      <c r="D249" s="68" t="str">
        <f>+'[6]2025'!C249</f>
        <v/>
      </c>
      <c r="E249" s="68" t="str">
        <f>+'[6]2025'!D249</f>
        <v/>
      </c>
      <c r="F249" s="20" t="str">
        <f>+'[6]2025'!E249</f>
        <v/>
      </c>
      <c r="G249" s="73" t="str">
        <f>+'[6]2025'!F249</f>
        <v/>
      </c>
      <c r="H249" s="42">
        <f>+'[6]2025'!G249</f>
        <v>0</v>
      </c>
      <c r="I249" s="13">
        <f>+'[6]2025'!H249</f>
        <v>0</v>
      </c>
      <c r="J249" s="14">
        <f>+'[6]2025'!I249</f>
        <v>0</v>
      </c>
      <c r="K249" s="15">
        <f>+'[6]2025'!J249</f>
        <v>0</v>
      </c>
      <c r="L249" s="15">
        <f>+'[6]2025'!K249</f>
        <v>0</v>
      </c>
      <c r="M249" s="15">
        <f>+'[6]2025'!L249</f>
        <v>0</v>
      </c>
      <c r="N249" s="16" t="str">
        <f t="shared" si="12"/>
        <v/>
      </c>
      <c r="O249" s="17" t="str">
        <f t="shared" si="13"/>
        <v/>
      </c>
      <c r="P249" s="17" t="str">
        <f t="shared" si="13"/>
        <v/>
      </c>
      <c r="Q249" s="18" t="str">
        <f t="shared" si="14"/>
        <v/>
      </c>
      <c r="R249" s="18" t="e">
        <f t="shared" si="15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19">
        <f>+CHAMNORD!B250</f>
        <v>46267</v>
      </c>
      <c r="C250" s="75" t="str">
        <f>IF(H250=0,"",'[6]2025-2026'!C249)</f>
        <v/>
      </c>
      <c r="D250" s="68" t="str">
        <f>+'[6]2025'!C250</f>
        <v/>
      </c>
      <c r="E250" s="68" t="str">
        <f>+'[6]2025'!D250</f>
        <v/>
      </c>
      <c r="F250" s="20" t="str">
        <f>+'[6]2025'!E250</f>
        <v/>
      </c>
      <c r="G250" s="73" t="str">
        <f>+'[6]2025'!F250</f>
        <v/>
      </c>
      <c r="H250" s="42">
        <f>+'[6]2025'!G250</f>
        <v>0</v>
      </c>
      <c r="I250" s="13">
        <f>+'[6]2025'!H250</f>
        <v>0</v>
      </c>
      <c r="J250" s="14">
        <f>+'[6]2025'!I250</f>
        <v>0</v>
      </c>
      <c r="K250" s="15">
        <f>+'[6]2025'!J250</f>
        <v>0</v>
      </c>
      <c r="L250" s="15">
        <f>+'[6]2025'!K250</f>
        <v>0</v>
      </c>
      <c r="M250" s="15">
        <f>+'[6]2025'!L250</f>
        <v>0</v>
      </c>
      <c r="N250" s="16" t="str">
        <f t="shared" si="12"/>
        <v/>
      </c>
      <c r="O250" s="17" t="str">
        <f t="shared" si="13"/>
        <v/>
      </c>
      <c r="P250" s="17" t="str">
        <f t="shared" si="13"/>
        <v/>
      </c>
      <c r="Q250" s="18" t="str">
        <f t="shared" si="14"/>
        <v/>
      </c>
      <c r="R250" s="18" t="e">
        <f t="shared" si="15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19">
        <f>+CHAMNORD!B251</f>
        <v>46268</v>
      </c>
      <c r="C251" s="75" t="str">
        <f>IF(H251=0,"",'[6]2025-2026'!C250)</f>
        <v/>
      </c>
      <c r="D251" s="68" t="str">
        <f>+'[6]2025'!C251</f>
        <v/>
      </c>
      <c r="E251" s="68" t="str">
        <f>+'[6]2025'!D251</f>
        <v/>
      </c>
      <c r="F251" s="20" t="str">
        <f>+'[6]2025'!E251</f>
        <v/>
      </c>
      <c r="G251" s="73" t="str">
        <f>+'[6]2025'!F251</f>
        <v/>
      </c>
      <c r="H251" s="42">
        <f>+'[6]2025'!G251</f>
        <v>0</v>
      </c>
      <c r="I251" s="13">
        <f>+'[6]2025'!H251</f>
        <v>0</v>
      </c>
      <c r="J251" s="14">
        <f>+'[6]2025'!I251</f>
        <v>0</v>
      </c>
      <c r="K251" s="15">
        <f>+'[6]2025'!J251</f>
        <v>0</v>
      </c>
      <c r="L251" s="15">
        <f>+'[6]2025'!K251</f>
        <v>0</v>
      </c>
      <c r="M251" s="15">
        <f>+'[6]2025'!L251</f>
        <v>0</v>
      </c>
      <c r="N251" s="16" t="str">
        <f t="shared" si="12"/>
        <v/>
      </c>
      <c r="O251" s="17" t="str">
        <f t="shared" si="13"/>
        <v/>
      </c>
      <c r="P251" s="17" t="str">
        <f t="shared" si="13"/>
        <v/>
      </c>
      <c r="Q251" s="18" t="str">
        <f t="shared" si="14"/>
        <v/>
      </c>
      <c r="R251" s="18" t="e">
        <f t="shared" si="15"/>
        <v>#DIV/0!</v>
      </c>
      <c r="S251" s="34"/>
      <c r="T251" s="29" t="s">
        <v>8</v>
      </c>
      <c r="U251" s="1738"/>
    </row>
    <row r="252" spans="1:21">
      <c r="A252" s="10" t="s">
        <v>14</v>
      </c>
      <c r="B252" s="19">
        <f>+CHAMNORD!B252</f>
        <v>46269</v>
      </c>
      <c r="C252" s="75" t="str">
        <f>IF(H252=0,"",'[6]2025-2026'!C251)</f>
        <v/>
      </c>
      <c r="D252" s="68" t="str">
        <f>+'[6]2025'!C252</f>
        <v/>
      </c>
      <c r="E252" s="68" t="str">
        <f>+'[6]2025'!D252</f>
        <v/>
      </c>
      <c r="F252" s="20" t="str">
        <f>+'[6]2025'!E252</f>
        <v/>
      </c>
      <c r="G252" s="73" t="str">
        <f>+'[6]2025'!F252</f>
        <v/>
      </c>
      <c r="H252" s="42">
        <f>+'[6]2025'!G252</f>
        <v>0</v>
      </c>
      <c r="I252" s="13">
        <f>+'[6]2025'!H252</f>
        <v>0</v>
      </c>
      <c r="J252" s="14">
        <f>+'[6]2025'!I252</f>
        <v>0</v>
      </c>
      <c r="K252" s="15">
        <f>+'[6]2025'!J252</f>
        <v>0</v>
      </c>
      <c r="L252" s="15">
        <f>+'[6]2025'!K252</f>
        <v>0</v>
      </c>
      <c r="M252" s="15">
        <f>+'[6]2025'!L252</f>
        <v>0</v>
      </c>
      <c r="N252" s="16" t="str">
        <f t="shared" si="12"/>
        <v/>
      </c>
      <c r="O252" s="17" t="str">
        <f t="shared" si="13"/>
        <v/>
      </c>
      <c r="P252" s="17" t="str">
        <f t="shared" si="13"/>
        <v/>
      </c>
      <c r="Q252" s="18" t="str">
        <f t="shared" si="14"/>
        <v/>
      </c>
      <c r="R252" s="18" t="e">
        <f t="shared" si="15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19">
        <f>+CHAMNORD!B253</f>
        <v>46270</v>
      </c>
      <c r="C253" s="75" t="str">
        <f>IF(H253=0,"",'[6]2025-2026'!C252)</f>
        <v/>
      </c>
      <c r="D253" s="68" t="str">
        <f>+'[6]2025'!C253</f>
        <v/>
      </c>
      <c r="E253" s="68" t="str">
        <f>+'[6]2025'!D253</f>
        <v/>
      </c>
      <c r="F253" s="20" t="str">
        <f>+'[6]2025'!E253</f>
        <v/>
      </c>
      <c r="G253" s="73" t="str">
        <f>+'[6]2025'!F253</f>
        <v/>
      </c>
      <c r="H253" s="42">
        <f>+'[6]2025'!G253</f>
        <v>0</v>
      </c>
      <c r="I253" s="13">
        <f>+'[6]2025'!H253</f>
        <v>0</v>
      </c>
      <c r="J253" s="14">
        <f>+'[6]2025'!I253</f>
        <v>0</v>
      </c>
      <c r="K253" s="15">
        <f>+'[6]2025'!J253</f>
        <v>0</v>
      </c>
      <c r="L253" s="15">
        <f>+'[6]2025'!K253</f>
        <v>0</v>
      </c>
      <c r="M253" s="15">
        <f>+'[6]2025'!L253</f>
        <v>0</v>
      </c>
      <c r="N253" s="16" t="str">
        <f t="shared" si="12"/>
        <v/>
      </c>
      <c r="O253" s="17" t="str">
        <f t="shared" si="13"/>
        <v/>
      </c>
      <c r="P253" s="17" t="str">
        <f t="shared" si="13"/>
        <v/>
      </c>
      <c r="Q253" s="18" t="str">
        <f t="shared" si="14"/>
        <v/>
      </c>
      <c r="R253" s="18" t="e">
        <f t="shared" si="15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19">
        <f>+CHAMNORD!B254</f>
        <v>46271</v>
      </c>
      <c r="C254" s="75" t="str">
        <f>IF(H254=0,"",'[6]2025-2026'!C253)</f>
        <v/>
      </c>
      <c r="D254" s="68" t="str">
        <f>+'[6]2025'!C254</f>
        <v/>
      </c>
      <c r="E254" s="68" t="str">
        <f>+'[6]2025'!D254</f>
        <v/>
      </c>
      <c r="F254" s="20" t="str">
        <f>+'[6]2025'!E254</f>
        <v/>
      </c>
      <c r="G254" s="73" t="str">
        <f>+'[6]2025'!F254</f>
        <v/>
      </c>
      <c r="H254" s="42">
        <f>+'[6]2025'!G254</f>
        <v>0</v>
      </c>
      <c r="I254" s="13">
        <f>+'[6]2025'!H254</f>
        <v>0</v>
      </c>
      <c r="J254" s="14">
        <f>+'[6]2025'!I254</f>
        <v>0</v>
      </c>
      <c r="K254" s="15">
        <f>+'[6]2025'!J254</f>
        <v>0</v>
      </c>
      <c r="L254" s="15">
        <f>+'[6]2025'!K254</f>
        <v>0</v>
      </c>
      <c r="M254" s="15">
        <f>+'[6]2025'!L254</f>
        <v>0</v>
      </c>
      <c r="N254" s="16" t="str">
        <f t="shared" si="12"/>
        <v/>
      </c>
      <c r="O254" s="17" t="str">
        <f t="shared" si="13"/>
        <v/>
      </c>
      <c r="P254" s="17" t="str">
        <f t="shared" si="13"/>
        <v/>
      </c>
      <c r="Q254" s="18" t="str">
        <f t="shared" si="14"/>
        <v/>
      </c>
      <c r="R254" s="18" t="e">
        <f t="shared" si="15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19">
        <f>+CHAMNORD!B255</f>
        <v>46272</v>
      </c>
      <c r="C255" s="75" t="str">
        <f>IF(H255=0,"",'[6]2025-2026'!C254)</f>
        <v/>
      </c>
      <c r="D255" s="68" t="str">
        <f>+'[6]2025'!C255</f>
        <v/>
      </c>
      <c r="E255" s="68" t="str">
        <f>+'[6]2025'!D255</f>
        <v/>
      </c>
      <c r="F255" s="20" t="str">
        <f>+'[6]2025'!E255</f>
        <v/>
      </c>
      <c r="G255" s="73" t="str">
        <f>+'[6]2025'!F255</f>
        <v/>
      </c>
      <c r="H255" s="42">
        <f>+'[6]2025'!G255</f>
        <v>0</v>
      </c>
      <c r="I255" s="13">
        <f>+'[6]2025'!H255</f>
        <v>0</v>
      </c>
      <c r="J255" s="14">
        <f>+'[6]2025'!I255</f>
        <v>0</v>
      </c>
      <c r="K255" s="15">
        <f>+'[6]2025'!J255</f>
        <v>0</v>
      </c>
      <c r="L255" s="15">
        <f>+'[6]2025'!K255</f>
        <v>0</v>
      </c>
      <c r="M255" s="15">
        <f>+'[6]2025'!L255</f>
        <v>0</v>
      </c>
      <c r="N255" s="16" t="str">
        <f t="shared" si="12"/>
        <v/>
      </c>
      <c r="O255" s="17" t="str">
        <f t="shared" si="13"/>
        <v/>
      </c>
      <c r="P255" s="17" t="str">
        <f t="shared" si="13"/>
        <v/>
      </c>
      <c r="Q255" s="18" t="str">
        <f t="shared" si="14"/>
        <v/>
      </c>
      <c r="R255" s="18" t="e">
        <f t="shared" si="15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19">
        <f>+CHAMNORD!B256</f>
        <v>46273</v>
      </c>
      <c r="C256" s="75" t="str">
        <f>IF(H256=0,"",'[6]2025-2026'!C255)</f>
        <v/>
      </c>
      <c r="D256" s="68" t="str">
        <f>+'[6]2025'!C256</f>
        <v/>
      </c>
      <c r="E256" s="68" t="str">
        <f>+'[6]2025'!D256</f>
        <v/>
      </c>
      <c r="F256" s="20" t="str">
        <f>+'[6]2025'!E256</f>
        <v/>
      </c>
      <c r="G256" s="73" t="str">
        <f>+'[6]2025'!F256</f>
        <v/>
      </c>
      <c r="H256" s="42">
        <f>+'[6]2025'!G256</f>
        <v>0</v>
      </c>
      <c r="I256" s="13">
        <f>+'[6]2025'!H256</f>
        <v>0</v>
      </c>
      <c r="J256" s="14">
        <f>+'[6]2025'!I256</f>
        <v>0</v>
      </c>
      <c r="K256" s="15">
        <f>+'[6]2025'!J256</f>
        <v>0</v>
      </c>
      <c r="L256" s="15">
        <f>+'[6]2025'!K256</f>
        <v>0</v>
      </c>
      <c r="M256" s="15">
        <f>+'[6]2025'!L256</f>
        <v>0</v>
      </c>
      <c r="N256" s="16" t="str">
        <f t="shared" si="12"/>
        <v/>
      </c>
      <c r="O256" s="17" t="str">
        <f t="shared" si="13"/>
        <v/>
      </c>
      <c r="P256" s="17" t="str">
        <f t="shared" si="13"/>
        <v/>
      </c>
      <c r="Q256" s="18" t="str">
        <f t="shared" si="14"/>
        <v/>
      </c>
      <c r="R256" s="18" t="e">
        <f t="shared" si="15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19">
        <f>+CHAMNORD!B257</f>
        <v>46274</v>
      </c>
      <c r="C257" s="75" t="str">
        <f>IF(H257=0,"",'[6]2025-2026'!C256)</f>
        <v/>
      </c>
      <c r="D257" s="68" t="str">
        <f>+'[6]2025'!C257</f>
        <v/>
      </c>
      <c r="E257" s="68" t="str">
        <f>+'[6]2025'!D257</f>
        <v/>
      </c>
      <c r="F257" s="20" t="str">
        <f>+'[6]2025'!E257</f>
        <v/>
      </c>
      <c r="G257" s="73" t="str">
        <f>+'[6]2025'!F257</f>
        <v/>
      </c>
      <c r="H257" s="42">
        <f>+'[6]2025'!G257</f>
        <v>0</v>
      </c>
      <c r="I257" s="13">
        <f>+'[6]2025'!H257</f>
        <v>0</v>
      </c>
      <c r="J257" s="14">
        <f>+'[6]2025'!I257</f>
        <v>0</v>
      </c>
      <c r="K257" s="15">
        <f>+'[6]2025'!J257</f>
        <v>0</v>
      </c>
      <c r="L257" s="15">
        <f>+'[6]2025'!K257</f>
        <v>0</v>
      </c>
      <c r="M257" s="15">
        <f>+'[6]2025'!L257</f>
        <v>0</v>
      </c>
      <c r="N257" s="16" t="str">
        <f t="shared" si="12"/>
        <v/>
      </c>
      <c r="O257" s="17" t="str">
        <f t="shared" si="13"/>
        <v/>
      </c>
      <c r="P257" s="17" t="str">
        <f t="shared" si="13"/>
        <v/>
      </c>
      <c r="Q257" s="18" t="str">
        <f t="shared" si="14"/>
        <v/>
      </c>
      <c r="R257" s="18" t="e">
        <f t="shared" si="15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19">
        <f>+CHAMNORD!B258</f>
        <v>46275</v>
      </c>
      <c r="C258" s="75" t="str">
        <f>IF(H258=0,"",'[6]2025-2026'!C257)</f>
        <v/>
      </c>
      <c r="D258" s="68" t="str">
        <f>+'[6]2025'!C258</f>
        <v/>
      </c>
      <c r="E258" s="68" t="str">
        <f>+'[6]2025'!D258</f>
        <v/>
      </c>
      <c r="F258" s="20" t="str">
        <f>+'[6]2025'!E258</f>
        <v/>
      </c>
      <c r="G258" s="73" t="str">
        <f>+'[6]2025'!F258</f>
        <v/>
      </c>
      <c r="H258" s="42">
        <f>+'[6]2025'!G258</f>
        <v>0</v>
      </c>
      <c r="I258" s="13">
        <f>+'[6]2025'!H258</f>
        <v>0</v>
      </c>
      <c r="J258" s="14">
        <f>+'[6]2025'!I258</f>
        <v>0</v>
      </c>
      <c r="K258" s="15">
        <f>+'[6]2025'!J258</f>
        <v>0</v>
      </c>
      <c r="L258" s="15">
        <f>+'[6]2025'!K258</f>
        <v>0</v>
      </c>
      <c r="M258" s="15">
        <f>+'[6]2025'!L258</f>
        <v>0</v>
      </c>
      <c r="N258" s="16" t="str">
        <f t="shared" si="12"/>
        <v/>
      </c>
      <c r="O258" s="17" t="str">
        <f t="shared" si="13"/>
        <v/>
      </c>
      <c r="P258" s="17" t="str">
        <f t="shared" si="13"/>
        <v/>
      </c>
      <c r="Q258" s="18" t="str">
        <f t="shared" si="14"/>
        <v/>
      </c>
      <c r="R258" s="18" t="e">
        <f t="shared" si="15"/>
        <v>#DIV/0!</v>
      </c>
      <c r="S258" s="34"/>
      <c r="T258" s="29" t="s">
        <v>8</v>
      </c>
      <c r="U258" s="1738"/>
    </row>
    <row r="259" spans="1:21">
      <c r="A259" s="10" t="s">
        <v>14</v>
      </c>
      <c r="B259" s="19">
        <f>+CHAMNORD!B259</f>
        <v>46276</v>
      </c>
      <c r="C259" s="75" t="str">
        <f>IF(H259=0,"",'[6]2025-2026'!C258)</f>
        <v/>
      </c>
      <c r="D259" s="68" t="str">
        <f>+'[6]2025'!C259</f>
        <v/>
      </c>
      <c r="E259" s="68" t="str">
        <f>+'[6]2025'!D259</f>
        <v/>
      </c>
      <c r="F259" s="20" t="str">
        <f>+'[6]2025'!E259</f>
        <v/>
      </c>
      <c r="G259" s="73" t="str">
        <f>+'[6]2025'!F259</f>
        <v/>
      </c>
      <c r="H259" s="42">
        <f>+'[6]2025'!G259</f>
        <v>0</v>
      </c>
      <c r="I259" s="13">
        <f>+'[6]2025'!H259</f>
        <v>0</v>
      </c>
      <c r="J259" s="14">
        <f>+'[6]2025'!I259</f>
        <v>0</v>
      </c>
      <c r="K259" s="15">
        <f>+'[6]2025'!J259</f>
        <v>0</v>
      </c>
      <c r="L259" s="15">
        <f>+'[6]2025'!K259</f>
        <v>0</v>
      </c>
      <c r="M259" s="15">
        <f>+'[6]2025'!L259</f>
        <v>0</v>
      </c>
      <c r="N259" s="16" t="str">
        <f t="shared" si="12"/>
        <v/>
      </c>
      <c r="O259" s="17" t="str">
        <f t="shared" si="13"/>
        <v/>
      </c>
      <c r="P259" s="17" t="str">
        <f t="shared" si="13"/>
        <v/>
      </c>
      <c r="Q259" s="18" t="str">
        <f t="shared" si="14"/>
        <v/>
      </c>
      <c r="R259" s="18" t="e">
        <f t="shared" si="15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19">
        <f>+CHAMNORD!B260</f>
        <v>46277</v>
      </c>
      <c r="C260" s="75" t="str">
        <f>IF(H260=0,"",'[6]2025-2026'!C259)</f>
        <v/>
      </c>
      <c r="D260" s="68" t="str">
        <f>+'[6]2025'!C260</f>
        <v/>
      </c>
      <c r="E260" s="68" t="str">
        <f>+'[6]2025'!D260</f>
        <v/>
      </c>
      <c r="F260" s="20" t="str">
        <f>+'[6]2025'!E260</f>
        <v/>
      </c>
      <c r="G260" s="73" t="str">
        <f>+'[6]2025'!F260</f>
        <v/>
      </c>
      <c r="H260" s="42">
        <f>+'[6]2025'!G260</f>
        <v>0</v>
      </c>
      <c r="I260" s="13">
        <f>+'[6]2025'!H260</f>
        <v>0</v>
      </c>
      <c r="J260" s="14">
        <f>+'[6]2025'!I260</f>
        <v>0</v>
      </c>
      <c r="K260" s="15">
        <f>+'[6]2025'!J260</f>
        <v>0</v>
      </c>
      <c r="L260" s="15">
        <f>+'[6]2025'!K260</f>
        <v>0</v>
      </c>
      <c r="M260" s="15">
        <f>+'[6]2025'!L260</f>
        <v>0</v>
      </c>
      <c r="N260" s="16" t="str">
        <f t="shared" ref="N260:N323" si="16">IF(M260=0,"",M260/I260)</f>
        <v/>
      </c>
      <c r="O260" s="17" t="str">
        <f t="shared" ref="O260:P323" si="17">IF(I260=0,"",(I260-E260)/E260)</f>
        <v/>
      </c>
      <c r="P260" s="17" t="str">
        <f t="shared" si="17"/>
        <v/>
      </c>
      <c r="Q260" s="18" t="str">
        <f t="shared" ref="Q260:Q323" si="18">IF(I260=0,"",I260/K260)</f>
        <v/>
      </c>
      <c r="R260" s="18" t="e">
        <f t="shared" ref="R260:R323" si="19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19">
        <f>+CHAMNORD!B261</f>
        <v>46278</v>
      </c>
      <c r="C261" s="75" t="str">
        <f>IF(H261=0,"",'[6]2025-2026'!C260)</f>
        <v/>
      </c>
      <c r="D261" s="68" t="str">
        <f>+'[6]2025'!C261</f>
        <v/>
      </c>
      <c r="E261" s="68" t="str">
        <f>+'[6]2025'!D261</f>
        <v/>
      </c>
      <c r="F261" s="20" t="str">
        <f>+'[6]2025'!E261</f>
        <v/>
      </c>
      <c r="G261" s="73" t="str">
        <f>+'[6]2025'!F261</f>
        <v/>
      </c>
      <c r="H261" s="42">
        <f>+'[6]2025'!G261</f>
        <v>0</v>
      </c>
      <c r="I261" s="13">
        <f>+'[6]2025'!H261</f>
        <v>0</v>
      </c>
      <c r="J261" s="14">
        <f>+'[6]2025'!I261</f>
        <v>0</v>
      </c>
      <c r="K261" s="15">
        <f>+'[6]2025'!J261</f>
        <v>0</v>
      </c>
      <c r="L261" s="15">
        <f>+'[6]2025'!K261</f>
        <v>0</v>
      </c>
      <c r="M261" s="15">
        <f>+'[6]2025'!L261</f>
        <v>0</v>
      </c>
      <c r="N261" s="16" t="str">
        <f t="shared" si="16"/>
        <v/>
      </c>
      <c r="O261" s="17" t="str">
        <f t="shared" si="17"/>
        <v/>
      </c>
      <c r="P261" s="17" t="str">
        <f t="shared" si="17"/>
        <v/>
      </c>
      <c r="Q261" s="18" t="str">
        <f t="shared" si="18"/>
        <v/>
      </c>
      <c r="R261" s="18" t="e">
        <f t="shared" si="19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19">
        <f>+CHAMNORD!B262</f>
        <v>46279</v>
      </c>
      <c r="C262" s="75" t="str">
        <f>IF(H262=0,"",'[6]2025-2026'!C261)</f>
        <v/>
      </c>
      <c r="D262" s="68" t="str">
        <f>+'[6]2025'!C262</f>
        <v/>
      </c>
      <c r="E262" s="68" t="str">
        <f>+'[6]2025'!D262</f>
        <v/>
      </c>
      <c r="F262" s="20" t="str">
        <f>+'[6]2025'!E262</f>
        <v/>
      </c>
      <c r="G262" s="73" t="str">
        <f>+'[6]2025'!F262</f>
        <v/>
      </c>
      <c r="H262" s="42">
        <f>+'[6]2025'!G262</f>
        <v>0</v>
      </c>
      <c r="I262" s="13">
        <f>+'[6]2025'!H262</f>
        <v>0</v>
      </c>
      <c r="J262" s="14">
        <f>+'[6]2025'!I262</f>
        <v>0</v>
      </c>
      <c r="K262" s="15">
        <f>+'[6]2025'!J262</f>
        <v>0</v>
      </c>
      <c r="L262" s="15">
        <f>+'[6]2025'!K262</f>
        <v>0</v>
      </c>
      <c r="M262" s="15">
        <f>+'[6]2025'!L262</f>
        <v>0</v>
      </c>
      <c r="N262" s="16" t="str">
        <f t="shared" si="16"/>
        <v/>
      </c>
      <c r="O262" s="17" t="str">
        <f t="shared" si="17"/>
        <v/>
      </c>
      <c r="P262" s="17" t="str">
        <f t="shared" si="17"/>
        <v/>
      </c>
      <c r="Q262" s="18" t="str">
        <f t="shared" si="18"/>
        <v/>
      </c>
      <c r="R262" s="18" t="e">
        <f t="shared" si="19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19">
        <f>+CHAMNORD!B263</f>
        <v>46280</v>
      </c>
      <c r="C263" s="75" t="str">
        <f>IF(H263=0,"",'[6]2025-2026'!C262)</f>
        <v/>
      </c>
      <c r="D263" s="68" t="str">
        <f>+'[6]2025'!C263</f>
        <v/>
      </c>
      <c r="E263" s="68" t="str">
        <f>+'[6]2025'!D263</f>
        <v/>
      </c>
      <c r="F263" s="20" t="str">
        <f>+'[6]2025'!E263</f>
        <v/>
      </c>
      <c r="G263" s="73" t="str">
        <f>+'[6]2025'!F263</f>
        <v/>
      </c>
      <c r="H263" s="42">
        <f>+'[6]2025'!G263</f>
        <v>0</v>
      </c>
      <c r="I263" s="13">
        <f>+'[6]2025'!H263</f>
        <v>0</v>
      </c>
      <c r="J263" s="14">
        <f>+'[6]2025'!I263</f>
        <v>0</v>
      </c>
      <c r="K263" s="15">
        <f>+'[6]2025'!J263</f>
        <v>0</v>
      </c>
      <c r="L263" s="15">
        <f>+'[6]2025'!K263</f>
        <v>0</v>
      </c>
      <c r="M263" s="15">
        <f>+'[6]2025'!L263</f>
        <v>0</v>
      </c>
      <c r="N263" s="16" t="str">
        <f t="shared" si="16"/>
        <v/>
      </c>
      <c r="O263" s="17" t="str">
        <f t="shared" si="17"/>
        <v/>
      </c>
      <c r="P263" s="17" t="str">
        <f t="shared" si="17"/>
        <v/>
      </c>
      <c r="Q263" s="18" t="str">
        <f t="shared" si="18"/>
        <v/>
      </c>
      <c r="R263" s="18" t="e">
        <f t="shared" si="19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19">
        <f>+CHAMNORD!B264</f>
        <v>46281</v>
      </c>
      <c r="C264" s="75" t="str">
        <f>IF(H264=0,"",'[6]2025-2026'!C263)</f>
        <v/>
      </c>
      <c r="D264" s="68" t="str">
        <f>+'[6]2025'!C264</f>
        <v/>
      </c>
      <c r="E264" s="68" t="str">
        <f>+'[6]2025'!D264</f>
        <v/>
      </c>
      <c r="F264" s="20" t="str">
        <f>+'[6]2025'!E264</f>
        <v/>
      </c>
      <c r="G264" s="73" t="str">
        <f>+'[6]2025'!F264</f>
        <v/>
      </c>
      <c r="H264" s="42">
        <f>+'[6]2025'!G264</f>
        <v>0</v>
      </c>
      <c r="I264" s="13">
        <f>+'[6]2025'!H264</f>
        <v>0</v>
      </c>
      <c r="J264" s="14">
        <f>+'[6]2025'!I264</f>
        <v>0</v>
      </c>
      <c r="K264" s="15">
        <f>+'[6]2025'!J264</f>
        <v>0</v>
      </c>
      <c r="L264" s="15">
        <f>+'[6]2025'!K264</f>
        <v>0</v>
      </c>
      <c r="M264" s="15">
        <f>+'[6]2025'!L264</f>
        <v>0</v>
      </c>
      <c r="N264" s="16" t="str">
        <f t="shared" si="16"/>
        <v/>
      </c>
      <c r="O264" s="17" t="str">
        <f t="shared" si="17"/>
        <v/>
      </c>
      <c r="P264" s="17" t="str">
        <f t="shared" si="17"/>
        <v/>
      </c>
      <c r="Q264" s="18" t="str">
        <f t="shared" si="18"/>
        <v/>
      </c>
      <c r="R264" s="18" t="e">
        <f t="shared" si="19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19">
        <f>+CHAMNORD!B265</f>
        <v>46282</v>
      </c>
      <c r="C265" s="75" t="str">
        <f>IF(H265=0,"",'[6]2025-2026'!C264)</f>
        <v/>
      </c>
      <c r="D265" s="68" t="str">
        <f>+'[6]2025'!C265</f>
        <v/>
      </c>
      <c r="E265" s="68" t="str">
        <f>+'[6]2025'!D265</f>
        <v/>
      </c>
      <c r="F265" s="20" t="str">
        <f>+'[6]2025'!E265</f>
        <v/>
      </c>
      <c r="G265" s="73" t="str">
        <f>+'[6]2025'!F265</f>
        <v/>
      </c>
      <c r="H265" s="42">
        <f>+'[6]2025'!G265</f>
        <v>0</v>
      </c>
      <c r="I265" s="13">
        <f>+'[6]2025'!H265</f>
        <v>0</v>
      </c>
      <c r="J265" s="14">
        <f>+'[6]2025'!I265</f>
        <v>0</v>
      </c>
      <c r="K265" s="15">
        <f>+'[6]2025'!J265</f>
        <v>0</v>
      </c>
      <c r="L265" s="15">
        <f>+'[6]2025'!K265</f>
        <v>0</v>
      </c>
      <c r="M265" s="15">
        <f>+'[6]2025'!L265</f>
        <v>0</v>
      </c>
      <c r="N265" s="16" t="str">
        <f t="shared" si="16"/>
        <v/>
      </c>
      <c r="O265" s="17" t="str">
        <f t="shared" si="17"/>
        <v/>
      </c>
      <c r="P265" s="17" t="str">
        <f t="shared" si="17"/>
        <v/>
      </c>
      <c r="Q265" s="18" t="str">
        <f t="shared" si="18"/>
        <v/>
      </c>
      <c r="R265" s="18" t="e">
        <f t="shared" si="19"/>
        <v>#DIV/0!</v>
      </c>
      <c r="S265" s="34"/>
      <c r="T265" s="29" t="s">
        <v>8</v>
      </c>
      <c r="U265" s="1738"/>
    </row>
    <row r="266" spans="1:21">
      <c r="A266" s="10" t="s">
        <v>14</v>
      </c>
      <c r="B266" s="19">
        <f>+CHAMNORD!B266</f>
        <v>46283</v>
      </c>
      <c r="C266" s="75" t="str">
        <f>IF(H266=0,"",'[6]2025-2026'!C265)</f>
        <v/>
      </c>
      <c r="D266" s="68" t="str">
        <f>+'[6]2025'!C266</f>
        <v/>
      </c>
      <c r="E266" s="68" t="str">
        <f>+'[6]2025'!D266</f>
        <v/>
      </c>
      <c r="F266" s="20" t="str">
        <f>+'[6]2025'!E266</f>
        <v/>
      </c>
      <c r="G266" s="73" t="str">
        <f>+'[6]2025'!F266</f>
        <v/>
      </c>
      <c r="H266" s="42">
        <f>+'[6]2025'!G266</f>
        <v>0</v>
      </c>
      <c r="I266" s="13">
        <f>+'[6]2025'!H266</f>
        <v>0</v>
      </c>
      <c r="J266" s="14">
        <f>+'[6]2025'!I266</f>
        <v>0</v>
      </c>
      <c r="K266" s="15">
        <f>+'[6]2025'!J266</f>
        <v>0</v>
      </c>
      <c r="L266" s="15">
        <f>+'[6]2025'!K266</f>
        <v>0</v>
      </c>
      <c r="M266" s="15">
        <f>+'[6]2025'!L266</f>
        <v>0</v>
      </c>
      <c r="N266" s="16" t="str">
        <f t="shared" si="16"/>
        <v/>
      </c>
      <c r="O266" s="17" t="str">
        <f t="shared" si="17"/>
        <v/>
      </c>
      <c r="P266" s="17" t="str">
        <f t="shared" si="17"/>
        <v/>
      </c>
      <c r="Q266" s="18" t="str">
        <f t="shared" si="18"/>
        <v/>
      </c>
      <c r="R266" s="18" t="e">
        <f t="shared" si="19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19">
        <f>+CHAMNORD!B267</f>
        <v>46284</v>
      </c>
      <c r="C267" s="75" t="str">
        <f>IF(H267=0,"",'[6]2025-2026'!C266)</f>
        <v/>
      </c>
      <c r="D267" s="68" t="str">
        <f>+'[6]2025'!C267</f>
        <v/>
      </c>
      <c r="E267" s="68" t="str">
        <f>+'[6]2025'!D267</f>
        <v/>
      </c>
      <c r="F267" s="20" t="str">
        <f>+'[6]2025'!E267</f>
        <v/>
      </c>
      <c r="G267" s="73" t="str">
        <f>+'[6]2025'!F267</f>
        <v/>
      </c>
      <c r="H267" s="42">
        <f>+'[6]2025'!G267</f>
        <v>0</v>
      </c>
      <c r="I267" s="13">
        <f>+'[6]2025'!H267</f>
        <v>0</v>
      </c>
      <c r="J267" s="14">
        <f>+'[6]2025'!I267</f>
        <v>0</v>
      </c>
      <c r="K267" s="15">
        <f>+'[6]2025'!J267</f>
        <v>0</v>
      </c>
      <c r="L267" s="15">
        <f>+'[6]2025'!K267</f>
        <v>0</v>
      </c>
      <c r="M267" s="15">
        <f>+'[6]2025'!L267</f>
        <v>0</v>
      </c>
      <c r="N267" s="16" t="str">
        <f t="shared" si="16"/>
        <v/>
      </c>
      <c r="O267" s="17" t="str">
        <f t="shared" si="17"/>
        <v/>
      </c>
      <c r="P267" s="17" t="str">
        <f t="shared" si="17"/>
        <v/>
      </c>
      <c r="Q267" s="18" t="str">
        <f t="shared" si="18"/>
        <v/>
      </c>
      <c r="R267" s="18" t="e">
        <f t="shared" si="19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19">
        <f>+CHAMNORD!B268</f>
        <v>46285</v>
      </c>
      <c r="C268" s="75" t="str">
        <f>IF(H268=0,"",'[6]2025-2026'!C267)</f>
        <v/>
      </c>
      <c r="D268" s="68" t="str">
        <f>+'[6]2025'!C268</f>
        <v/>
      </c>
      <c r="E268" s="68" t="str">
        <f>+'[6]2025'!D268</f>
        <v/>
      </c>
      <c r="F268" s="20" t="str">
        <f>+'[6]2025'!E268</f>
        <v/>
      </c>
      <c r="G268" s="73" t="str">
        <f>+'[6]2025'!F268</f>
        <v/>
      </c>
      <c r="H268" s="42">
        <f>+'[6]2025'!G268</f>
        <v>0</v>
      </c>
      <c r="I268" s="13">
        <f>+'[6]2025'!H268</f>
        <v>0</v>
      </c>
      <c r="J268" s="14">
        <f>+'[6]2025'!I268</f>
        <v>0</v>
      </c>
      <c r="K268" s="15">
        <f>+'[6]2025'!J268</f>
        <v>0</v>
      </c>
      <c r="L268" s="15">
        <f>+'[6]2025'!K268</f>
        <v>0</v>
      </c>
      <c r="M268" s="15">
        <f>+'[6]2025'!L268</f>
        <v>0</v>
      </c>
      <c r="N268" s="16" t="str">
        <f t="shared" si="16"/>
        <v/>
      </c>
      <c r="O268" s="17" t="str">
        <f t="shared" si="17"/>
        <v/>
      </c>
      <c r="P268" s="17" t="str">
        <f t="shared" si="17"/>
        <v/>
      </c>
      <c r="Q268" s="18" t="str">
        <f t="shared" si="18"/>
        <v/>
      </c>
      <c r="R268" s="18" t="e">
        <f t="shared" si="19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19">
        <f>+CHAMNORD!B269</f>
        <v>46286</v>
      </c>
      <c r="C269" s="75" t="str">
        <f>IF(H269=0,"",'[6]2025-2026'!C268)</f>
        <v/>
      </c>
      <c r="D269" s="68" t="str">
        <f>+'[6]2025'!C269</f>
        <v/>
      </c>
      <c r="E269" s="68" t="str">
        <f>+'[6]2025'!D269</f>
        <v/>
      </c>
      <c r="F269" s="20" t="str">
        <f>+'[6]2025'!E269</f>
        <v/>
      </c>
      <c r="G269" s="73" t="str">
        <f>+'[6]2025'!F269</f>
        <v/>
      </c>
      <c r="H269" s="42">
        <f>+'[6]2025'!G269</f>
        <v>0</v>
      </c>
      <c r="I269" s="13">
        <f>+'[6]2025'!H269</f>
        <v>0</v>
      </c>
      <c r="J269" s="14">
        <f>+'[6]2025'!I269</f>
        <v>0</v>
      </c>
      <c r="K269" s="15">
        <f>+'[6]2025'!J269</f>
        <v>0</v>
      </c>
      <c r="L269" s="15">
        <f>+'[6]2025'!K269</f>
        <v>0</v>
      </c>
      <c r="M269" s="15">
        <f>+'[6]2025'!L269</f>
        <v>0</v>
      </c>
      <c r="N269" s="16" t="str">
        <f t="shared" si="16"/>
        <v/>
      </c>
      <c r="O269" s="17" t="str">
        <f t="shared" si="17"/>
        <v/>
      </c>
      <c r="P269" s="17" t="str">
        <f t="shared" si="17"/>
        <v/>
      </c>
      <c r="Q269" s="18" t="str">
        <f t="shared" si="18"/>
        <v/>
      </c>
      <c r="R269" s="18" t="e">
        <f t="shared" si="19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19">
        <f>+CHAMNORD!B270</f>
        <v>46287</v>
      </c>
      <c r="C270" s="75" t="str">
        <f>IF(H270=0,"",'[6]2025-2026'!C269)</f>
        <v/>
      </c>
      <c r="D270" s="68" t="str">
        <f>+'[6]2025'!C270</f>
        <v/>
      </c>
      <c r="E270" s="68" t="str">
        <f>+'[6]2025'!D270</f>
        <v/>
      </c>
      <c r="F270" s="20" t="str">
        <f>+'[6]2025'!E270</f>
        <v/>
      </c>
      <c r="G270" s="73" t="str">
        <f>+'[6]2025'!F270</f>
        <v/>
      </c>
      <c r="H270" s="42">
        <f>+'[6]2025'!G270</f>
        <v>0</v>
      </c>
      <c r="I270" s="13">
        <f>+'[6]2025'!H270</f>
        <v>0</v>
      </c>
      <c r="J270" s="14">
        <f>+'[6]2025'!I270</f>
        <v>0</v>
      </c>
      <c r="K270" s="15">
        <f>+'[6]2025'!J270</f>
        <v>0</v>
      </c>
      <c r="L270" s="15">
        <f>+'[6]2025'!K270</f>
        <v>0</v>
      </c>
      <c r="M270" s="15">
        <f>+'[6]2025'!L270</f>
        <v>0</v>
      </c>
      <c r="N270" s="16" t="str">
        <f t="shared" si="16"/>
        <v/>
      </c>
      <c r="O270" s="17" t="str">
        <f t="shared" si="17"/>
        <v/>
      </c>
      <c r="P270" s="17" t="str">
        <f t="shared" si="17"/>
        <v/>
      </c>
      <c r="Q270" s="18" t="str">
        <f t="shared" si="18"/>
        <v/>
      </c>
      <c r="R270" s="18" t="e">
        <f t="shared" si="19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19">
        <f>+CHAMNORD!B271</f>
        <v>46288</v>
      </c>
      <c r="C271" s="75" t="str">
        <f>IF(H271=0,"",'[6]2025-2026'!C270)</f>
        <v/>
      </c>
      <c r="D271" s="68" t="str">
        <f>+'[6]2025'!C271</f>
        <v/>
      </c>
      <c r="E271" s="68" t="str">
        <f>+'[6]2025'!D271</f>
        <v/>
      </c>
      <c r="F271" s="20" t="str">
        <f>+'[6]2025'!E271</f>
        <v/>
      </c>
      <c r="G271" s="73" t="str">
        <f>+'[6]2025'!F271</f>
        <v/>
      </c>
      <c r="H271" s="42">
        <f>+'[6]2025'!G271</f>
        <v>0</v>
      </c>
      <c r="I271" s="13">
        <f>+'[6]2025'!H271</f>
        <v>0</v>
      </c>
      <c r="J271" s="14">
        <f>+'[6]2025'!I271</f>
        <v>0</v>
      </c>
      <c r="K271" s="15">
        <f>+'[6]2025'!J271</f>
        <v>0</v>
      </c>
      <c r="L271" s="15">
        <f>+'[6]2025'!K271</f>
        <v>0</v>
      </c>
      <c r="M271" s="15">
        <f>+'[6]2025'!L271</f>
        <v>0</v>
      </c>
      <c r="N271" s="16" t="str">
        <f t="shared" si="16"/>
        <v/>
      </c>
      <c r="O271" s="17" t="str">
        <f t="shared" si="17"/>
        <v/>
      </c>
      <c r="P271" s="17" t="str">
        <f t="shared" si="17"/>
        <v/>
      </c>
      <c r="Q271" s="18" t="str">
        <f t="shared" si="18"/>
        <v/>
      </c>
      <c r="R271" s="18" t="e">
        <f t="shared" si="19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19">
        <f>+CHAMNORD!B272</f>
        <v>46289</v>
      </c>
      <c r="C272" s="75" t="str">
        <f>IF(H272=0,"",'[6]2025-2026'!C271)</f>
        <v/>
      </c>
      <c r="D272" s="68" t="str">
        <f>+'[6]2025'!C272</f>
        <v/>
      </c>
      <c r="E272" s="68" t="str">
        <f>+'[6]2025'!D272</f>
        <v/>
      </c>
      <c r="F272" s="20" t="str">
        <f>+'[6]2025'!E272</f>
        <v/>
      </c>
      <c r="G272" s="73" t="str">
        <f>+'[6]2025'!F272</f>
        <v/>
      </c>
      <c r="H272" s="42">
        <f>+'[6]2025'!G272</f>
        <v>0</v>
      </c>
      <c r="I272" s="13">
        <f>+'[6]2025'!H272</f>
        <v>0</v>
      </c>
      <c r="J272" s="14">
        <f>+'[6]2025'!I272</f>
        <v>0</v>
      </c>
      <c r="K272" s="15">
        <f>+'[6]2025'!J272</f>
        <v>0</v>
      </c>
      <c r="L272" s="15">
        <f>+'[6]2025'!K272</f>
        <v>0</v>
      </c>
      <c r="M272" s="15">
        <f>+'[6]2025'!L272</f>
        <v>0</v>
      </c>
      <c r="N272" s="16" t="str">
        <f t="shared" si="16"/>
        <v/>
      </c>
      <c r="O272" s="17" t="str">
        <f t="shared" si="17"/>
        <v/>
      </c>
      <c r="P272" s="17" t="str">
        <f t="shared" si="17"/>
        <v/>
      </c>
      <c r="Q272" s="18" t="str">
        <f t="shared" si="18"/>
        <v/>
      </c>
      <c r="R272" s="18" t="e">
        <f t="shared" si="19"/>
        <v>#DIV/0!</v>
      </c>
      <c r="S272" s="34"/>
      <c r="T272" s="29" t="s">
        <v>8</v>
      </c>
      <c r="U272" s="1738"/>
    </row>
    <row r="273" spans="1:21">
      <c r="A273" s="10" t="s">
        <v>14</v>
      </c>
      <c r="B273" s="19">
        <f>+CHAMNORD!B273</f>
        <v>46290</v>
      </c>
      <c r="C273" s="75" t="str">
        <f>IF(H273=0,"",'[6]2025-2026'!C272)</f>
        <v/>
      </c>
      <c r="D273" s="68" t="str">
        <f>+'[6]2025'!C273</f>
        <v/>
      </c>
      <c r="E273" s="68" t="str">
        <f>+'[6]2025'!D273</f>
        <v/>
      </c>
      <c r="F273" s="20" t="str">
        <f>+'[6]2025'!E273</f>
        <v/>
      </c>
      <c r="G273" s="73" t="str">
        <f>+'[6]2025'!F273</f>
        <v/>
      </c>
      <c r="H273" s="42">
        <f>+'[6]2025'!G273</f>
        <v>0</v>
      </c>
      <c r="I273" s="13">
        <f>+'[6]2025'!H273</f>
        <v>0</v>
      </c>
      <c r="J273" s="14">
        <f>+'[6]2025'!I273</f>
        <v>0</v>
      </c>
      <c r="K273" s="15">
        <f>+'[6]2025'!J273</f>
        <v>0</v>
      </c>
      <c r="L273" s="15">
        <f>+'[6]2025'!K273</f>
        <v>0</v>
      </c>
      <c r="M273" s="15">
        <f>+'[6]2025'!L273</f>
        <v>0</v>
      </c>
      <c r="N273" s="16" t="str">
        <f t="shared" si="16"/>
        <v/>
      </c>
      <c r="O273" s="17" t="str">
        <f t="shared" si="17"/>
        <v/>
      </c>
      <c r="P273" s="17" t="str">
        <f t="shared" si="17"/>
        <v/>
      </c>
      <c r="Q273" s="18" t="str">
        <f t="shared" si="18"/>
        <v/>
      </c>
      <c r="R273" s="18" t="e">
        <f t="shared" si="19"/>
        <v>#DIV/0!</v>
      </c>
      <c r="S273" s="36" t="s">
        <v>40</v>
      </c>
      <c r="T273" s="48" t="e">
        <f>SUM(I269:I275)/SUM(L269:L275)</f>
        <v>#DIV/0!</v>
      </c>
      <c r="U273" s="1738"/>
    </row>
    <row r="274" spans="1:21">
      <c r="A274" s="10" t="s">
        <v>15</v>
      </c>
      <c r="B274" s="19">
        <f>+CHAMNORD!B274</f>
        <v>46291</v>
      </c>
      <c r="C274" s="75" t="str">
        <f>IF(H274=0,"",'[6]2025-2026'!C273)</f>
        <v/>
      </c>
      <c r="D274" s="68" t="str">
        <f>+'[6]2025'!C274</f>
        <v/>
      </c>
      <c r="E274" s="68" t="str">
        <f>+'[6]2025'!D274</f>
        <v/>
      </c>
      <c r="F274" s="20" t="str">
        <f>+'[6]2025'!E274</f>
        <v/>
      </c>
      <c r="G274" s="73" t="str">
        <f>+'[6]2025'!F274</f>
        <v/>
      </c>
      <c r="H274" s="42">
        <f>+'[6]2025'!G274</f>
        <v>0</v>
      </c>
      <c r="I274" s="13">
        <f>+'[6]2025'!H274</f>
        <v>0</v>
      </c>
      <c r="J274" s="14">
        <f>+'[6]2025'!I274</f>
        <v>0</v>
      </c>
      <c r="K274" s="15">
        <f>+'[6]2025'!J274</f>
        <v>0</v>
      </c>
      <c r="L274" s="15">
        <f>+'[6]2025'!K274</f>
        <v>0</v>
      </c>
      <c r="M274" s="15">
        <f>+'[6]2025'!L274</f>
        <v>0</v>
      </c>
      <c r="N274" s="16" t="str">
        <f t="shared" si="16"/>
        <v/>
      </c>
      <c r="O274" s="17" t="str">
        <f t="shared" si="17"/>
        <v/>
      </c>
      <c r="P274" s="17" t="str">
        <f t="shared" si="17"/>
        <v/>
      </c>
      <c r="Q274" s="18" t="str">
        <f t="shared" si="18"/>
        <v/>
      </c>
      <c r="R274" s="18" t="e">
        <f t="shared" si="19"/>
        <v>#DIV/0!</v>
      </c>
      <c r="S274" s="36">
        <f>SUM(J269:J275)</f>
        <v>0</v>
      </c>
      <c r="T274" s="30" t="s">
        <v>3</v>
      </c>
      <c r="U274" s="1738"/>
    </row>
    <row r="275" spans="1:21" ht="18" thickBot="1">
      <c r="A275" s="10" t="s">
        <v>16</v>
      </c>
      <c r="B275" s="19">
        <f>+CHAMNORD!B275</f>
        <v>46292</v>
      </c>
      <c r="C275" s="75" t="str">
        <f>IF(H275=0,"",'[6]2025-2026'!C274)</f>
        <v/>
      </c>
      <c r="D275" s="68" t="str">
        <f>+'[6]2025'!C275</f>
        <v/>
      </c>
      <c r="E275" s="68" t="str">
        <f>+'[6]2025'!D275</f>
        <v/>
      </c>
      <c r="F275" s="20" t="str">
        <f>+'[6]2025'!E275</f>
        <v/>
      </c>
      <c r="G275" s="73" t="str">
        <f>+'[6]2025'!F275</f>
        <v/>
      </c>
      <c r="H275" s="42">
        <f>+'[6]2025'!G275</f>
        <v>0</v>
      </c>
      <c r="I275" s="13">
        <f>+'[6]2025'!H275</f>
        <v>0</v>
      </c>
      <c r="J275" s="14">
        <f>+'[6]2025'!I275</f>
        <v>0</v>
      </c>
      <c r="K275" s="15">
        <f>+'[6]2025'!J275</f>
        <v>0</v>
      </c>
      <c r="L275" s="15">
        <f>+'[6]2025'!K275</f>
        <v>0</v>
      </c>
      <c r="M275" s="15">
        <f>+'[6]2025'!L275</f>
        <v>0</v>
      </c>
      <c r="N275" s="16" t="str">
        <f t="shared" si="16"/>
        <v/>
      </c>
      <c r="O275" s="17" t="str">
        <f t="shared" si="17"/>
        <v/>
      </c>
      <c r="P275" s="17" t="str">
        <f t="shared" si="17"/>
        <v/>
      </c>
      <c r="Q275" s="18" t="str">
        <f t="shared" si="18"/>
        <v/>
      </c>
      <c r="R275" s="18" t="e">
        <f t="shared" si="19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1" ht="17" customHeight="1" thickTop="1">
      <c r="A276" s="10" t="s">
        <v>9</v>
      </c>
      <c r="B276" s="19">
        <f>+CHAMNORD!B276</f>
        <v>46293</v>
      </c>
      <c r="C276" s="75" t="str">
        <f>IF(H276=0,"",'[6]2025-2026'!C275)</f>
        <v/>
      </c>
      <c r="D276" s="68" t="str">
        <f>+'[6]2025'!C276</f>
        <v/>
      </c>
      <c r="E276" s="68" t="str">
        <f>+'[6]2025'!D276</f>
        <v/>
      </c>
      <c r="F276" s="20" t="str">
        <f>+'[6]2025'!E276</f>
        <v/>
      </c>
      <c r="G276" s="73" t="str">
        <f>+'[6]2025'!F276</f>
        <v/>
      </c>
      <c r="H276" s="42">
        <f>+'[6]2025'!G276</f>
        <v>0</v>
      </c>
      <c r="I276" s="13">
        <f>+'[6]2025'!H276</f>
        <v>0</v>
      </c>
      <c r="J276" s="14">
        <f>+'[6]2025'!I276</f>
        <v>0</v>
      </c>
      <c r="K276" s="15">
        <f>+'[6]2025'!J276</f>
        <v>0</v>
      </c>
      <c r="L276" s="15">
        <f>+'[6]2025'!K276</f>
        <v>0</v>
      </c>
      <c r="M276" s="15">
        <f>+'[6]2025'!L276</f>
        <v>0</v>
      </c>
      <c r="N276" s="16" t="str">
        <f t="shared" si="16"/>
        <v/>
      </c>
      <c r="O276" s="17" t="str">
        <f t="shared" si="17"/>
        <v/>
      </c>
      <c r="P276" s="17" t="str">
        <f t="shared" si="17"/>
        <v/>
      </c>
      <c r="Q276" s="18" t="str">
        <f t="shared" si="18"/>
        <v/>
      </c>
      <c r="R276" s="18" t="e">
        <f t="shared" si="19"/>
        <v>#DIV/0!</v>
      </c>
      <c r="S276" s="33" t="s">
        <v>39</v>
      </c>
      <c r="T276" s="31" t="s">
        <v>42</v>
      </c>
      <c r="U276" s="1737" t="s">
        <v>122</v>
      </c>
    </row>
    <row r="277" spans="1:21">
      <c r="A277" s="10" t="s">
        <v>11</v>
      </c>
      <c r="B277" s="19">
        <f>+CHAMNORD!B277</f>
        <v>46294</v>
      </c>
      <c r="C277" s="75" t="str">
        <f>IF(H277=0,"",'[6]2025-2026'!C276)</f>
        <v/>
      </c>
      <c r="D277" s="68" t="str">
        <f>+'[6]2025'!C277</f>
        <v/>
      </c>
      <c r="E277" s="68" t="str">
        <f>+'[6]2025'!D277</f>
        <v/>
      </c>
      <c r="F277" s="20" t="str">
        <f>+'[6]2025'!E277</f>
        <v/>
      </c>
      <c r="G277" s="73" t="str">
        <f>+'[6]2025'!F277</f>
        <v/>
      </c>
      <c r="H277" s="42">
        <f>+'[6]2025'!G277</f>
        <v>0</v>
      </c>
      <c r="I277" s="13">
        <f>+'[6]2025'!H277</f>
        <v>0</v>
      </c>
      <c r="J277" s="14">
        <f>+'[6]2025'!I277</f>
        <v>0</v>
      </c>
      <c r="K277" s="15">
        <f>+'[6]2025'!J277</f>
        <v>0</v>
      </c>
      <c r="L277" s="15">
        <f>+'[6]2025'!K277</f>
        <v>0</v>
      </c>
      <c r="M277" s="15">
        <f>+'[6]2025'!L277</f>
        <v>0</v>
      </c>
      <c r="N277" s="16" t="str">
        <f t="shared" si="16"/>
        <v/>
      </c>
      <c r="O277" s="17" t="str">
        <f t="shared" si="17"/>
        <v/>
      </c>
      <c r="P277" s="17" t="str">
        <f t="shared" si="17"/>
        <v/>
      </c>
      <c r="Q277" s="18" t="str">
        <f t="shared" si="18"/>
        <v/>
      </c>
      <c r="R277" s="18" t="e">
        <f t="shared" si="19"/>
        <v>#DIV/0!</v>
      </c>
      <c r="S277" s="34">
        <f>SUM(I276:I282)</f>
        <v>0</v>
      </c>
      <c r="T277" s="45" t="s">
        <v>41</v>
      </c>
      <c r="U277" s="1738"/>
    </row>
    <row r="278" spans="1:21">
      <c r="A278" s="10" t="s">
        <v>12</v>
      </c>
      <c r="B278" s="19">
        <f>+CHAMNORD!B278</f>
        <v>46295</v>
      </c>
      <c r="C278" s="75" t="str">
        <f>IF(H278=0,"",'[6]2025-2026'!C277)</f>
        <v/>
      </c>
      <c r="D278" s="68" t="str">
        <f>+'[6]2025'!C278</f>
        <v/>
      </c>
      <c r="E278" s="68" t="str">
        <f>+'[6]2025'!D278</f>
        <v/>
      </c>
      <c r="F278" s="20" t="str">
        <f>+'[6]2025'!E278</f>
        <v/>
      </c>
      <c r="G278" s="73" t="str">
        <f>+'[6]2025'!F278</f>
        <v/>
      </c>
      <c r="H278" s="42">
        <f>+'[6]2025'!G278</f>
        <v>0</v>
      </c>
      <c r="I278" s="13">
        <f>+'[6]2025'!H278</f>
        <v>0</v>
      </c>
      <c r="J278" s="14">
        <f>+'[6]2025'!I278</f>
        <v>0</v>
      </c>
      <c r="K278" s="15">
        <f>+'[6]2025'!J278</f>
        <v>0</v>
      </c>
      <c r="L278" s="15">
        <f>+'[6]2025'!K278</f>
        <v>0</v>
      </c>
      <c r="M278" s="15">
        <f>+'[6]2025'!L278</f>
        <v>0</v>
      </c>
      <c r="N278" s="16" t="str">
        <f t="shared" si="16"/>
        <v/>
      </c>
      <c r="O278" s="17" t="str">
        <f t="shared" si="17"/>
        <v/>
      </c>
      <c r="P278" s="17" t="str">
        <f t="shared" si="17"/>
        <v/>
      </c>
      <c r="Q278" s="18" t="str">
        <f t="shared" si="18"/>
        <v/>
      </c>
      <c r="R278" s="18" t="e">
        <f t="shared" si="19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</row>
    <row r="279" spans="1:21">
      <c r="A279" s="10" t="s">
        <v>13</v>
      </c>
      <c r="B279" s="19">
        <f>+CHAMNORD!B279</f>
        <v>46296</v>
      </c>
      <c r="C279" s="75" t="str">
        <f>IF(H279=0,"",'[6]2025-2026'!C278)</f>
        <v/>
      </c>
      <c r="D279" s="68" t="str">
        <f>+'[6]2025'!C279</f>
        <v/>
      </c>
      <c r="E279" s="68" t="str">
        <f>+'[6]2025'!D279</f>
        <v/>
      </c>
      <c r="F279" s="20" t="str">
        <f>+'[6]2025'!E279</f>
        <v/>
      </c>
      <c r="G279" s="73" t="str">
        <f>+'[6]2025'!F279</f>
        <v/>
      </c>
      <c r="H279" s="42">
        <f>+'[6]2025'!G279</f>
        <v>0</v>
      </c>
      <c r="I279" s="13">
        <f>+'[6]2025'!H279</f>
        <v>0</v>
      </c>
      <c r="J279" s="14">
        <f>+'[6]2025'!I279</f>
        <v>0</v>
      </c>
      <c r="K279" s="15">
        <f>+'[6]2025'!J279</f>
        <v>0</v>
      </c>
      <c r="L279" s="15">
        <f>+'[6]2025'!K279</f>
        <v>0</v>
      </c>
      <c r="M279" s="15">
        <f>+'[6]2025'!L279</f>
        <v>0</v>
      </c>
      <c r="N279" s="16" t="str">
        <f t="shared" si="16"/>
        <v/>
      </c>
      <c r="O279" s="17" t="str">
        <f t="shared" si="17"/>
        <v/>
      </c>
      <c r="P279" s="17" t="str">
        <f t="shared" si="17"/>
        <v/>
      </c>
      <c r="Q279" s="18" t="str">
        <f t="shared" si="18"/>
        <v/>
      </c>
      <c r="R279" s="18" t="e">
        <f t="shared" si="19"/>
        <v>#DIV/0!</v>
      </c>
      <c r="S279" s="34"/>
      <c r="T279" s="29" t="s">
        <v>8</v>
      </c>
      <c r="U279" s="1738"/>
    </row>
    <row r="280" spans="1:21">
      <c r="A280" s="10" t="s">
        <v>14</v>
      </c>
      <c r="B280" s="19">
        <f>+CHAMNORD!B280</f>
        <v>46297</v>
      </c>
      <c r="C280" s="75" t="str">
        <f>IF(H280=0,"",'[6]2025-2026'!C279)</f>
        <v/>
      </c>
      <c r="D280" s="68" t="str">
        <f>+'[6]2025'!C280</f>
        <v/>
      </c>
      <c r="E280" s="68" t="str">
        <f>+'[6]2025'!D280</f>
        <v/>
      </c>
      <c r="F280" s="20" t="str">
        <f>+'[6]2025'!E280</f>
        <v/>
      </c>
      <c r="G280" s="73" t="str">
        <f>+'[6]2025'!F280</f>
        <v/>
      </c>
      <c r="H280" s="42">
        <f>+'[6]2025'!G280</f>
        <v>0</v>
      </c>
      <c r="I280" s="13">
        <f>+'[6]2025'!H280</f>
        <v>0</v>
      </c>
      <c r="J280" s="14">
        <f>+'[6]2025'!I280</f>
        <v>0</v>
      </c>
      <c r="K280" s="15">
        <f>+'[6]2025'!J280</f>
        <v>0</v>
      </c>
      <c r="L280" s="15">
        <f>+'[6]2025'!K280</f>
        <v>0</v>
      </c>
      <c r="M280" s="15">
        <f>+'[6]2025'!L280</f>
        <v>0</v>
      </c>
      <c r="N280" s="16" t="str">
        <f t="shared" si="16"/>
        <v/>
      </c>
      <c r="O280" s="17" t="str">
        <f t="shared" si="17"/>
        <v/>
      </c>
      <c r="P280" s="17" t="str">
        <f t="shared" si="17"/>
        <v/>
      </c>
      <c r="Q280" s="18" t="str">
        <f t="shared" si="18"/>
        <v/>
      </c>
      <c r="R280" s="18" t="e">
        <f t="shared" si="19"/>
        <v>#DIV/0!</v>
      </c>
      <c r="S280" s="36" t="s">
        <v>40</v>
      </c>
      <c r="T280" s="48" t="e">
        <f>SUM(I276:I282)/SUM(L276:L282)</f>
        <v>#DIV/0!</v>
      </c>
      <c r="U280" s="1738"/>
    </row>
    <row r="281" spans="1:21">
      <c r="A281" s="10" t="s">
        <v>15</v>
      </c>
      <c r="B281" s="19">
        <f>+CHAMNORD!B281</f>
        <v>46298</v>
      </c>
      <c r="C281" s="75" t="str">
        <f>IF(H281=0,"",'[6]2025-2026'!C280)</f>
        <v/>
      </c>
      <c r="D281" s="68" t="str">
        <f>+'[6]2025'!C281</f>
        <v/>
      </c>
      <c r="E281" s="68" t="str">
        <f>+'[6]2025'!D281</f>
        <v/>
      </c>
      <c r="F281" s="20" t="str">
        <f>+'[6]2025'!E281</f>
        <v/>
      </c>
      <c r="G281" s="73" t="str">
        <f>+'[6]2025'!F281</f>
        <v/>
      </c>
      <c r="H281" s="42">
        <f>+'[6]2025'!G281</f>
        <v>0</v>
      </c>
      <c r="I281" s="13">
        <f>+'[6]2025'!H281</f>
        <v>0</v>
      </c>
      <c r="J281" s="14">
        <f>+'[6]2025'!I281</f>
        <v>0</v>
      </c>
      <c r="K281" s="15">
        <f>+'[6]2025'!J281</f>
        <v>0</v>
      </c>
      <c r="L281" s="15">
        <f>+'[6]2025'!K281</f>
        <v>0</v>
      </c>
      <c r="M281" s="15">
        <f>+'[6]2025'!L281</f>
        <v>0</v>
      </c>
      <c r="N281" s="16" t="str">
        <f t="shared" si="16"/>
        <v/>
      </c>
      <c r="O281" s="17" t="str">
        <f t="shared" si="17"/>
        <v/>
      </c>
      <c r="P281" s="17" t="str">
        <f t="shared" si="17"/>
        <v/>
      </c>
      <c r="Q281" s="18" t="str">
        <f t="shared" si="18"/>
        <v/>
      </c>
      <c r="R281" s="18" t="e">
        <f t="shared" si="19"/>
        <v>#DIV/0!</v>
      </c>
      <c r="S281" s="36">
        <f>SUM(J276:J282)</f>
        <v>0</v>
      </c>
      <c r="T281" s="30" t="s">
        <v>3</v>
      </c>
      <c r="U281" s="1738"/>
    </row>
    <row r="282" spans="1:21" ht="18" thickBot="1">
      <c r="A282" s="10" t="s">
        <v>16</v>
      </c>
      <c r="B282" s="19">
        <f>+CHAMNORD!B282</f>
        <v>46299</v>
      </c>
      <c r="C282" s="75" t="str">
        <f>IF(H282=0,"",'[6]2025-2026'!C281)</f>
        <v/>
      </c>
      <c r="D282" s="68" t="str">
        <f>+'[6]2025'!C282</f>
        <v/>
      </c>
      <c r="E282" s="68" t="str">
        <f>+'[6]2025'!D282</f>
        <v/>
      </c>
      <c r="F282" s="20" t="str">
        <f>+'[6]2025'!E282</f>
        <v/>
      </c>
      <c r="G282" s="73" t="str">
        <f>+'[6]2025'!F282</f>
        <v/>
      </c>
      <c r="H282" s="42">
        <f>+'[6]2025'!G282</f>
        <v>0</v>
      </c>
      <c r="I282" s="13">
        <f>+'[6]2025'!H282</f>
        <v>0</v>
      </c>
      <c r="J282" s="14">
        <f>+'[6]2025'!I282</f>
        <v>0</v>
      </c>
      <c r="K282" s="15">
        <f>+'[6]2025'!J282</f>
        <v>0</v>
      </c>
      <c r="L282" s="15">
        <f>+'[6]2025'!K282</f>
        <v>0</v>
      </c>
      <c r="M282" s="15">
        <f>+'[6]2025'!L282</f>
        <v>0</v>
      </c>
      <c r="N282" s="16" t="str">
        <f t="shared" si="16"/>
        <v/>
      </c>
      <c r="O282" s="17" t="str">
        <f t="shared" si="17"/>
        <v/>
      </c>
      <c r="P282" s="17" t="str">
        <f t="shared" si="17"/>
        <v/>
      </c>
      <c r="Q282" s="18" t="str">
        <f t="shared" si="18"/>
        <v/>
      </c>
      <c r="R282" s="18" t="e">
        <f t="shared" si="19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</row>
    <row r="283" spans="1:21" ht="17" customHeight="1" thickTop="1">
      <c r="A283" s="10" t="s">
        <v>9</v>
      </c>
      <c r="B283" s="19">
        <f>+CHAMNORD!B283</f>
        <v>46300</v>
      </c>
      <c r="C283" s="75" t="str">
        <f>IF(H283=0,"",'[6]2025-2026'!C282)</f>
        <v/>
      </c>
      <c r="D283" s="68" t="str">
        <f>+'[6]2025'!C283</f>
        <v/>
      </c>
      <c r="E283" s="68" t="str">
        <f>+'[6]2025'!D283</f>
        <v/>
      </c>
      <c r="F283" s="20" t="str">
        <f>+'[6]2025'!E283</f>
        <v/>
      </c>
      <c r="G283" s="73" t="str">
        <f>+'[6]2025'!F283</f>
        <v/>
      </c>
      <c r="H283" s="42">
        <f>+'[6]2025'!G283</f>
        <v>0</v>
      </c>
      <c r="I283" s="13">
        <f>+'[6]2025'!H283</f>
        <v>0</v>
      </c>
      <c r="J283" s="14">
        <f>+'[6]2025'!I283</f>
        <v>0</v>
      </c>
      <c r="K283" s="15">
        <f>+'[6]2025'!J283</f>
        <v>0</v>
      </c>
      <c r="L283" s="15">
        <f>+'[6]2025'!K283</f>
        <v>0</v>
      </c>
      <c r="M283" s="15">
        <f>+'[6]2025'!L283</f>
        <v>0</v>
      </c>
      <c r="N283" s="16" t="str">
        <f t="shared" si="16"/>
        <v/>
      </c>
      <c r="O283" s="17" t="str">
        <f t="shared" si="17"/>
        <v/>
      </c>
      <c r="P283" s="17" t="str">
        <f t="shared" si="17"/>
        <v/>
      </c>
      <c r="Q283" s="18" t="str">
        <f t="shared" si="18"/>
        <v/>
      </c>
      <c r="R283" s="18" t="e">
        <f t="shared" si="19"/>
        <v>#DIV/0!</v>
      </c>
      <c r="S283" s="33" t="s">
        <v>39</v>
      </c>
      <c r="T283" s="31" t="s">
        <v>42</v>
      </c>
      <c r="U283" s="1737" t="s">
        <v>123</v>
      </c>
    </row>
    <row r="284" spans="1:21">
      <c r="A284" s="10" t="s">
        <v>11</v>
      </c>
      <c r="B284" s="19">
        <f>+CHAMNORD!B284</f>
        <v>46301</v>
      </c>
      <c r="C284" s="75" t="str">
        <f>IF(H284=0,"",'[6]2025-2026'!C283)</f>
        <v/>
      </c>
      <c r="D284" s="68" t="str">
        <f>+'[6]2025'!C284</f>
        <v/>
      </c>
      <c r="E284" s="68" t="str">
        <f>+'[6]2025'!D284</f>
        <v/>
      </c>
      <c r="F284" s="20" t="str">
        <f>+'[6]2025'!E284</f>
        <v/>
      </c>
      <c r="G284" s="73" t="str">
        <f>+'[6]2025'!F284</f>
        <v/>
      </c>
      <c r="H284" s="42">
        <f>+'[6]2025'!G284</f>
        <v>0</v>
      </c>
      <c r="I284" s="13">
        <f>+'[6]2025'!H284</f>
        <v>0</v>
      </c>
      <c r="J284" s="14">
        <f>+'[6]2025'!I284</f>
        <v>0</v>
      </c>
      <c r="K284" s="15">
        <f>+'[6]2025'!J284</f>
        <v>0</v>
      </c>
      <c r="L284" s="15">
        <f>+'[6]2025'!K284</f>
        <v>0</v>
      </c>
      <c r="M284" s="15">
        <f>+'[6]2025'!L284</f>
        <v>0</v>
      </c>
      <c r="N284" s="16" t="str">
        <f t="shared" si="16"/>
        <v/>
      </c>
      <c r="O284" s="17" t="str">
        <f t="shared" si="17"/>
        <v/>
      </c>
      <c r="P284" s="17" t="str">
        <f t="shared" si="17"/>
        <v/>
      </c>
      <c r="Q284" s="18" t="str">
        <f t="shared" si="18"/>
        <v/>
      </c>
      <c r="R284" s="18" t="e">
        <f t="shared" si="19"/>
        <v>#DIV/0!</v>
      </c>
      <c r="S284" s="34">
        <f>SUM(I283:I289)</f>
        <v>0</v>
      </c>
      <c r="T284" s="45" t="s">
        <v>41</v>
      </c>
      <c r="U284" s="1738"/>
    </row>
    <row r="285" spans="1:21">
      <c r="A285" s="10" t="s">
        <v>12</v>
      </c>
      <c r="B285" s="19">
        <f>+CHAMNORD!B285</f>
        <v>46302</v>
      </c>
      <c r="C285" s="75" t="str">
        <f>IF(H285=0,"",'[6]2025-2026'!C284)</f>
        <v/>
      </c>
      <c r="D285" s="68" t="str">
        <f>+'[6]2025'!C285</f>
        <v/>
      </c>
      <c r="E285" s="68" t="str">
        <f>+'[6]2025'!D285</f>
        <v/>
      </c>
      <c r="F285" s="20" t="str">
        <f>+'[6]2025'!E285</f>
        <v/>
      </c>
      <c r="G285" s="73" t="str">
        <f>+'[6]2025'!F285</f>
        <v/>
      </c>
      <c r="H285" s="42">
        <f>+'[6]2025'!G285</f>
        <v>0</v>
      </c>
      <c r="I285" s="13">
        <f>+'[6]2025'!H285</f>
        <v>0</v>
      </c>
      <c r="J285" s="14">
        <f>+'[6]2025'!I285</f>
        <v>0</v>
      </c>
      <c r="K285" s="15">
        <f>+'[6]2025'!J285</f>
        <v>0</v>
      </c>
      <c r="L285" s="15">
        <f>+'[6]2025'!K285</f>
        <v>0</v>
      </c>
      <c r="M285" s="15">
        <f>+'[6]2025'!L285</f>
        <v>0</v>
      </c>
      <c r="N285" s="16" t="str">
        <f t="shared" si="16"/>
        <v/>
      </c>
      <c r="O285" s="17" t="str">
        <f t="shared" si="17"/>
        <v/>
      </c>
      <c r="P285" s="17" t="str">
        <f t="shared" si="17"/>
        <v/>
      </c>
      <c r="Q285" s="18" t="str">
        <f t="shared" si="18"/>
        <v/>
      </c>
      <c r="R285" s="18" t="e">
        <f t="shared" si="19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</row>
    <row r="286" spans="1:21">
      <c r="A286" s="10" t="s">
        <v>13</v>
      </c>
      <c r="B286" s="19">
        <f>+CHAMNORD!B286</f>
        <v>46303</v>
      </c>
      <c r="C286" s="75" t="str">
        <f>IF(H286=0,"",'[6]2025-2026'!C285)</f>
        <v/>
      </c>
      <c r="D286" s="68" t="str">
        <f>+'[6]2025'!C286</f>
        <v/>
      </c>
      <c r="E286" s="68" t="str">
        <f>+'[6]2025'!D286</f>
        <v/>
      </c>
      <c r="F286" s="20" t="str">
        <f>+'[6]2025'!E286</f>
        <v/>
      </c>
      <c r="G286" s="73" t="str">
        <f>+'[6]2025'!F286</f>
        <v/>
      </c>
      <c r="H286" s="42">
        <f>+'[6]2025'!G286</f>
        <v>0</v>
      </c>
      <c r="I286" s="13">
        <f>+'[6]2025'!H286</f>
        <v>0</v>
      </c>
      <c r="J286" s="14">
        <f>+'[6]2025'!I286</f>
        <v>0</v>
      </c>
      <c r="K286" s="15">
        <f>+'[6]2025'!J286</f>
        <v>0</v>
      </c>
      <c r="L286" s="15">
        <f>+'[6]2025'!K286</f>
        <v>0</v>
      </c>
      <c r="M286" s="15">
        <f>+'[6]2025'!L286</f>
        <v>0</v>
      </c>
      <c r="N286" s="16" t="str">
        <f t="shared" si="16"/>
        <v/>
      </c>
      <c r="O286" s="17" t="str">
        <f t="shared" si="17"/>
        <v/>
      </c>
      <c r="P286" s="17" t="str">
        <f t="shared" si="17"/>
        <v/>
      </c>
      <c r="Q286" s="18" t="str">
        <f t="shared" si="18"/>
        <v/>
      </c>
      <c r="R286" s="18" t="e">
        <f t="shared" si="19"/>
        <v>#DIV/0!</v>
      </c>
      <c r="S286" s="34"/>
      <c r="T286" s="29" t="s">
        <v>8</v>
      </c>
      <c r="U286" s="1738"/>
    </row>
    <row r="287" spans="1:21">
      <c r="A287" s="10" t="s">
        <v>14</v>
      </c>
      <c r="B287" s="19">
        <f>+CHAMNORD!B287</f>
        <v>46304</v>
      </c>
      <c r="C287" s="75" t="str">
        <f>IF(H287=0,"",'[6]2025-2026'!C286)</f>
        <v/>
      </c>
      <c r="D287" s="68" t="str">
        <f>+'[6]2025'!C287</f>
        <v/>
      </c>
      <c r="E287" s="68" t="str">
        <f>+'[6]2025'!D287</f>
        <v/>
      </c>
      <c r="F287" s="20" t="str">
        <f>+'[6]2025'!E287</f>
        <v/>
      </c>
      <c r="G287" s="73" t="str">
        <f>+'[6]2025'!F287</f>
        <v/>
      </c>
      <c r="H287" s="42">
        <f>+'[6]2025'!G287</f>
        <v>0</v>
      </c>
      <c r="I287" s="13">
        <f>+'[6]2025'!H287</f>
        <v>0</v>
      </c>
      <c r="J287" s="14">
        <f>+'[6]2025'!I287</f>
        <v>0</v>
      </c>
      <c r="K287" s="15">
        <f>+'[6]2025'!J287</f>
        <v>0</v>
      </c>
      <c r="L287" s="15">
        <f>+'[6]2025'!K287</f>
        <v>0</v>
      </c>
      <c r="M287" s="15">
        <f>+'[6]2025'!L287</f>
        <v>0</v>
      </c>
      <c r="N287" s="16" t="str">
        <f t="shared" si="16"/>
        <v/>
      </c>
      <c r="O287" s="17" t="str">
        <f t="shared" si="17"/>
        <v/>
      </c>
      <c r="P287" s="17" t="str">
        <f t="shared" si="17"/>
        <v/>
      </c>
      <c r="Q287" s="18" t="str">
        <f t="shared" si="18"/>
        <v/>
      </c>
      <c r="R287" s="18" t="e">
        <f t="shared" si="19"/>
        <v>#DIV/0!</v>
      </c>
      <c r="S287" s="36" t="s">
        <v>40</v>
      </c>
      <c r="T287" s="48" t="e">
        <f>SUM(I283:I289)/SUM(L283:L289)</f>
        <v>#DIV/0!</v>
      </c>
      <c r="U287" s="1738"/>
    </row>
    <row r="288" spans="1:21">
      <c r="A288" s="10" t="s">
        <v>15</v>
      </c>
      <c r="B288" s="19">
        <f>+CHAMNORD!B288</f>
        <v>46305</v>
      </c>
      <c r="C288" s="75" t="str">
        <f>IF(H288=0,"",'[6]2025-2026'!C287)</f>
        <v/>
      </c>
      <c r="D288" s="68" t="str">
        <f>+'[6]2025'!C288</f>
        <v/>
      </c>
      <c r="E288" s="68" t="str">
        <f>+'[6]2025'!D288</f>
        <v/>
      </c>
      <c r="F288" s="20" t="str">
        <f>+'[6]2025'!E288</f>
        <v/>
      </c>
      <c r="G288" s="73" t="str">
        <f>+'[6]2025'!F288</f>
        <v/>
      </c>
      <c r="H288" s="42">
        <f>+'[6]2025'!G288</f>
        <v>0</v>
      </c>
      <c r="I288" s="13">
        <f>+'[6]2025'!H288</f>
        <v>0</v>
      </c>
      <c r="J288" s="14">
        <f>+'[6]2025'!I288</f>
        <v>0</v>
      </c>
      <c r="K288" s="15">
        <f>+'[6]2025'!J288</f>
        <v>0</v>
      </c>
      <c r="L288" s="15">
        <f>+'[6]2025'!K288</f>
        <v>0</v>
      </c>
      <c r="M288" s="15">
        <f>+'[6]2025'!L288</f>
        <v>0</v>
      </c>
      <c r="N288" s="16" t="str">
        <f t="shared" si="16"/>
        <v/>
      </c>
      <c r="O288" s="17" t="str">
        <f t="shared" si="17"/>
        <v/>
      </c>
      <c r="P288" s="17" t="str">
        <f t="shared" si="17"/>
        <v/>
      </c>
      <c r="Q288" s="18" t="str">
        <f t="shared" si="18"/>
        <v/>
      </c>
      <c r="R288" s="18" t="e">
        <f t="shared" si="19"/>
        <v>#DIV/0!</v>
      </c>
      <c r="S288" s="36">
        <f>SUM(J283:J289)</f>
        <v>0</v>
      </c>
      <c r="T288" s="30" t="s">
        <v>3</v>
      </c>
      <c r="U288" s="1738"/>
    </row>
    <row r="289" spans="1:21" ht="18" thickBot="1">
      <c r="A289" s="10" t="s">
        <v>16</v>
      </c>
      <c r="B289" s="19">
        <f>+CHAMNORD!B289</f>
        <v>46306</v>
      </c>
      <c r="C289" s="75" t="str">
        <f>IF(H289=0,"",'[6]2025-2026'!C288)</f>
        <v/>
      </c>
      <c r="D289" s="68" t="str">
        <f>+'[6]2025'!C289</f>
        <v/>
      </c>
      <c r="E289" s="68" t="str">
        <f>+'[6]2025'!D289</f>
        <v/>
      </c>
      <c r="F289" s="20" t="str">
        <f>+'[6]2025'!E289</f>
        <v/>
      </c>
      <c r="G289" s="73" t="str">
        <f>+'[6]2025'!F289</f>
        <v/>
      </c>
      <c r="H289" s="42">
        <f>+'[6]2025'!G289</f>
        <v>0</v>
      </c>
      <c r="I289" s="13">
        <f>+'[6]2025'!H289</f>
        <v>0</v>
      </c>
      <c r="J289" s="14">
        <f>+'[6]2025'!I289</f>
        <v>0</v>
      </c>
      <c r="K289" s="15">
        <f>+'[6]2025'!J289</f>
        <v>0</v>
      </c>
      <c r="L289" s="15">
        <f>+'[6]2025'!K289</f>
        <v>0</v>
      </c>
      <c r="M289" s="15">
        <f>+'[6]2025'!L289</f>
        <v>0</v>
      </c>
      <c r="N289" s="16" t="str">
        <f t="shared" si="16"/>
        <v/>
      </c>
      <c r="O289" s="17" t="str">
        <f t="shared" si="17"/>
        <v/>
      </c>
      <c r="P289" s="17" t="str">
        <f t="shared" si="17"/>
        <v/>
      </c>
      <c r="Q289" s="18" t="str">
        <f t="shared" si="18"/>
        <v/>
      </c>
      <c r="R289" s="18" t="e">
        <f t="shared" si="19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</row>
    <row r="290" spans="1:21" ht="17" customHeight="1" thickTop="1">
      <c r="A290" s="10" t="s">
        <v>9</v>
      </c>
      <c r="B290" s="19">
        <f>+CHAMNORD!B290</f>
        <v>46307</v>
      </c>
      <c r="C290" s="75" t="str">
        <f>IF(H290=0,"",'[6]2025-2026'!C289)</f>
        <v/>
      </c>
      <c r="D290" s="68" t="str">
        <f>+'[6]2025'!C290</f>
        <v/>
      </c>
      <c r="E290" s="68" t="str">
        <f>+'[6]2025'!D290</f>
        <v/>
      </c>
      <c r="F290" s="20" t="str">
        <f>+'[6]2025'!E290</f>
        <v/>
      </c>
      <c r="G290" s="73" t="str">
        <f>+'[6]2025'!F290</f>
        <v/>
      </c>
      <c r="H290" s="42">
        <f>+'[6]2025'!G290</f>
        <v>0</v>
      </c>
      <c r="I290" s="13">
        <f>+'[6]2025'!H290</f>
        <v>0</v>
      </c>
      <c r="J290" s="14">
        <f>+'[6]2025'!I290</f>
        <v>0</v>
      </c>
      <c r="K290" s="15">
        <f>+'[6]2025'!J290</f>
        <v>0</v>
      </c>
      <c r="L290" s="15">
        <f>+'[6]2025'!K290</f>
        <v>0</v>
      </c>
      <c r="M290" s="15">
        <f>+'[6]2025'!L290</f>
        <v>0</v>
      </c>
      <c r="N290" s="16" t="str">
        <f t="shared" si="16"/>
        <v/>
      </c>
      <c r="O290" s="17" t="str">
        <f t="shared" si="17"/>
        <v/>
      </c>
      <c r="P290" s="17" t="str">
        <f t="shared" si="17"/>
        <v/>
      </c>
      <c r="Q290" s="18" t="str">
        <f t="shared" si="18"/>
        <v/>
      </c>
      <c r="R290" s="18" t="e">
        <f t="shared" si="19"/>
        <v>#DIV/0!</v>
      </c>
      <c r="S290" s="33" t="s">
        <v>39</v>
      </c>
      <c r="T290" s="31" t="s">
        <v>42</v>
      </c>
      <c r="U290" s="1737" t="s">
        <v>124</v>
      </c>
    </row>
    <row r="291" spans="1:21">
      <c r="A291" s="10" t="s">
        <v>11</v>
      </c>
      <c r="B291" s="19">
        <f>+CHAMNORD!B291</f>
        <v>46308</v>
      </c>
      <c r="C291" s="75" t="str">
        <f>IF(H291=0,"",'[6]2025-2026'!C290)</f>
        <v/>
      </c>
      <c r="D291" s="68" t="str">
        <f>+'[6]2025'!C291</f>
        <v/>
      </c>
      <c r="E291" s="68" t="str">
        <f>+'[6]2025'!D291</f>
        <v/>
      </c>
      <c r="F291" s="20" t="str">
        <f>+'[6]2025'!E291</f>
        <v/>
      </c>
      <c r="G291" s="73" t="str">
        <f>+'[6]2025'!F291</f>
        <v/>
      </c>
      <c r="H291" s="42">
        <f>+'[6]2025'!G291</f>
        <v>0</v>
      </c>
      <c r="I291" s="13">
        <f>+'[6]2025'!H291</f>
        <v>0</v>
      </c>
      <c r="J291" s="14">
        <f>+'[6]2025'!I291</f>
        <v>0</v>
      </c>
      <c r="K291" s="15">
        <f>+'[6]2025'!J291</f>
        <v>0</v>
      </c>
      <c r="L291" s="15">
        <f>+'[6]2025'!K291</f>
        <v>0</v>
      </c>
      <c r="M291" s="15">
        <f>+'[6]2025'!L291</f>
        <v>0</v>
      </c>
      <c r="N291" s="16" t="str">
        <f t="shared" si="16"/>
        <v/>
      </c>
      <c r="O291" s="17" t="str">
        <f t="shared" si="17"/>
        <v/>
      </c>
      <c r="P291" s="17" t="str">
        <f t="shared" si="17"/>
        <v/>
      </c>
      <c r="Q291" s="18" t="str">
        <f t="shared" si="18"/>
        <v/>
      </c>
      <c r="R291" s="18" t="e">
        <f t="shared" si="19"/>
        <v>#DIV/0!</v>
      </c>
      <c r="S291" s="34">
        <f>SUM(I290:I296)</f>
        <v>0</v>
      </c>
      <c r="T291" s="45" t="s">
        <v>41</v>
      </c>
      <c r="U291" s="1738"/>
    </row>
    <row r="292" spans="1:21">
      <c r="A292" s="10" t="s">
        <v>12</v>
      </c>
      <c r="B292" s="19">
        <f>+CHAMNORD!B292</f>
        <v>46309</v>
      </c>
      <c r="C292" s="75" t="str">
        <f>IF(H292=0,"",'[6]2025-2026'!C291)</f>
        <v/>
      </c>
      <c r="D292" s="68" t="str">
        <f>+'[6]2025'!C292</f>
        <v/>
      </c>
      <c r="E292" s="68" t="str">
        <f>+'[6]2025'!D292</f>
        <v/>
      </c>
      <c r="F292" s="20" t="str">
        <f>+'[6]2025'!E292</f>
        <v/>
      </c>
      <c r="G292" s="73" t="str">
        <f>+'[6]2025'!F292</f>
        <v/>
      </c>
      <c r="H292" s="42">
        <f>+'[6]2025'!G292</f>
        <v>0</v>
      </c>
      <c r="I292" s="13">
        <f>+'[6]2025'!H292</f>
        <v>0</v>
      </c>
      <c r="J292" s="14">
        <f>+'[6]2025'!I292</f>
        <v>0</v>
      </c>
      <c r="K292" s="15">
        <f>+'[6]2025'!J292</f>
        <v>0</v>
      </c>
      <c r="L292" s="15">
        <f>+'[6]2025'!K292</f>
        <v>0</v>
      </c>
      <c r="M292" s="15">
        <f>+'[6]2025'!L292</f>
        <v>0</v>
      </c>
      <c r="N292" s="16" t="str">
        <f t="shared" si="16"/>
        <v/>
      </c>
      <c r="O292" s="17" t="str">
        <f t="shared" si="17"/>
        <v/>
      </c>
      <c r="P292" s="17" t="str">
        <f t="shared" si="17"/>
        <v/>
      </c>
      <c r="Q292" s="18" t="str">
        <f t="shared" si="18"/>
        <v/>
      </c>
      <c r="R292" s="18" t="e">
        <f t="shared" si="19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</row>
    <row r="293" spans="1:21">
      <c r="A293" s="10" t="s">
        <v>13</v>
      </c>
      <c r="B293" s="19">
        <f>+CHAMNORD!B293</f>
        <v>46310</v>
      </c>
      <c r="C293" s="75" t="str">
        <f>IF(H293=0,"",'[6]2025-2026'!C292)</f>
        <v/>
      </c>
      <c r="D293" s="68" t="str">
        <f>+'[6]2025'!C293</f>
        <v/>
      </c>
      <c r="E293" s="68" t="str">
        <f>+'[6]2025'!D293</f>
        <v/>
      </c>
      <c r="F293" s="20" t="str">
        <f>+'[6]2025'!E293</f>
        <v/>
      </c>
      <c r="G293" s="73" t="str">
        <f>+'[6]2025'!F293</f>
        <v/>
      </c>
      <c r="H293" s="42">
        <f>+'[6]2025'!G293</f>
        <v>0</v>
      </c>
      <c r="I293" s="13">
        <f>+'[6]2025'!H293</f>
        <v>0</v>
      </c>
      <c r="J293" s="14">
        <f>+'[6]2025'!I293</f>
        <v>0</v>
      </c>
      <c r="K293" s="15">
        <f>+'[6]2025'!J293</f>
        <v>0</v>
      </c>
      <c r="L293" s="15">
        <f>+'[6]2025'!K293</f>
        <v>0</v>
      </c>
      <c r="M293" s="15">
        <f>+'[6]2025'!L293</f>
        <v>0</v>
      </c>
      <c r="N293" s="16" t="str">
        <f t="shared" si="16"/>
        <v/>
      </c>
      <c r="O293" s="17" t="str">
        <f t="shared" si="17"/>
        <v/>
      </c>
      <c r="P293" s="17" t="str">
        <f t="shared" si="17"/>
        <v/>
      </c>
      <c r="Q293" s="18" t="str">
        <f t="shared" si="18"/>
        <v/>
      </c>
      <c r="R293" s="18" t="e">
        <f t="shared" si="19"/>
        <v>#DIV/0!</v>
      </c>
      <c r="S293" s="34"/>
      <c r="T293" s="29" t="s">
        <v>8</v>
      </c>
      <c r="U293" s="1738"/>
    </row>
    <row r="294" spans="1:21">
      <c r="A294" s="10" t="s">
        <v>14</v>
      </c>
      <c r="B294" s="19">
        <f>+CHAMNORD!B294</f>
        <v>46311</v>
      </c>
      <c r="C294" s="75" t="str">
        <f>IF(H294=0,"",'[6]2025-2026'!C293)</f>
        <v/>
      </c>
      <c r="D294" s="68" t="str">
        <f>+'[6]2025'!C294</f>
        <v/>
      </c>
      <c r="E294" s="68" t="str">
        <f>+'[6]2025'!D294</f>
        <v/>
      </c>
      <c r="F294" s="20" t="str">
        <f>+'[6]2025'!E294</f>
        <v/>
      </c>
      <c r="G294" s="73" t="str">
        <f>+'[6]2025'!F294</f>
        <v/>
      </c>
      <c r="H294" s="42">
        <f>+'[6]2025'!G294</f>
        <v>0</v>
      </c>
      <c r="I294" s="13">
        <f>+'[6]2025'!H294</f>
        <v>0</v>
      </c>
      <c r="J294" s="14">
        <f>+'[6]2025'!I294</f>
        <v>0</v>
      </c>
      <c r="K294" s="15">
        <f>+'[6]2025'!J294</f>
        <v>0</v>
      </c>
      <c r="L294" s="15">
        <f>+'[6]2025'!K294</f>
        <v>0</v>
      </c>
      <c r="M294" s="15">
        <f>+'[6]2025'!L294</f>
        <v>0</v>
      </c>
      <c r="N294" s="16" t="str">
        <f t="shared" si="16"/>
        <v/>
      </c>
      <c r="O294" s="17" t="str">
        <f t="shared" si="17"/>
        <v/>
      </c>
      <c r="P294" s="17" t="str">
        <f t="shared" si="17"/>
        <v/>
      </c>
      <c r="Q294" s="18" t="str">
        <f t="shared" si="18"/>
        <v/>
      </c>
      <c r="R294" s="18" t="e">
        <f t="shared" si="19"/>
        <v>#DIV/0!</v>
      </c>
      <c r="S294" s="36" t="s">
        <v>40</v>
      </c>
      <c r="T294" s="48" t="e">
        <f>SUM(I290:I296)/SUM(L290:L296)</f>
        <v>#DIV/0!</v>
      </c>
      <c r="U294" s="1738"/>
    </row>
    <row r="295" spans="1:21">
      <c r="A295" s="10" t="s">
        <v>15</v>
      </c>
      <c r="B295" s="19">
        <f>+CHAMNORD!B295</f>
        <v>46312</v>
      </c>
      <c r="C295" s="75" t="str">
        <f>IF(H295=0,"",'[6]2025-2026'!C294)</f>
        <v/>
      </c>
      <c r="D295" s="68" t="str">
        <f>+'[6]2025'!C295</f>
        <v/>
      </c>
      <c r="E295" s="68" t="str">
        <f>+'[6]2025'!D295</f>
        <v/>
      </c>
      <c r="F295" s="20" t="str">
        <f>+'[6]2025'!E295</f>
        <v/>
      </c>
      <c r="G295" s="73" t="str">
        <f>+'[6]2025'!F295</f>
        <v/>
      </c>
      <c r="H295" s="42">
        <f>+'[6]2025'!G295</f>
        <v>0</v>
      </c>
      <c r="I295" s="13">
        <f>+'[6]2025'!H295</f>
        <v>0</v>
      </c>
      <c r="J295" s="14">
        <f>+'[6]2025'!I295</f>
        <v>0</v>
      </c>
      <c r="K295" s="15">
        <f>+'[6]2025'!J295</f>
        <v>0</v>
      </c>
      <c r="L295" s="15">
        <f>+'[6]2025'!K295</f>
        <v>0</v>
      </c>
      <c r="M295" s="15">
        <f>+'[6]2025'!L295</f>
        <v>0</v>
      </c>
      <c r="N295" s="16" t="str">
        <f t="shared" si="16"/>
        <v/>
      </c>
      <c r="O295" s="17" t="str">
        <f t="shared" si="17"/>
        <v/>
      </c>
      <c r="P295" s="17" t="str">
        <f t="shared" si="17"/>
        <v/>
      </c>
      <c r="Q295" s="18" t="str">
        <f t="shared" si="18"/>
        <v/>
      </c>
      <c r="R295" s="18" t="e">
        <f t="shared" si="19"/>
        <v>#DIV/0!</v>
      </c>
      <c r="S295" s="36">
        <f>SUM(J290:J296)</f>
        <v>0</v>
      </c>
      <c r="T295" s="30" t="s">
        <v>3</v>
      </c>
      <c r="U295" s="1738"/>
    </row>
    <row r="296" spans="1:21" ht="18" thickBot="1">
      <c r="A296" s="10" t="s">
        <v>16</v>
      </c>
      <c r="B296" s="19">
        <f>+CHAMNORD!B296</f>
        <v>46313</v>
      </c>
      <c r="C296" s="75" t="str">
        <f>IF(H296=0,"",'[6]2025-2026'!C295)</f>
        <v/>
      </c>
      <c r="D296" s="68" t="str">
        <f>+'[6]2025'!C296</f>
        <v/>
      </c>
      <c r="E296" s="68" t="str">
        <f>+'[6]2025'!D296</f>
        <v/>
      </c>
      <c r="F296" s="20" t="str">
        <f>+'[6]2025'!E296</f>
        <v/>
      </c>
      <c r="G296" s="73" t="str">
        <f>+'[6]2025'!F296</f>
        <v/>
      </c>
      <c r="H296" s="42">
        <f>+'[6]2025'!G296</f>
        <v>0</v>
      </c>
      <c r="I296" s="13">
        <f>+'[6]2025'!H296</f>
        <v>0</v>
      </c>
      <c r="J296" s="14">
        <f>+'[6]2025'!I296</f>
        <v>0</v>
      </c>
      <c r="K296" s="15">
        <f>+'[6]2025'!J296</f>
        <v>0</v>
      </c>
      <c r="L296" s="15">
        <f>+'[6]2025'!K296</f>
        <v>0</v>
      </c>
      <c r="M296" s="15">
        <f>+'[6]2025'!L296</f>
        <v>0</v>
      </c>
      <c r="N296" s="16" t="str">
        <f t="shared" si="16"/>
        <v/>
      </c>
      <c r="O296" s="17" t="str">
        <f t="shared" si="17"/>
        <v/>
      </c>
      <c r="P296" s="17" t="str">
        <f t="shared" si="17"/>
        <v/>
      </c>
      <c r="Q296" s="18" t="str">
        <f t="shared" si="18"/>
        <v/>
      </c>
      <c r="R296" s="18" t="e">
        <f t="shared" si="19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</row>
    <row r="297" spans="1:21" ht="17" customHeight="1" thickTop="1">
      <c r="A297" s="10" t="s">
        <v>9</v>
      </c>
      <c r="B297" s="19">
        <f>+CHAMNORD!B297</f>
        <v>46314</v>
      </c>
      <c r="C297" s="75" t="str">
        <f>IF(H297=0,"",'[6]2025-2026'!C296)</f>
        <v/>
      </c>
      <c r="D297" s="68" t="str">
        <f>+'[6]2025'!C297</f>
        <v/>
      </c>
      <c r="E297" s="68" t="str">
        <f>+'[6]2025'!D297</f>
        <v/>
      </c>
      <c r="F297" s="20" t="str">
        <f>+'[6]2025'!E297</f>
        <v/>
      </c>
      <c r="G297" s="73" t="str">
        <f>+'[6]2025'!F297</f>
        <v/>
      </c>
      <c r="H297" s="42">
        <f>+'[6]2025'!G297</f>
        <v>0</v>
      </c>
      <c r="I297" s="13">
        <f>+'[6]2025'!H297</f>
        <v>0</v>
      </c>
      <c r="J297" s="14">
        <f>+'[6]2025'!I297</f>
        <v>0</v>
      </c>
      <c r="K297" s="15">
        <f>+'[6]2025'!J297</f>
        <v>0</v>
      </c>
      <c r="L297" s="15">
        <f>+'[6]2025'!K297</f>
        <v>0</v>
      </c>
      <c r="M297" s="15">
        <f>+'[6]2025'!L297</f>
        <v>0</v>
      </c>
      <c r="N297" s="16" t="str">
        <f t="shared" si="16"/>
        <v/>
      </c>
      <c r="O297" s="17" t="str">
        <f t="shared" si="17"/>
        <v/>
      </c>
      <c r="P297" s="17" t="str">
        <f t="shared" si="17"/>
        <v/>
      </c>
      <c r="Q297" s="18" t="str">
        <f t="shared" si="18"/>
        <v/>
      </c>
      <c r="R297" s="18" t="e">
        <f t="shared" si="19"/>
        <v>#DIV/0!</v>
      </c>
      <c r="S297" s="33" t="s">
        <v>39</v>
      </c>
      <c r="T297" s="31" t="s">
        <v>42</v>
      </c>
      <c r="U297" s="1737" t="s">
        <v>125</v>
      </c>
    </row>
    <row r="298" spans="1:21">
      <c r="A298" s="10" t="s">
        <v>11</v>
      </c>
      <c r="B298" s="19">
        <f>+CHAMNORD!B298</f>
        <v>46315</v>
      </c>
      <c r="C298" s="75" t="str">
        <f>IF(H298=0,"",'[6]2025-2026'!C297)</f>
        <v/>
      </c>
      <c r="D298" s="68" t="str">
        <f>+'[6]2025'!C298</f>
        <v/>
      </c>
      <c r="E298" s="68" t="str">
        <f>+'[6]2025'!D298</f>
        <v/>
      </c>
      <c r="F298" s="20" t="str">
        <f>+'[6]2025'!E298</f>
        <v/>
      </c>
      <c r="G298" s="73" t="str">
        <f>+'[6]2025'!F298</f>
        <v/>
      </c>
      <c r="H298" s="42">
        <f>+'[6]2025'!G298</f>
        <v>0</v>
      </c>
      <c r="I298" s="13">
        <f>+'[6]2025'!H298</f>
        <v>0</v>
      </c>
      <c r="J298" s="14">
        <f>+'[6]2025'!I298</f>
        <v>0</v>
      </c>
      <c r="K298" s="15">
        <f>+'[6]2025'!J298</f>
        <v>0</v>
      </c>
      <c r="L298" s="15">
        <f>+'[6]2025'!K298</f>
        <v>0</v>
      </c>
      <c r="M298" s="15">
        <f>+'[6]2025'!L298</f>
        <v>0</v>
      </c>
      <c r="N298" s="16" t="str">
        <f t="shared" si="16"/>
        <v/>
      </c>
      <c r="O298" s="17" t="str">
        <f t="shared" si="17"/>
        <v/>
      </c>
      <c r="P298" s="17" t="str">
        <f t="shared" si="17"/>
        <v/>
      </c>
      <c r="Q298" s="18" t="str">
        <f t="shared" si="18"/>
        <v/>
      </c>
      <c r="R298" s="18" t="e">
        <f t="shared" si="19"/>
        <v>#DIV/0!</v>
      </c>
      <c r="S298" s="34">
        <f>SUM(I297:I303)</f>
        <v>0</v>
      </c>
      <c r="T298" s="45" t="s">
        <v>41</v>
      </c>
      <c r="U298" s="1738"/>
    </row>
    <row r="299" spans="1:21">
      <c r="A299" s="10" t="s">
        <v>12</v>
      </c>
      <c r="B299" s="19">
        <f>+CHAMNORD!B299</f>
        <v>46316</v>
      </c>
      <c r="C299" s="75" t="str">
        <f>IF(H299=0,"",'[6]2025-2026'!C298)</f>
        <v/>
      </c>
      <c r="D299" s="68" t="str">
        <f>+'[6]2025'!C299</f>
        <v/>
      </c>
      <c r="E299" s="68" t="str">
        <f>+'[6]2025'!D299</f>
        <v/>
      </c>
      <c r="F299" s="20" t="str">
        <f>+'[6]2025'!E299</f>
        <v/>
      </c>
      <c r="G299" s="73" t="str">
        <f>+'[6]2025'!F299</f>
        <v/>
      </c>
      <c r="H299" s="42">
        <f>+'[6]2025'!G299</f>
        <v>0</v>
      </c>
      <c r="I299" s="13">
        <f>+'[6]2025'!H299</f>
        <v>0</v>
      </c>
      <c r="J299" s="14">
        <f>+'[6]2025'!I299</f>
        <v>0</v>
      </c>
      <c r="K299" s="15">
        <f>+'[6]2025'!J299</f>
        <v>0</v>
      </c>
      <c r="L299" s="15">
        <f>+'[6]2025'!K299</f>
        <v>0</v>
      </c>
      <c r="M299" s="15">
        <f>+'[6]2025'!L299</f>
        <v>0</v>
      </c>
      <c r="N299" s="16" t="str">
        <f t="shared" si="16"/>
        <v/>
      </c>
      <c r="O299" s="17" t="str">
        <f t="shared" si="17"/>
        <v/>
      </c>
      <c r="P299" s="17" t="str">
        <f t="shared" si="17"/>
        <v/>
      </c>
      <c r="Q299" s="18" t="str">
        <f t="shared" si="18"/>
        <v/>
      </c>
      <c r="R299" s="18" t="e">
        <f t="shared" si="19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</row>
    <row r="300" spans="1:21">
      <c r="A300" s="10" t="s">
        <v>13</v>
      </c>
      <c r="B300" s="19">
        <f>+CHAMNORD!B300</f>
        <v>46317</v>
      </c>
      <c r="C300" s="75" t="str">
        <f>IF(H300=0,"",'[6]2025-2026'!C299)</f>
        <v/>
      </c>
      <c r="D300" s="68" t="str">
        <f>+'[6]2025'!C300</f>
        <v/>
      </c>
      <c r="E300" s="68" t="str">
        <f>+'[6]2025'!D300</f>
        <v/>
      </c>
      <c r="F300" s="20" t="str">
        <f>+'[6]2025'!E300</f>
        <v/>
      </c>
      <c r="G300" s="73" t="str">
        <f>+'[6]2025'!F300</f>
        <v/>
      </c>
      <c r="H300" s="42">
        <f>+'[6]2025'!G300</f>
        <v>0</v>
      </c>
      <c r="I300" s="13">
        <f>+'[6]2025'!H300</f>
        <v>0</v>
      </c>
      <c r="J300" s="14">
        <f>+'[6]2025'!I300</f>
        <v>0</v>
      </c>
      <c r="K300" s="15">
        <f>+'[6]2025'!J300</f>
        <v>0</v>
      </c>
      <c r="L300" s="15">
        <f>+'[6]2025'!K300</f>
        <v>0</v>
      </c>
      <c r="M300" s="15">
        <f>+'[6]2025'!L300</f>
        <v>0</v>
      </c>
      <c r="N300" s="16" t="str">
        <f t="shared" si="16"/>
        <v/>
      </c>
      <c r="O300" s="17" t="str">
        <f t="shared" si="17"/>
        <v/>
      </c>
      <c r="P300" s="17" t="str">
        <f t="shared" si="17"/>
        <v/>
      </c>
      <c r="Q300" s="18" t="str">
        <f t="shared" si="18"/>
        <v/>
      </c>
      <c r="R300" s="18" t="e">
        <f t="shared" si="19"/>
        <v>#DIV/0!</v>
      </c>
      <c r="S300" s="34"/>
      <c r="T300" s="29" t="s">
        <v>8</v>
      </c>
      <c r="U300" s="1738"/>
    </row>
    <row r="301" spans="1:21">
      <c r="A301" s="10" t="s">
        <v>14</v>
      </c>
      <c r="B301" s="19">
        <f>+CHAMNORD!B301</f>
        <v>46318</v>
      </c>
      <c r="C301" s="75" t="str">
        <f>IF(H301=0,"",'[6]2025-2026'!C300)</f>
        <v/>
      </c>
      <c r="D301" s="68" t="str">
        <f>+'[6]2025'!C301</f>
        <v/>
      </c>
      <c r="E301" s="68" t="str">
        <f>+'[6]2025'!D301</f>
        <v/>
      </c>
      <c r="F301" s="20" t="str">
        <f>+'[6]2025'!E301</f>
        <v/>
      </c>
      <c r="G301" s="73" t="str">
        <f>+'[6]2025'!F301</f>
        <v/>
      </c>
      <c r="H301" s="42">
        <f>+'[6]2025'!G301</f>
        <v>0</v>
      </c>
      <c r="I301" s="13">
        <f>+'[6]2025'!H301</f>
        <v>0</v>
      </c>
      <c r="J301" s="14">
        <f>+'[6]2025'!I301</f>
        <v>0</v>
      </c>
      <c r="K301" s="15">
        <f>+'[6]2025'!J301</f>
        <v>0</v>
      </c>
      <c r="L301" s="15">
        <f>+'[6]2025'!K301</f>
        <v>0</v>
      </c>
      <c r="M301" s="15">
        <f>+'[6]2025'!L301</f>
        <v>0</v>
      </c>
      <c r="N301" s="16" t="str">
        <f t="shared" si="16"/>
        <v/>
      </c>
      <c r="O301" s="17" t="str">
        <f t="shared" si="17"/>
        <v/>
      </c>
      <c r="P301" s="17" t="str">
        <f t="shared" si="17"/>
        <v/>
      </c>
      <c r="Q301" s="18" t="str">
        <f t="shared" si="18"/>
        <v/>
      </c>
      <c r="R301" s="18" t="e">
        <f t="shared" si="19"/>
        <v>#DIV/0!</v>
      </c>
      <c r="S301" s="36" t="s">
        <v>40</v>
      </c>
      <c r="T301" s="48" t="e">
        <f>SUM(I297:I303)/SUM(L297:L303)</f>
        <v>#DIV/0!</v>
      </c>
      <c r="U301" s="1738"/>
    </row>
    <row r="302" spans="1:21">
      <c r="A302" s="10" t="s">
        <v>15</v>
      </c>
      <c r="B302" s="19">
        <f>+CHAMNORD!B302</f>
        <v>46319</v>
      </c>
      <c r="C302" s="75" t="str">
        <f>IF(H302=0,"",'[6]2025-2026'!C301)</f>
        <v/>
      </c>
      <c r="D302" s="68" t="str">
        <f>+'[6]2025'!C302</f>
        <v/>
      </c>
      <c r="E302" s="68" t="str">
        <f>+'[6]2025'!D302</f>
        <v/>
      </c>
      <c r="F302" s="20" t="str">
        <f>+'[6]2025'!E302</f>
        <v/>
      </c>
      <c r="G302" s="73" t="str">
        <f>+'[6]2025'!F302</f>
        <v/>
      </c>
      <c r="H302" s="42">
        <f>+'[6]2025'!G302</f>
        <v>0</v>
      </c>
      <c r="I302" s="13">
        <f>+'[6]2025'!H302</f>
        <v>0</v>
      </c>
      <c r="J302" s="14">
        <f>+'[6]2025'!I302</f>
        <v>0</v>
      </c>
      <c r="K302" s="15">
        <f>+'[6]2025'!J302</f>
        <v>0</v>
      </c>
      <c r="L302" s="15">
        <f>+'[6]2025'!K302</f>
        <v>0</v>
      </c>
      <c r="M302" s="15">
        <f>+'[6]2025'!L302</f>
        <v>0</v>
      </c>
      <c r="N302" s="16" t="str">
        <f t="shared" si="16"/>
        <v/>
      </c>
      <c r="O302" s="17" t="str">
        <f t="shared" si="17"/>
        <v/>
      </c>
      <c r="P302" s="17" t="str">
        <f t="shared" si="17"/>
        <v/>
      </c>
      <c r="Q302" s="18" t="str">
        <f t="shared" si="18"/>
        <v/>
      </c>
      <c r="R302" s="18" t="e">
        <f t="shared" si="19"/>
        <v>#DIV/0!</v>
      </c>
      <c r="S302" s="36">
        <f>SUM(J297:J303)</f>
        <v>0</v>
      </c>
      <c r="T302" s="30" t="s">
        <v>3</v>
      </c>
      <c r="U302" s="1738"/>
    </row>
    <row r="303" spans="1:21" ht="18" thickBot="1">
      <c r="A303" s="10" t="s">
        <v>16</v>
      </c>
      <c r="B303" s="19">
        <f>+CHAMNORD!B303</f>
        <v>46320</v>
      </c>
      <c r="C303" s="75" t="str">
        <f>IF(H303=0,"",'[6]2025-2026'!C302)</f>
        <v/>
      </c>
      <c r="D303" s="68" t="str">
        <f>+'[6]2025'!C303</f>
        <v/>
      </c>
      <c r="E303" s="68" t="str">
        <f>+'[6]2025'!D303</f>
        <v/>
      </c>
      <c r="F303" s="20" t="str">
        <f>+'[6]2025'!E303</f>
        <v/>
      </c>
      <c r="G303" s="73" t="str">
        <f>+'[6]2025'!F303</f>
        <v/>
      </c>
      <c r="H303" s="42">
        <f>+'[6]2025'!G303</f>
        <v>0</v>
      </c>
      <c r="I303" s="13">
        <f>+'[6]2025'!H303</f>
        <v>0</v>
      </c>
      <c r="J303" s="14">
        <f>+'[6]2025'!I303</f>
        <v>0</v>
      </c>
      <c r="K303" s="15">
        <f>+'[6]2025'!J303</f>
        <v>0</v>
      </c>
      <c r="L303" s="15">
        <f>+'[6]2025'!K303</f>
        <v>0</v>
      </c>
      <c r="M303" s="15">
        <f>+'[6]2025'!L303</f>
        <v>0</v>
      </c>
      <c r="N303" s="16" t="str">
        <f t="shared" si="16"/>
        <v/>
      </c>
      <c r="O303" s="17" t="str">
        <f t="shared" si="17"/>
        <v/>
      </c>
      <c r="P303" s="17" t="str">
        <f t="shared" si="17"/>
        <v/>
      </c>
      <c r="Q303" s="18" t="str">
        <f t="shared" si="18"/>
        <v/>
      </c>
      <c r="R303" s="18" t="e">
        <f t="shared" si="19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</row>
    <row r="304" spans="1:21" ht="17" customHeight="1" thickTop="1">
      <c r="A304" s="10" t="s">
        <v>9</v>
      </c>
      <c r="B304" s="19">
        <f>+CHAMNORD!B304</f>
        <v>46321</v>
      </c>
      <c r="C304" s="75" t="str">
        <f>IF(H304=0,"",'[6]2025-2026'!C303)</f>
        <v/>
      </c>
      <c r="D304" s="68" t="str">
        <f>+'[6]2025'!C304</f>
        <v/>
      </c>
      <c r="E304" s="68" t="str">
        <f>+'[6]2025'!D304</f>
        <v/>
      </c>
      <c r="F304" s="20" t="str">
        <f>+'[6]2025'!E304</f>
        <v/>
      </c>
      <c r="G304" s="73" t="str">
        <f>+'[6]2025'!F304</f>
        <v/>
      </c>
      <c r="H304" s="42">
        <f>+'[6]2025'!G304</f>
        <v>0</v>
      </c>
      <c r="I304" s="13">
        <f>+'[6]2025'!H304</f>
        <v>0</v>
      </c>
      <c r="J304" s="14">
        <f>+'[6]2025'!I304</f>
        <v>0</v>
      </c>
      <c r="K304" s="15">
        <f>+'[6]2025'!J304</f>
        <v>0</v>
      </c>
      <c r="L304" s="15">
        <f>+'[6]2025'!K304</f>
        <v>0</v>
      </c>
      <c r="M304" s="15">
        <f>+'[6]2025'!L304</f>
        <v>0</v>
      </c>
      <c r="N304" s="16" t="str">
        <f t="shared" si="16"/>
        <v/>
      </c>
      <c r="O304" s="17" t="str">
        <f t="shared" si="17"/>
        <v/>
      </c>
      <c r="P304" s="17" t="str">
        <f t="shared" si="17"/>
        <v/>
      </c>
      <c r="Q304" s="18" t="str">
        <f t="shared" si="18"/>
        <v/>
      </c>
      <c r="R304" s="18" t="e">
        <f t="shared" si="19"/>
        <v>#DIV/0!</v>
      </c>
      <c r="S304" s="33" t="s">
        <v>39</v>
      </c>
      <c r="T304" s="31" t="s">
        <v>42</v>
      </c>
      <c r="U304" s="1737" t="s">
        <v>126</v>
      </c>
    </row>
    <row r="305" spans="1:21">
      <c r="A305" s="10" t="s">
        <v>11</v>
      </c>
      <c r="B305" s="19">
        <f>+CHAMNORD!B305</f>
        <v>46322</v>
      </c>
      <c r="C305" s="75" t="str">
        <f>IF(H305=0,"",'[6]2025-2026'!C304)</f>
        <v/>
      </c>
      <c r="D305" s="68" t="str">
        <f>+'[6]2025'!C305</f>
        <v/>
      </c>
      <c r="E305" s="68" t="str">
        <f>+'[6]2025'!D305</f>
        <v/>
      </c>
      <c r="F305" s="20" t="str">
        <f>+'[6]2025'!E305</f>
        <v/>
      </c>
      <c r="G305" s="73" t="str">
        <f>+'[6]2025'!F305</f>
        <v/>
      </c>
      <c r="H305" s="42">
        <f>+'[6]2025'!G305</f>
        <v>0</v>
      </c>
      <c r="I305" s="13">
        <f>+'[6]2025'!H305</f>
        <v>0</v>
      </c>
      <c r="J305" s="14">
        <f>+'[6]2025'!I305</f>
        <v>0</v>
      </c>
      <c r="K305" s="15">
        <f>+'[6]2025'!J305</f>
        <v>0</v>
      </c>
      <c r="L305" s="15">
        <f>+'[6]2025'!K305</f>
        <v>0</v>
      </c>
      <c r="M305" s="15">
        <f>+'[6]2025'!L305</f>
        <v>0</v>
      </c>
      <c r="N305" s="16" t="str">
        <f t="shared" si="16"/>
        <v/>
      </c>
      <c r="O305" s="17" t="str">
        <f t="shared" si="17"/>
        <v/>
      </c>
      <c r="P305" s="17" t="str">
        <f t="shared" si="17"/>
        <v/>
      </c>
      <c r="Q305" s="18" t="str">
        <f t="shared" si="18"/>
        <v/>
      </c>
      <c r="R305" s="18" t="e">
        <f t="shared" si="19"/>
        <v>#DIV/0!</v>
      </c>
      <c r="S305" s="34">
        <f>SUM(I304:I310)</f>
        <v>0</v>
      </c>
      <c r="T305" s="45" t="s">
        <v>41</v>
      </c>
      <c r="U305" s="1738"/>
    </row>
    <row r="306" spans="1:21">
      <c r="A306" s="10" t="s">
        <v>12</v>
      </c>
      <c r="B306" s="19">
        <f>+CHAMNORD!B306</f>
        <v>46323</v>
      </c>
      <c r="C306" s="75" t="str">
        <f>IF(H306=0,"",'[6]2025-2026'!C305)</f>
        <v/>
      </c>
      <c r="D306" s="68" t="str">
        <f>+'[6]2025'!C306</f>
        <v/>
      </c>
      <c r="E306" s="68" t="str">
        <f>+'[6]2025'!D306</f>
        <v/>
      </c>
      <c r="F306" s="20" t="str">
        <f>+'[6]2025'!E306</f>
        <v/>
      </c>
      <c r="G306" s="73" t="str">
        <f>+'[6]2025'!F306</f>
        <v/>
      </c>
      <c r="H306" s="42">
        <f>+'[6]2025'!G306</f>
        <v>0</v>
      </c>
      <c r="I306" s="13">
        <f>+'[6]2025'!H306</f>
        <v>0</v>
      </c>
      <c r="J306" s="14">
        <f>+'[6]2025'!I306</f>
        <v>0</v>
      </c>
      <c r="K306" s="15">
        <f>+'[6]2025'!J306</f>
        <v>0</v>
      </c>
      <c r="L306" s="15">
        <f>+'[6]2025'!K306</f>
        <v>0</v>
      </c>
      <c r="M306" s="15">
        <f>+'[6]2025'!L306</f>
        <v>0</v>
      </c>
      <c r="N306" s="16" t="str">
        <f t="shared" si="16"/>
        <v/>
      </c>
      <c r="O306" s="17" t="str">
        <f t="shared" si="17"/>
        <v/>
      </c>
      <c r="P306" s="17" t="str">
        <f t="shared" si="17"/>
        <v/>
      </c>
      <c r="Q306" s="18" t="str">
        <f t="shared" si="18"/>
        <v/>
      </c>
      <c r="R306" s="18" t="e">
        <f t="shared" si="19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</row>
    <row r="307" spans="1:21">
      <c r="A307" s="10" t="s">
        <v>13</v>
      </c>
      <c r="B307" s="19">
        <f>+CHAMNORD!B307</f>
        <v>46324</v>
      </c>
      <c r="C307" s="75" t="str">
        <f>IF(H307=0,"",'[6]2025-2026'!C306)</f>
        <v/>
      </c>
      <c r="D307" s="68" t="str">
        <f>+'[6]2025'!C307</f>
        <v/>
      </c>
      <c r="E307" s="68" t="str">
        <f>+'[6]2025'!D307</f>
        <v/>
      </c>
      <c r="F307" s="20" t="str">
        <f>+'[6]2025'!E307</f>
        <v/>
      </c>
      <c r="G307" s="73" t="str">
        <f>+'[6]2025'!F307</f>
        <v/>
      </c>
      <c r="H307" s="42">
        <f>+'[6]2025'!G307</f>
        <v>0</v>
      </c>
      <c r="I307" s="13">
        <f>+'[6]2025'!H307</f>
        <v>0</v>
      </c>
      <c r="J307" s="14">
        <f>+'[6]2025'!I307</f>
        <v>0</v>
      </c>
      <c r="K307" s="15">
        <f>+'[6]2025'!J307</f>
        <v>0</v>
      </c>
      <c r="L307" s="15">
        <f>+'[6]2025'!K307</f>
        <v>0</v>
      </c>
      <c r="M307" s="15">
        <f>+'[6]2025'!L307</f>
        <v>0</v>
      </c>
      <c r="N307" s="16" t="str">
        <f t="shared" si="16"/>
        <v/>
      </c>
      <c r="O307" s="17" t="str">
        <f t="shared" si="17"/>
        <v/>
      </c>
      <c r="P307" s="17" t="str">
        <f t="shared" si="17"/>
        <v/>
      </c>
      <c r="Q307" s="18" t="str">
        <f t="shared" si="18"/>
        <v/>
      </c>
      <c r="R307" s="18" t="e">
        <f t="shared" si="19"/>
        <v>#DIV/0!</v>
      </c>
      <c r="S307" s="34"/>
      <c r="T307" s="29" t="s">
        <v>8</v>
      </c>
      <c r="U307" s="1738"/>
    </row>
    <row r="308" spans="1:21">
      <c r="A308" s="10" t="s">
        <v>14</v>
      </c>
      <c r="B308" s="19">
        <f>+CHAMNORD!B308</f>
        <v>46325</v>
      </c>
      <c r="C308" s="75" t="str">
        <f>IF(H308=0,"",'[6]2025-2026'!C307)</f>
        <v/>
      </c>
      <c r="D308" s="68" t="str">
        <f>+'[6]2025'!C308</f>
        <v/>
      </c>
      <c r="E308" s="68" t="str">
        <f>+'[6]2025'!D308</f>
        <v/>
      </c>
      <c r="F308" s="20" t="str">
        <f>+'[6]2025'!E308</f>
        <v/>
      </c>
      <c r="G308" s="73" t="str">
        <f>+'[6]2025'!F308</f>
        <v/>
      </c>
      <c r="H308" s="42">
        <f>+'[6]2025'!G308</f>
        <v>0</v>
      </c>
      <c r="I308" s="13">
        <f>+'[6]2025'!H308</f>
        <v>0</v>
      </c>
      <c r="J308" s="14">
        <f>+'[6]2025'!I308</f>
        <v>0</v>
      </c>
      <c r="K308" s="15">
        <f>+'[6]2025'!J308</f>
        <v>0</v>
      </c>
      <c r="L308" s="15">
        <f>+'[6]2025'!K308</f>
        <v>0</v>
      </c>
      <c r="M308" s="15">
        <f>+'[6]2025'!L308</f>
        <v>0</v>
      </c>
      <c r="N308" s="16" t="str">
        <f t="shared" si="16"/>
        <v/>
      </c>
      <c r="O308" s="17" t="str">
        <f t="shared" si="17"/>
        <v/>
      </c>
      <c r="P308" s="17" t="str">
        <f t="shared" si="17"/>
        <v/>
      </c>
      <c r="Q308" s="18" t="str">
        <f t="shared" si="18"/>
        <v/>
      </c>
      <c r="R308" s="18" t="e">
        <f t="shared" si="19"/>
        <v>#DIV/0!</v>
      </c>
      <c r="S308" s="36" t="s">
        <v>40</v>
      </c>
      <c r="T308" s="48" t="e">
        <f>SUM(I304:I310)/SUM(L304:L310)</f>
        <v>#DIV/0!</v>
      </c>
      <c r="U308" s="1738"/>
    </row>
    <row r="309" spans="1:21">
      <c r="A309" s="10" t="s">
        <v>15</v>
      </c>
      <c r="B309" s="19">
        <f>+CHAMNORD!B309</f>
        <v>46326</v>
      </c>
      <c r="C309" s="75" t="str">
        <f>IF(H309=0,"",'[6]2025-2026'!C308)</f>
        <v/>
      </c>
      <c r="D309" s="68" t="str">
        <f>+'[6]2025'!C309</f>
        <v/>
      </c>
      <c r="E309" s="68" t="str">
        <f>+'[6]2025'!D309</f>
        <v/>
      </c>
      <c r="F309" s="20" t="str">
        <f>+'[6]2025'!E309</f>
        <v/>
      </c>
      <c r="G309" s="73" t="str">
        <f>+'[6]2025'!F309</f>
        <v/>
      </c>
      <c r="H309" s="42">
        <f>+'[6]2025'!G309</f>
        <v>0</v>
      </c>
      <c r="I309" s="13">
        <f>+'[6]2025'!H309</f>
        <v>0</v>
      </c>
      <c r="J309" s="14">
        <f>+'[6]2025'!I309</f>
        <v>0</v>
      </c>
      <c r="K309" s="15">
        <f>+'[6]2025'!J309</f>
        <v>0</v>
      </c>
      <c r="L309" s="15">
        <f>+'[6]2025'!K309</f>
        <v>0</v>
      </c>
      <c r="M309" s="15">
        <f>+'[6]2025'!L309</f>
        <v>0</v>
      </c>
      <c r="N309" s="16" t="str">
        <f t="shared" si="16"/>
        <v/>
      </c>
      <c r="O309" s="17" t="str">
        <f t="shared" si="17"/>
        <v/>
      </c>
      <c r="P309" s="17" t="str">
        <f t="shared" si="17"/>
        <v/>
      </c>
      <c r="Q309" s="18" t="str">
        <f t="shared" si="18"/>
        <v/>
      </c>
      <c r="R309" s="18" t="e">
        <f t="shared" si="19"/>
        <v>#DIV/0!</v>
      </c>
      <c r="S309" s="36">
        <f>SUM(J304:J310)</f>
        <v>0</v>
      </c>
      <c r="T309" s="30" t="s">
        <v>3</v>
      </c>
      <c r="U309" s="1738"/>
    </row>
    <row r="310" spans="1:21" ht="18" thickBot="1">
      <c r="A310" s="10" t="s">
        <v>16</v>
      </c>
      <c r="B310" s="19">
        <f>+CHAMNORD!B310</f>
        <v>46327</v>
      </c>
      <c r="C310" s="75" t="str">
        <f>IF(H310=0,"",'[6]2025-2026'!C309)</f>
        <v/>
      </c>
      <c r="D310" s="68" t="str">
        <f>+'[6]2025'!C310</f>
        <v/>
      </c>
      <c r="E310" s="68" t="str">
        <f>+'[6]2025'!D310</f>
        <v/>
      </c>
      <c r="F310" s="20" t="str">
        <f>+'[6]2025'!E310</f>
        <v/>
      </c>
      <c r="G310" s="73" t="str">
        <f>+'[6]2025'!F310</f>
        <v/>
      </c>
      <c r="H310" s="42">
        <f>+'[6]2025'!G310</f>
        <v>0</v>
      </c>
      <c r="I310" s="13">
        <f>+'[6]2025'!H310</f>
        <v>0</v>
      </c>
      <c r="J310" s="14">
        <f>+'[6]2025'!I310</f>
        <v>0</v>
      </c>
      <c r="K310" s="15">
        <f>+'[6]2025'!J310</f>
        <v>0</v>
      </c>
      <c r="L310" s="15">
        <f>+'[6]2025'!K310</f>
        <v>0</v>
      </c>
      <c r="M310" s="15">
        <f>+'[6]2025'!L310</f>
        <v>0</v>
      </c>
      <c r="N310" s="16" t="str">
        <f t="shared" si="16"/>
        <v/>
      </c>
      <c r="O310" s="17" t="str">
        <f t="shared" si="17"/>
        <v/>
      </c>
      <c r="P310" s="17" t="str">
        <f t="shared" si="17"/>
        <v/>
      </c>
      <c r="Q310" s="18" t="str">
        <f t="shared" si="18"/>
        <v/>
      </c>
      <c r="R310" s="18" t="e">
        <f t="shared" si="19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</row>
    <row r="311" spans="1:21" ht="17" customHeight="1" thickTop="1">
      <c r="A311" s="10" t="s">
        <v>9</v>
      </c>
      <c r="B311" s="19">
        <f>+CHAMNORD!B311</f>
        <v>46328</v>
      </c>
      <c r="C311" s="75" t="str">
        <f>IF(H311=0,"",'[6]2025-2026'!C310)</f>
        <v/>
      </c>
      <c r="D311" s="68" t="str">
        <f>+'[6]2025'!C311</f>
        <v/>
      </c>
      <c r="E311" s="68" t="str">
        <f>+'[6]2025'!D311</f>
        <v/>
      </c>
      <c r="F311" s="20" t="str">
        <f>+'[6]2025'!E311</f>
        <v/>
      </c>
      <c r="G311" s="73" t="str">
        <f>+'[6]2025'!F311</f>
        <v/>
      </c>
      <c r="H311" s="42">
        <f>+'[6]2025'!G311</f>
        <v>0</v>
      </c>
      <c r="I311" s="13">
        <f>+'[6]2025'!H311</f>
        <v>0</v>
      </c>
      <c r="J311" s="14">
        <f>+'[6]2025'!I311</f>
        <v>0</v>
      </c>
      <c r="K311" s="15">
        <f>+'[6]2025'!J311</f>
        <v>0</v>
      </c>
      <c r="L311" s="15">
        <f>+'[6]2025'!K311</f>
        <v>0</v>
      </c>
      <c r="M311" s="15">
        <f>+'[6]2025'!L311</f>
        <v>0</v>
      </c>
      <c r="N311" s="16" t="str">
        <f t="shared" si="16"/>
        <v/>
      </c>
      <c r="O311" s="17" t="str">
        <f t="shared" si="17"/>
        <v/>
      </c>
      <c r="P311" s="17" t="str">
        <f t="shared" si="17"/>
        <v/>
      </c>
      <c r="Q311" s="18" t="str">
        <f t="shared" si="18"/>
        <v/>
      </c>
      <c r="R311" s="18" t="e">
        <f t="shared" si="19"/>
        <v>#DIV/0!</v>
      </c>
      <c r="S311" s="33" t="s">
        <v>39</v>
      </c>
      <c r="T311" s="31" t="s">
        <v>42</v>
      </c>
      <c r="U311" s="1737" t="s">
        <v>127</v>
      </c>
    </row>
    <row r="312" spans="1:21">
      <c r="A312" s="10" t="s">
        <v>11</v>
      </c>
      <c r="B312" s="19">
        <f>+CHAMNORD!B312</f>
        <v>46329</v>
      </c>
      <c r="C312" s="75" t="str">
        <f>IF(H312=0,"",'[6]2025-2026'!C311)</f>
        <v/>
      </c>
      <c r="D312" s="68" t="str">
        <f>+'[6]2025'!C312</f>
        <v/>
      </c>
      <c r="E312" s="68" t="str">
        <f>+'[6]2025'!D312</f>
        <v/>
      </c>
      <c r="F312" s="20" t="str">
        <f>+'[6]2025'!E312</f>
        <v/>
      </c>
      <c r="G312" s="73" t="str">
        <f>+'[6]2025'!F312</f>
        <v/>
      </c>
      <c r="H312" s="42">
        <f>+'[6]2025'!G312</f>
        <v>0</v>
      </c>
      <c r="I312" s="13">
        <f>+'[6]2025'!H312</f>
        <v>0</v>
      </c>
      <c r="J312" s="14">
        <f>+'[6]2025'!I312</f>
        <v>0</v>
      </c>
      <c r="K312" s="15">
        <f>+'[6]2025'!J312</f>
        <v>0</v>
      </c>
      <c r="L312" s="15">
        <f>+'[6]2025'!K312</f>
        <v>0</v>
      </c>
      <c r="M312" s="15">
        <f>+'[6]2025'!L312</f>
        <v>0</v>
      </c>
      <c r="N312" s="16" t="str">
        <f t="shared" si="16"/>
        <v/>
      </c>
      <c r="O312" s="17" t="str">
        <f t="shared" si="17"/>
        <v/>
      </c>
      <c r="P312" s="17" t="str">
        <f t="shared" si="17"/>
        <v/>
      </c>
      <c r="Q312" s="18" t="str">
        <f t="shared" si="18"/>
        <v/>
      </c>
      <c r="R312" s="18" t="e">
        <f t="shared" si="19"/>
        <v>#DIV/0!</v>
      </c>
      <c r="S312" s="34">
        <f>SUM(I311:I317)</f>
        <v>0</v>
      </c>
      <c r="T312" s="45" t="s">
        <v>41</v>
      </c>
      <c r="U312" s="1738"/>
    </row>
    <row r="313" spans="1:21">
      <c r="A313" s="10" t="s">
        <v>12</v>
      </c>
      <c r="B313" s="19">
        <f>+CHAMNORD!B313</f>
        <v>46330</v>
      </c>
      <c r="C313" s="75" t="str">
        <f>IF(H313=0,"",'[6]2025-2026'!C312)</f>
        <v/>
      </c>
      <c r="D313" s="68" t="str">
        <f>+'[6]2025'!C313</f>
        <v/>
      </c>
      <c r="E313" s="68" t="str">
        <f>+'[6]2025'!D313</f>
        <v/>
      </c>
      <c r="F313" s="20" t="str">
        <f>+'[6]2025'!E313</f>
        <v/>
      </c>
      <c r="G313" s="73" t="str">
        <f>+'[6]2025'!F313</f>
        <v/>
      </c>
      <c r="H313" s="42">
        <f>+'[6]2025'!G313</f>
        <v>0</v>
      </c>
      <c r="I313" s="13">
        <f>+'[6]2025'!H313</f>
        <v>0</v>
      </c>
      <c r="J313" s="14">
        <f>+'[6]2025'!I313</f>
        <v>0</v>
      </c>
      <c r="K313" s="15">
        <f>+'[6]2025'!J313</f>
        <v>0</v>
      </c>
      <c r="L313" s="15">
        <f>+'[6]2025'!K313</f>
        <v>0</v>
      </c>
      <c r="M313" s="15">
        <f>+'[6]2025'!L313</f>
        <v>0</v>
      </c>
      <c r="N313" s="16" t="str">
        <f t="shared" si="16"/>
        <v/>
      </c>
      <c r="O313" s="17" t="str">
        <f t="shared" si="17"/>
        <v/>
      </c>
      <c r="P313" s="17" t="str">
        <f t="shared" si="17"/>
        <v/>
      </c>
      <c r="Q313" s="18" t="str">
        <f t="shared" si="18"/>
        <v/>
      </c>
      <c r="R313" s="18" t="e">
        <f t="shared" si="19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</row>
    <row r="314" spans="1:21">
      <c r="A314" s="10" t="s">
        <v>13</v>
      </c>
      <c r="B314" s="19">
        <f>+CHAMNORD!B314</f>
        <v>46331</v>
      </c>
      <c r="C314" s="75" t="str">
        <f>IF(H314=0,"",'[6]2025-2026'!C313)</f>
        <v/>
      </c>
      <c r="D314" s="68" t="str">
        <f>+'[6]2025'!C314</f>
        <v/>
      </c>
      <c r="E314" s="68" t="str">
        <f>+'[6]2025'!D314</f>
        <v/>
      </c>
      <c r="F314" s="20" t="str">
        <f>+'[6]2025'!E314</f>
        <v/>
      </c>
      <c r="G314" s="73" t="str">
        <f>+'[6]2025'!F314</f>
        <v/>
      </c>
      <c r="H314" s="42">
        <f>+'[6]2025'!G314</f>
        <v>0</v>
      </c>
      <c r="I314" s="13">
        <f>+'[6]2025'!H314</f>
        <v>0</v>
      </c>
      <c r="J314" s="14">
        <f>+'[6]2025'!I314</f>
        <v>0</v>
      </c>
      <c r="K314" s="15">
        <f>+'[6]2025'!J314</f>
        <v>0</v>
      </c>
      <c r="L314" s="15">
        <f>+'[6]2025'!K314</f>
        <v>0</v>
      </c>
      <c r="M314" s="15">
        <f>+'[6]2025'!L314</f>
        <v>0</v>
      </c>
      <c r="N314" s="16" t="str">
        <f t="shared" si="16"/>
        <v/>
      </c>
      <c r="O314" s="17" t="str">
        <f t="shared" si="17"/>
        <v/>
      </c>
      <c r="P314" s="17" t="str">
        <f t="shared" si="17"/>
        <v/>
      </c>
      <c r="Q314" s="18" t="str">
        <f t="shared" si="18"/>
        <v/>
      </c>
      <c r="R314" s="18" t="e">
        <f t="shared" si="19"/>
        <v>#DIV/0!</v>
      </c>
      <c r="S314" s="34"/>
      <c r="T314" s="29" t="s">
        <v>8</v>
      </c>
      <c r="U314" s="1738"/>
    </row>
    <row r="315" spans="1:21">
      <c r="A315" s="10" t="s">
        <v>14</v>
      </c>
      <c r="B315" s="19">
        <f>+CHAMNORD!B315</f>
        <v>46332</v>
      </c>
      <c r="C315" s="75" t="str">
        <f>IF(H315=0,"",'[6]2025-2026'!C314)</f>
        <v/>
      </c>
      <c r="D315" s="68" t="str">
        <f>+'[6]2025'!C315</f>
        <v/>
      </c>
      <c r="E315" s="68" t="str">
        <f>+'[6]2025'!D315</f>
        <v/>
      </c>
      <c r="F315" s="20" t="str">
        <f>+'[6]2025'!E315</f>
        <v/>
      </c>
      <c r="G315" s="73" t="str">
        <f>+'[6]2025'!F315</f>
        <v/>
      </c>
      <c r="H315" s="42">
        <f>+'[6]2025'!G315</f>
        <v>0</v>
      </c>
      <c r="I315" s="13">
        <f>+'[6]2025'!H315</f>
        <v>0</v>
      </c>
      <c r="J315" s="14">
        <f>+'[6]2025'!I315</f>
        <v>0</v>
      </c>
      <c r="K315" s="15">
        <f>+'[6]2025'!J315</f>
        <v>0</v>
      </c>
      <c r="L315" s="15">
        <f>+'[6]2025'!K315</f>
        <v>0</v>
      </c>
      <c r="M315" s="15">
        <f>+'[6]2025'!L315</f>
        <v>0</v>
      </c>
      <c r="N315" s="16" t="str">
        <f t="shared" si="16"/>
        <v/>
      </c>
      <c r="O315" s="17" t="str">
        <f t="shared" si="17"/>
        <v/>
      </c>
      <c r="P315" s="17" t="str">
        <f t="shared" si="17"/>
        <v/>
      </c>
      <c r="Q315" s="18" t="str">
        <f t="shared" si="18"/>
        <v/>
      </c>
      <c r="R315" s="18" t="e">
        <f t="shared" si="19"/>
        <v>#DIV/0!</v>
      </c>
      <c r="S315" s="36" t="s">
        <v>40</v>
      </c>
      <c r="T315" s="48" t="e">
        <f>SUM(I311:I317)/SUM(L311:L317)</f>
        <v>#DIV/0!</v>
      </c>
      <c r="U315" s="1738"/>
    </row>
    <row r="316" spans="1:21">
      <c r="A316" s="10" t="s">
        <v>15</v>
      </c>
      <c r="B316" s="19">
        <f>+CHAMNORD!B316</f>
        <v>46333</v>
      </c>
      <c r="C316" s="75" t="str">
        <f>IF(H316=0,"",'[6]2025-2026'!C315)</f>
        <v/>
      </c>
      <c r="D316" s="68" t="str">
        <f>+'[6]2025'!C316</f>
        <v/>
      </c>
      <c r="E316" s="68" t="str">
        <f>+'[6]2025'!D316</f>
        <v/>
      </c>
      <c r="F316" s="20" t="str">
        <f>+'[6]2025'!E316</f>
        <v/>
      </c>
      <c r="G316" s="73" t="str">
        <f>+'[6]2025'!F316</f>
        <v/>
      </c>
      <c r="H316" s="42">
        <f>+'[6]2025'!G316</f>
        <v>0</v>
      </c>
      <c r="I316" s="13">
        <f>+'[6]2025'!H316</f>
        <v>0</v>
      </c>
      <c r="J316" s="14">
        <f>+'[6]2025'!I316</f>
        <v>0</v>
      </c>
      <c r="K316" s="15">
        <f>+'[6]2025'!J316</f>
        <v>0</v>
      </c>
      <c r="L316" s="15">
        <f>+'[6]2025'!K316</f>
        <v>0</v>
      </c>
      <c r="M316" s="15">
        <f>+'[6]2025'!L316</f>
        <v>0</v>
      </c>
      <c r="N316" s="16" t="str">
        <f t="shared" si="16"/>
        <v/>
      </c>
      <c r="O316" s="17" t="str">
        <f t="shared" si="17"/>
        <v/>
      </c>
      <c r="P316" s="17" t="str">
        <f t="shared" si="17"/>
        <v/>
      </c>
      <c r="Q316" s="18" t="str">
        <f t="shared" si="18"/>
        <v/>
      </c>
      <c r="R316" s="18" t="e">
        <f t="shared" si="19"/>
        <v>#DIV/0!</v>
      </c>
      <c r="S316" s="36">
        <f>SUM(J311:J317)</f>
        <v>0</v>
      </c>
      <c r="T316" s="30" t="s">
        <v>3</v>
      </c>
      <c r="U316" s="1738"/>
    </row>
    <row r="317" spans="1:21" ht="18" thickBot="1">
      <c r="A317" s="10" t="s">
        <v>16</v>
      </c>
      <c r="B317" s="19">
        <f>+CHAMNORD!B317</f>
        <v>46334</v>
      </c>
      <c r="C317" s="75" t="str">
        <f>IF(H317=0,"",'[6]2025-2026'!C316)</f>
        <v/>
      </c>
      <c r="D317" s="68" t="str">
        <f>+'[6]2025'!C317</f>
        <v/>
      </c>
      <c r="E317" s="68" t="str">
        <f>+'[6]2025'!D317</f>
        <v/>
      </c>
      <c r="F317" s="20" t="str">
        <f>+'[6]2025'!E317</f>
        <v/>
      </c>
      <c r="G317" s="73" t="str">
        <f>+'[6]2025'!F317</f>
        <v/>
      </c>
      <c r="H317" s="42">
        <f>+'[6]2025'!G317</f>
        <v>0</v>
      </c>
      <c r="I317" s="13">
        <f>+'[6]2025'!H317</f>
        <v>0</v>
      </c>
      <c r="J317" s="14">
        <f>+'[6]2025'!I317</f>
        <v>0</v>
      </c>
      <c r="K317" s="15">
        <f>+'[6]2025'!J317</f>
        <v>0</v>
      </c>
      <c r="L317" s="15">
        <f>+'[6]2025'!K317</f>
        <v>0</v>
      </c>
      <c r="M317" s="15">
        <f>+'[6]2025'!L317</f>
        <v>0</v>
      </c>
      <c r="N317" s="16" t="str">
        <f t="shared" si="16"/>
        <v/>
      </c>
      <c r="O317" s="17" t="str">
        <f t="shared" si="17"/>
        <v/>
      </c>
      <c r="P317" s="17" t="str">
        <f t="shared" si="17"/>
        <v/>
      </c>
      <c r="Q317" s="18" t="str">
        <f t="shared" si="18"/>
        <v/>
      </c>
      <c r="R317" s="18" t="e">
        <f t="shared" si="19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</row>
    <row r="318" spans="1:21" ht="17" customHeight="1" thickTop="1">
      <c r="A318" s="10" t="s">
        <v>9</v>
      </c>
      <c r="B318" s="19">
        <f>+CHAMNORD!B318</f>
        <v>46335</v>
      </c>
      <c r="C318" s="75" t="str">
        <f>IF(H318=0,"",'[6]2025-2026'!C317)</f>
        <v/>
      </c>
      <c r="D318" s="68" t="str">
        <f>+'[6]2025'!C318</f>
        <v/>
      </c>
      <c r="E318" s="68" t="str">
        <f>+'[6]2025'!D318</f>
        <v/>
      </c>
      <c r="F318" s="20" t="str">
        <f>+'[6]2025'!E318</f>
        <v/>
      </c>
      <c r="G318" s="73" t="str">
        <f>+'[6]2025'!F318</f>
        <v/>
      </c>
      <c r="H318" s="42">
        <f>+'[6]2025'!G318</f>
        <v>0</v>
      </c>
      <c r="I318" s="13">
        <f>+'[6]2025'!H318</f>
        <v>0</v>
      </c>
      <c r="J318" s="14">
        <f>+'[6]2025'!I318</f>
        <v>0</v>
      </c>
      <c r="K318" s="15">
        <f>+'[6]2025'!J318</f>
        <v>0</v>
      </c>
      <c r="L318" s="15">
        <f>+'[6]2025'!K318</f>
        <v>0</v>
      </c>
      <c r="M318" s="15">
        <f>+'[6]2025'!L318</f>
        <v>0</v>
      </c>
      <c r="N318" s="16" t="str">
        <f t="shared" si="16"/>
        <v/>
      </c>
      <c r="O318" s="17" t="str">
        <f t="shared" si="17"/>
        <v/>
      </c>
      <c r="P318" s="17" t="str">
        <f t="shared" si="17"/>
        <v/>
      </c>
      <c r="Q318" s="18" t="str">
        <f t="shared" si="18"/>
        <v/>
      </c>
      <c r="R318" s="18" t="e">
        <f t="shared" si="19"/>
        <v>#DIV/0!</v>
      </c>
      <c r="S318" s="33" t="s">
        <v>39</v>
      </c>
      <c r="T318" s="31" t="s">
        <v>42</v>
      </c>
      <c r="U318" s="1737" t="s">
        <v>128</v>
      </c>
    </row>
    <row r="319" spans="1:21">
      <c r="A319" s="10" t="s">
        <v>11</v>
      </c>
      <c r="B319" s="19">
        <f>+CHAMNORD!B319</f>
        <v>46336</v>
      </c>
      <c r="C319" s="75" t="str">
        <f>IF(H319=0,"",'[6]2025-2026'!C318)</f>
        <v/>
      </c>
      <c r="D319" s="68" t="str">
        <f>+'[6]2025'!C319</f>
        <v/>
      </c>
      <c r="E319" s="68" t="str">
        <f>+'[6]2025'!D319</f>
        <v/>
      </c>
      <c r="F319" s="20" t="str">
        <f>+'[6]2025'!E319</f>
        <v/>
      </c>
      <c r="G319" s="73" t="str">
        <f>+'[6]2025'!F319</f>
        <v/>
      </c>
      <c r="H319" s="42">
        <f>+'[6]2025'!G319</f>
        <v>0</v>
      </c>
      <c r="I319" s="13">
        <f>+'[6]2025'!H319</f>
        <v>0</v>
      </c>
      <c r="J319" s="14">
        <f>+'[6]2025'!I319</f>
        <v>0</v>
      </c>
      <c r="K319" s="15">
        <f>+'[6]2025'!J319</f>
        <v>0</v>
      </c>
      <c r="L319" s="15">
        <f>+'[6]2025'!K319</f>
        <v>0</v>
      </c>
      <c r="M319" s="15">
        <f>+'[6]2025'!L319</f>
        <v>0</v>
      </c>
      <c r="N319" s="16" t="str">
        <f t="shared" si="16"/>
        <v/>
      </c>
      <c r="O319" s="17" t="str">
        <f t="shared" si="17"/>
        <v/>
      </c>
      <c r="P319" s="17" t="str">
        <f t="shared" si="17"/>
        <v/>
      </c>
      <c r="Q319" s="18" t="str">
        <f t="shared" si="18"/>
        <v/>
      </c>
      <c r="R319" s="18" t="e">
        <f t="shared" si="19"/>
        <v>#DIV/0!</v>
      </c>
      <c r="S319" s="34">
        <f>SUM(I318:I324)</f>
        <v>0</v>
      </c>
      <c r="T319" s="45" t="s">
        <v>41</v>
      </c>
      <c r="U319" s="1738"/>
    </row>
    <row r="320" spans="1:21">
      <c r="A320" s="10" t="s">
        <v>12</v>
      </c>
      <c r="B320" s="19">
        <f>+CHAMNORD!B320</f>
        <v>46337</v>
      </c>
      <c r="C320" s="75" t="str">
        <f>IF(H320=0,"",'[6]2025-2026'!C319)</f>
        <v/>
      </c>
      <c r="D320" s="68" t="str">
        <f>+'[6]2025'!C320</f>
        <v/>
      </c>
      <c r="E320" s="68" t="str">
        <f>+'[6]2025'!D320</f>
        <v/>
      </c>
      <c r="F320" s="20" t="str">
        <f>+'[6]2025'!E320</f>
        <v/>
      </c>
      <c r="G320" s="73" t="str">
        <f>+'[6]2025'!F320</f>
        <v/>
      </c>
      <c r="H320" s="42">
        <f>+'[6]2025'!G320</f>
        <v>0</v>
      </c>
      <c r="I320" s="13">
        <f>+'[6]2025'!H320</f>
        <v>0</v>
      </c>
      <c r="J320" s="14">
        <f>+'[6]2025'!I320</f>
        <v>0</v>
      </c>
      <c r="K320" s="15">
        <f>+'[6]2025'!J320</f>
        <v>0</v>
      </c>
      <c r="L320" s="15">
        <f>+'[6]2025'!K320</f>
        <v>0</v>
      </c>
      <c r="M320" s="15">
        <f>+'[6]2025'!L320</f>
        <v>0</v>
      </c>
      <c r="N320" s="16" t="str">
        <f t="shared" si="16"/>
        <v/>
      </c>
      <c r="O320" s="17" t="str">
        <f t="shared" si="17"/>
        <v/>
      </c>
      <c r="P320" s="17" t="str">
        <f t="shared" si="17"/>
        <v/>
      </c>
      <c r="Q320" s="18" t="str">
        <f t="shared" si="18"/>
        <v/>
      </c>
      <c r="R320" s="18" t="e">
        <f t="shared" si="19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</row>
    <row r="321" spans="1:21">
      <c r="A321" s="10" t="s">
        <v>13</v>
      </c>
      <c r="B321" s="19">
        <f>+CHAMNORD!B321</f>
        <v>46338</v>
      </c>
      <c r="C321" s="75" t="str">
        <f>IF(H321=0,"",'[6]2025-2026'!C320)</f>
        <v/>
      </c>
      <c r="D321" s="68" t="str">
        <f>+'[6]2025'!C321</f>
        <v/>
      </c>
      <c r="E321" s="68" t="str">
        <f>+'[6]2025'!D321</f>
        <v/>
      </c>
      <c r="F321" s="20" t="str">
        <f>+'[6]2025'!E321</f>
        <v/>
      </c>
      <c r="G321" s="73" t="str">
        <f>+'[6]2025'!F321</f>
        <v/>
      </c>
      <c r="H321" s="42">
        <f>+'[6]2025'!G321</f>
        <v>0</v>
      </c>
      <c r="I321" s="13">
        <f>+'[6]2025'!H321</f>
        <v>0</v>
      </c>
      <c r="J321" s="14">
        <f>+'[6]2025'!I321</f>
        <v>0</v>
      </c>
      <c r="K321" s="15">
        <f>+'[6]2025'!J321</f>
        <v>0</v>
      </c>
      <c r="L321" s="15">
        <f>+'[6]2025'!K321</f>
        <v>0</v>
      </c>
      <c r="M321" s="15">
        <f>+'[6]2025'!L321</f>
        <v>0</v>
      </c>
      <c r="N321" s="16" t="str">
        <f t="shared" si="16"/>
        <v/>
      </c>
      <c r="O321" s="17" t="str">
        <f t="shared" si="17"/>
        <v/>
      </c>
      <c r="P321" s="17" t="str">
        <f t="shared" si="17"/>
        <v/>
      </c>
      <c r="Q321" s="18" t="str">
        <f t="shared" si="18"/>
        <v/>
      </c>
      <c r="R321" s="18" t="e">
        <f t="shared" si="19"/>
        <v>#DIV/0!</v>
      </c>
      <c r="S321" s="34"/>
      <c r="T321" s="29" t="s">
        <v>8</v>
      </c>
      <c r="U321" s="1738"/>
    </row>
    <row r="322" spans="1:21">
      <c r="A322" s="10" t="s">
        <v>14</v>
      </c>
      <c r="B322" s="19">
        <f>+CHAMNORD!B322</f>
        <v>46339</v>
      </c>
      <c r="C322" s="75" t="str">
        <f>IF(H322=0,"",'[6]2025-2026'!C321)</f>
        <v/>
      </c>
      <c r="D322" s="68" t="str">
        <f>+'[6]2025'!C322</f>
        <v/>
      </c>
      <c r="E322" s="68" t="str">
        <f>+'[6]2025'!D322</f>
        <v/>
      </c>
      <c r="F322" s="20" t="str">
        <f>+'[6]2025'!E322</f>
        <v/>
      </c>
      <c r="G322" s="73" t="str">
        <f>+'[6]2025'!F322</f>
        <v/>
      </c>
      <c r="H322" s="42">
        <f>+'[6]2025'!G322</f>
        <v>0</v>
      </c>
      <c r="I322" s="13">
        <f>+'[6]2025'!H322</f>
        <v>0</v>
      </c>
      <c r="J322" s="14">
        <f>+'[6]2025'!I322</f>
        <v>0</v>
      </c>
      <c r="K322" s="15">
        <f>+'[6]2025'!J322</f>
        <v>0</v>
      </c>
      <c r="L322" s="15">
        <f>+'[6]2025'!K322</f>
        <v>0</v>
      </c>
      <c r="M322" s="15">
        <f>+'[6]2025'!L322</f>
        <v>0</v>
      </c>
      <c r="N322" s="16" t="str">
        <f t="shared" si="16"/>
        <v/>
      </c>
      <c r="O322" s="17" t="str">
        <f t="shared" si="17"/>
        <v/>
      </c>
      <c r="P322" s="17" t="str">
        <f t="shared" si="17"/>
        <v/>
      </c>
      <c r="Q322" s="18" t="str">
        <f t="shared" si="18"/>
        <v/>
      </c>
      <c r="R322" s="18" t="e">
        <f t="shared" si="19"/>
        <v>#DIV/0!</v>
      </c>
      <c r="S322" s="36" t="s">
        <v>40</v>
      </c>
      <c r="T322" s="48" t="e">
        <f>SUM(I318:I324)/SUM(L318:L324)</f>
        <v>#DIV/0!</v>
      </c>
      <c r="U322" s="1738"/>
    </row>
    <row r="323" spans="1:21">
      <c r="A323" s="10" t="s">
        <v>15</v>
      </c>
      <c r="B323" s="19">
        <f>+CHAMNORD!B323</f>
        <v>46340</v>
      </c>
      <c r="C323" s="75" t="str">
        <f>IF(H323=0,"",'[6]2025-2026'!C322)</f>
        <v/>
      </c>
      <c r="D323" s="68" t="str">
        <f>+'[6]2025'!C323</f>
        <v/>
      </c>
      <c r="E323" s="68" t="str">
        <f>+'[6]2025'!D323</f>
        <v/>
      </c>
      <c r="F323" s="20" t="str">
        <f>+'[6]2025'!E323</f>
        <v/>
      </c>
      <c r="G323" s="73" t="str">
        <f>+'[6]2025'!F323</f>
        <v/>
      </c>
      <c r="H323" s="42">
        <f>+'[6]2025'!G323</f>
        <v>0</v>
      </c>
      <c r="I323" s="13">
        <f>+'[6]2025'!H323</f>
        <v>0</v>
      </c>
      <c r="J323" s="14">
        <f>+'[6]2025'!I323</f>
        <v>0</v>
      </c>
      <c r="K323" s="15">
        <f>+'[6]2025'!J323</f>
        <v>0</v>
      </c>
      <c r="L323" s="15">
        <f>+'[6]2025'!K323</f>
        <v>0</v>
      </c>
      <c r="M323" s="15">
        <f>+'[6]2025'!L323</f>
        <v>0</v>
      </c>
      <c r="N323" s="16" t="str">
        <f t="shared" si="16"/>
        <v/>
      </c>
      <c r="O323" s="17" t="str">
        <f t="shared" si="17"/>
        <v/>
      </c>
      <c r="P323" s="17" t="str">
        <f t="shared" si="17"/>
        <v/>
      </c>
      <c r="Q323" s="18" t="str">
        <f t="shared" si="18"/>
        <v/>
      </c>
      <c r="R323" s="18" t="e">
        <f t="shared" si="19"/>
        <v>#DIV/0!</v>
      </c>
      <c r="S323" s="36">
        <f>SUM(J318:J324)</f>
        <v>0</v>
      </c>
      <c r="T323" s="30" t="s">
        <v>3</v>
      </c>
      <c r="U323" s="1738"/>
    </row>
    <row r="324" spans="1:21" ht="18" thickBot="1">
      <c r="A324" s="10" t="s">
        <v>16</v>
      </c>
      <c r="B324" s="19">
        <f>+CHAMNORD!B324</f>
        <v>46341</v>
      </c>
      <c r="C324" s="75" t="str">
        <f>IF(H324=0,"",'[6]2025-2026'!C323)</f>
        <v/>
      </c>
      <c r="D324" s="68" t="str">
        <f>+'[6]2025'!C324</f>
        <v/>
      </c>
      <c r="E324" s="68" t="str">
        <f>+'[6]2025'!D324</f>
        <v/>
      </c>
      <c r="F324" s="20" t="str">
        <f>+'[6]2025'!E324</f>
        <v/>
      </c>
      <c r="G324" s="73" t="str">
        <f>+'[6]2025'!F324</f>
        <v/>
      </c>
      <c r="H324" s="42">
        <f>+'[6]2025'!G324</f>
        <v>0</v>
      </c>
      <c r="I324" s="13">
        <f>+'[6]2025'!H324</f>
        <v>0</v>
      </c>
      <c r="J324" s="14">
        <f>+'[6]2025'!I324</f>
        <v>0</v>
      </c>
      <c r="K324" s="15">
        <f>+'[6]2025'!J324</f>
        <v>0</v>
      </c>
      <c r="L324" s="15">
        <f>+'[6]2025'!K324</f>
        <v>0</v>
      </c>
      <c r="M324" s="15">
        <f>+'[6]2025'!L324</f>
        <v>0</v>
      </c>
      <c r="N324" s="16" t="str">
        <f t="shared" ref="N324:N368" si="20">IF(M324=0,"",M324/I324)</f>
        <v/>
      </c>
      <c r="O324" s="17" t="str">
        <f t="shared" ref="O324:P368" si="21">IF(I324=0,"",(I324-E324)/E324)</f>
        <v/>
      </c>
      <c r="P324" s="17" t="str">
        <f t="shared" si="21"/>
        <v/>
      </c>
      <c r="Q324" s="18" t="str">
        <f t="shared" ref="Q324:Q368" si="22">IF(I324=0,"",I324/K324)</f>
        <v/>
      </c>
      <c r="R324" s="18" t="e">
        <f t="shared" ref="R324:R368" si="23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</row>
    <row r="325" spans="1:21" ht="17" customHeight="1" thickTop="1">
      <c r="A325" s="10" t="s">
        <v>9</v>
      </c>
      <c r="B325" s="19">
        <f>+CHAMNORD!B325</f>
        <v>46342</v>
      </c>
      <c r="C325" s="75" t="str">
        <f>IF(H325=0,"",'[6]2025-2026'!C324)</f>
        <v/>
      </c>
      <c r="D325" s="68" t="str">
        <f>+'[6]2025'!C325</f>
        <v/>
      </c>
      <c r="E325" s="68" t="str">
        <f>+'[6]2025'!D325</f>
        <v/>
      </c>
      <c r="F325" s="20" t="str">
        <f>+'[6]2025'!E325</f>
        <v/>
      </c>
      <c r="G325" s="73" t="str">
        <f>+'[6]2025'!F325</f>
        <v/>
      </c>
      <c r="H325" s="42">
        <f>+'[6]2025'!G325</f>
        <v>0</v>
      </c>
      <c r="I325" s="13">
        <f>+'[6]2025'!H325</f>
        <v>0</v>
      </c>
      <c r="J325" s="14">
        <f>+'[6]2025'!I325</f>
        <v>0</v>
      </c>
      <c r="K325" s="15">
        <f>+'[6]2025'!J325</f>
        <v>0</v>
      </c>
      <c r="L325" s="15">
        <f>+'[6]2025'!K325</f>
        <v>0</v>
      </c>
      <c r="M325" s="15">
        <f>+'[6]2025'!L325</f>
        <v>0</v>
      </c>
      <c r="N325" s="16" t="str">
        <f t="shared" si="20"/>
        <v/>
      </c>
      <c r="O325" s="17" t="str">
        <f t="shared" si="21"/>
        <v/>
      </c>
      <c r="P325" s="17" t="str">
        <f t="shared" si="21"/>
        <v/>
      </c>
      <c r="Q325" s="18" t="str">
        <f t="shared" si="22"/>
        <v/>
      </c>
      <c r="R325" s="18" t="e">
        <f t="shared" si="23"/>
        <v>#DIV/0!</v>
      </c>
      <c r="S325" s="33" t="s">
        <v>39</v>
      </c>
      <c r="T325" s="31" t="s">
        <v>42</v>
      </c>
      <c r="U325" s="1737" t="s">
        <v>129</v>
      </c>
    </row>
    <row r="326" spans="1:21">
      <c r="A326" s="10" t="s">
        <v>11</v>
      </c>
      <c r="B326" s="19">
        <f>+CHAMNORD!B326</f>
        <v>46343</v>
      </c>
      <c r="C326" s="75" t="str">
        <f>IF(H326=0,"",'[6]2025-2026'!C325)</f>
        <v/>
      </c>
      <c r="D326" s="68" t="str">
        <f>+'[6]2025'!C326</f>
        <v/>
      </c>
      <c r="E326" s="68" t="str">
        <f>+'[6]2025'!D326</f>
        <v/>
      </c>
      <c r="F326" s="20" t="str">
        <f>+'[6]2025'!E326</f>
        <v/>
      </c>
      <c r="G326" s="73" t="str">
        <f>+'[6]2025'!F326</f>
        <v/>
      </c>
      <c r="H326" s="42">
        <f>+'[6]2025'!G326</f>
        <v>0</v>
      </c>
      <c r="I326" s="13">
        <f>+'[6]2025'!H326</f>
        <v>0</v>
      </c>
      <c r="J326" s="14">
        <f>+'[6]2025'!I326</f>
        <v>0</v>
      </c>
      <c r="K326" s="15">
        <f>+'[6]2025'!J326</f>
        <v>0</v>
      </c>
      <c r="L326" s="15">
        <f>+'[6]2025'!K326</f>
        <v>0</v>
      </c>
      <c r="M326" s="15">
        <f>+'[6]2025'!L326</f>
        <v>0</v>
      </c>
      <c r="N326" s="16" t="str">
        <f t="shared" si="20"/>
        <v/>
      </c>
      <c r="O326" s="17" t="str">
        <f t="shared" si="21"/>
        <v/>
      </c>
      <c r="P326" s="17" t="str">
        <f t="shared" si="21"/>
        <v/>
      </c>
      <c r="Q326" s="18" t="str">
        <f t="shared" si="22"/>
        <v/>
      </c>
      <c r="R326" s="18" t="e">
        <f t="shared" si="23"/>
        <v>#DIV/0!</v>
      </c>
      <c r="S326" s="34">
        <f>SUM(I325:I331)</f>
        <v>0</v>
      </c>
      <c r="T326" s="45" t="s">
        <v>41</v>
      </c>
      <c r="U326" s="1738"/>
    </row>
    <row r="327" spans="1:21">
      <c r="A327" s="10" t="s">
        <v>12</v>
      </c>
      <c r="B327" s="19">
        <f>+CHAMNORD!B327</f>
        <v>46344</v>
      </c>
      <c r="C327" s="75" t="str">
        <f>IF(H327=0,"",'[6]2025-2026'!C326)</f>
        <v/>
      </c>
      <c r="D327" s="68" t="str">
        <f>+'[6]2025'!C327</f>
        <v/>
      </c>
      <c r="E327" s="68" t="str">
        <f>+'[6]2025'!D327</f>
        <v/>
      </c>
      <c r="F327" s="20" t="str">
        <f>+'[6]2025'!E327</f>
        <v/>
      </c>
      <c r="G327" s="73" t="str">
        <f>+'[6]2025'!F327</f>
        <v/>
      </c>
      <c r="H327" s="42">
        <f>+'[6]2025'!G327</f>
        <v>0</v>
      </c>
      <c r="I327" s="13">
        <f>+'[6]2025'!H327</f>
        <v>0</v>
      </c>
      <c r="J327" s="14">
        <f>+'[6]2025'!I327</f>
        <v>0</v>
      </c>
      <c r="K327" s="15">
        <f>+'[6]2025'!J327</f>
        <v>0</v>
      </c>
      <c r="L327" s="15">
        <f>+'[6]2025'!K327</f>
        <v>0</v>
      </c>
      <c r="M327" s="15">
        <f>+'[6]2025'!L327</f>
        <v>0</v>
      </c>
      <c r="N327" s="16" t="str">
        <f t="shared" si="20"/>
        <v/>
      </c>
      <c r="O327" s="17" t="str">
        <f t="shared" si="21"/>
        <v/>
      </c>
      <c r="P327" s="17" t="str">
        <f t="shared" si="21"/>
        <v/>
      </c>
      <c r="Q327" s="18" t="str">
        <f t="shared" si="22"/>
        <v/>
      </c>
      <c r="R327" s="18" t="e">
        <f t="shared" si="23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</row>
    <row r="328" spans="1:21">
      <c r="A328" s="10" t="s">
        <v>13</v>
      </c>
      <c r="B328" s="19">
        <f>+CHAMNORD!B328</f>
        <v>46345</v>
      </c>
      <c r="C328" s="75" t="str">
        <f>IF(H328=0,"",'[6]2025-2026'!C327)</f>
        <v/>
      </c>
      <c r="D328" s="68" t="str">
        <f>+'[6]2025'!C328</f>
        <v/>
      </c>
      <c r="E328" s="68" t="str">
        <f>+'[6]2025'!D328</f>
        <v/>
      </c>
      <c r="F328" s="20" t="str">
        <f>+'[6]2025'!E328</f>
        <v/>
      </c>
      <c r="G328" s="73" t="str">
        <f>+'[6]2025'!F328</f>
        <v/>
      </c>
      <c r="H328" s="42">
        <f>+'[6]2025'!G328</f>
        <v>0</v>
      </c>
      <c r="I328" s="13">
        <f>+'[6]2025'!H328</f>
        <v>0</v>
      </c>
      <c r="J328" s="14">
        <f>+'[6]2025'!I328</f>
        <v>0</v>
      </c>
      <c r="K328" s="15">
        <f>+'[6]2025'!J328</f>
        <v>0</v>
      </c>
      <c r="L328" s="15">
        <f>+'[6]2025'!K328</f>
        <v>0</v>
      </c>
      <c r="M328" s="15">
        <f>+'[6]2025'!L328</f>
        <v>0</v>
      </c>
      <c r="N328" s="16" t="str">
        <f t="shared" si="20"/>
        <v/>
      </c>
      <c r="O328" s="17" t="str">
        <f t="shared" si="21"/>
        <v/>
      </c>
      <c r="P328" s="17" t="str">
        <f t="shared" si="21"/>
        <v/>
      </c>
      <c r="Q328" s="18" t="str">
        <f t="shared" si="22"/>
        <v/>
      </c>
      <c r="R328" s="18" t="e">
        <f t="shared" si="23"/>
        <v>#DIV/0!</v>
      </c>
      <c r="S328" s="34"/>
      <c r="T328" s="29" t="s">
        <v>8</v>
      </c>
      <c r="U328" s="1738"/>
    </row>
    <row r="329" spans="1:21">
      <c r="A329" s="10" t="s">
        <v>14</v>
      </c>
      <c r="B329" s="19">
        <f>+CHAMNORD!B329</f>
        <v>46346</v>
      </c>
      <c r="C329" s="75" t="str">
        <f>IF(H329=0,"",'[6]2025-2026'!C328)</f>
        <v/>
      </c>
      <c r="D329" s="68" t="str">
        <f>+'[6]2025'!C329</f>
        <v/>
      </c>
      <c r="E329" s="68" t="str">
        <f>+'[6]2025'!D329</f>
        <v/>
      </c>
      <c r="F329" s="20" t="str">
        <f>+'[6]2025'!E329</f>
        <v/>
      </c>
      <c r="G329" s="73" t="str">
        <f>+'[6]2025'!F329</f>
        <v/>
      </c>
      <c r="H329" s="42">
        <f>+'[6]2025'!G329</f>
        <v>0</v>
      </c>
      <c r="I329" s="13">
        <f>+'[6]2025'!H329</f>
        <v>0</v>
      </c>
      <c r="J329" s="14">
        <f>+'[6]2025'!I329</f>
        <v>0</v>
      </c>
      <c r="K329" s="15">
        <f>+'[6]2025'!J329</f>
        <v>0</v>
      </c>
      <c r="L329" s="15">
        <f>+'[6]2025'!K329</f>
        <v>0</v>
      </c>
      <c r="M329" s="15">
        <f>+'[6]2025'!L329</f>
        <v>0</v>
      </c>
      <c r="N329" s="16" t="str">
        <f t="shared" si="20"/>
        <v/>
      </c>
      <c r="O329" s="17" t="str">
        <f t="shared" si="21"/>
        <v/>
      </c>
      <c r="P329" s="17" t="str">
        <f t="shared" si="21"/>
        <v/>
      </c>
      <c r="Q329" s="18" t="str">
        <f t="shared" si="22"/>
        <v/>
      </c>
      <c r="R329" s="18" t="e">
        <f t="shared" si="23"/>
        <v>#DIV/0!</v>
      </c>
      <c r="S329" s="36" t="s">
        <v>40</v>
      </c>
      <c r="T329" s="48" t="e">
        <f>SUM(I325:I331)/SUM(L325:L331)</f>
        <v>#DIV/0!</v>
      </c>
      <c r="U329" s="1738"/>
    </row>
    <row r="330" spans="1:21">
      <c r="A330" s="10" t="s">
        <v>15</v>
      </c>
      <c r="B330" s="19">
        <f>+CHAMNORD!B330</f>
        <v>46347</v>
      </c>
      <c r="C330" s="75" t="str">
        <f>IF(H330=0,"",'[6]2025-2026'!C329)</f>
        <v/>
      </c>
      <c r="D330" s="68" t="str">
        <f>+'[6]2025'!C330</f>
        <v/>
      </c>
      <c r="E330" s="68" t="str">
        <f>+'[6]2025'!D330</f>
        <v/>
      </c>
      <c r="F330" s="20" t="str">
        <f>+'[6]2025'!E330</f>
        <v/>
      </c>
      <c r="G330" s="73" t="str">
        <f>+'[6]2025'!F330</f>
        <v/>
      </c>
      <c r="H330" s="42">
        <f>+'[6]2025'!G330</f>
        <v>0</v>
      </c>
      <c r="I330" s="13">
        <f>+'[6]2025'!H330</f>
        <v>0</v>
      </c>
      <c r="J330" s="14">
        <f>+'[6]2025'!I330</f>
        <v>0</v>
      </c>
      <c r="K330" s="15">
        <f>+'[6]2025'!J330</f>
        <v>0</v>
      </c>
      <c r="L330" s="15">
        <f>+'[6]2025'!K330</f>
        <v>0</v>
      </c>
      <c r="M330" s="15">
        <f>+'[6]2025'!L330</f>
        <v>0</v>
      </c>
      <c r="N330" s="16" t="str">
        <f t="shared" si="20"/>
        <v/>
      </c>
      <c r="O330" s="17" t="str">
        <f t="shared" si="21"/>
        <v/>
      </c>
      <c r="P330" s="17" t="str">
        <f t="shared" si="21"/>
        <v/>
      </c>
      <c r="Q330" s="18" t="str">
        <f t="shared" si="22"/>
        <v/>
      </c>
      <c r="R330" s="18" t="e">
        <f t="shared" si="23"/>
        <v>#DIV/0!</v>
      </c>
      <c r="S330" s="36">
        <f>SUM(J325:J331)</f>
        <v>0</v>
      </c>
      <c r="T330" s="30" t="s">
        <v>3</v>
      </c>
      <c r="U330" s="1738"/>
    </row>
    <row r="331" spans="1:21" ht="18" thickBot="1">
      <c r="A331" s="10" t="s">
        <v>16</v>
      </c>
      <c r="B331" s="19">
        <f>+CHAMNORD!B331</f>
        <v>46348</v>
      </c>
      <c r="C331" s="75" t="str">
        <f>IF(H331=0,"",'[6]2025-2026'!C330)</f>
        <v/>
      </c>
      <c r="D331" s="68" t="str">
        <f>+'[6]2025'!C331</f>
        <v/>
      </c>
      <c r="E331" s="68" t="str">
        <f>+'[6]2025'!D331</f>
        <v/>
      </c>
      <c r="F331" s="20" t="str">
        <f>+'[6]2025'!E331</f>
        <v/>
      </c>
      <c r="G331" s="73" t="str">
        <f>+'[6]2025'!F331</f>
        <v/>
      </c>
      <c r="H331" s="42">
        <f>+'[6]2025'!G331</f>
        <v>0</v>
      </c>
      <c r="I331" s="13">
        <f>+'[6]2025'!H331</f>
        <v>0</v>
      </c>
      <c r="J331" s="14">
        <f>+'[6]2025'!I331</f>
        <v>0</v>
      </c>
      <c r="K331" s="15">
        <f>+'[6]2025'!J331</f>
        <v>0</v>
      </c>
      <c r="L331" s="15">
        <f>+'[6]2025'!K331</f>
        <v>0</v>
      </c>
      <c r="M331" s="15">
        <f>+'[6]2025'!L331</f>
        <v>0</v>
      </c>
      <c r="N331" s="16" t="str">
        <f t="shared" si="20"/>
        <v/>
      </c>
      <c r="O331" s="17" t="str">
        <f t="shared" si="21"/>
        <v/>
      </c>
      <c r="P331" s="17" t="str">
        <f t="shared" si="21"/>
        <v/>
      </c>
      <c r="Q331" s="18" t="str">
        <f t="shared" si="22"/>
        <v/>
      </c>
      <c r="R331" s="18" t="e">
        <f t="shared" si="23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</row>
    <row r="332" spans="1:21" ht="17" customHeight="1" thickTop="1">
      <c r="A332" s="10" t="s">
        <v>9</v>
      </c>
      <c r="B332" s="19">
        <f>+CHAMNORD!B332</f>
        <v>46349</v>
      </c>
      <c r="C332" s="75" t="str">
        <f>IF(H332=0,"",'[6]2025-2026'!C331)</f>
        <v/>
      </c>
      <c r="D332" s="68" t="str">
        <f>+'[6]2025'!C332</f>
        <v/>
      </c>
      <c r="E332" s="68" t="str">
        <f>+'[6]2025'!D332</f>
        <v/>
      </c>
      <c r="F332" s="20" t="str">
        <f>+'[6]2025'!E332</f>
        <v/>
      </c>
      <c r="G332" s="73" t="str">
        <f>+'[6]2025'!F332</f>
        <v/>
      </c>
      <c r="H332" s="42">
        <f>+'[6]2025'!G332</f>
        <v>0</v>
      </c>
      <c r="I332" s="13">
        <f>+'[6]2025'!H332</f>
        <v>0</v>
      </c>
      <c r="J332" s="14">
        <f>+'[6]2025'!I332</f>
        <v>0</v>
      </c>
      <c r="K332" s="15">
        <f>+'[6]2025'!J332</f>
        <v>0</v>
      </c>
      <c r="L332" s="15">
        <f>+'[6]2025'!K332</f>
        <v>0</v>
      </c>
      <c r="M332" s="15">
        <f>+'[6]2025'!L332</f>
        <v>0</v>
      </c>
      <c r="N332" s="16" t="str">
        <f t="shared" si="20"/>
        <v/>
      </c>
      <c r="O332" s="17" t="str">
        <f t="shared" si="21"/>
        <v/>
      </c>
      <c r="P332" s="17" t="str">
        <f t="shared" si="21"/>
        <v/>
      </c>
      <c r="Q332" s="18" t="str">
        <f t="shared" si="22"/>
        <v/>
      </c>
      <c r="R332" s="18" t="e">
        <f t="shared" si="23"/>
        <v>#DIV/0!</v>
      </c>
      <c r="S332" s="33" t="s">
        <v>39</v>
      </c>
      <c r="T332" s="31" t="s">
        <v>42</v>
      </c>
      <c r="U332" s="1737" t="s">
        <v>130</v>
      </c>
    </row>
    <row r="333" spans="1:21">
      <c r="A333" s="10" t="s">
        <v>11</v>
      </c>
      <c r="B333" s="19">
        <f>+CHAMNORD!B333</f>
        <v>46350</v>
      </c>
      <c r="C333" s="75" t="str">
        <f>IF(H333=0,"",'[6]2025-2026'!C332)</f>
        <v/>
      </c>
      <c r="D333" s="68" t="str">
        <f>+'[6]2025'!C333</f>
        <v/>
      </c>
      <c r="E333" s="68" t="str">
        <f>+'[6]2025'!D333</f>
        <v/>
      </c>
      <c r="F333" s="20" t="str">
        <f>+'[6]2025'!E333</f>
        <v/>
      </c>
      <c r="G333" s="73" t="str">
        <f>+'[6]2025'!F333</f>
        <v/>
      </c>
      <c r="H333" s="42">
        <f>+'[6]2025'!G333</f>
        <v>0</v>
      </c>
      <c r="I333" s="13">
        <f>+'[6]2025'!H333</f>
        <v>0</v>
      </c>
      <c r="J333" s="14">
        <f>+'[6]2025'!I333</f>
        <v>0</v>
      </c>
      <c r="K333" s="15">
        <f>+'[6]2025'!J333</f>
        <v>0</v>
      </c>
      <c r="L333" s="15">
        <f>+'[6]2025'!K333</f>
        <v>0</v>
      </c>
      <c r="M333" s="15">
        <f>+'[6]2025'!L333</f>
        <v>0</v>
      </c>
      <c r="N333" s="16" t="str">
        <f t="shared" si="20"/>
        <v/>
      </c>
      <c r="O333" s="17" t="str">
        <f t="shared" si="21"/>
        <v/>
      </c>
      <c r="P333" s="17" t="str">
        <f t="shared" si="21"/>
        <v/>
      </c>
      <c r="Q333" s="18" t="str">
        <f t="shared" si="22"/>
        <v/>
      </c>
      <c r="R333" s="18" t="e">
        <f t="shared" si="23"/>
        <v>#DIV/0!</v>
      </c>
      <c r="S333" s="34">
        <f>SUM(I332:I338)</f>
        <v>0</v>
      </c>
      <c r="T333" s="45" t="s">
        <v>41</v>
      </c>
      <c r="U333" s="1738"/>
    </row>
    <row r="334" spans="1:21">
      <c r="A334" s="10" t="s">
        <v>12</v>
      </c>
      <c r="B334" s="19">
        <f>+CHAMNORD!B334</f>
        <v>46351</v>
      </c>
      <c r="C334" s="75" t="str">
        <f>IF(H334=0,"",'[6]2025-2026'!C333)</f>
        <v/>
      </c>
      <c r="D334" s="68" t="str">
        <f>+'[6]2025'!C334</f>
        <v/>
      </c>
      <c r="E334" s="68" t="str">
        <f>+'[6]2025'!D334</f>
        <v/>
      </c>
      <c r="F334" s="20" t="str">
        <f>+'[6]2025'!E334</f>
        <v/>
      </c>
      <c r="G334" s="73" t="str">
        <f>+'[6]2025'!F334</f>
        <v/>
      </c>
      <c r="H334" s="42">
        <f>+'[6]2025'!G334</f>
        <v>0</v>
      </c>
      <c r="I334" s="13">
        <f>+'[6]2025'!H334</f>
        <v>0</v>
      </c>
      <c r="J334" s="14">
        <f>+'[6]2025'!I334</f>
        <v>0</v>
      </c>
      <c r="K334" s="15">
        <f>+'[6]2025'!J334</f>
        <v>0</v>
      </c>
      <c r="L334" s="15">
        <f>+'[6]2025'!K334</f>
        <v>0</v>
      </c>
      <c r="M334" s="15">
        <f>+'[6]2025'!L334</f>
        <v>0</v>
      </c>
      <c r="N334" s="16" t="str">
        <f t="shared" si="20"/>
        <v/>
      </c>
      <c r="O334" s="17" t="str">
        <f t="shared" si="21"/>
        <v/>
      </c>
      <c r="P334" s="17" t="str">
        <f t="shared" si="21"/>
        <v/>
      </c>
      <c r="Q334" s="18" t="str">
        <f t="shared" si="22"/>
        <v/>
      </c>
      <c r="R334" s="18" t="e">
        <f t="shared" si="23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</row>
    <row r="335" spans="1:21">
      <c r="A335" s="10" t="s">
        <v>13</v>
      </c>
      <c r="B335" s="19">
        <f>+CHAMNORD!B335</f>
        <v>46352</v>
      </c>
      <c r="C335" s="75" t="str">
        <f>IF(H335=0,"",'[6]2025-2026'!C334)</f>
        <v/>
      </c>
      <c r="D335" s="68" t="str">
        <f>+'[6]2025'!C335</f>
        <v/>
      </c>
      <c r="E335" s="68" t="str">
        <f>+'[6]2025'!D335</f>
        <v/>
      </c>
      <c r="F335" s="20" t="str">
        <f>+'[6]2025'!E335</f>
        <v/>
      </c>
      <c r="G335" s="73" t="str">
        <f>+'[6]2025'!F335</f>
        <v/>
      </c>
      <c r="H335" s="42">
        <f>+'[6]2025'!G335</f>
        <v>0</v>
      </c>
      <c r="I335" s="13">
        <f>+'[6]2025'!H335</f>
        <v>0</v>
      </c>
      <c r="J335" s="14">
        <f>+'[6]2025'!I335</f>
        <v>0</v>
      </c>
      <c r="K335" s="15">
        <f>+'[6]2025'!J335</f>
        <v>0</v>
      </c>
      <c r="L335" s="15">
        <f>+'[6]2025'!K335</f>
        <v>0</v>
      </c>
      <c r="M335" s="15">
        <f>+'[6]2025'!L335</f>
        <v>0</v>
      </c>
      <c r="N335" s="16" t="str">
        <f t="shared" si="20"/>
        <v/>
      </c>
      <c r="O335" s="17" t="str">
        <f t="shared" si="21"/>
        <v/>
      </c>
      <c r="P335" s="17" t="str">
        <f t="shared" si="21"/>
        <v/>
      </c>
      <c r="Q335" s="18" t="str">
        <f t="shared" si="22"/>
        <v/>
      </c>
      <c r="R335" s="18" t="e">
        <f t="shared" si="23"/>
        <v>#DIV/0!</v>
      </c>
      <c r="S335" s="34"/>
      <c r="T335" s="29" t="s">
        <v>8</v>
      </c>
      <c r="U335" s="1738"/>
    </row>
    <row r="336" spans="1:21">
      <c r="A336" s="10" t="s">
        <v>14</v>
      </c>
      <c r="B336" s="19">
        <f>+CHAMNORD!B336</f>
        <v>46353</v>
      </c>
      <c r="C336" s="75" t="str">
        <f>IF(H336=0,"",'[6]2025-2026'!C335)</f>
        <v/>
      </c>
      <c r="D336" s="68" t="str">
        <f>+'[6]2025'!C336</f>
        <v/>
      </c>
      <c r="E336" s="68" t="str">
        <f>+'[6]2025'!D336</f>
        <v/>
      </c>
      <c r="F336" s="20" t="str">
        <f>+'[6]2025'!E336</f>
        <v/>
      </c>
      <c r="G336" s="73" t="str">
        <f>+'[6]2025'!F336</f>
        <v/>
      </c>
      <c r="H336" s="42">
        <f>+'[6]2025'!G336</f>
        <v>0</v>
      </c>
      <c r="I336" s="13">
        <f>+'[6]2025'!H336</f>
        <v>0</v>
      </c>
      <c r="J336" s="14">
        <f>+'[6]2025'!I336</f>
        <v>0</v>
      </c>
      <c r="K336" s="15">
        <f>+'[6]2025'!J336</f>
        <v>0</v>
      </c>
      <c r="L336" s="15">
        <f>+'[6]2025'!K336</f>
        <v>0</v>
      </c>
      <c r="M336" s="15">
        <f>+'[6]2025'!L336</f>
        <v>0</v>
      </c>
      <c r="N336" s="16" t="str">
        <f t="shared" si="20"/>
        <v/>
      </c>
      <c r="O336" s="17" t="str">
        <f t="shared" si="21"/>
        <v/>
      </c>
      <c r="P336" s="17" t="str">
        <f t="shared" si="21"/>
        <v/>
      </c>
      <c r="Q336" s="18" t="str">
        <f t="shared" si="22"/>
        <v/>
      </c>
      <c r="R336" s="18" t="e">
        <f t="shared" si="23"/>
        <v>#DIV/0!</v>
      </c>
      <c r="S336" s="36" t="s">
        <v>40</v>
      </c>
      <c r="T336" s="48" t="e">
        <f>SUM(I332:I338)/SUM(L332:L338)</f>
        <v>#DIV/0!</v>
      </c>
      <c r="U336" s="1738"/>
    </row>
    <row r="337" spans="1:21">
      <c r="A337" s="10" t="s">
        <v>15</v>
      </c>
      <c r="B337" s="19">
        <f>+CHAMNORD!B337</f>
        <v>46354</v>
      </c>
      <c r="C337" s="75" t="str">
        <f>IF(H337=0,"",'[6]2025-2026'!C336)</f>
        <v/>
      </c>
      <c r="D337" s="68" t="str">
        <f>+'[6]2025'!C337</f>
        <v/>
      </c>
      <c r="E337" s="68" t="str">
        <f>+'[6]2025'!D337</f>
        <v/>
      </c>
      <c r="F337" s="20" t="str">
        <f>+'[6]2025'!E337</f>
        <v/>
      </c>
      <c r="G337" s="73" t="str">
        <f>+'[6]2025'!F337</f>
        <v/>
      </c>
      <c r="H337" s="42">
        <f>+'[6]2025'!G337</f>
        <v>0</v>
      </c>
      <c r="I337" s="13">
        <f>+'[6]2025'!H337</f>
        <v>0</v>
      </c>
      <c r="J337" s="14">
        <f>+'[6]2025'!I337</f>
        <v>0</v>
      </c>
      <c r="K337" s="15">
        <f>+'[6]2025'!J337</f>
        <v>0</v>
      </c>
      <c r="L337" s="15">
        <f>+'[6]2025'!K337</f>
        <v>0</v>
      </c>
      <c r="M337" s="15">
        <f>+'[6]2025'!L337</f>
        <v>0</v>
      </c>
      <c r="N337" s="16" t="str">
        <f t="shared" si="20"/>
        <v/>
      </c>
      <c r="O337" s="17" t="str">
        <f t="shared" si="21"/>
        <v/>
      </c>
      <c r="P337" s="17" t="str">
        <f t="shared" si="21"/>
        <v/>
      </c>
      <c r="Q337" s="18" t="str">
        <f t="shared" si="22"/>
        <v/>
      </c>
      <c r="R337" s="18" t="e">
        <f t="shared" si="23"/>
        <v>#DIV/0!</v>
      </c>
      <c r="S337" s="36">
        <f>SUM(J332:J338)</f>
        <v>0</v>
      </c>
      <c r="T337" s="30" t="s">
        <v>3</v>
      </c>
      <c r="U337" s="1738"/>
    </row>
    <row r="338" spans="1:21" ht="18" thickBot="1">
      <c r="A338" s="10" t="s">
        <v>16</v>
      </c>
      <c r="B338" s="19">
        <f>+CHAMNORD!B338</f>
        <v>46355</v>
      </c>
      <c r="C338" s="75" t="str">
        <f>IF(H338=0,"",'[6]2025-2026'!C337)</f>
        <v/>
      </c>
      <c r="D338" s="68" t="str">
        <f>+'[6]2025'!C338</f>
        <v/>
      </c>
      <c r="E338" s="68" t="str">
        <f>+'[6]2025'!D338</f>
        <v/>
      </c>
      <c r="F338" s="20" t="str">
        <f>+'[6]2025'!E338</f>
        <v/>
      </c>
      <c r="G338" s="73" t="str">
        <f>+'[6]2025'!F338</f>
        <v/>
      </c>
      <c r="H338" s="42">
        <f>+'[6]2025'!G338</f>
        <v>0</v>
      </c>
      <c r="I338" s="13">
        <f>+'[6]2025'!H338</f>
        <v>0</v>
      </c>
      <c r="J338" s="14">
        <f>+'[6]2025'!I338</f>
        <v>0</v>
      </c>
      <c r="K338" s="15">
        <f>+'[6]2025'!J338</f>
        <v>0</v>
      </c>
      <c r="L338" s="15">
        <f>+'[6]2025'!K338</f>
        <v>0</v>
      </c>
      <c r="M338" s="15">
        <f>+'[6]2025'!L338</f>
        <v>0</v>
      </c>
      <c r="N338" s="16" t="str">
        <f t="shared" si="20"/>
        <v/>
      </c>
      <c r="O338" s="17" t="str">
        <f t="shared" si="21"/>
        <v/>
      </c>
      <c r="P338" s="17" t="str">
        <f t="shared" si="21"/>
        <v/>
      </c>
      <c r="Q338" s="18" t="str">
        <f t="shared" si="22"/>
        <v/>
      </c>
      <c r="R338" s="18" t="e">
        <f t="shared" si="23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1" ht="17" customHeight="1" thickTop="1">
      <c r="A339" s="10" t="s">
        <v>9</v>
      </c>
      <c r="B339" s="19">
        <f>+CHAMNORD!B339</f>
        <v>46356</v>
      </c>
      <c r="C339" s="75" t="str">
        <f>IF(H339=0,"",'[6]2025-2026'!C338)</f>
        <v/>
      </c>
      <c r="D339" s="68" t="str">
        <f>+'[6]2025'!C339</f>
        <v/>
      </c>
      <c r="E339" s="68" t="str">
        <f>+'[6]2025'!D339</f>
        <v/>
      </c>
      <c r="F339" s="20" t="str">
        <f>+'[6]2025'!E339</f>
        <v/>
      </c>
      <c r="G339" s="73" t="str">
        <f>+'[6]2025'!F339</f>
        <v/>
      </c>
      <c r="H339" s="42">
        <f>+'[6]2025'!G339</f>
        <v>0</v>
      </c>
      <c r="I339" s="13">
        <f>+'[6]2025'!H339</f>
        <v>0</v>
      </c>
      <c r="J339" s="14">
        <f>+'[6]2025'!I339</f>
        <v>0</v>
      </c>
      <c r="K339" s="15">
        <f>+'[6]2025'!J339</f>
        <v>0</v>
      </c>
      <c r="L339" s="15">
        <f>+'[6]2025'!K339</f>
        <v>0</v>
      </c>
      <c r="M339" s="15">
        <f>+'[6]2025'!L339</f>
        <v>0</v>
      </c>
      <c r="N339" s="16" t="str">
        <f t="shared" si="20"/>
        <v/>
      </c>
      <c r="O339" s="17" t="str">
        <f t="shared" si="21"/>
        <v/>
      </c>
      <c r="P339" s="17" t="str">
        <f t="shared" si="21"/>
        <v/>
      </c>
      <c r="Q339" s="18" t="str">
        <f t="shared" si="22"/>
        <v/>
      </c>
      <c r="R339" s="18" t="e">
        <f t="shared" si="23"/>
        <v>#DIV/0!</v>
      </c>
      <c r="S339" s="33" t="s">
        <v>39</v>
      </c>
      <c r="T339" s="31" t="s">
        <v>42</v>
      </c>
      <c r="U339" s="1737" t="s">
        <v>131</v>
      </c>
    </row>
    <row r="340" spans="1:21">
      <c r="A340" s="10" t="s">
        <v>11</v>
      </c>
      <c r="B340" s="19">
        <f>+CHAMNORD!B340</f>
        <v>46357</v>
      </c>
      <c r="C340" s="75" t="str">
        <f>IF(H340=0,"",'[6]2025-2026'!C339)</f>
        <v/>
      </c>
      <c r="D340" s="68" t="str">
        <f>+'[6]2025'!C340</f>
        <v/>
      </c>
      <c r="E340" s="68" t="str">
        <f>+'[6]2025'!D340</f>
        <v/>
      </c>
      <c r="F340" s="20" t="str">
        <f>+'[6]2025'!E340</f>
        <v/>
      </c>
      <c r="G340" s="73" t="str">
        <f>+'[6]2025'!F340</f>
        <v/>
      </c>
      <c r="H340" s="42">
        <f>+'[6]2025'!G340</f>
        <v>0</v>
      </c>
      <c r="I340" s="13">
        <f>+'[6]2025'!H340</f>
        <v>0</v>
      </c>
      <c r="J340" s="14">
        <f>+'[6]2025'!I340</f>
        <v>0</v>
      </c>
      <c r="K340" s="15">
        <f>+'[6]2025'!J340</f>
        <v>0</v>
      </c>
      <c r="L340" s="15">
        <f>+'[6]2025'!K340</f>
        <v>0</v>
      </c>
      <c r="M340" s="15">
        <f>+'[6]2025'!L340</f>
        <v>0</v>
      </c>
      <c r="N340" s="16" t="str">
        <f t="shared" si="20"/>
        <v/>
      </c>
      <c r="O340" s="17" t="str">
        <f t="shared" si="21"/>
        <v/>
      </c>
      <c r="P340" s="17" t="str">
        <f t="shared" si="21"/>
        <v/>
      </c>
      <c r="Q340" s="18" t="str">
        <f t="shared" si="22"/>
        <v/>
      </c>
      <c r="R340" s="18" t="e">
        <f t="shared" si="23"/>
        <v>#DIV/0!</v>
      </c>
      <c r="S340" s="34">
        <f>SUM(I339:I345)</f>
        <v>0</v>
      </c>
      <c r="T340" s="45" t="s">
        <v>41</v>
      </c>
      <c r="U340" s="1738"/>
    </row>
    <row r="341" spans="1:21">
      <c r="A341" s="10" t="s">
        <v>12</v>
      </c>
      <c r="B341" s="19">
        <f>+CHAMNORD!B341</f>
        <v>46358</v>
      </c>
      <c r="C341" s="75" t="str">
        <f>IF(H341=0,"",'[6]2025-2026'!C340)</f>
        <v/>
      </c>
      <c r="D341" s="68" t="str">
        <f>+'[6]2025'!C341</f>
        <v/>
      </c>
      <c r="E341" s="68" t="str">
        <f>+'[6]2025'!D341</f>
        <v/>
      </c>
      <c r="F341" s="20" t="str">
        <f>+'[6]2025'!E341</f>
        <v/>
      </c>
      <c r="G341" s="73" t="str">
        <f>+'[6]2025'!F341</f>
        <v/>
      </c>
      <c r="H341" s="42">
        <f>+'[6]2025'!G341</f>
        <v>0</v>
      </c>
      <c r="I341" s="13">
        <f>+'[6]2025'!H341</f>
        <v>0</v>
      </c>
      <c r="J341" s="14">
        <f>+'[6]2025'!I341</f>
        <v>0</v>
      </c>
      <c r="K341" s="15">
        <f>+'[6]2025'!J341</f>
        <v>0</v>
      </c>
      <c r="L341" s="15">
        <f>+'[6]2025'!K341</f>
        <v>0</v>
      </c>
      <c r="M341" s="15">
        <f>+'[6]2025'!L341</f>
        <v>0</v>
      </c>
      <c r="N341" s="16" t="str">
        <f t="shared" si="20"/>
        <v/>
      </c>
      <c r="O341" s="17" t="str">
        <f t="shared" si="21"/>
        <v/>
      </c>
      <c r="P341" s="17" t="str">
        <f t="shared" si="21"/>
        <v/>
      </c>
      <c r="Q341" s="18" t="str">
        <f t="shared" si="22"/>
        <v/>
      </c>
      <c r="R341" s="18" t="e">
        <f t="shared" si="23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1">
      <c r="A342" s="10" t="s">
        <v>13</v>
      </c>
      <c r="B342" s="19">
        <f>+CHAMNORD!B342</f>
        <v>46359</v>
      </c>
      <c r="C342" s="75" t="str">
        <f>IF(H342=0,"",'[6]2025-2026'!C341)</f>
        <v/>
      </c>
      <c r="D342" s="68" t="str">
        <f>+'[6]2025'!C342</f>
        <v/>
      </c>
      <c r="E342" s="68" t="str">
        <f>+'[6]2025'!D342</f>
        <v/>
      </c>
      <c r="F342" s="20" t="str">
        <f>+'[6]2025'!E342</f>
        <v/>
      </c>
      <c r="G342" s="73" t="str">
        <f>+'[6]2025'!F342</f>
        <v/>
      </c>
      <c r="H342" s="42">
        <f>+'[6]2025'!G342</f>
        <v>0</v>
      </c>
      <c r="I342" s="13">
        <f>+'[6]2025'!H342</f>
        <v>0</v>
      </c>
      <c r="J342" s="14">
        <f>+'[6]2025'!I342</f>
        <v>0</v>
      </c>
      <c r="K342" s="15">
        <f>+'[6]2025'!J342</f>
        <v>0</v>
      </c>
      <c r="L342" s="15">
        <f>+'[6]2025'!K342</f>
        <v>0</v>
      </c>
      <c r="M342" s="15">
        <f>+'[6]2025'!L342</f>
        <v>0</v>
      </c>
      <c r="N342" s="16" t="str">
        <f t="shared" si="20"/>
        <v/>
      </c>
      <c r="O342" s="17" t="str">
        <f t="shared" si="21"/>
        <v/>
      </c>
      <c r="P342" s="17" t="str">
        <f t="shared" si="21"/>
        <v/>
      </c>
      <c r="Q342" s="18" t="str">
        <f t="shared" si="22"/>
        <v/>
      </c>
      <c r="R342" s="18" t="e">
        <f t="shared" si="23"/>
        <v>#DIV/0!</v>
      </c>
      <c r="S342" s="34"/>
      <c r="T342" s="29" t="s">
        <v>8</v>
      </c>
      <c r="U342" s="1738"/>
    </row>
    <row r="343" spans="1:21">
      <c r="A343" s="10" t="s">
        <v>14</v>
      </c>
      <c r="B343" s="19">
        <f>+CHAMNORD!B343</f>
        <v>46360</v>
      </c>
      <c r="C343" s="75" t="str">
        <f>IF(H343=0,"",'[6]2025-2026'!C342)</f>
        <v/>
      </c>
      <c r="D343" s="68" t="str">
        <f>+'[6]2025'!C343</f>
        <v/>
      </c>
      <c r="E343" s="68" t="str">
        <f>+'[6]2025'!D343</f>
        <v/>
      </c>
      <c r="F343" s="20" t="str">
        <f>+'[6]2025'!E343</f>
        <v/>
      </c>
      <c r="G343" s="73" t="str">
        <f>+'[6]2025'!F343</f>
        <v/>
      </c>
      <c r="H343" s="42">
        <f>+'[6]2025'!G343</f>
        <v>0</v>
      </c>
      <c r="I343" s="13">
        <f>+'[6]2025'!H343</f>
        <v>0</v>
      </c>
      <c r="J343" s="14">
        <f>+'[6]2025'!I343</f>
        <v>0</v>
      </c>
      <c r="K343" s="15">
        <f>+'[6]2025'!J343</f>
        <v>0</v>
      </c>
      <c r="L343" s="15">
        <f>+'[6]2025'!K343</f>
        <v>0</v>
      </c>
      <c r="M343" s="15">
        <f>+'[6]2025'!L343</f>
        <v>0</v>
      </c>
      <c r="N343" s="16" t="str">
        <f t="shared" si="20"/>
        <v/>
      </c>
      <c r="O343" s="17" t="str">
        <f t="shared" si="21"/>
        <v/>
      </c>
      <c r="P343" s="17" t="str">
        <f t="shared" si="21"/>
        <v/>
      </c>
      <c r="Q343" s="18" t="str">
        <f t="shared" si="22"/>
        <v/>
      </c>
      <c r="R343" s="18" t="e">
        <f t="shared" si="23"/>
        <v>#DIV/0!</v>
      </c>
      <c r="S343" s="36" t="s">
        <v>40</v>
      </c>
      <c r="T343" s="48" t="e">
        <f>SUM(I339:I345)/SUM(L339:L345)</f>
        <v>#DIV/0!</v>
      </c>
      <c r="U343" s="1738"/>
    </row>
    <row r="344" spans="1:21">
      <c r="A344" s="10" t="s">
        <v>15</v>
      </c>
      <c r="B344" s="19">
        <f>+CHAMNORD!B344</f>
        <v>46361</v>
      </c>
      <c r="C344" s="75" t="str">
        <f>IF(H344=0,"",'[6]2025-2026'!C343)</f>
        <v/>
      </c>
      <c r="D344" s="68" t="str">
        <f>+'[6]2025'!C344</f>
        <v/>
      </c>
      <c r="E344" s="68" t="str">
        <f>+'[6]2025'!D344</f>
        <v/>
      </c>
      <c r="F344" s="20" t="str">
        <f>+'[6]2025'!E344</f>
        <v/>
      </c>
      <c r="G344" s="73" t="str">
        <f>+'[6]2025'!F344</f>
        <v/>
      </c>
      <c r="H344" s="42">
        <f>+'[6]2025'!G344</f>
        <v>0</v>
      </c>
      <c r="I344" s="13">
        <f>+'[6]2025'!H344</f>
        <v>0</v>
      </c>
      <c r="J344" s="14">
        <f>+'[6]2025'!I344</f>
        <v>0</v>
      </c>
      <c r="K344" s="15">
        <f>+'[6]2025'!J344</f>
        <v>0</v>
      </c>
      <c r="L344" s="15">
        <f>+'[6]2025'!K344</f>
        <v>0</v>
      </c>
      <c r="M344" s="15">
        <f>+'[6]2025'!L344</f>
        <v>0</v>
      </c>
      <c r="N344" s="16" t="str">
        <f t="shared" si="20"/>
        <v/>
      </c>
      <c r="O344" s="17" t="str">
        <f t="shared" si="21"/>
        <v/>
      </c>
      <c r="P344" s="17" t="str">
        <f t="shared" si="21"/>
        <v/>
      </c>
      <c r="Q344" s="18" t="str">
        <f t="shared" si="22"/>
        <v/>
      </c>
      <c r="R344" s="18" t="e">
        <f t="shared" si="23"/>
        <v>#DIV/0!</v>
      </c>
      <c r="S344" s="36">
        <f>SUM(J339:J345)</f>
        <v>0</v>
      </c>
      <c r="T344" s="30" t="s">
        <v>3</v>
      </c>
      <c r="U344" s="1738"/>
    </row>
    <row r="345" spans="1:21" ht="18" thickBot="1">
      <c r="A345" s="10" t="s">
        <v>16</v>
      </c>
      <c r="B345" s="19">
        <f>+CHAMNORD!B345</f>
        <v>46362</v>
      </c>
      <c r="C345" s="75" t="str">
        <f>IF(H345=0,"",'[6]2025-2026'!C344)</f>
        <v/>
      </c>
      <c r="D345" s="68" t="str">
        <f>+'[6]2025'!C345</f>
        <v/>
      </c>
      <c r="E345" s="68" t="str">
        <f>+'[6]2025'!D345</f>
        <v/>
      </c>
      <c r="F345" s="20" t="str">
        <f>+'[6]2025'!E345</f>
        <v/>
      </c>
      <c r="G345" s="73" t="str">
        <f>+'[6]2025'!F345</f>
        <v/>
      </c>
      <c r="H345" s="42">
        <f>+'[6]2025'!G345</f>
        <v>0</v>
      </c>
      <c r="I345" s="13">
        <f>+'[6]2025'!H345</f>
        <v>0</v>
      </c>
      <c r="J345" s="14">
        <f>+'[6]2025'!I345</f>
        <v>0</v>
      </c>
      <c r="K345" s="15">
        <f>+'[6]2025'!J345</f>
        <v>0</v>
      </c>
      <c r="L345" s="15">
        <f>+'[6]2025'!K345</f>
        <v>0</v>
      </c>
      <c r="M345" s="15">
        <f>+'[6]2025'!L345</f>
        <v>0</v>
      </c>
      <c r="N345" s="16" t="str">
        <f t="shared" si="20"/>
        <v/>
      </c>
      <c r="O345" s="17" t="str">
        <f t="shared" si="21"/>
        <v/>
      </c>
      <c r="P345" s="17" t="str">
        <f t="shared" si="21"/>
        <v/>
      </c>
      <c r="Q345" s="18" t="str">
        <f t="shared" si="22"/>
        <v/>
      </c>
      <c r="R345" s="18" t="e">
        <f t="shared" si="23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1" ht="17" customHeight="1" thickTop="1">
      <c r="A346" s="10" t="s">
        <v>9</v>
      </c>
      <c r="B346" s="19">
        <f>+CHAMNORD!B346</f>
        <v>46363</v>
      </c>
      <c r="C346" s="75" t="str">
        <f>IF(H346=0,"",'[6]2025-2026'!C345)</f>
        <v/>
      </c>
      <c r="D346" s="68" t="str">
        <f>+'[6]2025'!C346</f>
        <v/>
      </c>
      <c r="E346" s="68" t="str">
        <f>+'[6]2025'!D346</f>
        <v/>
      </c>
      <c r="F346" s="20" t="str">
        <f>+'[6]2025'!E346</f>
        <v/>
      </c>
      <c r="G346" s="73" t="str">
        <f>+'[6]2025'!F346</f>
        <v/>
      </c>
      <c r="H346" s="42">
        <f>+'[6]2025'!G346</f>
        <v>0</v>
      </c>
      <c r="I346" s="13">
        <f>+'[6]2025'!H346</f>
        <v>0</v>
      </c>
      <c r="J346" s="14">
        <f>+'[6]2025'!I346</f>
        <v>0</v>
      </c>
      <c r="K346" s="15">
        <f>+'[6]2025'!J346</f>
        <v>0</v>
      </c>
      <c r="L346" s="15">
        <f>+'[6]2025'!K346</f>
        <v>0</v>
      </c>
      <c r="M346" s="15">
        <f>+'[6]2025'!L346</f>
        <v>0</v>
      </c>
      <c r="N346" s="16" t="str">
        <f t="shared" si="20"/>
        <v/>
      </c>
      <c r="O346" s="17" t="str">
        <f t="shared" si="21"/>
        <v/>
      </c>
      <c r="P346" s="17" t="str">
        <f t="shared" si="21"/>
        <v/>
      </c>
      <c r="Q346" s="18" t="str">
        <f t="shared" si="22"/>
        <v/>
      </c>
      <c r="R346" s="18" t="e">
        <f t="shared" si="23"/>
        <v>#DIV/0!</v>
      </c>
      <c r="S346" s="33" t="s">
        <v>39</v>
      </c>
      <c r="T346" s="31" t="s">
        <v>42</v>
      </c>
      <c r="U346" s="1737" t="s">
        <v>132</v>
      </c>
    </row>
    <row r="347" spans="1:21">
      <c r="A347" s="10" t="s">
        <v>11</v>
      </c>
      <c r="B347" s="19">
        <f>+CHAMNORD!B347</f>
        <v>46364</v>
      </c>
      <c r="C347" s="75" t="str">
        <f>IF(H347=0,"",'[6]2025-2026'!C346)</f>
        <v/>
      </c>
      <c r="D347" s="68" t="str">
        <f>+'[6]2025'!C347</f>
        <v/>
      </c>
      <c r="E347" s="68" t="str">
        <f>+'[6]2025'!D347</f>
        <v/>
      </c>
      <c r="F347" s="20" t="str">
        <f>+'[6]2025'!E347</f>
        <v/>
      </c>
      <c r="G347" s="73" t="str">
        <f>+'[6]2025'!F347</f>
        <v/>
      </c>
      <c r="H347" s="42">
        <f>+'[6]2025'!G347</f>
        <v>0</v>
      </c>
      <c r="I347" s="13">
        <f>+'[6]2025'!H347</f>
        <v>0</v>
      </c>
      <c r="J347" s="14">
        <f>+'[6]2025'!I347</f>
        <v>0</v>
      </c>
      <c r="K347" s="15">
        <f>+'[6]2025'!J347</f>
        <v>0</v>
      </c>
      <c r="L347" s="15">
        <f>+'[6]2025'!K347</f>
        <v>0</v>
      </c>
      <c r="M347" s="15">
        <f>+'[6]2025'!L347</f>
        <v>0</v>
      </c>
      <c r="N347" s="16" t="str">
        <f t="shared" si="20"/>
        <v/>
      </c>
      <c r="O347" s="17" t="str">
        <f t="shared" si="21"/>
        <v/>
      </c>
      <c r="P347" s="17" t="str">
        <f t="shared" si="21"/>
        <v/>
      </c>
      <c r="Q347" s="18" t="str">
        <f t="shared" si="22"/>
        <v/>
      </c>
      <c r="R347" s="18" t="e">
        <f t="shared" si="23"/>
        <v>#DIV/0!</v>
      </c>
      <c r="S347" s="34">
        <f>SUM(I346:I352)</f>
        <v>0</v>
      </c>
      <c r="T347" s="45" t="s">
        <v>41</v>
      </c>
      <c r="U347" s="1738"/>
    </row>
    <row r="348" spans="1:21">
      <c r="A348" s="10" t="s">
        <v>12</v>
      </c>
      <c r="B348" s="19">
        <f>+CHAMNORD!B348</f>
        <v>46365</v>
      </c>
      <c r="C348" s="75" t="str">
        <f>IF(H348=0,"",'[6]2025-2026'!C347)</f>
        <v/>
      </c>
      <c r="D348" s="68" t="str">
        <f>+'[6]2025'!C348</f>
        <v/>
      </c>
      <c r="E348" s="68" t="str">
        <f>+'[6]2025'!D348</f>
        <v/>
      </c>
      <c r="F348" s="20" t="str">
        <f>+'[6]2025'!E348</f>
        <v/>
      </c>
      <c r="G348" s="73" t="str">
        <f>+'[6]2025'!F348</f>
        <v/>
      </c>
      <c r="H348" s="42">
        <f>+'[6]2025'!G348</f>
        <v>0</v>
      </c>
      <c r="I348" s="13">
        <f>+'[6]2025'!H348</f>
        <v>0</v>
      </c>
      <c r="J348" s="14">
        <f>+'[6]2025'!I348</f>
        <v>0</v>
      </c>
      <c r="K348" s="15">
        <f>+'[6]2025'!J348</f>
        <v>0</v>
      </c>
      <c r="L348" s="15">
        <f>+'[6]2025'!K348</f>
        <v>0</v>
      </c>
      <c r="M348" s="15">
        <f>+'[6]2025'!L348</f>
        <v>0</v>
      </c>
      <c r="N348" s="16" t="str">
        <f t="shared" si="20"/>
        <v/>
      </c>
      <c r="O348" s="17" t="str">
        <f t="shared" si="21"/>
        <v/>
      </c>
      <c r="P348" s="17" t="str">
        <f t="shared" si="21"/>
        <v/>
      </c>
      <c r="Q348" s="18" t="str">
        <f t="shared" si="22"/>
        <v/>
      </c>
      <c r="R348" s="18" t="e">
        <f t="shared" si="23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1">
      <c r="A349" s="10" t="s">
        <v>13</v>
      </c>
      <c r="B349" s="19">
        <f>+CHAMNORD!B349</f>
        <v>46366</v>
      </c>
      <c r="C349" s="75" t="str">
        <f>IF(H349=0,"",'[6]2025-2026'!C348)</f>
        <v/>
      </c>
      <c r="D349" s="68" t="str">
        <f>+'[6]2025'!C349</f>
        <v/>
      </c>
      <c r="E349" s="68" t="str">
        <f>+'[6]2025'!D349</f>
        <v/>
      </c>
      <c r="F349" s="20" t="str">
        <f>+'[6]2025'!E349</f>
        <v/>
      </c>
      <c r="G349" s="73" t="str">
        <f>+'[6]2025'!F349</f>
        <v/>
      </c>
      <c r="H349" s="42">
        <f>+'[6]2025'!G349</f>
        <v>0</v>
      </c>
      <c r="I349" s="13">
        <f>+'[6]2025'!H349</f>
        <v>0</v>
      </c>
      <c r="J349" s="14">
        <f>+'[6]2025'!I349</f>
        <v>0</v>
      </c>
      <c r="K349" s="15">
        <f>+'[6]2025'!J349</f>
        <v>0</v>
      </c>
      <c r="L349" s="15">
        <f>+'[6]2025'!K349</f>
        <v>0</v>
      </c>
      <c r="M349" s="15">
        <f>+'[6]2025'!L349</f>
        <v>0</v>
      </c>
      <c r="N349" s="16" t="str">
        <f t="shared" si="20"/>
        <v/>
      </c>
      <c r="O349" s="17" t="str">
        <f t="shared" si="21"/>
        <v/>
      </c>
      <c r="P349" s="17" t="str">
        <f t="shared" si="21"/>
        <v/>
      </c>
      <c r="Q349" s="18" t="str">
        <f t="shared" si="22"/>
        <v/>
      </c>
      <c r="R349" s="18" t="e">
        <f t="shared" si="23"/>
        <v>#DIV/0!</v>
      </c>
      <c r="S349" s="34"/>
      <c r="T349" s="29" t="s">
        <v>8</v>
      </c>
      <c r="U349" s="1738"/>
    </row>
    <row r="350" spans="1:21">
      <c r="A350" s="10" t="s">
        <v>14</v>
      </c>
      <c r="B350" s="19">
        <f>+CHAMNORD!B350</f>
        <v>46367</v>
      </c>
      <c r="C350" s="75" t="str">
        <f>IF(H350=0,"",'[6]2025-2026'!C349)</f>
        <v/>
      </c>
      <c r="D350" s="68" t="str">
        <f>+'[6]2025'!C350</f>
        <v/>
      </c>
      <c r="E350" s="68" t="str">
        <f>+'[6]2025'!D350</f>
        <v/>
      </c>
      <c r="F350" s="20" t="str">
        <f>+'[6]2025'!E350</f>
        <v/>
      </c>
      <c r="G350" s="73" t="str">
        <f>+'[6]2025'!F350</f>
        <v/>
      </c>
      <c r="H350" s="42">
        <f>+'[6]2025'!G350</f>
        <v>0</v>
      </c>
      <c r="I350" s="13">
        <f>+'[6]2025'!H350</f>
        <v>0</v>
      </c>
      <c r="J350" s="14">
        <f>+'[6]2025'!I350</f>
        <v>0</v>
      </c>
      <c r="K350" s="15">
        <f>+'[6]2025'!J350</f>
        <v>0</v>
      </c>
      <c r="L350" s="15">
        <f>+'[6]2025'!K350</f>
        <v>0</v>
      </c>
      <c r="M350" s="15">
        <f>+'[6]2025'!L350</f>
        <v>0</v>
      </c>
      <c r="N350" s="16" t="str">
        <f t="shared" si="20"/>
        <v/>
      </c>
      <c r="O350" s="17" t="str">
        <f t="shared" si="21"/>
        <v/>
      </c>
      <c r="P350" s="17" t="str">
        <f t="shared" si="21"/>
        <v/>
      </c>
      <c r="Q350" s="18" t="str">
        <f t="shared" si="22"/>
        <v/>
      </c>
      <c r="R350" s="18" t="e">
        <f t="shared" si="23"/>
        <v>#DIV/0!</v>
      </c>
      <c r="S350" s="36" t="s">
        <v>40</v>
      </c>
      <c r="T350" s="48" t="e">
        <f>SUM(I346:I352)/SUM(L346:L352)</f>
        <v>#DIV/0!</v>
      </c>
      <c r="U350" s="1738"/>
    </row>
    <row r="351" spans="1:21">
      <c r="A351" s="10" t="s">
        <v>15</v>
      </c>
      <c r="B351" s="19">
        <f>+CHAMNORD!B351</f>
        <v>46368</v>
      </c>
      <c r="C351" s="75" t="str">
        <f>IF(H351=0,"",'[6]2025-2026'!C350)</f>
        <v/>
      </c>
      <c r="D351" s="68" t="str">
        <f>+'[6]2025'!C351</f>
        <v/>
      </c>
      <c r="E351" s="68" t="str">
        <f>+'[6]2025'!D351</f>
        <v/>
      </c>
      <c r="F351" s="20" t="str">
        <f>+'[6]2025'!E351</f>
        <v/>
      </c>
      <c r="G351" s="73" t="str">
        <f>+'[6]2025'!F351</f>
        <v/>
      </c>
      <c r="H351" s="42">
        <f>+'[6]2025'!G351</f>
        <v>0</v>
      </c>
      <c r="I351" s="13">
        <f>+'[6]2025'!H351</f>
        <v>0</v>
      </c>
      <c r="J351" s="14">
        <f>+'[6]2025'!I351</f>
        <v>0</v>
      </c>
      <c r="K351" s="15">
        <f>+'[6]2025'!J351</f>
        <v>0</v>
      </c>
      <c r="L351" s="15">
        <f>+'[6]2025'!K351</f>
        <v>0</v>
      </c>
      <c r="M351" s="15">
        <f>+'[6]2025'!L351</f>
        <v>0</v>
      </c>
      <c r="N351" s="16" t="str">
        <f t="shared" si="20"/>
        <v/>
      </c>
      <c r="O351" s="17" t="str">
        <f t="shared" si="21"/>
        <v/>
      </c>
      <c r="P351" s="17" t="str">
        <f t="shared" si="21"/>
        <v/>
      </c>
      <c r="Q351" s="18" t="str">
        <f t="shared" si="22"/>
        <v/>
      </c>
      <c r="R351" s="18" t="e">
        <f t="shared" si="23"/>
        <v>#DIV/0!</v>
      </c>
      <c r="S351" s="36">
        <f>SUM(J346:J352)</f>
        <v>0</v>
      </c>
      <c r="T351" s="30" t="s">
        <v>3</v>
      </c>
      <c r="U351" s="1738"/>
    </row>
    <row r="352" spans="1:21" ht="18" thickBot="1">
      <c r="A352" s="10" t="s">
        <v>16</v>
      </c>
      <c r="B352" s="19">
        <f>+CHAMNORD!B352</f>
        <v>46369</v>
      </c>
      <c r="C352" s="75" t="str">
        <f>IF(H352=0,"",'[6]2025-2026'!C351)</f>
        <v/>
      </c>
      <c r="D352" s="68" t="str">
        <f>+'[6]2025'!C352</f>
        <v/>
      </c>
      <c r="E352" s="68" t="str">
        <f>+'[6]2025'!D352</f>
        <v/>
      </c>
      <c r="F352" s="20" t="str">
        <f>+'[6]2025'!E352</f>
        <v/>
      </c>
      <c r="G352" s="73" t="str">
        <f>+'[6]2025'!F352</f>
        <v/>
      </c>
      <c r="H352" s="42">
        <f>+'[6]2025'!G352</f>
        <v>0</v>
      </c>
      <c r="I352" s="13">
        <f>+'[6]2025'!H352</f>
        <v>0</v>
      </c>
      <c r="J352" s="14">
        <f>+'[6]2025'!I352</f>
        <v>0</v>
      </c>
      <c r="K352" s="15">
        <f>+'[6]2025'!J352</f>
        <v>0</v>
      </c>
      <c r="L352" s="15">
        <f>+'[6]2025'!K352</f>
        <v>0</v>
      </c>
      <c r="M352" s="15">
        <f>+'[6]2025'!L352</f>
        <v>0</v>
      </c>
      <c r="N352" s="16" t="str">
        <f t="shared" si="20"/>
        <v/>
      </c>
      <c r="O352" s="17" t="str">
        <f t="shared" si="21"/>
        <v/>
      </c>
      <c r="P352" s="17" t="str">
        <f t="shared" si="21"/>
        <v/>
      </c>
      <c r="Q352" s="18" t="str">
        <f t="shared" si="22"/>
        <v/>
      </c>
      <c r="R352" s="18" t="e">
        <f t="shared" si="23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19">
        <f>+CHAMNORD!B353</f>
        <v>46370</v>
      </c>
      <c r="C353" s="75" t="str">
        <f>IF(H353=0,"",'[6]2025-2026'!C352)</f>
        <v/>
      </c>
      <c r="D353" s="68" t="str">
        <f>+'[6]2025'!C353</f>
        <v/>
      </c>
      <c r="E353" s="68" t="str">
        <f>+'[6]2025'!D353</f>
        <v/>
      </c>
      <c r="F353" s="20" t="str">
        <f>+'[6]2025'!E353</f>
        <v/>
      </c>
      <c r="G353" s="73" t="str">
        <f>+'[6]2025'!F353</f>
        <v/>
      </c>
      <c r="H353" s="42">
        <f>+'[6]2025'!G353</f>
        <v>0</v>
      </c>
      <c r="I353" s="13">
        <f>+'[6]2025'!H353</f>
        <v>0</v>
      </c>
      <c r="J353" s="14">
        <f>+'[6]2025'!I353</f>
        <v>0</v>
      </c>
      <c r="K353" s="15">
        <f>+'[6]2025'!J353</f>
        <v>0</v>
      </c>
      <c r="L353" s="15">
        <f>+'[6]2025'!K353</f>
        <v>0</v>
      </c>
      <c r="M353" s="15">
        <f>+'[6]2025'!L353</f>
        <v>0</v>
      </c>
      <c r="N353" s="16" t="str">
        <f t="shared" si="20"/>
        <v/>
      </c>
      <c r="O353" s="17" t="str">
        <f t="shared" si="21"/>
        <v/>
      </c>
      <c r="P353" s="17" t="str">
        <f t="shared" si="21"/>
        <v/>
      </c>
      <c r="Q353" s="18" t="str">
        <f t="shared" si="22"/>
        <v/>
      </c>
      <c r="R353" s="18" t="e">
        <f t="shared" si="23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19">
        <f>+CHAMNORD!B354</f>
        <v>46371</v>
      </c>
      <c r="C354" s="75" t="str">
        <f>IF(H354=0,"",'[6]2025-2026'!C353)</f>
        <v/>
      </c>
      <c r="D354" s="68" t="str">
        <f>+'[6]2025'!C354</f>
        <v/>
      </c>
      <c r="E354" s="68" t="str">
        <f>+'[6]2025'!D354</f>
        <v/>
      </c>
      <c r="F354" s="20" t="str">
        <f>+'[6]2025'!E354</f>
        <v/>
      </c>
      <c r="G354" s="73" t="str">
        <f>+'[6]2025'!F354</f>
        <v/>
      </c>
      <c r="H354" s="42">
        <f>+'[6]2025'!G354</f>
        <v>0</v>
      </c>
      <c r="I354" s="13">
        <f>+'[6]2025'!H354</f>
        <v>0</v>
      </c>
      <c r="J354" s="14">
        <f>+'[6]2025'!I354</f>
        <v>0</v>
      </c>
      <c r="K354" s="15">
        <f>+'[6]2025'!J354</f>
        <v>0</v>
      </c>
      <c r="L354" s="15">
        <f>+'[6]2025'!K354</f>
        <v>0</v>
      </c>
      <c r="M354" s="15">
        <f>+'[6]2025'!L354</f>
        <v>0</v>
      </c>
      <c r="N354" s="16" t="str">
        <f t="shared" si="20"/>
        <v/>
      </c>
      <c r="O354" s="17" t="str">
        <f t="shared" si="21"/>
        <v/>
      </c>
      <c r="P354" s="17" t="str">
        <f t="shared" si="21"/>
        <v/>
      </c>
      <c r="Q354" s="18" t="str">
        <f t="shared" si="22"/>
        <v/>
      </c>
      <c r="R354" s="18" t="e">
        <f t="shared" si="23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19">
        <f>+CHAMNORD!B355</f>
        <v>46372</v>
      </c>
      <c r="C355" s="75" t="str">
        <f>IF(H355=0,"",'[6]2025-2026'!C354)</f>
        <v/>
      </c>
      <c r="D355" s="68" t="str">
        <f>+'[6]2025'!C355</f>
        <v/>
      </c>
      <c r="E355" s="68" t="str">
        <f>+'[6]2025'!D355</f>
        <v/>
      </c>
      <c r="F355" s="20" t="str">
        <f>+'[6]2025'!E355</f>
        <v/>
      </c>
      <c r="G355" s="73" t="str">
        <f>+'[6]2025'!F355</f>
        <v/>
      </c>
      <c r="H355" s="42">
        <f>+'[6]2025'!G355</f>
        <v>0</v>
      </c>
      <c r="I355" s="13">
        <f>+'[6]2025'!H355</f>
        <v>0</v>
      </c>
      <c r="J355" s="14">
        <f>+'[6]2025'!I355</f>
        <v>0</v>
      </c>
      <c r="K355" s="15">
        <f>+'[6]2025'!J355</f>
        <v>0</v>
      </c>
      <c r="L355" s="15">
        <f>+'[6]2025'!K355</f>
        <v>0</v>
      </c>
      <c r="M355" s="15">
        <f>+'[6]2025'!L355</f>
        <v>0</v>
      </c>
      <c r="N355" s="16" t="str">
        <f t="shared" si="20"/>
        <v/>
      </c>
      <c r="O355" s="17" t="str">
        <f t="shared" si="21"/>
        <v/>
      </c>
      <c r="P355" s="17" t="str">
        <f t="shared" si="21"/>
        <v/>
      </c>
      <c r="Q355" s="18" t="str">
        <f t="shared" si="22"/>
        <v/>
      </c>
      <c r="R355" s="18" t="e">
        <f t="shared" si="23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19">
        <f>+CHAMNORD!B356</f>
        <v>46373</v>
      </c>
      <c r="C356" s="75" t="str">
        <f>IF(H356=0,"",'[6]2025-2026'!C355)</f>
        <v/>
      </c>
      <c r="D356" s="68" t="str">
        <f>+'[6]2025'!C356</f>
        <v/>
      </c>
      <c r="E356" s="68" t="str">
        <f>+'[6]2025'!D356</f>
        <v/>
      </c>
      <c r="F356" s="20" t="str">
        <f>+'[6]2025'!E356</f>
        <v/>
      </c>
      <c r="G356" s="73" t="str">
        <f>+'[6]2025'!F356</f>
        <v/>
      </c>
      <c r="H356" s="42">
        <f>+'[6]2025'!G356</f>
        <v>0</v>
      </c>
      <c r="I356" s="13">
        <f>+'[6]2025'!H356</f>
        <v>0</v>
      </c>
      <c r="J356" s="14">
        <f>+'[6]2025'!I356</f>
        <v>0</v>
      </c>
      <c r="K356" s="15">
        <f>+'[6]2025'!J356</f>
        <v>0</v>
      </c>
      <c r="L356" s="15">
        <f>+'[6]2025'!K356</f>
        <v>0</v>
      </c>
      <c r="M356" s="15">
        <f>+'[6]2025'!L356</f>
        <v>0</v>
      </c>
      <c r="N356" s="16" t="str">
        <f t="shared" si="20"/>
        <v/>
      </c>
      <c r="O356" s="17" t="str">
        <f t="shared" si="21"/>
        <v/>
      </c>
      <c r="P356" s="17" t="str">
        <f t="shared" si="21"/>
        <v/>
      </c>
      <c r="Q356" s="18" t="str">
        <f t="shared" si="22"/>
        <v/>
      </c>
      <c r="R356" s="18" t="e">
        <f t="shared" si="23"/>
        <v>#DIV/0!</v>
      </c>
      <c r="S356" s="34"/>
      <c r="T356" s="29" t="s">
        <v>8</v>
      </c>
      <c r="U356" s="1738"/>
    </row>
    <row r="357" spans="1:21">
      <c r="A357" s="10" t="s">
        <v>14</v>
      </c>
      <c r="B357" s="19">
        <f>+CHAMNORD!B357</f>
        <v>46374</v>
      </c>
      <c r="C357" s="75" t="str">
        <f>IF(H357=0,"",'[6]2025-2026'!C356)</f>
        <v/>
      </c>
      <c r="D357" s="68" t="str">
        <f>+'[6]2025'!C357</f>
        <v/>
      </c>
      <c r="E357" s="68" t="str">
        <f>+'[6]2025'!D357</f>
        <v/>
      </c>
      <c r="F357" s="20" t="str">
        <f>+'[6]2025'!E357</f>
        <v/>
      </c>
      <c r="G357" s="73" t="str">
        <f>+'[6]2025'!F357</f>
        <v/>
      </c>
      <c r="H357" s="42">
        <f>+'[6]2025'!G357</f>
        <v>0</v>
      </c>
      <c r="I357" s="13">
        <f>+'[6]2025'!H357</f>
        <v>0</v>
      </c>
      <c r="J357" s="14">
        <f>+'[6]2025'!I357</f>
        <v>0</v>
      </c>
      <c r="K357" s="15">
        <f>+'[6]2025'!J357</f>
        <v>0</v>
      </c>
      <c r="L357" s="15">
        <f>+'[6]2025'!K357</f>
        <v>0</v>
      </c>
      <c r="M357" s="15">
        <f>+'[6]2025'!L357</f>
        <v>0</v>
      </c>
      <c r="N357" s="16" t="str">
        <f t="shared" si="20"/>
        <v/>
      </c>
      <c r="O357" s="17" t="str">
        <f t="shared" si="21"/>
        <v/>
      </c>
      <c r="P357" s="17" t="str">
        <f t="shared" si="21"/>
        <v/>
      </c>
      <c r="Q357" s="18" t="str">
        <f t="shared" si="22"/>
        <v/>
      </c>
      <c r="R357" s="18" t="e">
        <f t="shared" si="23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19">
        <f>+CHAMNORD!B358</f>
        <v>46375</v>
      </c>
      <c r="C358" s="75" t="str">
        <f>IF(H358=0,"",'[6]2025-2026'!C357)</f>
        <v/>
      </c>
      <c r="D358" s="68" t="str">
        <f>+'[6]2025'!C358</f>
        <v/>
      </c>
      <c r="E358" s="68" t="str">
        <f>+'[6]2025'!D358</f>
        <v/>
      </c>
      <c r="F358" s="20" t="str">
        <f>+'[6]2025'!E358</f>
        <v/>
      </c>
      <c r="G358" s="73" t="str">
        <f>+'[6]2025'!F358</f>
        <v/>
      </c>
      <c r="H358" s="42">
        <f>+'[6]2025'!G358</f>
        <v>0</v>
      </c>
      <c r="I358" s="13">
        <f>+'[6]2025'!H358</f>
        <v>0</v>
      </c>
      <c r="J358" s="14">
        <f>+'[6]2025'!I358</f>
        <v>0</v>
      </c>
      <c r="K358" s="15">
        <f>+'[6]2025'!J358</f>
        <v>0</v>
      </c>
      <c r="L358" s="15">
        <f>+'[6]2025'!K358</f>
        <v>0</v>
      </c>
      <c r="M358" s="15">
        <f>+'[6]2025'!L358</f>
        <v>0</v>
      </c>
      <c r="N358" s="16" t="str">
        <f t="shared" si="20"/>
        <v/>
      </c>
      <c r="O358" s="17" t="str">
        <f t="shared" si="21"/>
        <v/>
      </c>
      <c r="P358" s="17" t="str">
        <f t="shared" si="21"/>
        <v/>
      </c>
      <c r="Q358" s="18" t="str">
        <f t="shared" si="22"/>
        <v/>
      </c>
      <c r="R358" s="18" t="e">
        <f t="shared" si="23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19">
        <f>+CHAMNORD!B359</f>
        <v>46376</v>
      </c>
      <c r="C359" s="75" t="str">
        <f>IF(H359=0,"",'[6]2025-2026'!C358)</f>
        <v/>
      </c>
      <c r="D359" s="68" t="str">
        <f>+'[6]2025'!C359</f>
        <v/>
      </c>
      <c r="E359" s="68" t="str">
        <f>+'[6]2025'!D359</f>
        <v/>
      </c>
      <c r="F359" s="20" t="str">
        <f>+'[6]2025'!E359</f>
        <v/>
      </c>
      <c r="G359" s="73" t="str">
        <f>+'[6]2025'!F359</f>
        <v/>
      </c>
      <c r="H359" s="42">
        <f>+'[6]2025'!G359</f>
        <v>0</v>
      </c>
      <c r="I359" s="13">
        <f>+'[6]2025'!H359</f>
        <v>0</v>
      </c>
      <c r="J359" s="14">
        <f>+'[6]2025'!I359</f>
        <v>0</v>
      </c>
      <c r="K359" s="15">
        <f>+'[6]2025'!J359</f>
        <v>0</v>
      </c>
      <c r="L359" s="15">
        <f>+'[6]2025'!K359</f>
        <v>0</v>
      </c>
      <c r="M359" s="15">
        <f>+'[6]2025'!L359</f>
        <v>0</v>
      </c>
      <c r="N359" s="16" t="str">
        <f t="shared" si="20"/>
        <v/>
      </c>
      <c r="O359" s="17" t="str">
        <f t="shared" si="21"/>
        <v/>
      </c>
      <c r="P359" s="17" t="str">
        <f t="shared" si="21"/>
        <v/>
      </c>
      <c r="Q359" s="18" t="str">
        <f t="shared" si="22"/>
        <v/>
      </c>
      <c r="R359" s="18" t="e">
        <f t="shared" si="23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19">
        <f>+CHAMNORD!B360</f>
        <v>46377</v>
      </c>
      <c r="C360" s="75" t="str">
        <f>IF(H360=0,"",'[6]2025-2026'!C359)</f>
        <v/>
      </c>
      <c r="D360" s="68" t="str">
        <f>+'[6]2025'!C360</f>
        <v/>
      </c>
      <c r="E360" s="68" t="str">
        <f>+'[6]2025'!D360</f>
        <v/>
      </c>
      <c r="F360" s="20" t="str">
        <f>+'[6]2025'!E360</f>
        <v/>
      </c>
      <c r="G360" s="73" t="str">
        <f>+'[6]2025'!F360</f>
        <v/>
      </c>
      <c r="H360" s="42">
        <f>+'[6]2025'!G360</f>
        <v>0</v>
      </c>
      <c r="I360" s="13">
        <f>+'[6]2025'!H360</f>
        <v>0</v>
      </c>
      <c r="J360" s="14">
        <f>+'[6]2025'!I360</f>
        <v>0</v>
      </c>
      <c r="K360" s="15">
        <f>+'[6]2025'!J360</f>
        <v>0</v>
      </c>
      <c r="L360" s="15">
        <f>+'[6]2025'!K360</f>
        <v>0</v>
      </c>
      <c r="M360" s="15">
        <f>+'[6]2025'!L360</f>
        <v>0</v>
      </c>
      <c r="N360" s="16" t="str">
        <f t="shared" si="20"/>
        <v/>
      </c>
      <c r="O360" s="17" t="str">
        <f t="shared" si="21"/>
        <v/>
      </c>
      <c r="P360" s="17" t="str">
        <f t="shared" si="21"/>
        <v/>
      </c>
      <c r="Q360" s="18" t="str">
        <f t="shared" si="22"/>
        <v/>
      </c>
      <c r="R360" s="18" t="e">
        <f t="shared" si="23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19">
        <f>+CHAMNORD!B361</f>
        <v>46378</v>
      </c>
      <c r="C361" s="75" t="str">
        <f>IF(H361=0,"",'[6]2025-2026'!C360)</f>
        <v/>
      </c>
      <c r="D361" s="68" t="str">
        <f>+'[6]2025'!C361</f>
        <v/>
      </c>
      <c r="E361" s="68" t="str">
        <f>+'[6]2025'!D361</f>
        <v/>
      </c>
      <c r="F361" s="20" t="str">
        <f>+'[6]2025'!E361</f>
        <v/>
      </c>
      <c r="G361" s="73" t="str">
        <f>+'[6]2025'!F361</f>
        <v/>
      </c>
      <c r="H361" s="42">
        <f>+'[6]2025'!G361</f>
        <v>0</v>
      </c>
      <c r="I361" s="13">
        <f>+'[6]2025'!H361</f>
        <v>0</v>
      </c>
      <c r="J361" s="14">
        <f>+'[6]2025'!I361</f>
        <v>0</v>
      </c>
      <c r="K361" s="15">
        <f>+'[6]2025'!J361</f>
        <v>0</v>
      </c>
      <c r="L361" s="15">
        <f>+'[6]2025'!K361</f>
        <v>0</v>
      </c>
      <c r="M361" s="15">
        <f>+'[6]2025'!L361</f>
        <v>0</v>
      </c>
      <c r="N361" s="16" t="str">
        <f t="shared" si="20"/>
        <v/>
      </c>
      <c r="O361" s="17" t="str">
        <f t="shared" si="21"/>
        <v/>
      </c>
      <c r="P361" s="17" t="str">
        <f t="shared" si="21"/>
        <v/>
      </c>
      <c r="Q361" s="18" t="str">
        <f t="shared" si="22"/>
        <v/>
      </c>
      <c r="R361" s="18" t="e">
        <f t="shared" si="23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19">
        <f>+CHAMNORD!B362</f>
        <v>46379</v>
      </c>
      <c r="C362" s="75" t="str">
        <f>IF(H362=0,"",'[6]2025-2026'!C361)</f>
        <v/>
      </c>
      <c r="D362" s="68" t="str">
        <f>+'[6]2025'!C362</f>
        <v/>
      </c>
      <c r="E362" s="68" t="str">
        <f>+'[6]2025'!D362</f>
        <v/>
      </c>
      <c r="F362" s="20" t="str">
        <f>+'[6]2025'!E362</f>
        <v/>
      </c>
      <c r="G362" s="73" t="str">
        <f>+'[6]2025'!F362</f>
        <v/>
      </c>
      <c r="H362" s="42">
        <f>+'[6]2025'!G362</f>
        <v>0</v>
      </c>
      <c r="I362" s="13">
        <f>+'[6]2025'!H362</f>
        <v>0</v>
      </c>
      <c r="J362" s="14">
        <f>+'[6]2025'!I362</f>
        <v>0</v>
      </c>
      <c r="K362" s="15">
        <f>+'[6]2025'!J362</f>
        <v>0</v>
      </c>
      <c r="L362" s="15">
        <f>+'[6]2025'!K362</f>
        <v>0</v>
      </c>
      <c r="M362" s="15">
        <f>+'[6]2025'!L362</f>
        <v>0</v>
      </c>
      <c r="N362" s="16" t="str">
        <f t="shared" si="20"/>
        <v/>
      </c>
      <c r="O362" s="17" t="str">
        <f t="shared" si="21"/>
        <v/>
      </c>
      <c r="P362" s="17" t="str">
        <f t="shared" si="21"/>
        <v/>
      </c>
      <c r="Q362" s="18" t="str">
        <f t="shared" si="22"/>
        <v/>
      </c>
      <c r="R362" s="18" t="e">
        <f t="shared" si="23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19">
        <f>+CHAMNORD!B363</f>
        <v>46380</v>
      </c>
      <c r="C363" s="75" t="str">
        <f>IF(H363=0,"",'[6]2025-2026'!C362)</f>
        <v/>
      </c>
      <c r="D363" s="68" t="str">
        <f>+'[6]2025'!C363</f>
        <v/>
      </c>
      <c r="E363" s="68" t="str">
        <f>+'[6]2025'!D363</f>
        <v/>
      </c>
      <c r="F363" s="20" t="str">
        <f>+'[6]2025'!E363</f>
        <v/>
      </c>
      <c r="G363" s="73" t="str">
        <f>+'[6]2025'!F363</f>
        <v/>
      </c>
      <c r="H363" s="42">
        <f>+'[6]2025'!G363</f>
        <v>0</v>
      </c>
      <c r="I363" s="13">
        <f>+'[6]2025'!H363</f>
        <v>0</v>
      </c>
      <c r="J363" s="14">
        <f>+'[6]2025'!I363</f>
        <v>0</v>
      </c>
      <c r="K363" s="15">
        <f>+'[6]2025'!J363</f>
        <v>0</v>
      </c>
      <c r="L363" s="15">
        <f>+'[6]2025'!K363</f>
        <v>0</v>
      </c>
      <c r="M363" s="15">
        <f>+'[6]2025'!L363</f>
        <v>0</v>
      </c>
      <c r="N363" s="16" t="str">
        <f t="shared" si="20"/>
        <v/>
      </c>
      <c r="O363" s="17" t="str">
        <f t="shared" si="21"/>
        <v/>
      </c>
      <c r="P363" s="17" t="str">
        <f t="shared" si="21"/>
        <v/>
      </c>
      <c r="Q363" s="18" t="str">
        <f t="shared" si="22"/>
        <v/>
      </c>
      <c r="R363" s="18" t="e">
        <f t="shared" si="23"/>
        <v>#DIV/0!</v>
      </c>
      <c r="S363" s="34"/>
      <c r="T363" s="29" t="s">
        <v>8</v>
      </c>
      <c r="U363" s="1738"/>
    </row>
    <row r="364" spans="1:21">
      <c r="A364" s="10" t="s">
        <v>14</v>
      </c>
      <c r="B364" s="19">
        <f>+CHAMNORD!B364</f>
        <v>46381</v>
      </c>
      <c r="C364" s="75" t="str">
        <f>IF(H364=0,"",'[6]2025-2026'!C363)</f>
        <v/>
      </c>
      <c r="D364" s="68" t="str">
        <f>+'[6]2025'!C364</f>
        <v/>
      </c>
      <c r="E364" s="68" t="str">
        <f>+'[6]2025'!D364</f>
        <v/>
      </c>
      <c r="F364" s="20" t="str">
        <f>+'[6]2025'!E364</f>
        <v/>
      </c>
      <c r="G364" s="73" t="str">
        <f>+'[6]2025'!F364</f>
        <v/>
      </c>
      <c r="H364" s="42">
        <f>+'[6]2025'!G364</f>
        <v>0</v>
      </c>
      <c r="I364" s="13">
        <f>+'[6]2025'!H364</f>
        <v>0</v>
      </c>
      <c r="J364" s="14">
        <f>+'[6]2025'!I364</f>
        <v>0</v>
      </c>
      <c r="K364" s="15">
        <f>+'[6]2025'!J364</f>
        <v>0</v>
      </c>
      <c r="L364" s="15">
        <f>+'[6]2025'!K364</f>
        <v>0</v>
      </c>
      <c r="M364" s="15">
        <f>+'[6]2025'!L364</f>
        <v>0</v>
      </c>
      <c r="N364" s="16" t="str">
        <f t="shared" si="20"/>
        <v/>
      </c>
      <c r="O364" s="17" t="str">
        <f t="shared" si="21"/>
        <v/>
      </c>
      <c r="P364" s="17" t="str">
        <f t="shared" si="21"/>
        <v/>
      </c>
      <c r="Q364" s="18" t="str">
        <f t="shared" si="22"/>
        <v/>
      </c>
      <c r="R364" s="18" t="e">
        <f t="shared" si="23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19">
        <f>+CHAMNORD!B365</f>
        <v>46382</v>
      </c>
      <c r="C365" s="75" t="str">
        <f>IF(H365=0,"",'[6]2025-2026'!C364)</f>
        <v/>
      </c>
      <c r="D365" s="68" t="str">
        <f>+'[6]2025'!C365</f>
        <v/>
      </c>
      <c r="E365" s="68" t="str">
        <f>+'[6]2025'!D365</f>
        <v/>
      </c>
      <c r="F365" s="20" t="str">
        <f>+'[6]2025'!E365</f>
        <v/>
      </c>
      <c r="G365" s="73" t="str">
        <f>+'[6]2025'!F365</f>
        <v/>
      </c>
      <c r="H365" s="42">
        <f>+'[6]2025'!G365</f>
        <v>0</v>
      </c>
      <c r="I365" s="13">
        <f>+'[6]2025'!H365</f>
        <v>0</v>
      </c>
      <c r="J365" s="14">
        <f>+'[6]2025'!I365</f>
        <v>0</v>
      </c>
      <c r="K365" s="15">
        <f>+'[6]2025'!J365</f>
        <v>0</v>
      </c>
      <c r="L365" s="15">
        <f>+'[6]2025'!K365</f>
        <v>0</v>
      </c>
      <c r="M365" s="15">
        <f>+'[6]2025'!L365</f>
        <v>0</v>
      </c>
      <c r="N365" s="16" t="str">
        <f t="shared" si="20"/>
        <v/>
      </c>
      <c r="O365" s="17" t="str">
        <f t="shared" si="21"/>
        <v/>
      </c>
      <c r="P365" s="17" t="str">
        <f t="shared" si="21"/>
        <v/>
      </c>
      <c r="Q365" s="18" t="str">
        <f t="shared" si="22"/>
        <v/>
      </c>
      <c r="R365" s="18" t="e">
        <f t="shared" si="23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19">
        <f>+CHAMNORD!B366</f>
        <v>46383</v>
      </c>
      <c r="C366" s="75" t="str">
        <f>IF(H366=0,"",'[6]2025-2026'!C365)</f>
        <v/>
      </c>
      <c r="D366" s="68" t="str">
        <f>+'[6]2025'!C366</f>
        <v/>
      </c>
      <c r="E366" s="68" t="str">
        <f>+'[6]2025'!D366</f>
        <v/>
      </c>
      <c r="F366" s="20" t="str">
        <f>+'[6]2025'!E366</f>
        <v/>
      </c>
      <c r="G366" s="73" t="str">
        <f>+'[6]2025'!F366</f>
        <v/>
      </c>
      <c r="H366" s="42">
        <f>+'[6]2025'!G366</f>
        <v>0</v>
      </c>
      <c r="I366" s="13">
        <f>+'[6]2025'!H366</f>
        <v>0</v>
      </c>
      <c r="J366" s="14">
        <f>+'[6]2025'!I366</f>
        <v>0</v>
      </c>
      <c r="K366" s="15">
        <f>+'[6]2025'!J366</f>
        <v>0</v>
      </c>
      <c r="L366" s="15">
        <f>+'[6]2025'!K366</f>
        <v>0</v>
      </c>
      <c r="M366" s="15">
        <f>+'[6]2025'!L366</f>
        <v>0</v>
      </c>
      <c r="N366" s="16" t="str">
        <f t="shared" si="20"/>
        <v/>
      </c>
      <c r="O366" s="17" t="str">
        <f t="shared" si="21"/>
        <v/>
      </c>
      <c r="P366" s="17" t="str">
        <f t="shared" si="21"/>
        <v/>
      </c>
      <c r="Q366" s="18" t="str">
        <f t="shared" si="22"/>
        <v/>
      </c>
      <c r="R366" s="18" t="e">
        <f t="shared" si="23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19">
        <f>+CHAMNORD!B367</f>
        <v>46384</v>
      </c>
      <c r="C367" s="75" t="str">
        <f>IF(H367=0,"",'[6]2025-2026'!C366)</f>
        <v/>
      </c>
      <c r="D367" s="68" t="str">
        <f>+'[6]2025'!C367</f>
        <v/>
      </c>
      <c r="E367" s="68">
        <f>+'[6]2025'!D367</f>
        <v>0</v>
      </c>
      <c r="F367" s="20" t="str">
        <f>+'[6]2025'!E367</f>
        <v/>
      </c>
      <c r="G367" s="73" t="str">
        <f>+'[6]2025'!F367</f>
        <v/>
      </c>
      <c r="H367" s="42">
        <f>+'[6]2025'!G367</f>
        <v>0</v>
      </c>
      <c r="I367" s="13">
        <f>+'[6]2025'!H367</f>
        <v>0</v>
      </c>
      <c r="J367" s="14">
        <f>+'[6]2025'!I367</f>
        <v>0</v>
      </c>
      <c r="K367" s="15">
        <f>+'[6]2025'!J367</f>
        <v>0</v>
      </c>
      <c r="L367" s="15">
        <f>+'[6]2025'!K367</f>
        <v>0</v>
      </c>
      <c r="M367" s="15">
        <f>+'[6]2025'!L367</f>
        <v>0</v>
      </c>
      <c r="N367" s="16" t="str">
        <f t="shared" si="20"/>
        <v/>
      </c>
      <c r="O367" s="17" t="str">
        <f t="shared" si="21"/>
        <v/>
      </c>
      <c r="P367" s="17" t="str">
        <f t="shared" si="21"/>
        <v/>
      </c>
      <c r="Q367" s="18" t="str">
        <f t="shared" si="22"/>
        <v/>
      </c>
      <c r="R367" s="18" t="e">
        <f t="shared" si="23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19">
        <f>+CHAMNORD!B368</f>
        <v>46385</v>
      </c>
      <c r="C368" s="75" t="str">
        <f>IF(H368=0,"",'[6]2025-2026'!C367)</f>
        <v/>
      </c>
      <c r="D368" s="68" t="str">
        <f>+'[6]2025'!C368</f>
        <v/>
      </c>
      <c r="E368" s="68">
        <f>+'[6]2025'!D368</f>
        <v>0</v>
      </c>
      <c r="F368" s="20" t="str">
        <f>+'[6]2025'!E368</f>
        <v/>
      </c>
      <c r="G368" s="73" t="str">
        <f>+'[6]2025'!F368</f>
        <v/>
      </c>
      <c r="H368" s="42">
        <f>+'[6]2025'!G368</f>
        <v>0</v>
      </c>
      <c r="I368" s="13">
        <f>+'[6]2025'!H368</f>
        <v>0</v>
      </c>
      <c r="J368" s="14">
        <f>+'[6]2025'!I368</f>
        <v>0</v>
      </c>
      <c r="K368" s="15">
        <f>+'[6]2025'!J368</f>
        <v>0</v>
      </c>
      <c r="L368" s="15">
        <f>+'[6]2025'!K368</f>
        <v>0</v>
      </c>
      <c r="M368" s="15">
        <f>+'[6]2025'!L368</f>
        <v>0</v>
      </c>
      <c r="N368" s="17" t="str">
        <f t="shared" si="20"/>
        <v/>
      </c>
      <c r="O368" s="17" t="str">
        <f t="shared" si="21"/>
        <v/>
      </c>
      <c r="P368" s="17" t="str">
        <f t="shared" si="21"/>
        <v/>
      </c>
      <c r="Q368" s="18" t="str">
        <f t="shared" si="22"/>
        <v/>
      </c>
      <c r="R368" s="18" t="e">
        <f t="shared" si="23"/>
        <v>#DIV/0!</v>
      </c>
      <c r="S368" s="34">
        <f>SUM(I367:I373)</f>
        <v>0</v>
      </c>
      <c r="T368" s="45" t="s">
        <v>41</v>
      </c>
      <c r="U368" s="1738"/>
    </row>
    <row r="369" spans="1:26">
      <c r="A369" s="10" t="s">
        <v>12</v>
      </c>
      <c r="B369" s="19">
        <f>+CHAMNORD!B369</f>
        <v>46386</v>
      </c>
      <c r="C369" s="75" t="str">
        <f>IF(H369=0,"",'[6]2025-2026'!C368)</f>
        <v/>
      </c>
      <c r="D369" s="68" t="str">
        <f>+'[6]2025'!C369</f>
        <v/>
      </c>
      <c r="E369" s="68">
        <f>+'[6]2025'!D369</f>
        <v>0</v>
      </c>
      <c r="F369" s="20">
        <f>+'[6]2025'!E369</f>
        <v>0</v>
      </c>
      <c r="G369" s="73">
        <f>+'[6]2025'!F369</f>
        <v>0</v>
      </c>
      <c r="H369" s="42">
        <f>+'[6]2025'!G369</f>
        <v>0</v>
      </c>
      <c r="I369" s="13">
        <f>+'[6]2025'!H369</f>
        <v>0</v>
      </c>
      <c r="J369" s="14">
        <f>+'[6]2025'!I369</f>
        <v>0</v>
      </c>
      <c r="K369" s="60">
        <f>+'[6]2025'!J369</f>
        <v>0</v>
      </c>
      <c r="L369" s="60">
        <f>+'[6]2025'!K369</f>
        <v>0</v>
      </c>
      <c r="M369" s="60">
        <f>+'[6]2025'!L369</f>
        <v>0</v>
      </c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64">
        <f>+CHAMNORD!B370</f>
        <v>46387</v>
      </c>
      <c r="C370" s="75" t="str">
        <f>IF(H370=0,"",'[6]2025-2026'!C369)</f>
        <v/>
      </c>
      <c r="D370" s="68"/>
      <c r="E370" s="68"/>
      <c r="F370" s="20"/>
      <c r="G370" s="73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64">
        <f>+CHAMNORD!B371</f>
        <v>46388</v>
      </c>
      <c r="C371" s="75" t="str">
        <f>IF(H371=0,"",'[6]2025-2026'!C370)</f>
        <v/>
      </c>
      <c r="D371" s="68"/>
      <c r="E371" s="68"/>
      <c r="F371" s="20"/>
      <c r="G371" s="73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64">
        <f>+CHAMNORD!B372</f>
        <v>46389</v>
      </c>
      <c r="C372" s="75" t="str">
        <f>IF(H372=0,"",'[6]2025-2026'!C371)</f>
        <v/>
      </c>
      <c r="D372" s="68"/>
      <c r="E372" s="68"/>
      <c r="F372" s="20"/>
      <c r="G372" s="73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64">
        <f>+CHAMNORD!B373</f>
        <v>46390</v>
      </c>
      <c r="C373" s="75" t="str">
        <f>IF(H373=0,"",'[6]2025-2026'!C372)</f>
        <v/>
      </c>
      <c r="D373" s="71"/>
      <c r="E373" s="71"/>
      <c r="F373" s="21"/>
      <c r="G373" s="74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69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270467.21999999997</v>
      </c>
      <c r="E377" s="104"/>
      <c r="F377" s="102">
        <v>94</v>
      </c>
      <c r="G377" s="105">
        <f>M377/F377</f>
        <v>2918.8127659574457</v>
      </c>
      <c r="H377" s="84">
        <f>SUM(D$6:D$36)</f>
        <v>262425.26</v>
      </c>
      <c r="I377" s="84">
        <f t="shared" ref="I377:Q377" si="24">SUM(E$6:E$36)</f>
        <v>260011.8</v>
      </c>
      <c r="J377" s="89">
        <f t="shared" si="24"/>
        <v>12636</v>
      </c>
      <c r="K377" s="84">
        <f t="shared" si="24"/>
        <v>277400</v>
      </c>
      <c r="L377" s="84">
        <f t="shared" si="24"/>
        <v>276758.16000000009</v>
      </c>
      <c r="M377" s="84">
        <f t="shared" si="24"/>
        <v>274368.39999999991</v>
      </c>
      <c r="N377" s="89">
        <f t="shared" si="24"/>
        <v>12364</v>
      </c>
      <c r="O377" s="89">
        <f t="shared" si="24"/>
        <v>2914.11</v>
      </c>
      <c r="P377" s="89">
        <f t="shared" si="24"/>
        <v>3341.6689999999994</v>
      </c>
      <c r="Q377" s="87">
        <f t="shared" si="24"/>
        <v>1544.3000000000004</v>
      </c>
      <c r="R377" s="87">
        <f>'[6]2025'!$G$387</f>
        <v>993.5</v>
      </c>
      <c r="S377" s="87">
        <f>'[6]2025'!$G$388</f>
        <v>-131.02000000000001</v>
      </c>
      <c r="T377" s="87">
        <f>'[6]2025'!$G$389</f>
        <v>33.900000000000006</v>
      </c>
      <c r="V377" s="1502">
        <f>(L377-D377)/D377</f>
        <v>2.3259528455981171E-2</v>
      </c>
      <c r="W377" s="1502">
        <f>(L377-H377)/H377</f>
        <v>5.4617074591066732E-2</v>
      </c>
      <c r="X377" s="1502">
        <f>(M377-I377)/I377</f>
        <v>5.5215186387694404E-2</v>
      </c>
      <c r="Y377" s="1502">
        <f>(N377-J377)/J377</f>
        <v>-2.1525799303577082E-2</v>
      </c>
    </row>
    <row r="378" spans="1:26" ht="17" customHeight="1">
      <c r="B378" s="98" t="s">
        <v>25</v>
      </c>
      <c r="C378" s="204"/>
      <c r="D378" s="84">
        <f>SUM(C$37:C$64)</f>
        <v>259048.71999999994</v>
      </c>
      <c r="E378" s="104"/>
      <c r="F378" s="102">
        <v>94</v>
      </c>
      <c r="G378" s="105">
        <f t="shared" ref="G378:G388" si="25">M378/F378</f>
        <v>2659.3078723404255</v>
      </c>
      <c r="H378" s="83">
        <f>SUM(D$37:D$64)</f>
        <v>259309.96999999994</v>
      </c>
      <c r="I378" s="83">
        <f t="shared" ref="I378:Q378" si="26">SUM(E$37:E$64)</f>
        <v>257117.99000000002</v>
      </c>
      <c r="J378" s="89">
        <f t="shared" si="26"/>
        <v>12602</v>
      </c>
      <c r="K378" s="84">
        <f t="shared" si="26"/>
        <v>267100</v>
      </c>
      <c r="L378" s="88">
        <f t="shared" si="26"/>
        <v>251484.16899999999</v>
      </c>
      <c r="M378" s="88">
        <f t="shared" si="26"/>
        <v>249974.94</v>
      </c>
      <c r="N378" s="93">
        <f t="shared" si="26"/>
        <v>11487</v>
      </c>
      <c r="O378" s="93">
        <f t="shared" si="26"/>
        <v>2498.4499999999994</v>
      </c>
      <c r="P378" s="93">
        <f t="shared" si="26"/>
        <v>3010.83</v>
      </c>
      <c r="Q378" s="87">
        <f t="shared" si="26"/>
        <v>1151.98</v>
      </c>
      <c r="R378" s="87">
        <f>'[6]2025'!$H$387</f>
        <v>865.41000000000008</v>
      </c>
      <c r="S378" s="87">
        <f>'[6]2025'!$H$388</f>
        <v>-7859.04</v>
      </c>
      <c r="T378" s="87">
        <f>'[6]2025'!$H$389</f>
        <v>41.650000000000006</v>
      </c>
      <c r="V378" s="1502">
        <f t="shared" ref="V378:V388" si="27">(L378-D378)/D378</f>
        <v>-2.9201267622553588E-2</v>
      </c>
      <c r="W378" s="1502">
        <f t="shared" ref="W378:Y388" si="28">(L378-H378)/H378</f>
        <v>-3.0179329394854931E-2</v>
      </c>
      <c r="X378" s="1502">
        <f t="shared" si="28"/>
        <v>-2.7781214375548039E-2</v>
      </c>
      <c r="Y378" s="1502">
        <f t="shared" si="28"/>
        <v>-8.8478019362006027E-2</v>
      </c>
    </row>
    <row r="379" spans="1:26">
      <c r="B379" s="98" t="s">
        <v>17</v>
      </c>
      <c r="C379" s="204"/>
      <c r="D379" s="84">
        <f>SUM(C$65:C$95)</f>
        <v>285731.7</v>
      </c>
      <c r="E379" s="104"/>
      <c r="F379" s="102">
        <v>94</v>
      </c>
      <c r="G379" s="105">
        <f t="shared" si="25"/>
        <v>2959.3127659574475</v>
      </c>
      <c r="H379" s="83">
        <f>SUM(D$65:D$95)</f>
        <v>281168.96000000002</v>
      </c>
      <c r="I379" s="83">
        <f t="shared" ref="I379:Q379" si="29">SUM(E$65:E$95)</f>
        <v>277929.98</v>
      </c>
      <c r="J379" s="90">
        <f t="shared" si="29"/>
        <v>13373</v>
      </c>
      <c r="K379" s="83">
        <f t="shared" si="29"/>
        <v>274500</v>
      </c>
      <c r="L379" s="83">
        <f t="shared" si="29"/>
        <v>281150.61</v>
      </c>
      <c r="M379" s="83">
        <f t="shared" si="29"/>
        <v>278175.40000000008</v>
      </c>
      <c r="N379" s="90">
        <f t="shared" si="29"/>
        <v>12717</v>
      </c>
      <c r="O379" s="90">
        <f t="shared" si="29"/>
        <v>2740.5100000000007</v>
      </c>
      <c r="P379" s="90">
        <f t="shared" si="29"/>
        <v>3161.9499999999985</v>
      </c>
      <c r="Q379" s="83">
        <f t="shared" si="29"/>
        <v>1154.3899999999999</v>
      </c>
      <c r="R379" s="87">
        <f>'[6]2025'!$I$387</f>
        <v>1125.2500000000002</v>
      </c>
      <c r="S379" s="87">
        <f>'[6]2025'!$I$388</f>
        <v>-121.71</v>
      </c>
      <c r="T379" s="87">
        <f>'[6]2025'!$I$389</f>
        <v>23.05</v>
      </c>
      <c r="V379" s="1502">
        <f t="shared" si="27"/>
        <v>-1.603283779853627E-2</v>
      </c>
      <c r="W379" s="1502">
        <f t="shared" si="28"/>
        <v>-6.5263249542321189E-5</v>
      </c>
      <c r="X379" s="1502">
        <f t="shared" si="28"/>
        <v>8.8302816414443719E-4</v>
      </c>
      <c r="Y379" s="1502">
        <f t="shared" si="28"/>
        <v>-4.9054064159126595E-2</v>
      </c>
    </row>
    <row r="380" spans="1:26">
      <c r="B380" s="98" t="s">
        <v>18</v>
      </c>
      <c r="C380" s="204"/>
      <c r="D380" s="84">
        <f>SUM(C$96:C$125)</f>
        <v>295362.04000000004</v>
      </c>
      <c r="E380" s="104"/>
      <c r="F380" s="102">
        <v>94</v>
      </c>
      <c r="G380" s="105">
        <f t="shared" si="25"/>
        <v>2989.1096808510638</v>
      </c>
      <c r="H380" s="83">
        <f>SUM(D$96:D$125)</f>
        <v>303563.24</v>
      </c>
      <c r="I380" s="83">
        <f t="shared" ref="I380:Q380" si="30">SUM(E$96:E$125)</f>
        <v>300792.69999999995</v>
      </c>
      <c r="J380" s="90">
        <f t="shared" si="30"/>
        <v>14555</v>
      </c>
      <c r="K380" s="83">
        <f t="shared" si="30"/>
        <v>294500</v>
      </c>
      <c r="L380" s="83">
        <f t="shared" si="30"/>
        <v>285321.81</v>
      </c>
      <c r="M380" s="83">
        <f t="shared" si="30"/>
        <v>280976.31</v>
      </c>
      <c r="N380" s="90">
        <f t="shared" si="30"/>
        <v>12818</v>
      </c>
      <c r="O380" s="90">
        <f t="shared" si="30"/>
        <v>2705.1400000000003</v>
      </c>
      <c r="P380" s="90">
        <f t="shared" si="30"/>
        <v>3162.77</v>
      </c>
      <c r="Q380" s="83">
        <f t="shared" si="30"/>
        <v>1215.82</v>
      </c>
      <c r="R380" s="87">
        <f>'[6]2025'!$J$387</f>
        <v>1006.13</v>
      </c>
      <c r="S380" s="87">
        <f>'[6]2025'!$J$388</f>
        <v>-24.72999999999999</v>
      </c>
      <c r="T380" s="87">
        <f>'[6]2025'!$J$389</f>
        <v>43.74</v>
      </c>
      <c r="V380" s="1502">
        <f t="shared" si="27"/>
        <v>-3.3992959961950557E-2</v>
      </c>
      <c r="W380" s="1502">
        <f t="shared" si="28"/>
        <v>-6.0091037373299856E-2</v>
      </c>
      <c r="X380" s="1502">
        <f t="shared" si="28"/>
        <v>-6.5880554946978295E-2</v>
      </c>
      <c r="Y380" s="1502">
        <f t="shared" si="28"/>
        <v>-0.11934043284094813</v>
      </c>
    </row>
    <row r="381" spans="1:26" ht="17" customHeight="1">
      <c r="B381" s="98" t="s">
        <v>19</v>
      </c>
      <c r="C381" s="204"/>
      <c r="D381" s="84">
        <f>SUM(C$126:C$156)</f>
        <v>305785.22000000003</v>
      </c>
      <c r="E381" s="104"/>
      <c r="F381" s="102">
        <v>94</v>
      </c>
      <c r="G381" s="105">
        <f t="shared" si="25"/>
        <v>3041.0282978723412</v>
      </c>
      <c r="H381" s="84">
        <f>SUM(D$126:D$156)</f>
        <v>305898.72000000003</v>
      </c>
      <c r="I381" s="84">
        <f t="shared" ref="I381:Q381" si="31">SUM(E$126:E$156)</f>
        <v>303424.00000000006</v>
      </c>
      <c r="J381" s="89">
        <f t="shared" si="31"/>
        <v>14673</v>
      </c>
      <c r="K381" s="84">
        <f t="shared" si="31"/>
        <v>308200</v>
      </c>
      <c r="L381" s="84">
        <f t="shared" si="31"/>
        <v>288703.46000000008</v>
      </c>
      <c r="M381" s="84">
        <f t="shared" si="31"/>
        <v>285856.66000000009</v>
      </c>
      <c r="N381" s="89">
        <f t="shared" si="31"/>
        <v>13272</v>
      </c>
      <c r="O381" s="89">
        <f t="shared" si="31"/>
        <v>2789.880000000001</v>
      </c>
      <c r="P381" s="89">
        <f t="shared" si="31"/>
        <v>3406.0400000000009</v>
      </c>
      <c r="Q381" s="87">
        <f t="shared" si="31"/>
        <v>1379.2500000000002</v>
      </c>
      <c r="R381" s="87">
        <f>'[6]2025'!$K$387</f>
        <v>1004.14</v>
      </c>
      <c r="S381" s="87">
        <f>'[6]2025'!$K$388</f>
        <v>-4311.6500000000005</v>
      </c>
      <c r="T381" s="87">
        <f>'[6]2025'!$K$389</f>
        <v>45.349999999999994</v>
      </c>
      <c r="V381" s="1502">
        <f t="shared" si="27"/>
        <v>-5.5861954348218494E-2</v>
      </c>
      <c r="W381" s="1502">
        <f t="shared" si="28"/>
        <v>-5.6212265288327942E-2</v>
      </c>
      <c r="X381" s="1502">
        <f t="shared" si="28"/>
        <v>-5.7897002214722514E-2</v>
      </c>
      <c r="Y381" s="1502">
        <f t="shared" si="28"/>
        <v>-9.5481496626456761E-2</v>
      </c>
    </row>
    <row r="382" spans="1:26" ht="17" customHeight="1">
      <c r="B382" s="98" t="s">
        <v>20</v>
      </c>
      <c r="C382" s="204"/>
      <c r="D382" s="84">
        <f>SUM(C$157:C$186)</f>
        <v>73633.66</v>
      </c>
      <c r="E382" s="104"/>
      <c r="F382" s="102">
        <v>94</v>
      </c>
      <c r="G382" s="105">
        <f>M382/F382</f>
        <v>718.49265957446801</v>
      </c>
      <c r="H382" s="84">
        <f>SUM(D$157:D$186)</f>
        <v>71366.38</v>
      </c>
      <c r="I382" s="84">
        <f t="shared" ref="I382:Q382" si="32">SUM(E$157:E$186)</f>
        <v>70780.05</v>
      </c>
      <c r="J382" s="89">
        <f t="shared" si="32"/>
        <v>3397</v>
      </c>
      <c r="K382" s="84">
        <f t="shared" si="32"/>
        <v>73600</v>
      </c>
      <c r="L382" s="84">
        <f t="shared" si="32"/>
        <v>68516.53</v>
      </c>
      <c r="M382" s="84">
        <f t="shared" si="32"/>
        <v>67538.31</v>
      </c>
      <c r="N382" s="89">
        <f t="shared" si="32"/>
        <v>3145</v>
      </c>
      <c r="O382" s="89">
        <f t="shared" si="32"/>
        <v>609.57000000000005</v>
      </c>
      <c r="P382" s="89">
        <f t="shared" si="32"/>
        <v>739.37</v>
      </c>
      <c r="Q382" s="87">
        <f t="shared" si="32"/>
        <v>360.01</v>
      </c>
      <c r="R382" s="87">
        <f>'[6]2025'!$L$387</f>
        <v>216.82</v>
      </c>
      <c r="S382" s="87">
        <f>'[6]2025'!$L$388</f>
        <v>-100.03</v>
      </c>
      <c r="T382" s="87">
        <f>'[6]2025'!$L$389</f>
        <v>28.799999999999997</v>
      </c>
      <c r="V382" s="1502">
        <f t="shared" si="27"/>
        <v>-6.9494440450196343E-2</v>
      </c>
      <c r="W382" s="1502">
        <f t="shared" si="28"/>
        <v>-3.993266857587572E-2</v>
      </c>
      <c r="X382" s="1502">
        <f t="shared" si="28"/>
        <v>-4.5800193698648205E-2</v>
      </c>
      <c r="Y382" s="1502">
        <f t="shared" si="28"/>
        <v>-7.4183102737709741E-2</v>
      </c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94</v>
      </c>
      <c r="G383" s="105">
        <f t="shared" si="25"/>
        <v>0</v>
      </c>
      <c r="H383" s="84">
        <f>SUM(D$187:D$217)</f>
        <v>0</v>
      </c>
      <c r="I383" s="84">
        <f t="shared" ref="I383:Q383" si="33">SUM(E$187:E$217)</f>
        <v>0</v>
      </c>
      <c r="J383" s="89">
        <f t="shared" si="33"/>
        <v>0</v>
      </c>
      <c r="K383" s="84">
        <f t="shared" si="33"/>
        <v>0</v>
      </c>
      <c r="L383" s="84">
        <f t="shared" si="33"/>
        <v>0</v>
      </c>
      <c r="M383" s="84">
        <f t="shared" si="33"/>
        <v>0</v>
      </c>
      <c r="N383" s="89">
        <f t="shared" si="33"/>
        <v>0</v>
      </c>
      <c r="O383" s="89">
        <f t="shared" si="33"/>
        <v>0</v>
      </c>
      <c r="P383" s="89">
        <f t="shared" si="33"/>
        <v>0</v>
      </c>
      <c r="Q383" s="87">
        <f t="shared" si="33"/>
        <v>0</v>
      </c>
      <c r="R383" s="87">
        <f>'[6]2025'!$M$387</f>
        <v>0</v>
      </c>
      <c r="S383" s="87">
        <f>'[6]2025'!$M$388</f>
        <v>0</v>
      </c>
      <c r="T383" s="87">
        <f>'[6]2025'!$M$389</f>
        <v>0</v>
      </c>
      <c r="V383" s="1502" t="e">
        <f t="shared" si="27"/>
        <v>#DIV/0!</v>
      </c>
      <c r="W383" s="1502" t="e">
        <f t="shared" si="28"/>
        <v>#DIV/0!</v>
      </c>
      <c r="X383" s="1502" t="e">
        <f t="shared" si="28"/>
        <v>#DIV/0!</v>
      </c>
      <c r="Y383" s="1502" t="e">
        <f t="shared" si="28"/>
        <v>#DIV/0!</v>
      </c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94</v>
      </c>
      <c r="G384" s="105">
        <f t="shared" si="25"/>
        <v>0</v>
      </c>
      <c r="H384" s="84">
        <f>SUM(D$218:D$248)</f>
        <v>0</v>
      </c>
      <c r="I384" s="84">
        <f t="shared" ref="I384:Q384" si="34">SUM(E$218:E$248)</f>
        <v>0</v>
      </c>
      <c r="J384" s="89">
        <f t="shared" si="34"/>
        <v>0</v>
      </c>
      <c r="K384" s="84">
        <f t="shared" si="34"/>
        <v>0</v>
      </c>
      <c r="L384" s="84">
        <f t="shared" si="34"/>
        <v>0</v>
      </c>
      <c r="M384" s="84">
        <f t="shared" si="34"/>
        <v>0</v>
      </c>
      <c r="N384" s="89">
        <f t="shared" si="34"/>
        <v>0</v>
      </c>
      <c r="O384" s="89">
        <f t="shared" si="34"/>
        <v>0</v>
      </c>
      <c r="P384" s="89">
        <f t="shared" si="34"/>
        <v>0</v>
      </c>
      <c r="Q384" s="84">
        <f t="shared" si="34"/>
        <v>0</v>
      </c>
      <c r="R384" s="87">
        <f>'[6]2025'!$N$387</f>
        <v>0</v>
      </c>
      <c r="S384" s="87">
        <f>'[6]2025'!$N$388</f>
        <v>0</v>
      </c>
      <c r="T384" s="87">
        <f>'[6]2025'!$N$389</f>
        <v>0</v>
      </c>
      <c r="V384" s="1502" t="e">
        <f t="shared" si="27"/>
        <v>#DIV/0!</v>
      </c>
      <c r="W384" s="1502" t="e">
        <f t="shared" si="28"/>
        <v>#DIV/0!</v>
      </c>
      <c r="X384" s="1502" t="e">
        <f t="shared" si="28"/>
        <v>#DIV/0!</v>
      </c>
      <c r="Y384" s="1502" t="e">
        <f t="shared" si="28"/>
        <v>#DIV/0!</v>
      </c>
    </row>
    <row r="385" spans="2:25" ht="17" customHeight="1">
      <c r="B385" s="98" t="s">
        <v>22</v>
      </c>
      <c r="C385" s="204"/>
      <c r="D385" s="84">
        <f>SUM(C$249:C$278)</f>
        <v>0</v>
      </c>
      <c r="E385" s="104"/>
      <c r="F385" s="102">
        <v>94</v>
      </c>
      <c r="G385" s="105">
        <f t="shared" si="25"/>
        <v>0</v>
      </c>
      <c r="H385" s="85">
        <f>SUM(D$249:D$278)</f>
        <v>0</v>
      </c>
      <c r="I385" s="85">
        <f t="shared" ref="I385:Q385" si="35">SUM(E$249:E$278)</f>
        <v>0</v>
      </c>
      <c r="J385" s="91">
        <f t="shared" si="35"/>
        <v>0</v>
      </c>
      <c r="K385" s="85">
        <f t="shared" si="35"/>
        <v>0</v>
      </c>
      <c r="L385" s="85">
        <f t="shared" si="35"/>
        <v>0</v>
      </c>
      <c r="M385" s="85">
        <f t="shared" si="35"/>
        <v>0</v>
      </c>
      <c r="N385" s="91">
        <f t="shared" si="35"/>
        <v>0</v>
      </c>
      <c r="O385" s="91">
        <f t="shared" si="35"/>
        <v>0</v>
      </c>
      <c r="P385" s="91">
        <f t="shared" si="35"/>
        <v>0</v>
      </c>
      <c r="Q385" s="85">
        <f t="shared" si="35"/>
        <v>0</v>
      </c>
      <c r="R385" s="87">
        <f>'[6]2025'!$O$387</f>
        <v>0</v>
      </c>
      <c r="S385" s="87">
        <f>'[6]2025'!$O$388</f>
        <v>0</v>
      </c>
      <c r="T385" s="87">
        <f>'[6]2025'!$O$389</f>
        <v>0</v>
      </c>
      <c r="V385" s="1502" t="e">
        <f t="shared" si="27"/>
        <v>#DIV/0!</v>
      </c>
      <c r="W385" s="1502" t="e">
        <f t="shared" si="28"/>
        <v>#DIV/0!</v>
      </c>
      <c r="X385" s="1502" t="e">
        <f t="shared" si="28"/>
        <v>#DIV/0!</v>
      </c>
      <c r="Y385" s="1502" t="e">
        <f t="shared" si="28"/>
        <v>#DIV/0!</v>
      </c>
    </row>
    <row r="386" spans="2:25">
      <c r="B386" s="98" t="s">
        <v>23</v>
      </c>
      <c r="C386" s="204"/>
      <c r="D386" s="84">
        <f>SUM(C$279:C$309)</f>
        <v>0</v>
      </c>
      <c r="E386" s="104"/>
      <c r="F386" s="102">
        <v>94</v>
      </c>
      <c r="G386" s="105">
        <f t="shared" si="25"/>
        <v>0</v>
      </c>
      <c r="H386" s="84">
        <f>SUM(D$279:D$309)</f>
        <v>0</v>
      </c>
      <c r="I386" s="84">
        <f t="shared" ref="I386:Q386" si="36">SUM(E$279:E$309)</f>
        <v>0</v>
      </c>
      <c r="J386" s="89">
        <f t="shared" si="36"/>
        <v>0</v>
      </c>
      <c r="K386" s="84">
        <f t="shared" si="36"/>
        <v>0</v>
      </c>
      <c r="L386" s="84">
        <f t="shared" si="36"/>
        <v>0</v>
      </c>
      <c r="M386" s="84">
        <f t="shared" si="36"/>
        <v>0</v>
      </c>
      <c r="N386" s="89">
        <f t="shared" si="36"/>
        <v>0</v>
      </c>
      <c r="O386" s="89">
        <f t="shared" si="36"/>
        <v>0</v>
      </c>
      <c r="P386" s="89">
        <f t="shared" si="36"/>
        <v>0</v>
      </c>
      <c r="Q386" s="84">
        <f t="shared" si="36"/>
        <v>0</v>
      </c>
      <c r="R386" s="87">
        <f>'[6]2025'!$P$387</f>
        <v>0</v>
      </c>
      <c r="S386" s="87">
        <f>'[6]2025'!$P$388</f>
        <v>0</v>
      </c>
      <c r="T386" s="87">
        <f>'[6]2025'!$P$389</f>
        <v>0</v>
      </c>
      <c r="V386" s="1502" t="e">
        <f t="shared" si="27"/>
        <v>#DIV/0!</v>
      </c>
      <c r="W386" s="1502" t="e">
        <f t="shared" si="28"/>
        <v>#DIV/0!</v>
      </c>
      <c r="X386" s="1502" t="e">
        <f t="shared" si="28"/>
        <v>#DIV/0!</v>
      </c>
      <c r="Y386" s="1502" t="e">
        <f t="shared" si="28"/>
        <v>#DIV/0!</v>
      </c>
    </row>
    <row r="387" spans="2:25">
      <c r="B387" s="98" t="s">
        <v>24</v>
      </c>
      <c r="C387" s="204"/>
      <c r="D387" s="84">
        <f>SUM(C$310:C$339)</f>
        <v>0</v>
      </c>
      <c r="E387" s="104"/>
      <c r="F387" s="102">
        <v>94</v>
      </c>
      <c r="G387" s="105">
        <f t="shared" si="25"/>
        <v>0</v>
      </c>
      <c r="H387" s="86">
        <f>SUM(D$310:D$339)</f>
        <v>0</v>
      </c>
      <c r="I387" s="86">
        <f t="shared" ref="I387:Q387" si="37">SUM(E$310:E$339)</f>
        <v>0</v>
      </c>
      <c r="J387" s="92">
        <f t="shared" si="37"/>
        <v>0</v>
      </c>
      <c r="K387" s="86">
        <f t="shared" si="37"/>
        <v>0</v>
      </c>
      <c r="L387" s="86">
        <f t="shared" si="37"/>
        <v>0</v>
      </c>
      <c r="M387" s="86">
        <f t="shared" si="37"/>
        <v>0</v>
      </c>
      <c r="N387" s="92">
        <f t="shared" si="37"/>
        <v>0</v>
      </c>
      <c r="O387" s="92">
        <f t="shared" si="37"/>
        <v>0</v>
      </c>
      <c r="P387" s="92">
        <f t="shared" si="37"/>
        <v>0</v>
      </c>
      <c r="Q387" s="86">
        <f t="shared" si="37"/>
        <v>0</v>
      </c>
      <c r="R387" s="87">
        <f>'[6]2025'!$Q$387</f>
        <v>0</v>
      </c>
      <c r="S387" s="87">
        <f>'[6]2025'!$Q$388</f>
        <v>0</v>
      </c>
      <c r="T387" s="87">
        <f>'[6]2025'!$Q$389</f>
        <v>0</v>
      </c>
      <c r="V387" s="1502" t="e">
        <f t="shared" si="27"/>
        <v>#DIV/0!</v>
      </c>
      <c r="W387" s="1502" t="e">
        <f t="shared" si="28"/>
        <v>#DIV/0!</v>
      </c>
      <c r="X387" s="1502" t="e">
        <f t="shared" si="28"/>
        <v>#DIV/0!</v>
      </c>
      <c r="Y387" s="1502" t="e">
        <f t="shared" si="28"/>
        <v>#DIV/0!</v>
      </c>
    </row>
    <row r="388" spans="2:25" ht="17" customHeight="1">
      <c r="B388" s="98" t="s">
        <v>27</v>
      </c>
      <c r="C388" s="204"/>
      <c r="D388" s="84">
        <f>SUM(C$340:C$370)</f>
        <v>0</v>
      </c>
      <c r="E388" s="104"/>
      <c r="F388" s="102">
        <v>94</v>
      </c>
      <c r="G388" s="105">
        <f t="shared" si="25"/>
        <v>0</v>
      </c>
      <c r="H388" s="84">
        <f>SUM(D$340:D$370)</f>
        <v>0</v>
      </c>
      <c r="I388" s="84">
        <f t="shared" ref="I388:Q388" si="38">SUM(E$340:E$370)</f>
        <v>0</v>
      </c>
      <c r="J388" s="89">
        <f t="shared" si="38"/>
        <v>0</v>
      </c>
      <c r="K388" s="84">
        <f t="shared" si="38"/>
        <v>0</v>
      </c>
      <c r="L388" s="84">
        <f t="shared" si="38"/>
        <v>0</v>
      </c>
      <c r="M388" s="84">
        <f t="shared" si="38"/>
        <v>0</v>
      </c>
      <c r="N388" s="89">
        <f t="shared" si="38"/>
        <v>0</v>
      </c>
      <c r="O388" s="89">
        <f t="shared" si="38"/>
        <v>0</v>
      </c>
      <c r="P388" s="89">
        <f t="shared" si="38"/>
        <v>0</v>
      </c>
      <c r="Q388" s="84">
        <f t="shared" si="38"/>
        <v>0</v>
      </c>
      <c r="R388" s="87">
        <f>'[6]2025'!$R$387</f>
        <v>0</v>
      </c>
      <c r="S388" s="87">
        <f>'[6]2025'!$R$388</f>
        <v>0</v>
      </c>
      <c r="T388" s="87">
        <f>'[6]2025'!$R$389</f>
        <v>0</v>
      </c>
      <c r="V388" s="1502" t="e">
        <f t="shared" si="27"/>
        <v>#DIV/0!</v>
      </c>
      <c r="W388" s="1502" t="e">
        <f t="shared" si="28"/>
        <v>#DIV/0!</v>
      </c>
      <c r="X388" s="1502" t="e">
        <f t="shared" si="28"/>
        <v>#DIV/0!</v>
      </c>
      <c r="Y388" s="1502" t="e">
        <f t="shared" si="28"/>
        <v>#DIV/0!</v>
      </c>
    </row>
    <row r="389" spans="2:25" ht="18" customHeight="1" thickBot="1">
      <c r="B389" s="99" t="s">
        <v>45</v>
      </c>
      <c r="C389" s="205"/>
      <c r="D389" s="96">
        <f>SUM(D377:D388)</f>
        <v>1490028.5599999998</v>
      </c>
      <c r="E389" s="106"/>
      <c r="F389" s="100">
        <f>AVERAGE(F377:F388)</f>
        <v>94</v>
      </c>
      <c r="G389" s="106">
        <f>SUM(G377:G388)</f>
        <v>15286.064042553191</v>
      </c>
      <c r="H389" s="96">
        <f>SUM(H377:H388)</f>
        <v>1483732.5299999998</v>
      </c>
      <c r="I389" s="96">
        <f t="shared" ref="I389:T389" si="39">SUM(I377:I388)</f>
        <v>1470056.52</v>
      </c>
      <c r="J389" s="97">
        <f t="shared" si="39"/>
        <v>71236</v>
      </c>
      <c r="K389" s="96">
        <f t="shared" si="39"/>
        <v>1495300</v>
      </c>
      <c r="L389" s="96">
        <f t="shared" si="39"/>
        <v>1451934.7390000003</v>
      </c>
      <c r="M389" s="96">
        <f t="shared" si="39"/>
        <v>1436890.0200000003</v>
      </c>
      <c r="N389" s="97">
        <f t="shared" si="39"/>
        <v>65803</v>
      </c>
      <c r="O389" s="97">
        <f t="shared" si="39"/>
        <v>14257.66</v>
      </c>
      <c r="P389" s="97">
        <f t="shared" si="39"/>
        <v>16822.629000000001</v>
      </c>
      <c r="Q389" s="96">
        <f t="shared" si="39"/>
        <v>6805.7500000000009</v>
      </c>
      <c r="R389" s="96">
        <f t="shared" si="39"/>
        <v>5211.25</v>
      </c>
      <c r="S389" s="96">
        <f t="shared" si="39"/>
        <v>-12548.180000000002</v>
      </c>
      <c r="T389" s="96">
        <f t="shared" si="39"/>
        <v>216.49</v>
      </c>
      <c r="V389" s="1502">
        <f>(L389-D389)/D389</f>
        <v>-2.5565832778399588E-2</v>
      </c>
      <c r="W389" s="1502">
        <f>(L389-H389)/H389</f>
        <v>-2.1430945508756561E-2</v>
      </c>
      <c r="X389" s="1502">
        <f>(M389-I389)/I389</f>
        <v>-2.2561377436018423E-2</v>
      </c>
      <c r="Y389" s="1502">
        <f>(N389-J389)/J389</f>
        <v>-7.6267617496771301E-2</v>
      </c>
    </row>
    <row r="390" spans="2:25">
      <c r="T390" s="28"/>
      <c r="U390" s="38"/>
    </row>
  </sheetData>
  <mergeCells count="55">
    <mergeCell ref="U360:U366"/>
    <mergeCell ref="U367:U373"/>
    <mergeCell ref="U325:U331"/>
    <mergeCell ref="U332:U338"/>
    <mergeCell ref="U339:U345"/>
    <mergeCell ref="U346:U352"/>
    <mergeCell ref="U353:U359"/>
    <mergeCell ref="U318:U324"/>
    <mergeCell ref="U241:U247"/>
    <mergeCell ref="U248:U254"/>
    <mergeCell ref="U255:U261"/>
    <mergeCell ref="U262:U268"/>
    <mergeCell ref="U269:U275"/>
    <mergeCell ref="U276:U282"/>
    <mergeCell ref="U283:U289"/>
    <mergeCell ref="U290:U296"/>
    <mergeCell ref="U297:U303"/>
    <mergeCell ref="U304:U310"/>
    <mergeCell ref="U311:U317"/>
    <mergeCell ref="U234:U240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13:U219"/>
    <mergeCell ref="U220:U226"/>
    <mergeCell ref="U227:U233"/>
    <mergeCell ref="U150:U156"/>
    <mergeCell ref="U73:U79"/>
    <mergeCell ref="U80:U86"/>
    <mergeCell ref="U87:U93"/>
    <mergeCell ref="U94:U100"/>
    <mergeCell ref="U101:U107"/>
    <mergeCell ref="U108:U114"/>
    <mergeCell ref="U115:U121"/>
    <mergeCell ref="U122:U128"/>
    <mergeCell ref="U129:U135"/>
    <mergeCell ref="U136:U142"/>
    <mergeCell ref="U143:U149"/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</mergeCells>
  <phoneticPr fontId="5" type="noConversion"/>
  <conditionalFormatting sqref="N3:N367">
    <cfRule type="cellIs" dxfId="343" priority="1" operator="lessThan">
      <formula>0.006</formula>
    </cfRule>
    <cfRule type="cellIs" dxfId="342" priority="2" operator="greaterThan">
      <formula>0.006</formula>
    </cfRule>
  </conditionalFormatting>
  <conditionalFormatting sqref="O3:P373">
    <cfRule type="cellIs" dxfId="341" priority="3" operator="lessThan">
      <formula>0</formula>
    </cfRule>
    <cfRule type="cellIs" dxfId="340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2CCC3-B393-5546-B883-25FE21AEEB09}">
  <sheetPr codeName="Feuil10"/>
  <dimension ref="A1:Z390"/>
  <sheetViews>
    <sheetView showGridLines="0" topLeftCell="A96" workbookViewId="0">
      <selection activeCell="A376" sqref="A376:XFD376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5" width="10.83203125" style="70"/>
    <col min="6" max="6" width="10.83203125" style="38"/>
    <col min="7" max="7" width="10.83203125" style="70"/>
    <col min="8" max="8" width="10.83203125" style="44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16384" width="10.83203125" style="38"/>
  </cols>
  <sheetData>
    <row r="1" spans="1:21" ht="16" customHeight="1">
      <c r="A1" s="1740"/>
      <c r="B1" s="1"/>
      <c r="C1" s="206"/>
      <c r="D1" s="1741" t="s">
        <v>154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1" s="39" customFormat="1" ht="37" customHeight="1" thickBot="1">
      <c r="A2" s="1740"/>
      <c r="B2" s="2"/>
      <c r="C2" s="203"/>
      <c r="D2" s="5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1" ht="17" customHeight="1" thickTop="1">
      <c r="A3" s="10" t="s">
        <v>9</v>
      </c>
      <c r="B3" s="11"/>
      <c r="C3" s="207"/>
      <c r="D3" s="68"/>
      <c r="E3" s="68"/>
      <c r="F3" s="20"/>
      <c r="G3" s="73"/>
      <c r="H3" s="42"/>
      <c r="I3" s="13"/>
      <c r="J3" s="14"/>
      <c r="K3" s="15"/>
      <c r="L3" s="15"/>
      <c r="M3" s="15"/>
      <c r="N3" s="16"/>
      <c r="O3" s="17" t="str">
        <f>IF(I3=0,"",(I3-E3)/E3)</f>
        <v/>
      </c>
      <c r="P3" s="17" t="str">
        <f>IF(J3=0,"",(J3-F3)/F3)</f>
        <v/>
      </c>
      <c r="Q3" s="18" t="str">
        <f>IF(I3=0,"",I3/K3)</f>
        <v/>
      </c>
      <c r="R3" s="18" t="e">
        <f>I3/L3</f>
        <v>#DIV/0!</v>
      </c>
      <c r="S3" s="33" t="s">
        <v>39</v>
      </c>
      <c r="T3" s="31" t="s">
        <v>42</v>
      </c>
      <c r="U3" s="1737" t="s">
        <v>83</v>
      </c>
    </row>
    <row r="4" spans="1:21">
      <c r="A4" s="10" t="s">
        <v>11</v>
      </c>
      <c r="B4" s="11"/>
      <c r="C4" s="207"/>
      <c r="D4" s="68"/>
      <c r="E4" s="68"/>
      <c r="F4" s="20"/>
      <c r="G4" s="73"/>
      <c r="H4" s="42"/>
      <c r="I4" s="13"/>
      <c r="J4" s="14"/>
      <c r="K4" s="15"/>
      <c r="L4" s="15"/>
      <c r="M4" s="15"/>
      <c r="N4" s="16"/>
      <c r="O4" s="17" t="str">
        <f t="shared" ref="O4:P67" si="0">IF(I4=0,"",(I4-E4)/E4)</f>
        <v/>
      </c>
      <c r="P4" s="17" t="str">
        <f t="shared" si="0"/>
        <v/>
      </c>
      <c r="Q4" s="18" t="str">
        <f t="shared" ref="Q4:Q67" si="1">IF(I4=0,"",I4/K4)</f>
        <v/>
      </c>
      <c r="R4" s="18" t="e">
        <f t="shared" ref="R4:R67" si="2">I4/L4</f>
        <v>#DIV/0!</v>
      </c>
      <c r="S4" s="34">
        <f>SUM(I3:I9)</f>
        <v>54880</v>
      </c>
      <c r="T4" s="45" t="s">
        <v>41</v>
      </c>
      <c r="U4" s="1738"/>
    </row>
    <row r="5" spans="1:21">
      <c r="A5" s="10" t="s">
        <v>12</v>
      </c>
      <c r="B5" s="11"/>
      <c r="C5" s="75"/>
      <c r="D5" s="68"/>
      <c r="E5" s="68"/>
      <c r="F5" s="20"/>
      <c r="G5" s="73"/>
      <c r="H5" s="42"/>
      <c r="I5" s="13"/>
      <c r="J5" s="14"/>
      <c r="K5" s="15"/>
      <c r="L5" s="15"/>
      <c r="M5" s="15"/>
      <c r="N5" s="16"/>
      <c r="O5" s="17" t="str">
        <f t="shared" si="0"/>
        <v/>
      </c>
      <c r="P5" s="17" t="str">
        <f t="shared" si="0"/>
        <v/>
      </c>
      <c r="Q5" s="18" t="str">
        <f t="shared" si="1"/>
        <v/>
      </c>
      <c r="R5" s="18" t="e">
        <f t="shared" si="2"/>
        <v>#DIV/0!</v>
      </c>
      <c r="S5" s="35">
        <f>(S4-SUM(E3:E9))/SUM(E3:E9)</f>
        <v>0.29896565599185781</v>
      </c>
      <c r="T5" s="48">
        <f>SUM(I3:I9)/SUM(K3:K9)</f>
        <v>100.14598540145985</v>
      </c>
      <c r="U5" s="1738"/>
    </row>
    <row r="6" spans="1:21">
      <c r="A6" s="10" t="s">
        <v>13</v>
      </c>
      <c r="B6" s="11">
        <f>CHAMNORD!B6</f>
        <v>46023</v>
      </c>
      <c r="C6" s="75">
        <f>IF(H6=0,"",'[7]2025-2026'!C5)</f>
        <v>18376</v>
      </c>
      <c r="D6" s="68">
        <f>'[7]2025'!C6</f>
        <v>11136</v>
      </c>
      <c r="E6" s="68">
        <f>'[7]2025'!D6</f>
        <v>10967</v>
      </c>
      <c r="F6" s="20">
        <f>'[7]2025'!E6</f>
        <v>532</v>
      </c>
      <c r="G6" s="73">
        <f>'[7]2025'!F6</f>
        <v>19000</v>
      </c>
      <c r="H6" s="42">
        <f>'[7]2025'!G6</f>
        <v>19583</v>
      </c>
      <c r="I6" s="13">
        <f>'[7]2025'!H6</f>
        <v>19451</v>
      </c>
      <c r="J6" s="14">
        <f>'[7]2025'!I6</f>
        <v>776</v>
      </c>
      <c r="K6" s="15">
        <f>'[7]2025'!J6</f>
        <v>203</v>
      </c>
      <c r="L6" s="15">
        <f>'[7]2025'!K6</f>
        <v>227</v>
      </c>
      <c r="M6" s="15">
        <f>'[7]2025'!L6</f>
        <v>30</v>
      </c>
      <c r="N6" s="16">
        <f t="shared" ref="N6:N67" si="3">IF(M6=0,"",M6/I6)</f>
        <v>1.5423371549020616E-3</v>
      </c>
      <c r="O6" s="17">
        <f t="shared" si="0"/>
        <v>0.77359350779611558</v>
      </c>
      <c r="P6" s="17">
        <f t="shared" si="0"/>
        <v>0.45864661654135336</v>
      </c>
      <c r="Q6" s="18">
        <f t="shared" si="1"/>
        <v>95.817733990147786</v>
      </c>
      <c r="R6" s="18">
        <f t="shared" si="2"/>
        <v>85.687224669603523</v>
      </c>
      <c r="S6" s="34"/>
      <c r="T6" s="29" t="s">
        <v>8</v>
      </c>
      <c r="U6" s="1738"/>
    </row>
    <row r="7" spans="1:21">
      <c r="A7" s="10" t="s">
        <v>14</v>
      </c>
      <c r="B7" s="11">
        <f>CHAMNORD!B7</f>
        <v>46024</v>
      </c>
      <c r="C7" s="75">
        <f>IF(H7=0,"",'[7]2025-2026'!C6)</f>
        <v>11136</v>
      </c>
      <c r="D7" s="68">
        <f>'[7]2025'!C7</f>
        <v>11362</v>
      </c>
      <c r="E7" s="68">
        <f>'[7]2025'!D7</f>
        <v>11188</v>
      </c>
      <c r="F7" s="20">
        <f>'[7]2025'!E7</f>
        <v>569</v>
      </c>
      <c r="G7" s="73">
        <f>'[7]2025'!F7</f>
        <v>11300</v>
      </c>
      <c r="H7" s="42">
        <f>'[7]2025'!G7</f>
        <v>13248</v>
      </c>
      <c r="I7" s="13">
        <f>'[7]2025'!H7</f>
        <v>13141</v>
      </c>
      <c r="J7" s="14">
        <f>'[7]2025'!I7</f>
        <v>575</v>
      </c>
      <c r="K7" s="15">
        <f>'[7]2025'!J7</f>
        <v>120</v>
      </c>
      <c r="L7" s="15">
        <f>'[7]2025'!K7</f>
        <v>129</v>
      </c>
      <c r="M7" s="15">
        <f>'[7]2025'!L7</f>
        <v>53</v>
      </c>
      <c r="N7" s="16">
        <f t="shared" si="3"/>
        <v>4.0331786013241E-3</v>
      </c>
      <c r="O7" s="17">
        <f t="shared" si="0"/>
        <v>0.17456203074722917</v>
      </c>
      <c r="P7" s="17">
        <f t="shared" si="0"/>
        <v>1.054481546572935E-2</v>
      </c>
      <c r="Q7" s="18">
        <f t="shared" si="1"/>
        <v>109.50833333333334</v>
      </c>
      <c r="R7" s="18">
        <f t="shared" si="2"/>
        <v>101.86821705426357</v>
      </c>
      <c r="S7" s="36" t="s">
        <v>40</v>
      </c>
      <c r="T7" s="48">
        <f>SUM(I3:I9)/SUM(L3:L9)</f>
        <v>88.946515397082663</v>
      </c>
      <c r="U7" s="1738"/>
    </row>
    <row r="8" spans="1:21">
      <c r="A8" s="10" t="s">
        <v>15</v>
      </c>
      <c r="B8" s="11">
        <f>CHAMNORD!B8</f>
        <v>46025</v>
      </c>
      <c r="C8" s="75">
        <f>IF(H8=0,"",'[7]2025-2026'!C7)</f>
        <v>11362</v>
      </c>
      <c r="D8" s="68">
        <f>'[7]2025'!C8</f>
        <v>10272</v>
      </c>
      <c r="E8" s="68">
        <f>'[7]2025'!D8</f>
        <v>10085</v>
      </c>
      <c r="F8" s="20">
        <f>'[7]2025'!E8</f>
        <v>529</v>
      </c>
      <c r="G8" s="73">
        <f>'[7]2025'!F8</f>
        <v>10200</v>
      </c>
      <c r="H8" s="42">
        <f>'[7]2025'!G8</f>
        <v>11929</v>
      </c>
      <c r="I8" s="13">
        <f>'[7]2025'!H8</f>
        <v>11835</v>
      </c>
      <c r="J8" s="14">
        <f>'[7]2025'!I8</f>
        <v>550</v>
      </c>
      <c r="K8" s="15">
        <f>'[7]2025'!J8</f>
        <v>120</v>
      </c>
      <c r="L8" s="15">
        <f>'[7]2025'!K8</f>
        <v>138</v>
      </c>
      <c r="M8" s="15">
        <f>'[7]2025'!L8</f>
        <v>24</v>
      </c>
      <c r="N8" s="16">
        <f t="shared" si="3"/>
        <v>2.0278833967046894E-3</v>
      </c>
      <c r="O8" s="17">
        <f t="shared" si="0"/>
        <v>0.17352503718393653</v>
      </c>
      <c r="P8" s="17">
        <f t="shared" si="0"/>
        <v>3.9697542533081283E-2</v>
      </c>
      <c r="Q8" s="18">
        <f t="shared" si="1"/>
        <v>98.625</v>
      </c>
      <c r="R8" s="18">
        <f t="shared" si="2"/>
        <v>85.760869565217391</v>
      </c>
      <c r="S8" s="36">
        <f>SUM(J3:J9)</f>
        <v>2345</v>
      </c>
      <c r="T8" s="30" t="s">
        <v>3</v>
      </c>
      <c r="U8" s="1738"/>
    </row>
    <row r="9" spans="1:21" ht="18" thickBot="1">
      <c r="A9" s="10" t="s">
        <v>16</v>
      </c>
      <c r="B9" s="11">
        <f>CHAMNORD!B9</f>
        <v>46026</v>
      </c>
      <c r="C9" s="75">
        <f>IF(H9=0,"",'[7]2025-2026'!C8)</f>
        <v>10272</v>
      </c>
      <c r="D9" s="68">
        <f>'[7]2025'!C9</f>
        <v>10148</v>
      </c>
      <c r="E9" s="68">
        <f>'[7]2025'!D9</f>
        <v>10009</v>
      </c>
      <c r="F9" s="20">
        <f>'[7]2025'!E9</f>
        <v>438</v>
      </c>
      <c r="G9" s="73">
        <f>'[7]2025'!F9</f>
        <v>10100</v>
      </c>
      <c r="H9" s="42">
        <f>'[7]2025'!G9</f>
        <v>10541</v>
      </c>
      <c r="I9" s="13">
        <f>'[7]2025'!H9</f>
        <v>10453</v>
      </c>
      <c r="J9" s="14">
        <f>'[7]2025'!I9</f>
        <v>444</v>
      </c>
      <c r="K9" s="15">
        <f>'[7]2025'!J9</f>
        <v>105</v>
      </c>
      <c r="L9" s="15">
        <f>'[7]2025'!K9</f>
        <v>123</v>
      </c>
      <c r="M9" s="15">
        <f>'[7]2025'!L9</f>
        <v>59</v>
      </c>
      <c r="N9" s="16">
        <f t="shared" si="3"/>
        <v>5.6443126375203293E-3</v>
      </c>
      <c r="O9" s="17">
        <f t="shared" si="0"/>
        <v>4.4360075931661504E-2</v>
      </c>
      <c r="P9" s="17">
        <f t="shared" si="0"/>
        <v>1.3698630136986301E-2</v>
      </c>
      <c r="Q9" s="18">
        <f t="shared" si="1"/>
        <v>99.552380952380958</v>
      </c>
      <c r="R9" s="18">
        <f t="shared" si="2"/>
        <v>84.983739837398375</v>
      </c>
      <c r="S9" s="37">
        <f>(S8-SUM(F3:F9))/SUM(F3:F9)</f>
        <v>0.13394584139264989</v>
      </c>
      <c r="T9" s="47">
        <f>SUM(M3:M9)/SUM(I3:I9)</f>
        <v>3.0247813411078718E-3</v>
      </c>
      <c r="U9" s="1739"/>
    </row>
    <row r="10" spans="1:21" ht="17" customHeight="1" thickTop="1">
      <c r="A10" s="10" t="s">
        <v>9</v>
      </c>
      <c r="B10" s="19">
        <f>CHAMNORD!B10</f>
        <v>46027</v>
      </c>
      <c r="C10" s="75">
        <f>IF(H10=0,"",'[7]2025-2026'!C9)</f>
        <v>10148</v>
      </c>
      <c r="D10" s="68">
        <f>'[7]2025'!C10</f>
        <v>6009</v>
      </c>
      <c r="E10" s="68">
        <f>'[7]2025'!D10</f>
        <v>5931</v>
      </c>
      <c r="F10" s="20">
        <f>'[7]2025'!E10</f>
        <v>307</v>
      </c>
      <c r="G10" s="73">
        <f>'[7]2025'!F10</f>
        <v>6000</v>
      </c>
      <c r="H10" s="42">
        <f>'[7]2025'!G10</f>
        <v>6564</v>
      </c>
      <c r="I10" s="13">
        <f>'[7]2025'!H10</f>
        <v>6502</v>
      </c>
      <c r="J10" s="14">
        <f>'[7]2025'!I10</f>
        <v>337</v>
      </c>
      <c r="K10" s="15">
        <f>'[7]2025'!J10</f>
        <v>87</v>
      </c>
      <c r="L10" s="15">
        <f>'[7]2025'!K10</f>
        <v>95</v>
      </c>
      <c r="M10" s="15">
        <f>'[7]2025'!L10</f>
        <v>46</v>
      </c>
      <c r="N10" s="16">
        <f t="shared" si="3"/>
        <v>7.0747462319286376E-3</v>
      </c>
      <c r="O10" s="17">
        <f t="shared" si="0"/>
        <v>9.627381554543922E-2</v>
      </c>
      <c r="P10" s="17">
        <f t="shared" si="0"/>
        <v>9.7719869706840393E-2</v>
      </c>
      <c r="Q10" s="18">
        <f t="shared" si="1"/>
        <v>74.735632183908052</v>
      </c>
      <c r="R10" s="18">
        <f t="shared" si="2"/>
        <v>68.442105263157899</v>
      </c>
      <c r="S10" s="33" t="s">
        <v>39</v>
      </c>
      <c r="T10" s="31" t="s">
        <v>42</v>
      </c>
      <c r="U10" s="1737" t="s">
        <v>84</v>
      </c>
    </row>
    <row r="11" spans="1:21">
      <c r="A11" s="10" t="s">
        <v>11</v>
      </c>
      <c r="B11" s="19">
        <f>CHAMNORD!B11</f>
        <v>46028</v>
      </c>
      <c r="C11" s="75">
        <f>IF(H11=0,"",'[7]2025-2026'!C10)</f>
        <v>6009</v>
      </c>
      <c r="D11" s="68">
        <f>'[7]2025'!C11</f>
        <v>6194</v>
      </c>
      <c r="E11" s="68">
        <f>'[7]2025'!D11</f>
        <v>6123</v>
      </c>
      <c r="F11" s="20">
        <f>'[7]2025'!E11</f>
        <v>333</v>
      </c>
      <c r="G11" s="73">
        <f>'[7]2025'!F11</f>
        <v>6200</v>
      </c>
      <c r="H11" s="42">
        <f>'[7]2025'!G11</f>
        <v>5930</v>
      </c>
      <c r="I11" s="13">
        <f>'[7]2025'!H11</f>
        <v>5888</v>
      </c>
      <c r="J11" s="14">
        <f>'[7]2025'!I11</f>
        <v>301</v>
      </c>
      <c r="K11" s="15">
        <f>'[7]2025'!J11</f>
        <v>81</v>
      </c>
      <c r="L11" s="15">
        <f>'[7]2025'!K11</f>
        <v>90</v>
      </c>
      <c r="M11" s="15">
        <f>'[7]2025'!L11</f>
        <v>61</v>
      </c>
      <c r="N11" s="16">
        <f t="shared" si="3"/>
        <v>1.0360054347826086E-2</v>
      </c>
      <c r="O11" s="17">
        <f t="shared" si="0"/>
        <v>-3.8379879144210358E-2</v>
      </c>
      <c r="P11" s="17">
        <f t="shared" si="0"/>
        <v>-9.6096096096096095E-2</v>
      </c>
      <c r="Q11" s="18">
        <f t="shared" si="1"/>
        <v>72.691358024691354</v>
      </c>
      <c r="R11" s="18">
        <f t="shared" si="2"/>
        <v>65.422222222222217</v>
      </c>
      <c r="S11" s="34">
        <f>SUM(I10:I16)</f>
        <v>57368</v>
      </c>
      <c r="T11" s="45" t="s">
        <v>41</v>
      </c>
      <c r="U11" s="1738"/>
    </row>
    <row r="12" spans="1:21">
      <c r="A12" s="10" t="s">
        <v>12</v>
      </c>
      <c r="B12" s="19">
        <f>CHAMNORD!B12</f>
        <v>46029</v>
      </c>
      <c r="C12" s="75">
        <f>IF(H12=0,"",'[7]2025-2026'!C11)</f>
        <v>6194</v>
      </c>
      <c r="D12" s="68">
        <f>'[7]2025'!C12</f>
        <v>7995</v>
      </c>
      <c r="E12" s="68">
        <f>'[7]2025'!D12</f>
        <v>7876</v>
      </c>
      <c r="F12" s="20">
        <f>'[7]2025'!E12</f>
        <v>436</v>
      </c>
      <c r="G12" s="73">
        <f>'[7]2025'!F12</f>
        <v>7900</v>
      </c>
      <c r="H12" s="42">
        <f>'[7]2025'!G12</f>
        <v>8366</v>
      </c>
      <c r="I12" s="13">
        <f>'[7]2025'!H12</f>
        <v>8279</v>
      </c>
      <c r="J12" s="14">
        <f>'[7]2025'!I12</f>
        <v>398</v>
      </c>
      <c r="K12" s="15">
        <f>'[7]2025'!J12</f>
        <v>91</v>
      </c>
      <c r="L12" s="15">
        <f>'[7]2025'!K12</f>
        <v>109</v>
      </c>
      <c r="M12" s="15">
        <f>'[7]2025'!L12</f>
        <v>44</v>
      </c>
      <c r="N12" s="16">
        <f t="shared" si="3"/>
        <v>5.3146515279623146E-3</v>
      </c>
      <c r="O12" s="17">
        <f t="shared" si="0"/>
        <v>5.1168105637379384E-2</v>
      </c>
      <c r="P12" s="17">
        <f t="shared" si="0"/>
        <v>-8.7155963302752298E-2</v>
      </c>
      <c r="Q12" s="18">
        <f t="shared" si="1"/>
        <v>90.978021978021971</v>
      </c>
      <c r="R12" s="18">
        <f t="shared" si="2"/>
        <v>75.954128440366972</v>
      </c>
      <c r="S12" s="35">
        <f>(S11-SUM(E10:E16))/SUM(E10:E16)</f>
        <v>-5.3145837459562952E-2</v>
      </c>
      <c r="T12" s="48">
        <f>SUM(I10:I16)/SUM(K10:K16)</f>
        <v>84.240822320117474</v>
      </c>
      <c r="U12" s="1738"/>
    </row>
    <row r="13" spans="1:21">
      <c r="A13" s="10" t="s">
        <v>13</v>
      </c>
      <c r="B13" s="19">
        <f>CHAMNORD!B13</f>
        <v>46030</v>
      </c>
      <c r="C13" s="75">
        <f>IF(H13=0,"",'[7]2025-2026'!C12)</f>
        <v>7995</v>
      </c>
      <c r="D13" s="68">
        <f>'[7]2025'!C13</f>
        <v>6261</v>
      </c>
      <c r="E13" s="68">
        <f>'[7]2025'!D13</f>
        <v>6196</v>
      </c>
      <c r="F13" s="20">
        <f>'[7]2025'!E13</f>
        <v>341</v>
      </c>
      <c r="G13" s="73">
        <f>'[7]2025'!F13</f>
        <v>6300</v>
      </c>
      <c r="H13" s="42">
        <f>'[7]2025'!G13</f>
        <v>5561</v>
      </c>
      <c r="I13" s="13">
        <f>'[7]2025'!H13</f>
        <v>5514</v>
      </c>
      <c r="J13" s="14">
        <f>'[7]2025'!I13</f>
        <v>282</v>
      </c>
      <c r="K13" s="15">
        <f>'[7]2025'!J13</f>
        <v>81</v>
      </c>
      <c r="L13" s="15">
        <f>'[7]2025'!K13</f>
        <v>106</v>
      </c>
      <c r="M13" s="15">
        <f>'[7]2025'!L13</f>
        <v>77</v>
      </c>
      <c r="N13" s="16">
        <f t="shared" si="3"/>
        <v>1.3964454116793616E-2</v>
      </c>
      <c r="O13" s="17">
        <f t="shared" si="0"/>
        <v>-0.11007101355713364</v>
      </c>
      <c r="P13" s="17">
        <f t="shared" si="0"/>
        <v>-0.17302052785923755</v>
      </c>
      <c r="Q13" s="18">
        <f t="shared" si="1"/>
        <v>68.074074074074076</v>
      </c>
      <c r="R13" s="18">
        <f t="shared" si="2"/>
        <v>52.018867924528301</v>
      </c>
      <c r="S13" s="34"/>
      <c r="T13" s="29" t="s">
        <v>8</v>
      </c>
      <c r="U13" s="1738"/>
    </row>
    <row r="14" spans="1:21">
      <c r="A14" s="10" t="s">
        <v>14</v>
      </c>
      <c r="B14" s="19">
        <f>CHAMNORD!B14</f>
        <v>46031</v>
      </c>
      <c r="C14" s="75">
        <f>IF(H14=0,"",'[7]2025-2026'!C13)</f>
        <v>6261</v>
      </c>
      <c r="D14" s="68">
        <f>'[7]2025'!C14</f>
        <v>11230</v>
      </c>
      <c r="E14" s="68">
        <f>'[7]2025'!D14</f>
        <v>11072</v>
      </c>
      <c r="F14" s="20">
        <f>'[7]2025'!E14</f>
        <v>562</v>
      </c>
      <c r="G14" s="73">
        <f>'[7]2025'!F14</f>
        <v>11200</v>
      </c>
      <c r="H14" s="42">
        <f>'[7]2025'!G14</f>
        <v>10556</v>
      </c>
      <c r="I14" s="13">
        <f>'[7]2025'!H14</f>
        <v>10480</v>
      </c>
      <c r="J14" s="14">
        <f>'[7]2025'!I14</f>
        <v>529</v>
      </c>
      <c r="K14" s="15">
        <f>'[7]2025'!J14</f>
        <v>110</v>
      </c>
      <c r="L14" s="15">
        <f>'[7]2025'!K14</f>
        <v>118</v>
      </c>
      <c r="M14" s="15">
        <f>'[7]2025'!L14</f>
        <v>42</v>
      </c>
      <c r="N14" s="16">
        <f t="shared" si="3"/>
        <v>4.0076335877862598E-3</v>
      </c>
      <c r="O14" s="17">
        <f t="shared" si="0"/>
        <v>-5.346820809248555E-2</v>
      </c>
      <c r="P14" s="17">
        <f t="shared" si="0"/>
        <v>-5.8718861209964411E-2</v>
      </c>
      <c r="Q14" s="18">
        <f t="shared" si="1"/>
        <v>95.272727272727266</v>
      </c>
      <c r="R14" s="18">
        <f t="shared" si="2"/>
        <v>88.813559322033896</v>
      </c>
      <c r="S14" s="36" t="s">
        <v>40</v>
      </c>
      <c r="T14" s="48">
        <f>SUM(I10:I16)/SUM(L10:L16)</f>
        <v>74.990849673202618</v>
      </c>
      <c r="U14" s="1738"/>
    </row>
    <row r="15" spans="1:21">
      <c r="A15" s="10" t="s">
        <v>15</v>
      </c>
      <c r="B15" s="19">
        <f>CHAMNORD!B15</f>
        <v>46032</v>
      </c>
      <c r="C15" s="75">
        <f>IF(H15=0,"",'[7]2025-2026'!C14)</f>
        <v>11230</v>
      </c>
      <c r="D15" s="68">
        <f>'[7]2025'!C15</f>
        <v>12758</v>
      </c>
      <c r="E15" s="68">
        <f>'[7]2025'!D15</f>
        <v>12607</v>
      </c>
      <c r="F15" s="20">
        <f>'[7]2025'!E15</f>
        <v>632</v>
      </c>
      <c r="G15" s="73">
        <f>'[7]2025'!F15</f>
        <v>12700</v>
      </c>
      <c r="H15" s="42">
        <f>'[7]2025'!G15</f>
        <v>10504</v>
      </c>
      <c r="I15" s="13">
        <f>'[7]2025'!H15</f>
        <v>10405</v>
      </c>
      <c r="J15" s="14">
        <f>'[7]2025'!I15</f>
        <v>480</v>
      </c>
      <c r="K15" s="15">
        <f>'[7]2025'!J15</f>
        <v>126</v>
      </c>
      <c r="L15" s="15">
        <f>'[7]2025'!K15</f>
        <v>135</v>
      </c>
      <c r="M15" s="15">
        <f>'[7]2025'!L15</f>
        <v>21</v>
      </c>
      <c r="N15" s="16">
        <f t="shared" si="3"/>
        <v>2.0182604517059105E-3</v>
      </c>
      <c r="O15" s="17">
        <f t="shared" si="0"/>
        <v>-0.17466486872372491</v>
      </c>
      <c r="P15" s="17">
        <f t="shared" si="0"/>
        <v>-0.24050632911392406</v>
      </c>
      <c r="Q15" s="18">
        <f t="shared" si="1"/>
        <v>82.579365079365076</v>
      </c>
      <c r="R15" s="18">
        <f t="shared" si="2"/>
        <v>77.074074074074076</v>
      </c>
      <c r="S15" s="36">
        <f>SUM(J10:J16)</f>
        <v>2751</v>
      </c>
      <c r="T15" s="30" t="s">
        <v>3</v>
      </c>
      <c r="U15" s="1738"/>
    </row>
    <row r="16" spans="1:21" ht="18" thickBot="1">
      <c r="A16" s="10" t="s">
        <v>16</v>
      </c>
      <c r="B16" s="19">
        <f>CHAMNORD!B16</f>
        <v>46033</v>
      </c>
      <c r="C16" s="75">
        <f>IF(H16=0,"",'[7]2025-2026'!C15)</f>
        <v>12758</v>
      </c>
      <c r="D16" s="68">
        <f>'[7]2025'!C16</f>
        <v>10869</v>
      </c>
      <c r="E16" s="68">
        <f>'[7]2025'!D16</f>
        <v>10783</v>
      </c>
      <c r="F16" s="20">
        <f>'[7]2025'!E16</f>
        <v>452</v>
      </c>
      <c r="G16" s="73">
        <f>'[7]2025'!F16</f>
        <v>10900</v>
      </c>
      <c r="H16" s="42">
        <f>'[7]2025'!G16</f>
        <v>10384</v>
      </c>
      <c r="I16" s="13">
        <f>'[7]2025'!H16</f>
        <v>10300</v>
      </c>
      <c r="J16" s="14">
        <f>'[7]2025'!I16</f>
        <v>424</v>
      </c>
      <c r="K16" s="15">
        <f>'[7]2025'!J16</f>
        <v>105</v>
      </c>
      <c r="L16" s="15">
        <f>'[7]2025'!K16</f>
        <v>112</v>
      </c>
      <c r="M16" s="15">
        <f>'[7]2025'!L16</f>
        <v>28</v>
      </c>
      <c r="N16" s="16">
        <f t="shared" si="3"/>
        <v>2.7184466019417475E-3</v>
      </c>
      <c r="O16" s="17">
        <f t="shared" si="0"/>
        <v>-4.4792729296114255E-2</v>
      </c>
      <c r="P16" s="17">
        <f t="shared" si="0"/>
        <v>-6.1946902654867256E-2</v>
      </c>
      <c r="Q16" s="18">
        <f t="shared" si="1"/>
        <v>98.095238095238102</v>
      </c>
      <c r="R16" s="18">
        <f t="shared" si="2"/>
        <v>91.964285714285708</v>
      </c>
      <c r="S16" s="37">
        <f>(S15-SUM(F10:F16))/SUM(F10:F16)</f>
        <v>-0.10186092066601371</v>
      </c>
      <c r="T16" s="47">
        <f>SUM(M10:M16)/SUM(I10:I16)</f>
        <v>5.5605912703946452E-3</v>
      </c>
      <c r="U16" s="1739"/>
    </row>
    <row r="17" spans="1:21" ht="17" customHeight="1" thickTop="1">
      <c r="A17" s="10" t="s">
        <v>9</v>
      </c>
      <c r="B17" s="19">
        <f>CHAMNORD!B17</f>
        <v>46034</v>
      </c>
      <c r="C17" s="75">
        <f>IF(H17=0,"",'[7]2025-2026'!C16)</f>
        <v>10869</v>
      </c>
      <c r="D17" s="68">
        <f>'[7]2025'!C17</f>
        <v>6145</v>
      </c>
      <c r="E17" s="68">
        <f>'[7]2025'!D17</f>
        <v>6096</v>
      </c>
      <c r="F17" s="20">
        <f>'[7]2025'!E17</f>
        <v>334</v>
      </c>
      <c r="G17" s="73">
        <f>'[7]2025'!F17</f>
        <v>6200</v>
      </c>
      <c r="H17" s="42">
        <f>'[7]2025'!G17</f>
        <v>4989</v>
      </c>
      <c r="I17" s="13">
        <f>'[7]2025'!H17</f>
        <v>4960</v>
      </c>
      <c r="J17" s="14">
        <f>'[7]2025'!I17</f>
        <v>259</v>
      </c>
      <c r="K17" s="15">
        <f>'[7]2025'!J17</f>
        <v>79</v>
      </c>
      <c r="L17" s="15">
        <f>'[7]2025'!K17</f>
        <v>96</v>
      </c>
      <c r="M17" s="15">
        <f>'[7]2025'!L17</f>
        <v>28</v>
      </c>
      <c r="N17" s="16">
        <f t="shared" si="3"/>
        <v>5.6451612903225803E-3</v>
      </c>
      <c r="O17" s="17">
        <f t="shared" si="0"/>
        <v>-0.18635170603674542</v>
      </c>
      <c r="P17" s="17">
        <f t="shared" si="0"/>
        <v>-0.22455089820359281</v>
      </c>
      <c r="Q17" s="18">
        <f t="shared" si="1"/>
        <v>62.784810126582279</v>
      </c>
      <c r="R17" s="18">
        <f t="shared" si="2"/>
        <v>51.666666666666664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19">
        <f>CHAMNORD!B18</f>
        <v>46035</v>
      </c>
      <c r="C18" s="75">
        <f>IF(H18=0,"",'[7]2025-2026'!C17)</f>
        <v>6145</v>
      </c>
      <c r="D18" s="68">
        <f>'[7]2025'!C18</f>
        <v>5543</v>
      </c>
      <c r="E18" s="68">
        <f>'[7]2025'!D18</f>
        <v>5498</v>
      </c>
      <c r="F18" s="20">
        <f>'[7]2025'!E18</f>
        <v>317</v>
      </c>
      <c r="G18" s="73">
        <f>'[7]2025'!F18</f>
        <v>5500</v>
      </c>
      <c r="H18" s="42">
        <f>'[7]2025'!G18</f>
        <v>6368</v>
      </c>
      <c r="I18" s="13">
        <f>'[7]2025'!H18</f>
        <v>6316</v>
      </c>
      <c r="J18" s="14">
        <f>'[7]2025'!I18</f>
        <v>338</v>
      </c>
      <c r="K18" s="15">
        <f>'[7]2025'!J18</f>
        <v>71</v>
      </c>
      <c r="L18" s="15">
        <f>'[7]2025'!K18</f>
        <v>87</v>
      </c>
      <c r="M18" s="15">
        <f>'[7]2025'!L18</f>
        <v>29</v>
      </c>
      <c r="N18" s="16">
        <f t="shared" si="3"/>
        <v>4.5915136162127928E-3</v>
      </c>
      <c r="O18" s="17">
        <f t="shared" si="0"/>
        <v>0.14878137504547109</v>
      </c>
      <c r="P18" s="17">
        <f t="shared" si="0"/>
        <v>6.6246056782334389E-2</v>
      </c>
      <c r="Q18" s="18">
        <f t="shared" si="1"/>
        <v>88.957746478873233</v>
      </c>
      <c r="R18" s="18">
        <f t="shared" si="2"/>
        <v>72.597701149425291</v>
      </c>
      <c r="S18" s="34">
        <f>SUM(I17:I23)</f>
        <v>61668</v>
      </c>
      <c r="T18" s="45" t="s">
        <v>41</v>
      </c>
      <c r="U18" s="1738"/>
    </row>
    <row r="19" spans="1:21">
      <c r="A19" s="10" t="s">
        <v>12</v>
      </c>
      <c r="B19" s="19">
        <f>CHAMNORD!B19</f>
        <v>46036</v>
      </c>
      <c r="C19" s="75">
        <f>IF(H19=0,"",'[7]2025-2026'!C18)</f>
        <v>5543</v>
      </c>
      <c r="D19" s="68">
        <f>'[7]2025'!C19</f>
        <v>8205</v>
      </c>
      <c r="E19" s="68">
        <f>'[7]2025'!D19</f>
        <v>8132</v>
      </c>
      <c r="F19" s="20">
        <f>'[7]2025'!E19</f>
        <v>437</v>
      </c>
      <c r="G19" s="73">
        <f>'[7]2025'!F19</f>
        <v>8200</v>
      </c>
      <c r="H19" s="42">
        <f>'[7]2025'!G19</f>
        <v>8180</v>
      </c>
      <c r="I19" s="13">
        <f>'[7]2025'!H19</f>
        <v>8110</v>
      </c>
      <c r="J19" s="14">
        <f>'[7]2025'!I19</f>
        <v>416</v>
      </c>
      <c r="K19" s="15">
        <f>'[7]2025'!J19</f>
        <v>89</v>
      </c>
      <c r="L19" s="15">
        <f>'[7]2025'!K19</f>
        <v>105</v>
      </c>
      <c r="M19" s="15">
        <f>'[7]2025'!L19</f>
        <v>40</v>
      </c>
      <c r="N19" s="16">
        <f t="shared" si="3"/>
        <v>4.9321824907521579E-3</v>
      </c>
      <c r="O19" s="17">
        <f t="shared" si="0"/>
        <v>-2.7053615346778162E-3</v>
      </c>
      <c r="P19" s="17">
        <f t="shared" si="0"/>
        <v>-4.8054919908466817E-2</v>
      </c>
      <c r="Q19" s="18">
        <f t="shared" si="1"/>
        <v>91.123595505617971</v>
      </c>
      <c r="R19" s="18">
        <f t="shared" si="2"/>
        <v>77.238095238095241</v>
      </c>
      <c r="S19" s="35">
        <f>(S18-SUM(E17:E23))/SUM(E17:E23)</f>
        <v>-3.2165774968884865E-3</v>
      </c>
      <c r="T19" s="48">
        <f>SUM(I17:I23)/SUM(K17:K23)</f>
        <v>96.962264150943398</v>
      </c>
      <c r="U19" s="1738"/>
    </row>
    <row r="20" spans="1:21">
      <c r="A20" s="10" t="s">
        <v>13</v>
      </c>
      <c r="B20" s="19">
        <f>CHAMNORD!B20</f>
        <v>46037</v>
      </c>
      <c r="C20" s="75">
        <f>IF(H20=0,"",'[7]2025-2026'!C19)</f>
        <v>8205</v>
      </c>
      <c r="D20" s="68">
        <f>'[7]2025'!C20</f>
        <v>6474</v>
      </c>
      <c r="E20" s="68">
        <f>'[7]2025'!D20</f>
        <v>6421</v>
      </c>
      <c r="F20" s="20">
        <f>'[7]2025'!E20</f>
        <v>362</v>
      </c>
      <c r="G20" s="73">
        <f>'[7]2025'!F20</f>
        <v>6500</v>
      </c>
      <c r="H20" s="42">
        <f>'[7]2025'!G20</f>
        <v>7181</v>
      </c>
      <c r="I20" s="13">
        <f>'[7]2025'!H20</f>
        <v>7129</v>
      </c>
      <c r="J20" s="14">
        <f>'[7]2025'!I20</f>
        <v>379</v>
      </c>
      <c r="K20" s="15">
        <f>'[7]2025'!J20</f>
        <v>77</v>
      </c>
      <c r="L20" s="15">
        <f>'[7]2025'!K20</f>
        <v>93</v>
      </c>
      <c r="M20" s="15">
        <f>'[7]2025'!L20</f>
        <v>35</v>
      </c>
      <c r="N20" s="16">
        <f t="shared" si="3"/>
        <v>4.9095244774863232E-3</v>
      </c>
      <c r="O20" s="17">
        <f t="shared" si="0"/>
        <v>0.11026319887867933</v>
      </c>
      <c r="P20" s="17">
        <f t="shared" si="0"/>
        <v>4.6961325966850827E-2</v>
      </c>
      <c r="Q20" s="18">
        <f t="shared" si="1"/>
        <v>92.584415584415581</v>
      </c>
      <c r="R20" s="18">
        <f t="shared" si="2"/>
        <v>76.655913978494624</v>
      </c>
      <c r="S20" s="34"/>
      <c r="T20" s="29" t="s">
        <v>8</v>
      </c>
      <c r="U20" s="1738"/>
    </row>
    <row r="21" spans="1:21">
      <c r="A21" s="10" t="s">
        <v>14</v>
      </c>
      <c r="B21" s="19">
        <f>CHAMNORD!B21</f>
        <v>46038</v>
      </c>
      <c r="C21" s="75">
        <f>IF(H21=0,"",'[7]2025-2026'!C20)</f>
        <v>6474</v>
      </c>
      <c r="D21" s="68">
        <f>'[7]2025'!C21</f>
        <v>11393</v>
      </c>
      <c r="E21" s="68">
        <f>'[7]2025'!D21</f>
        <v>11310</v>
      </c>
      <c r="F21" s="20">
        <f>'[7]2025'!E21</f>
        <v>602</v>
      </c>
      <c r="G21" s="73">
        <f>'[7]2025'!F21</f>
        <v>11400</v>
      </c>
      <c r="H21" s="42">
        <f>'[7]2025'!G21</f>
        <v>11470</v>
      </c>
      <c r="I21" s="13">
        <f>'[7]2025'!H21</f>
        <v>11395</v>
      </c>
      <c r="J21" s="14">
        <f>'[7]2025'!I21</f>
        <v>565</v>
      </c>
      <c r="K21" s="15">
        <f>'[7]2025'!J21</f>
        <v>106</v>
      </c>
      <c r="L21" s="15">
        <f>'[7]2025'!K21</f>
        <v>123</v>
      </c>
      <c r="M21" s="15">
        <f>'[7]2025'!L21</f>
        <v>37</v>
      </c>
      <c r="N21" s="16">
        <f t="shared" si="3"/>
        <v>3.2470381746379992E-3</v>
      </c>
      <c r="O21" s="17">
        <f t="shared" si="0"/>
        <v>7.5154730327144119E-3</v>
      </c>
      <c r="P21" s="17">
        <f t="shared" si="0"/>
        <v>-6.1461794019933555E-2</v>
      </c>
      <c r="Q21" s="18">
        <f t="shared" si="1"/>
        <v>107.5</v>
      </c>
      <c r="R21" s="18">
        <f t="shared" si="2"/>
        <v>92.642276422764226</v>
      </c>
      <c r="S21" s="36" t="s">
        <v>40</v>
      </c>
      <c r="T21" s="48">
        <f>SUM(I17:I23)/SUM(L17:L23)</f>
        <v>82.005319148936167</v>
      </c>
      <c r="U21" s="1738"/>
    </row>
    <row r="22" spans="1:21">
      <c r="A22" s="10" t="s">
        <v>15</v>
      </c>
      <c r="B22" s="19">
        <f>CHAMNORD!B22</f>
        <v>46039</v>
      </c>
      <c r="C22" s="75">
        <f>IF(H22=0,"",'[7]2025-2026'!C21)</f>
        <v>11393</v>
      </c>
      <c r="D22" s="68">
        <f>'[7]2025'!C22</f>
        <v>13806</v>
      </c>
      <c r="E22" s="68">
        <f>'[7]2025'!D22</f>
        <v>13638</v>
      </c>
      <c r="F22" s="20">
        <f>'[7]2025'!E22</f>
        <v>680</v>
      </c>
      <c r="G22" s="73">
        <f>'[7]2025'!F22</f>
        <v>13800</v>
      </c>
      <c r="H22" s="42">
        <f>'[7]2025'!G22</f>
        <v>13060</v>
      </c>
      <c r="I22" s="13">
        <f>'[7]2025'!H22</f>
        <v>12949</v>
      </c>
      <c r="J22" s="14">
        <f>'[7]2025'!I22</f>
        <v>612</v>
      </c>
      <c r="K22" s="15">
        <f>'[7]2025'!J22</f>
        <v>116</v>
      </c>
      <c r="L22" s="15">
        <f>'[7]2025'!K22</f>
        <v>134</v>
      </c>
      <c r="M22" s="15">
        <f>'[7]2025'!L22</f>
        <v>32</v>
      </c>
      <c r="N22" s="16">
        <f t="shared" si="3"/>
        <v>2.4712332998687156E-3</v>
      </c>
      <c r="O22" s="17">
        <f t="shared" si="0"/>
        <v>-5.052060419416337E-2</v>
      </c>
      <c r="P22" s="17">
        <f t="shared" si="0"/>
        <v>-0.1</v>
      </c>
      <c r="Q22" s="18">
        <f t="shared" si="1"/>
        <v>111.62931034482759</v>
      </c>
      <c r="R22" s="18">
        <f t="shared" si="2"/>
        <v>96.634328358208961</v>
      </c>
      <c r="S22" s="36">
        <f>SUM(J17:J23)</f>
        <v>3041</v>
      </c>
      <c r="T22" s="30" t="s">
        <v>3</v>
      </c>
      <c r="U22" s="1738"/>
    </row>
    <row r="23" spans="1:21" ht="18" thickBot="1">
      <c r="A23" s="10" t="s">
        <v>16</v>
      </c>
      <c r="B23" s="19">
        <f>CHAMNORD!B23</f>
        <v>46040</v>
      </c>
      <c r="C23" s="75">
        <f>IF(H23=0,"",'[7]2025-2026'!C22)</f>
        <v>13806</v>
      </c>
      <c r="D23" s="68">
        <f>'[7]2025'!C23</f>
        <v>10845</v>
      </c>
      <c r="E23" s="68">
        <f>'[7]2025'!D23</f>
        <v>10772</v>
      </c>
      <c r="F23" s="20">
        <f>'[7]2025'!E23</f>
        <v>511</v>
      </c>
      <c r="G23" s="73">
        <f>'[7]2025'!F23</f>
        <v>10900</v>
      </c>
      <c r="H23" s="42">
        <f>'[7]2025'!G23</f>
        <v>10907</v>
      </c>
      <c r="I23" s="13">
        <f>'[7]2025'!H23</f>
        <v>10809</v>
      </c>
      <c r="J23" s="14">
        <f>'[7]2025'!I23</f>
        <v>472</v>
      </c>
      <c r="K23" s="15">
        <f>'[7]2025'!J23</f>
        <v>98</v>
      </c>
      <c r="L23" s="15">
        <f>'[7]2025'!K23</f>
        <v>114</v>
      </c>
      <c r="M23" s="15">
        <f>'[7]2025'!L23</f>
        <v>56</v>
      </c>
      <c r="N23" s="16">
        <f t="shared" si="3"/>
        <v>5.1808677953557218E-3</v>
      </c>
      <c r="O23" s="17">
        <f t="shared" si="0"/>
        <v>3.4348310434459709E-3</v>
      </c>
      <c r="P23" s="17">
        <f t="shared" si="0"/>
        <v>-7.6320939334637961E-2</v>
      </c>
      <c r="Q23" s="18">
        <f t="shared" si="1"/>
        <v>110.29591836734694</v>
      </c>
      <c r="R23" s="18">
        <f t="shared" si="2"/>
        <v>94.815789473684205</v>
      </c>
      <c r="S23" s="37">
        <f>(S22-SUM(F17:F23))/SUM(F17:F23)</f>
        <v>-6.2288004933703359E-2</v>
      </c>
      <c r="T23" s="47">
        <f>SUM(M17:M23)/SUM(I17:I23)</f>
        <v>4.1674774599468117E-3</v>
      </c>
      <c r="U23" s="1739"/>
    </row>
    <row r="24" spans="1:21" ht="17" customHeight="1" thickTop="1">
      <c r="A24" s="10" t="s">
        <v>9</v>
      </c>
      <c r="B24" s="19">
        <f>CHAMNORD!B24</f>
        <v>46041</v>
      </c>
      <c r="C24" s="75">
        <f>IF(H24=0,"",'[7]2025-2026'!C23)</f>
        <v>10845</v>
      </c>
      <c r="D24" s="68">
        <f>'[7]2025'!C24</f>
        <v>5097</v>
      </c>
      <c r="E24" s="68">
        <f>'[7]2025'!D24</f>
        <v>5054</v>
      </c>
      <c r="F24" s="20">
        <f>'[7]2025'!E24</f>
        <v>282</v>
      </c>
      <c r="G24" s="73">
        <f>'[7]2025'!F24</f>
        <v>5100</v>
      </c>
      <c r="H24" s="42">
        <f>'[7]2025'!G24</f>
        <v>5396</v>
      </c>
      <c r="I24" s="13">
        <f>'[7]2025'!H24</f>
        <v>5353</v>
      </c>
      <c r="J24" s="14">
        <f>'[7]2025'!I24</f>
        <v>281</v>
      </c>
      <c r="K24" s="15">
        <f>'[7]2025'!J24</f>
        <v>71</v>
      </c>
      <c r="L24" s="15">
        <f>'[7]2025'!K24</f>
        <v>80</v>
      </c>
      <c r="M24" s="15">
        <f>'[7]2025'!L24</f>
        <v>43</v>
      </c>
      <c r="N24" s="16">
        <f t="shared" si="3"/>
        <v>8.0328787595740705E-3</v>
      </c>
      <c r="O24" s="17">
        <f t="shared" si="0"/>
        <v>5.9161060546102096E-2</v>
      </c>
      <c r="P24" s="17">
        <f t="shared" si="0"/>
        <v>-3.5460992907801418E-3</v>
      </c>
      <c r="Q24" s="18">
        <f t="shared" si="1"/>
        <v>75.394366197183103</v>
      </c>
      <c r="R24" s="18">
        <f t="shared" si="2"/>
        <v>66.912499999999994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19">
        <f>CHAMNORD!B25</f>
        <v>46042</v>
      </c>
      <c r="C25" s="75">
        <f>IF(H25=0,"",'[7]2025-2026'!C24)</f>
        <v>5097</v>
      </c>
      <c r="D25" s="68">
        <f>'[7]2025'!C25</f>
        <v>6161</v>
      </c>
      <c r="E25" s="68">
        <f>'[7]2025'!D25</f>
        <v>6115</v>
      </c>
      <c r="F25" s="20">
        <f>'[7]2025'!E25</f>
        <v>326</v>
      </c>
      <c r="G25" s="73">
        <f>'[7]2025'!F25</f>
        <v>6200</v>
      </c>
      <c r="H25" s="42">
        <f>'[7]2025'!G25</f>
        <v>6641</v>
      </c>
      <c r="I25" s="13">
        <f>'[7]2025'!H25</f>
        <v>6571</v>
      </c>
      <c r="J25" s="14">
        <f>'[7]2025'!I25</f>
        <v>345</v>
      </c>
      <c r="K25" s="15">
        <f>'[7]2025'!J25</f>
        <v>73</v>
      </c>
      <c r="L25" s="15">
        <f>'[7]2025'!K25</f>
        <v>81</v>
      </c>
      <c r="M25" s="15">
        <f>'[7]2025'!L25</f>
        <v>41</v>
      </c>
      <c r="N25" s="16">
        <f t="shared" si="3"/>
        <v>6.2395373611322481E-3</v>
      </c>
      <c r="O25" s="17">
        <f t="shared" si="0"/>
        <v>7.4570727718724444E-2</v>
      </c>
      <c r="P25" s="17">
        <f t="shared" si="0"/>
        <v>5.8282208588957052E-2</v>
      </c>
      <c r="Q25" s="18">
        <f t="shared" si="1"/>
        <v>90.013698630136986</v>
      </c>
      <c r="R25" s="18">
        <f t="shared" si="2"/>
        <v>81.123456790123456</v>
      </c>
      <c r="S25" s="34">
        <f>SUM(I24:I30)</f>
        <v>60012</v>
      </c>
      <c r="T25" s="45" t="s">
        <v>41</v>
      </c>
      <c r="U25" s="1738"/>
    </row>
    <row r="26" spans="1:21">
      <c r="A26" s="10" t="s">
        <v>12</v>
      </c>
      <c r="B26" s="19">
        <f>CHAMNORD!B26</f>
        <v>46043</v>
      </c>
      <c r="C26" s="75">
        <f>IF(H26=0,"",'[7]2025-2026'!C25)</f>
        <v>6161</v>
      </c>
      <c r="D26" s="68">
        <f>'[7]2025'!C26</f>
        <v>7535</v>
      </c>
      <c r="E26" s="68">
        <f>'[7]2025'!D26</f>
        <v>7451</v>
      </c>
      <c r="F26" s="20">
        <f>'[7]2025'!E26</f>
        <v>407</v>
      </c>
      <c r="G26" s="73">
        <f>'[7]2025'!F26</f>
        <v>7500</v>
      </c>
      <c r="H26" s="42">
        <f>'[7]2025'!G26</f>
        <v>8180</v>
      </c>
      <c r="I26" s="13">
        <f>'[7]2025'!H26</f>
        <v>8110</v>
      </c>
      <c r="J26" s="14">
        <f>'[7]2025'!I26</f>
        <v>402</v>
      </c>
      <c r="K26" s="15">
        <f>'[7]2025'!J26</f>
        <v>82</v>
      </c>
      <c r="L26" s="15">
        <f>'[7]2025'!K26</f>
        <v>90</v>
      </c>
      <c r="M26" s="15">
        <f>'[7]2025'!L26</f>
        <v>40</v>
      </c>
      <c r="N26" s="16">
        <f t="shared" si="3"/>
        <v>4.9321824907521579E-3</v>
      </c>
      <c r="O26" s="17">
        <f t="shared" si="0"/>
        <v>8.8444504093410287E-2</v>
      </c>
      <c r="P26" s="17">
        <f t="shared" si="0"/>
        <v>-1.2285012285012284E-2</v>
      </c>
      <c r="Q26" s="18">
        <f t="shared" si="1"/>
        <v>98.902439024390247</v>
      </c>
      <c r="R26" s="18">
        <f t="shared" si="2"/>
        <v>90.111111111111114</v>
      </c>
      <c r="S26" s="35">
        <f>(S25-SUM(E24:E30))/SUM(E24:E30)</f>
        <v>3.3887501076750794E-2</v>
      </c>
      <c r="T26" s="48">
        <f>SUM(I24:I30)/SUM(K24:K30)</f>
        <v>95.10618066561014</v>
      </c>
      <c r="U26" s="1738"/>
    </row>
    <row r="27" spans="1:21">
      <c r="A27" s="10" t="s">
        <v>13</v>
      </c>
      <c r="B27" s="19">
        <f>CHAMNORD!B27</f>
        <v>46044</v>
      </c>
      <c r="C27" s="75">
        <f>IF(H27=0,"",'[7]2025-2026'!C26)</f>
        <v>7535</v>
      </c>
      <c r="D27" s="68">
        <f>'[7]2025'!C27</f>
        <v>6333</v>
      </c>
      <c r="E27" s="68">
        <f>'[7]2025'!D27</f>
        <v>6303</v>
      </c>
      <c r="F27" s="20">
        <f>'[7]2025'!E27</f>
        <v>365</v>
      </c>
      <c r="G27" s="73">
        <f>'[7]2025'!F27</f>
        <v>6400</v>
      </c>
      <c r="H27" s="42">
        <f>'[7]2025'!G27</f>
        <v>5976</v>
      </c>
      <c r="I27" s="13">
        <f>'[7]2025'!H27</f>
        <v>5932</v>
      </c>
      <c r="J27" s="14">
        <f>'[7]2025'!I27</f>
        <v>312</v>
      </c>
      <c r="K27" s="15">
        <f>'[7]2025'!J27</f>
        <v>78</v>
      </c>
      <c r="L27" s="15">
        <f>'[7]2025'!K27</f>
        <v>95</v>
      </c>
      <c r="M27" s="15">
        <f>'[7]2025'!L27</f>
        <v>72</v>
      </c>
      <c r="N27" s="16">
        <f t="shared" si="3"/>
        <v>1.2137559002022926E-2</v>
      </c>
      <c r="O27" s="17">
        <f t="shared" si="0"/>
        <v>-5.8860859907980324E-2</v>
      </c>
      <c r="P27" s="17">
        <f t="shared" si="0"/>
        <v>-0.14520547945205478</v>
      </c>
      <c r="Q27" s="18">
        <f t="shared" si="1"/>
        <v>76.051282051282058</v>
      </c>
      <c r="R27" s="18">
        <f t="shared" si="2"/>
        <v>62.442105263157892</v>
      </c>
      <c r="S27" s="34"/>
      <c r="T27" s="29" t="s">
        <v>8</v>
      </c>
      <c r="U27" s="1738"/>
    </row>
    <row r="28" spans="1:21">
      <c r="A28" s="10" t="s">
        <v>14</v>
      </c>
      <c r="B28" s="19">
        <f>CHAMNORD!B28</f>
        <v>46045</v>
      </c>
      <c r="C28" s="75">
        <f>IF(H28=0,"",'[7]2025-2026'!C27)</f>
        <v>6333</v>
      </c>
      <c r="D28" s="68">
        <f>'[7]2025'!C28</f>
        <v>10747</v>
      </c>
      <c r="E28" s="68">
        <f>'[7]2025'!D28</f>
        <v>10668</v>
      </c>
      <c r="F28" s="20">
        <f>'[7]2025'!E28</f>
        <v>601</v>
      </c>
      <c r="G28" s="73">
        <f>'[7]2025'!F28</f>
        <v>10800</v>
      </c>
      <c r="H28" s="42">
        <f>'[7]2025'!G28</f>
        <v>11578</v>
      </c>
      <c r="I28" s="13">
        <f>'[7]2025'!H28</f>
        <v>11501</v>
      </c>
      <c r="J28" s="14">
        <f>'[7]2025'!I28</f>
        <v>600</v>
      </c>
      <c r="K28" s="15">
        <f>'[7]2025'!J28</f>
        <v>111</v>
      </c>
      <c r="L28" s="15">
        <f>'[7]2025'!K28</f>
        <v>119</v>
      </c>
      <c r="M28" s="15">
        <f>'[7]2025'!L28</f>
        <v>54</v>
      </c>
      <c r="N28" s="16">
        <f t="shared" si="3"/>
        <v>4.6952438918354926E-3</v>
      </c>
      <c r="O28" s="17">
        <f t="shared" si="0"/>
        <v>7.8083989501312331E-2</v>
      </c>
      <c r="P28" s="17">
        <f t="shared" si="0"/>
        <v>-1.6638935108153079E-3</v>
      </c>
      <c r="Q28" s="18">
        <f t="shared" si="1"/>
        <v>103.61261261261261</v>
      </c>
      <c r="R28" s="18">
        <f t="shared" si="2"/>
        <v>96.647058823529406</v>
      </c>
      <c r="S28" s="36" t="s">
        <v>40</v>
      </c>
      <c r="T28" s="48">
        <f>SUM(I24:I30)/SUM(L24:L30)</f>
        <v>85.002832861189802</v>
      </c>
      <c r="U28" s="1738"/>
    </row>
    <row r="29" spans="1:21">
      <c r="A29" s="10" t="s">
        <v>15</v>
      </c>
      <c r="B29" s="19">
        <f>CHAMNORD!B29</f>
        <v>46046</v>
      </c>
      <c r="C29" s="75">
        <f>IF(H29=0,"",'[7]2025-2026'!C28)</f>
        <v>10747</v>
      </c>
      <c r="D29" s="68">
        <f>'[7]2025'!C29</f>
        <v>11234</v>
      </c>
      <c r="E29" s="68">
        <f>'[7]2025'!D29</f>
        <v>11133</v>
      </c>
      <c r="F29" s="20">
        <f>'[7]2025'!E29</f>
        <v>546</v>
      </c>
      <c r="G29" s="73">
        <f>'[7]2025'!F29</f>
        <v>11200</v>
      </c>
      <c r="H29" s="42">
        <f>'[7]2025'!G29</f>
        <v>12141</v>
      </c>
      <c r="I29" s="13">
        <f>'[7]2025'!H29</f>
        <v>12037</v>
      </c>
      <c r="J29" s="14">
        <f>'[7]2025'!I29</f>
        <v>561</v>
      </c>
      <c r="K29" s="15">
        <f>'[7]2025'!J29</f>
        <v>107</v>
      </c>
      <c r="L29" s="15">
        <f>'[7]2025'!K29</f>
        <v>116</v>
      </c>
      <c r="M29" s="15">
        <f>'[7]2025'!L29</f>
        <v>29</v>
      </c>
      <c r="N29" s="16">
        <f t="shared" si="3"/>
        <v>2.4092381822713302E-3</v>
      </c>
      <c r="O29" s="17">
        <f t="shared" si="0"/>
        <v>8.1200035929219441E-2</v>
      </c>
      <c r="P29" s="17">
        <f t="shared" si="0"/>
        <v>2.7472527472527472E-2</v>
      </c>
      <c r="Q29" s="18">
        <f t="shared" si="1"/>
        <v>112.49532710280374</v>
      </c>
      <c r="R29" s="18">
        <f t="shared" si="2"/>
        <v>103.76724137931035</v>
      </c>
      <c r="S29" s="36">
        <f>SUM(J24:J30)</f>
        <v>2945</v>
      </c>
      <c r="T29" s="30" t="s">
        <v>3</v>
      </c>
      <c r="U29" s="1738"/>
    </row>
    <row r="30" spans="1:21" ht="18" thickBot="1">
      <c r="A30" s="10" t="s">
        <v>16</v>
      </c>
      <c r="B30" s="19">
        <f>CHAMNORD!B30</f>
        <v>46047</v>
      </c>
      <c r="C30" s="75">
        <f>IF(H30=0,"",'[7]2025-2026'!C29)</f>
        <v>11234</v>
      </c>
      <c r="D30" s="68">
        <f>'[7]2025'!C30</f>
        <v>11400</v>
      </c>
      <c r="E30" s="68">
        <f>'[7]2025'!D30</f>
        <v>11321</v>
      </c>
      <c r="F30" s="20">
        <f>'[7]2025'!E30</f>
        <v>546</v>
      </c>
      <c r="G30" s="73">
        <f>'[7]2025'!F30</f>
        <v>11400</v>
      </c>
      <c r="H30" s="42">
        <f>'[7]2025'!G30</f>
        <v>10585</v>
      </c>
      <c r="I30" s="13">
        <f>'[7]2025'!H30</f>
        <v>10508</v>
      </c>
      <c r="J30" s="14">
        <f>'[7]2025'!I30</f>
        <v>444</v>
      </c>
      <c r="K30" s="15">
        <f>'[7]2025'!J30</f>
        <v>109</v>
      </c>
      <c r="L30" s="15">
        <f>'[7]2025'!K30</f>
        <v>125</v>
      </c>
      <c r="M30" s="15">
        <f>'[7]2025'!L30</f>
        <v>36</v>
      </c>
      <c r="N30" s="16">
        <f t="shared" si="3"/>
        <v>3.4259611724400457E-3</v>
      </c>
      <c r="O30" s="17">
        <f t="shared" si="0"/>
        <v>-7.181344404204576E-2</v>
      </c>
      <c r="P30" s="17">
        <f t="shared" si="0"/>
        <v>-0.18681318681318682</v>
      </c>
      <c r="Q30" s="18">
        <f t="shared" si="1"/>
        <v>96.403669724770637</v>
      </c>
      <c r="R30" s="18">
        <f t="shared" si="2"/>
        <v>84.063999999999993</v>
      </c>
      <c r="S30" s="37">
        <f>(S29-SUM(F24:F30))/SUM(F24:F30)</f>
        <v>-4.1653107712333222E-2</v>
      </c>
      <c r="T30" s="47">
        <f>SUM(M24:M30)/SUM(I24:I30)</f>
        <v>5.2489502099580081E-3</v>
      </c>
      <c r="U30" s="1739"/>
    </row>
    <row r="31" spans="1:21" ht="17" customHeight="1" thickTop="1">
      <c r="A31" s="10" t="s">
        <v>9</v>
      </c>
      <c r="B31" s="19">
        <f>CHAMNORD!B31</f>
        <v>46048</v>
      </c>
      <c r="C31" s="75">
        <f>IF(H31=0,"",'[7]2025-2026'!C30)</f>
        <v>11400</v>
      </c>
      <c r="D31" s="68">
        <f>'[7]2025'!C31</f>
        <v>5423</v>
      </c>
      <c r="E31" s="68">
        <f>'[7]2025'!D31</f>
        <v>5393</v>
      </c>
      <c r="F31" s="20">
        <f>'[7]2025'!E31</f>
        <v>302</v>
      </c>
      <c r="G31" s="73">
        <f>'[7]2025'!F31</f>
        <v>5400</v>
      </c>
      <c r="H31" s="42">
        <f>'[7]2025'!G31</f>
        <v>5262</v>
      </c>
      <c r="I31" s="13">
        <f>'[7]2025'!H31</f>
        <v>5216</v>
      </c>
      <c r="J31" s="14">
        <f>'[7]2025'!I31</f>
        <v>276</v>
      </c>
      <c r="K31" s="15">
        <f>'[7]2025'!J31</f>
        <v>77</v>
      </c>
      <c r="L31" s="15">
        <f>'[7]2025'!K31</f>
        <v>85</v>
      </c>
      <c r="M31" s="15">
        <f>'[7]2025'!L31</f>
        <v>42</v>
      </c>
      <c r="N31" s="16">
        <f t="shared" si="3"/>
        <v>8.052147239263804E-3</v>
      </c>
      <c r="O31" s="17">
        <f t="shared" si="0"/>
        <v>-3.2820322640459858E-2</v>
      </c>
      <c r="P31" s="17">
        <f t="shared" si="0"/>
        <v>-8.6092715231788075E-2</v>
      </c>
      <c r="Q31" s="18">
        <f t="shared" si="1"/>
        <v>67.740259740259745</v>
      </c>
      <c r="R31" s="18">
        <f t="shared" si="2"/>
        <v>61.364705882352943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19">
        <f>CHAMNORD!B32</f>
        <v>46049</v>
      </c>
      <c r="C32" s="75">
        <f>IF(H32=0,"",'[7]2025-2026'!C31)</f>
        <v>5423</v>
      </c>
      <c r="D32" s="68">
        <f>'[7]2025'!C32</f>
        <v>6290</v>
      </c>
      <c r="E32" s="68">
        <f>'[7]2025'!D32</f>
        <v>6242</v>
      </c>
      <c r="F32" s="20">
        <f>'[7]2025'!E32</f>
        <v>334</v>
      </c>
      <c r="G32" s="73">
        <f>'[7]2025'!F32</f>
        <v>6300</v>
      </c>
      <c r="H32" s="42">
        <f>'[7]2025'!G32</f>
        <v>6050</v>
      </c>
      <c r="I32" s="13">
        <f>'[7]2025'!H32</f>
        <v>6011</v>
      </c>
      <c r="J32" s="14">
        <f>'[7]2025'!I32</f>
        <v>300</v>
      </c>
      <c r="K32" s="15">
        <f>'[7]2025'!J32</f>
        <v>71</v>
      </c>
      <c r="L32" s="15">
        <f>'[7]2025'!K32</f>
        <v>79</v>
      </c>
      <c r="M32" s="15">
        <f>'[7]2025'!L32</f>
        <v>45</v>
      </c>
      <c r="N32" s="16">
        <f t="shared" si="3"/>
        <v>7.4862751622026286E-3</v>
      </c>
      <c r="O32" s="17">
        <f t="shared" si="0"/>
        <v>-3.7007369432874082E-2</v>
      </c>
      <c r="P32" s="17">
        <f t="shared" si="0"/>
        <v>-0.10179640718562874</v>
      </c>
      <c r="Q32" s="18">
        <f t="shared" si="1"/>
        <v>84.661971830985919</v>
      </c>
      <c r="R32" s="18">
        <f t="shared" si="2"/>
        <v>76.088607594936704</v>
      </c>
      <c r="S32" s="34">
        <f>SUM(I31:I37)</f>
        <v>62833</v>
      </c>
      <c r="T32" s="45" t="s">
        <v>41</v>
      </c>
      <c r="U32" s="1738"/>
    </row>
    <row r="33" spans="1:21">
      <c r="A33" s="10" t="s">
        <v>12</v>
      </c>
      <c r="B33" s="19">
        <f>CHAMNORD!B33</f>
        <v>46050</v>
      </c>
      <c r="C33" s="75">
        <f>IF(H33=0,"",'[7]2025-2026'!C32)</f>
        <v>6290</v>
      </c>
      <c r="D33" s="68">
        <f>'[7]2025'!C33</f>
        <v>8655</v>
      </c>
      <c r="E33" s="68">
        <f>'[7]2025'!D33</f>
        <v>8556</v>
      </c>
      <c r="F33" s="20">
        <f>'[7]2025'!E33</f>
        <v>463</v>
      </c>
      <c r="G33" s="73">
        <f>'[7]2025'!F33</f>
        <v>8600</v>
      </c>
      <c r="H33" s="42">
        <f>'[7]2025'!G33</f>
        <v>8891</v>
      </c>
      <c r="I33" s="13">
        <f>'[7]2025'!H33</f>
        <v>8811</v>
      </c>
      <c r="J33" s="14">
        <f>'[7]2025'!I33</f>
        <v>410</v>
      </c>
      <c r="K33" s="15">
        <f>'[7]2025'!J33</f>
        <v>85</v>
      </c>
      <c r="L33" s="15">
        <f>'[7]2025'!K33</f>
        <v>102</v>
      </c>
      <c r="M33" s="15">
        <f>'[7]2025'!L33</f>
        <v>53</v>
      </c>
      <c r="N33" s="16">
        <f t="shared" si="3"/>
        <v>6.0152082623992735E-3</v>
      </c>
      <c r="O33" s="17">
        <f t="shared" si="0"/>
        <v>2.9803646563814866E-2</v>
      </c>
      <c r="P33" s="17">
        <f t="shared" si="0"/>
        <v>-0.11447084233261338</v>
      </c>
      <c r="Q33" s="18">
        <f t="shared" si="1"/>
        <v>103.65882352941176</v>
      </c>
      <c r="R33" s="18">
        <f t="shared" si="2"/>
        <v>86.382352941176464</v>
      </c>
      <c r="S33" s="35">
        <f>(S32-SUM(E31:E37))/SUM(E31:E37)</f>
        <v>1.1787249802740696E-2</v>
      </c>
      <c r="T33" s="48">
        <f>SUM(I31:I37)/SUM(K31:K37)</f>
        <v>97.566770186335404</v>
      </c>
      <c r="U33" s="1738"/>
    </row>
    <row r="34" spans="1:21">
      <c r="A34" s="10" t="s">
        <v>13</v>
      </c>
      <c r="B34" s="19">
        <f>CHAMNORD!B34</f>
        <v>46051</v>
      </c>
      <c r="C34" s="75">
        <f>IF(H34=0,"",'[7]2025-2026'!C33)</f>
        <v>8655</v>
      </c>
      <c r="D34" s="68">
        <f>'[7]2025'!C34</f>
        <v>7480</v>
      </c>
      <c r="E34" s="68">
        <f>'[7]2025'!D34</f>
        <v>7417</v>
      </c>
      <c r="F34" s="20">
        <f>'[7]2025'!E34</f>
        <v>388</v>
      </c>
      <c r="G34" s="73">
        <f>'[7]2025'!F34</f>
        <v>7500</v>
      </c>
      <c r="H34" s="42">
        <f>'[7]2025'!G34</f>
        <v>7817</v>
      </c>
      <c r="I34" s="13">
        <f>'[7]2025'!H34</f>
        <v>7774</v>
      </c>
      <c r="J34" s="14">
        <f>'[7]2025'!I34</f>
        <v>428</v>
      </c>
      <c r="K34" s="15">
        <f>'[7]2025'!J34</f>
        <v>87</v>
      </c>
      <c r="L34" s="15">
        <f>'[7]2025'!K34</f>
        <v>95</v>
      </c>
      <c r="M34" s="15">
        <f>'[7]2025'!L34</f>
        <v>27</v>
      </c>
      <c r="N34" s="16">
        <f t="shared" si="3"/>
        <v>3.4731155132492926E-3</v>
      </c>
      <c r="O34" s="17">
        <f t="shared" si="0"/>
        <v>4.813266819468788E-2</v>
      </c>
      <c r="P34" s="17">
        <f t="shared" si="0"/>
        <v>0.10309278350515463</v>
      </c>
      <c r="Q34" s="18">
        <f t="shared" si="1"/>
        <v>89.356321839080465</v>
      </c>
      <c r="R34" s="18">
        <f t="shared" si="2"/>
        <v>81.831578947368428</v>
      </c>
      <c r="S34" s="34"/>
      <c r="T34" s="29" t="s">
        <v>8</v>
      </c>
      <c r="U34" s="1738"/>
    </row>
    <row r="35" spans="1:21">
      <c r="A35" s="10" t="s">
        <v>14</v>
      </c>
      <c r="B35" s="19">
        <f>CHAMNORD!B35</f>
        <v>46052</v>
      </c>
      <c r="C35" s="75">
        <f>IF(H35=0,"",'[7]2025-2026'!C34)</f>
        <v>7480</v>
      </c>
      <c r="D35" s="68">
        <f>'[7]2025'!C35</f>
        <v>12294</v>
      </c>
      <c r="E35" s="68">
        <f>'[7]2025'!D35</f>
        <v>12224</v>
      </c>
      <c r="F35" s="20">
        <f>'[7]2025'!E35</f>
        <v>624</v>
      </c>
      <c r="G35" s="73">
        <f>'[7]2025'!F35</f>
        <v>12300</v>
      </c>
      <c r="H35" s="42">
        <f>'[7]2025'!G35</f>
        <v>10294</v>
      </c>
      <c r="I35" s="13">
        <f>'[7]2025'!H35</f>
        <v>10224</v>
      </c>
      <c r="J35" s="14">
        <f>'[7]2025'!I35</f>
        <v>504</v>
      </c>
      <c r="K35" s="15">
        <f>'[7]2025'!J35</f>
        <v>103</v>
      </c>
      <c r="L35" s="15">
        <f>'[7]2025'!K35</f>
        <v>121</v>
      </c>
      <c r="M35" s="15">
        <f>'[7]2025'!L35</f>
        <v>36</v>
      </c>
      <c r="N35" s="16">
        <f t="shared" si="3"/>
        <v>3.5211267605633804E-3</v>
      </c>
      <c r="O35" s="17">
        <f t="shared" si="0"/>
        <v>-0.16361256544502617</v>
      </c>
      <c r="P35" s="17">
        <f t="shared" si="0"/>
        <v>-0.19230769230769232</v>
      </c>
      <c r="Q35" s="18">
        <f t="shared" si="1"/>
        <v>99.262135922330103</v>
      </c>
      <c r="R35" s="18">
        <f t="shared" si="2"/>
        <v>84.495867768595048</v>
      </c>
      <c r="S35" s="36" t="s">
        <v>40</v>
      </c>
      <c r="T35" s="48">
        <f>SUM(I31:I37)/SUM(L31:L37)</f>
        <v>85.370923913043484</v>
      </c>
      <c r="U35" s="1738"/>
    </row>
    <row r="36" spans="1:21">
      <c r="A36" s="10" t="s">
        <v>15</v>
      </c>
      <c r="B36" s="19">
        <f>CHAMNORD!B36</f>
        <v>46053</v>
      </c>
      <c r="C36" s="75">
        <f>IF(H36=0,"",'[7]2025-2026'!C35)</f>
        <v>12294</v>
      </c>
      <c r="D36" s="68">
        <f>'[7]2025'!C36</f>
        <v>12496</v>
      </c>
      <c r="E36" s="68">
        <f>'[7]2025'!D36</f>
        <v>12394</v>
      </c>
      <c r="F36" s="20">
        <f>'[7]2025'!E36</f>
        <v>616</v>
      </c>
      <c r="G36" s="73">
        <f>'[7]2025'!F36</f>
        <v>12500</v>
      </c>
      <c r="H36" s="42">
        <f>'[7]2025'!G36</f>
        <v>13568</v>
      </c>
      <c r="I36" s="13">
        <f>'[7]2025'!H36</f>
        <v>13441</v>
      </c>
      <c r="J36" s="14">
        <f>'[7]2025'!I36</f>
        <v>629</v>
      </c>
      <c r="K36" s="15">
        <f>'[7]2025'!J36</f>
        <v>115</v>
      </c>
      <c r="L36" s="15">
        <f>'[7]2025'!K36</f>
        <v>132</v>
      </c>
      <c r="M36" s="15">
        <f>'[7]2025'!L36</f>
        <v>74</v>
      </c>
      <c r="N36" s="16">
        <f t="shared" si="3"/>
        <v>5.5055427423554796E-3</v>
      </c>
      <c r="O36" s="17">
        <f t="shared" si="0"/>
        <v>8.4476359528804265E-2</v>
      </c>
      <c r="P36" s="17">
        <f t="shared" si="0"/>
        <v>2.1103896103896104E-2</v>
      </c>
      <c r="Q36" s="18">
        <f t="shared" si="1"/>
        <v>116.87826086956522</v>
      </c>
      <c r="R36" s="18">
        <f t="shared" si="2"/>
        <v>101.82575757575758</v>
      </c>
      <c r="S36" s="36">
        <f>SUM(J31:J37)</f>
        <v>3038</v>
      </c>
      <c r="T36" s="30" t="s">
        <v>3</v>
      </c>
      <c r="U36" s="1738"/>
    </row>
    <row r="37" spans="1:21" ht="18" thickBot="1">
      <c r="A37" s="10" t="s">
        <v>16</v>
      </c>
      <c r="B37" s="19">
        <f>CHAMNORD!B37</f>
        <v>46054</v>
      </c>
      <c r="C37" s="75">
        <f>IF(H37=0,"",'[7]2025-2026'!C36)</f>
        <v>12496</v>
      </c>
      <c r="D37" s="68">
        <f>'[7]2025'!C37</f>
        <v>9943</v>
      </c>
      <c r="E37" s="68">
        <f>'[7]2025'!D37</f>
        <v>9875</v>
      </c>
      <c r="F37" s="20">
        <f>'[7]2025'!E37</f>
        <v>469</v>
      </c>
      <c r="G37" s="73">
        <f>'[7]2025'!F37</f>
        <v>10000</v>
      </c>
      <c r="H37" s="42">
        <f>'[7]2025'!G37</f>
        <v>11443</v>
      </c>
      <c r="I37" s="13">
        <f>'[7]2025'!H37</f>
        <v>11356</v>
      </c>
      <c r="J37" s="14">
        <f>'[7]2025'!I37</f>
        <v>491</v>
      </c>
      <c r="K37" s="15">
        <f>'[7]2025'!J37</f>
        <v>106</v>
      </c>
      <c r="L37" s="15">
        <f>'[7]2025'!K37</f>
        <v>122</v>
      </c>
      <c r="M37" s="15">
        <f>'[7]2025'!L37</f>
        <v>45</v>
      </c>
      <c r="N37" s="16">
        <f t="shared" si="3"/>
        <v>3.9626629094751675E-3</v>
      </c>
      <c r="O37" s="17">
        <f t="shared" si="0"/>
        <v>0.14997468354430379</v>
      </c>
      <c r="P37" s="17">
        <f t="shared" si="0"/>
        <v>4.6908315565031986E-2</v>
      </c>
      <c r="Q37" s="18">
        <f t="shared" si="1"/>
        <v>107.13207547169812</v>
      </c>
      <c r="R37" s="18">
        <f t="shared" si="2"/>
        <v>93.081967213114751</v>
      </c>
      <c r="S37" s="37">
        <f>(S36-SUM(F31:F37))/SUM(F31:F37)</f>
        <v>-4.9436795994993739E-2</v>
      </c>
      <c r="T37" s="47">
        <f>SUM(M31:M37)/SUM(I31:I37)</f>
        <v>5.1246956217274363E-3</v>
      </c>
      <c r="U37" s="1739"/>
    </row>
    <row r="38" spans="1:21" ht="17" customHeight="1" thickTop="1">
      <c r="A38" s="10" t="s">
        <v>9</v>
      </c>
      <c r="B38" s="19">
        <f>CHAMNORD!B38</f>
        <v>46055</v>
      </c>
      <c r="C38" s="75">
        <f>IF(H38=0,"",'[7]2025-2026'!C37)</f>
        <v>9943</v>
      </c>
      <c r="D38" s="68">
        <f>'[7]2025'!C38</f>
        <v>5647</v>
      </c>
      <c r="E38" s="68">
        <f>'[7]2025'!D38</f>
        <v>5618</v>
      </c>
      <c r="F38" s="20">
        <f>'[7]2025'!E38</f>
        <v>318</v>
      </c>
      <c r="G38" s="73">
        <f>'[7]2025'!F38</f>
        <v>5700</v>
      </c>
      <c r="H38" s="42">
        <f>'[7]2025'!G38</f>
        <v>6445</v>
      </c>
      <c r="I38" s="13">
        <f>'[7]2025'!H38</f>
        <v>6408</v>
      </c>
      <c r="J38" s="14">
        <f>'[7]2025'!I38</f>
        <v>348</v>
      </c>
      <c r="K38" s="15">
        <f>'[7]2025'!J38</f>
        <v>77</v>
      </c>
      <c r="L38" s="15">
        <f>'[7]2025'!K38</f>
        <v>85</v>
      </c>
      <c r="M38" s="15">
        <f>'[7]2025'!L38</f>
        <v>68</v>
      </c>
      <c r="N38" s="16">
        <f t="shared" si="3"/>
        <v>1.0611735330836454E-2</v>
      </c>
      <c r="O38" s="17">
        <f t="shared" si="0"/>
        <v>0.14061943752224992</v>
      </c>
      <c r="P38" s="17">
        <f t="shared" si="0"/>
        <v>9.4339622641509441E-2</v>
      </c>
      <c r="Q38" s="18">
        <f t="shared" si="1"/>
        <v>83.220779220779221</v>
      </c>
      <c r="R38" s="18">
        <f t="shared" si="2"/>
        <v>75.388235294117649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19">
        <f>CHAMNORD!B39</f>
        <v>46056</v>
      </c>
      <c r="C39" s="75">
        <f>IF(H39=0,"",'[7]2025-2026'!C38)</f>
        <v>5647</v>
      </c>
      <c r="D39" s="68">
        <f>'[7]2025'!C39</f>
        <v>7129</v>
      </c>
      <c r="E39" s="68">
        <f>'[7]2025'!D39</f>
        <v>7077</v>
      </c>
      <c r="F39" s="20">
        <f>'[7]2025'!E39</f>
        <v>359</v>
      </c>
      <c r="G39" s="73">
        <f>'[7]2025'!F39</f>
        <v>7100</v>
      </c>
      <c r="H39" s="42">
        <f>'[7]2025'!G39</f>
        <v>6109</v>
      </c>
      <c r="I39" s="13">
        <f>'[7]2025'!H39</f>
        <v>6066</v>
      </c>
      <c r="J39" s="14">
        <f>'[7]2025'!I39</f>
        <v>313</v>
      </c>
      <c r="K39" s="15">
        <f>'[7]2025'!J39</f>
        <v>74</v>
      </c>
      <c r="L39" s="15">
        <f>'[7]2025'!K39</f>
        <v>82</v>
      </c>
      <c r="M39" s="15">
        <f>'[7]2025'!L39</f>
        <v>37</v>
      </c>
      <c r="N39" s="16">
        <f t="shared" si="3"/>
        <v>6.0995713814704913E-3</v>
      </c>
      <c r="O39" s="17">
        <f t="shared" si="0"/>
        <v>-0.14285714285714285</v>
      </c>
      <c r="P39" s="17">
        <f t="shared" si="0"/>
        <v>-0.12813370473537605</v>
      </c>
      <c r="Q39" s="18">
        <f t="shared" si="1"/>
        <v>81.972972972972968</v>
      </c>
      <c r="R39" s="18">
        <f t="shared" si="2"/>
        <v>73.975609756097555</v>
      </c>
      <c r="S39" s="34">
        <f>SUM(I38:I44)</f>
        <v>65343</v>
      </c>
      <c r="T39" s="45" t="s">
        <v>41</v>
      </c>
      <c r="U39" s="1738"/>
    </row>
    <row r="40" spans="1:21">
      <c r="A40" s="10" t="s">
        <v>12</v>
      </c>
      <c r="B40" s="19">
        <f>CHAMNORD!B40</f>
        <v>46057</v>
      </c>
      <c r="C40" s="75">
        <f>IF(H40=0,"",'[7]2025-2026'!C39)</f>
        <v>7129</v>
      </c>
      <c r="D40" s="68">
        <f>'[7]2025'!C40</f>
        <v>8398</v>
      </c>
      <c r="E40" s="68">
        <f>'[7]2025'!D40</f>
        <v>8313</v>
      </c>
      <c r="F40" s="20">
        <f>'[7]2025'!E40</f>
        <v>436</v>
      </c>
      <c r="G40" s="73">
        <f>'[7]2025'!F40</f>
        <v>8400</v>
      </c>
      <c r="H40" s="42">
        <f>'[7]2025'!G40</f>
        <v>8714</v>
      </c>
      <c r="I40" s="13">
        <f>'[7]2025'!H40</f>
        <v>8614</v>
      </c>
      <c r="J40" s="14">
        <f>'[7]2025'!I40</f>
        <v>475</v>
      </c>
      <c r="K40" s="15">
        <f>'[7]2025'!J40</f>
        <v>88</v>
      </c>
      <c r="L40" s="15">
        <f>'[7]2025'!K40</f>
        <v>104</v>
      </c>
      <c r="M40" s="15">
        <f>'[7]2025'!L40</f>
        <v>35</v>
      </c>
      <c r="N40" s="16">
        <f t="shared" si="3"/>
        <v>4.063153006733225E-3</v>
      </c>
      <c r="O40" s="17">
        <f t="shared" si="0"/>
        <v>3.6208348370022854E-2</v>
      </c>
      <c r="P40" s="17">
        <f t="shared" si="0"/>
        <v>8.9449541284403675E-2</v>
      </c>
      <c r="Q40" s="18">
        <f t="shared" si="1"/>
        <v>97.88636363636364</v>
      </c>
      <c r="R40" s="18">
        <f t="shared" si="2"/>
        <v>82.82692307692308</v>
      </c>
      <c r="S40" s="35">
        <f>(S39-SUM(E38:E44))/SUM(E38:E44)</f>
        <v>-1.9550640741702431E-3</v>
      </c>
      <c r="T40" s="48">
        <f>SUM(I38:I44)/SUM(K38:K44)</f>
        <v>93.347142857142856</v>
      </c>
      <c r="U40" s="1738"/>
    </row>
    <row r="41" spans="1:21">
      <c r="A41" s="10" t="s">
        <v>13</v>
      </c>
      <c r="B41" s="19">
        <f>CHAMNORD!B41</f>
        <v>46058</v>
      </c>
      <c r="C41" s="75">
        <f>IF(H41=0,"",'[7]2025-2026'!C40)</f>
        <v>8398</v>
      </c>
      <c r="D41" s="68">
        <f>'[7]2025'!C41</f>
        <v>7582</v>
      </c>
      <c r="E41" s="68">
        <f>'[7]2025'!D41</f>
        <v>7537</v>
      </c>
      <c r="F41" s="20">
        <f>'[7]2025'!E41</f>
        <v>411</v>
      </c>
      <c r="G41" s="73">
        <f>'[7]2025'!F41</f>
        <v>7600</v>
      </c>
      <c r="H41" s="42">
        <f>'[7]2025'!G41</f>
        <v>6326</v>
      </c>
      <c r="I41" s="13">
        <f>'[7]2025'!H41</f>
        <v>6291</v>
      </c>
      <c r="J41" s="14">
        <f>'[7]2025'!I41</f>
        <v>326</v>
      </c>
      <c r="K41" s="15">
        <f>'[7]2025'!J41</f>
        <v>92</v>
      </c>
      <c r="L41" s="15">
        <f>'[7]2025'!K41</f>
        <v>109</v>
      </c>
      <c r="M41" s="15">
        <f>'[7]2025'!L41</f>
        <v>57</v>
      </c>
      <c r="N41" s="16">
        <f t="shared" si="3"/>
        <v>9.0605627086313787E-3</v>
      </c>
      <c r="O41" s="17">
        <f t="shared" si="0"/>
        <v>-0.16531776568926629</v>
      </c>
      <c r="P41" s="17">
        <f t="shared" si="0"/>
        <v>-0.20681265206812652</v>
      </c>
      <c r="Q41" s="18">
        <f t="shared" si="1"/>
        <v>68.380434782608702</v>
      </c>
      <c r="R41" s="18">
        <f t="shared" si="2"/>
        <v>57.715596330275233</v>
      </c>
      <c r="S41" s="34"/>
      <c r="T41" s="29" t="s">
        <v>8</v>
      </c>
      <c r="U41" s="1738"/>
    </row>
    <row r="42" spans="1:21">
      <c r="A42" s="10" t="s">
        <v>14</v>
      </c>
      <c r="B42" s="19">
        <f>CHAMNORD!B42</f>
        <v>46059</v>
      </c>
      <c r="C42" s="75">
        <f>IF(H42=0,"",'[7]2025-2026'!C41)</f>
        <v>7582</v>
      </c>
      <c r="D42" s="68">
        <f>'[7]2025'!C42</f>
        <v>12292</v>
      </c>
      <c r="E42" s="68">
        <f>'[7]2025'!D42</f>
        <v>12214</v>
      </c>
      <c r="F42" s="20">
        <f>'[7]2025'!E42</f>
        <v>616</v>
      </c>
      <c r="G42" s="73">
        <f>'[7]2025'!F42</f>
        <v>12300</v>
      </c>
      <c r="H42" s="42">
        <f>'[7]2025'!G42</f>
        <v>12966</v>
      </c>
      <c r="I42" s="13">
        <f>'[7]2025'!H42</f>
        <v>12882</v>
      </c>
      <c r="J42" s="14">
        <f>'[7]2025'!I42</f>
        <v>629</v>
      </c>
      <c r="K42" s="15">
        <f>'[7]2025'!J42</f>
        <v>121</v>
      </c>
      <c r="L42" s="15">
        <f>'[7]2025'!K42</f>
        <v>138</v>
      </c>
      <c r="M42" s="15">
        <f>'[7]2025'!L42</f>
        <v>36</v>
      </c>
      <c r="N42" s="16">
        <f t="shared" si="3"/>
        <v>2.7945971122496508E-3</v>
      </c>
      <c r="O42" s="17">
        <f t="shared" si="0"/>
        <v>5.4691337809071559E-2</v>
      </c>
      <c r="P42" s="17">
        <f t="shared" si="0"/>
        <v>2.1103896103896104E-2</v>
      </c>
      <c r="Q42" s="18">
        <f t="shared" si="1"/>
        <v>106.46280991735537</v>
      </c>
      <c r="R42" s="18">
        <f t="shared" si="2"/>
        <v>93.347826086956516</v>
      </c>
      <c r="S42" s="36" t="s">
        <v>40</v>
      </c>
      <c r="T42" s="48">
        <f>SUM(I38:I44)/SUM(L38:L44)</f>
        <v>82.608091024020226</v>
      </c>
      <c r="U42" s="1738"/>
    </row>
    <row r="43" spans="1:21">
      <c r="A43" s="10" t="s">
        <v>15</v>
      </c>
      <c r="B43" s="19">
        <f>CHAMNORD!B43</f>
        <v>46060</v>
      </c>
      <c r="C43" s="75">
        <f>IF(H43=0,"",'[7]2025-2026'!C42)</f>
        <v>12292</v>
      </c>
      <c r="D43" s="68">
        <f>'[7]2025'!C43</f>
        <v>13345</v>
      </c>
      <c r="E43" s="68">
        <f>'[7]2025'!D43</f>
        <v>13217</v>
      </c>
      <c r="F43" s="20">
        <f>'[7]2025'!E43</f>
        <v>621</v>
      </c>
      <c r="G43" s="73">
        <f>'[7]2025'!F43</f>
        <v>13300</v>
      </c>
      <c r="H43" s="42">
        <f>'[7]2025'!G43</f>
        <v>12736</v>
      </c>
      <c r="I43" s="13">
        <f>'[7]2025'!H43</f>
        <v>12624</v>
      </c>
      <c r="J43" s="14">
        <f>'[7]2025'!I43</f>
        <v>589</v>
      </c>
      <c r="K43" s="15">
        <f>'[7]2025'!J43</f>
        <v>141</v>
      </c>
      <c r="L43" s="15">
        <f>'[7]2025'!K43</f>
        <v>158</v>
      </c>
      <c r="M43" s="15">
        <f>'[7]2025'!L43</f>
        <v>28</v>
      </c>
      <c r="N43" s="16">
        <f t="shared" si="3"/>
        <v>2.2179974651457541E-3</v>
      </c>
      <c r="O43" s="17">
        <f t="shared" si="0"/>
        <v>-4.4866459862298556E-2</v>
      </c>
      <c r="P43" s="17">
        <f t="shared" si="0"/>
        <v>-5.1529790660225443E-2</v>
      </c>
      <c r="Q43" s="18">
        <f t="shared" si="1"/>
        <v>89.531914893617028</v>
      </c>
      <c r="R43" s="18">
        <f t="shared" si="2"/>
        <v>79.898734177215189</v>
      </c>
      <c r="S43" s="36">
        <f>SUM(J38:J44)</f>
        <v>3243</v>
      </c>
      <c r="T43" s="30" t="s">
        <v>3</v>
      </c>
      <c r="U43" s="1738"/>
    </row>
    <row r="44" spans="1:21" ht="18" thickBot="1">
      <c r="A44" s="10" t="s">
        <v>16</v>
      </c>
      <c r="B44" s="19">
        <f>CHAMNORD!B44</f>
        <v>46061</v>
      </c>
      <c r="C44" s="75">
        <f>IF(H44=0,"",'[7]2025-2026'!C43)</f>
        <v>13345</v>
      </c>
      <c r="D44" s="68">
        <f>'[7]2025'!C44</f>
        <v>11579</v>
      </c>
      <c r="E44" s="68">
        <f>'[7]2025'!D44</f>
        <v>11495</v>
      </c>
      <c r="F44" s="20">
        <f>'[7]2025'!E44</f>
        <v>523</v>
      </c>
      <c r="G44" s="73">
        <f>'[7]2025'!F44</f>
        <v>11600</v>
      </c>
      <c r="H44" s="42">
        <f>'[7]2025'!G44</f>
        <v>12540</v>
      </c>
      <c r="I44" s="13">
        <f>'[7]2025'!H44</f>
        <v>12458</v>
      </c>
      <c r="J44" s="14">
        <f>'[7]2025'!I44</f>
        <v>563</v>
      </c>
      <c r="K44" s="15">
        <f>'[7]2025'!J44</f>
        <v>107</v>
      </c>
      <c r="L44" s="15">
        <f>'[7]2025'!K44</f>
        <v>115</v>
      </c>
      <c r="M44" s="15">
        <f>'[7]2025'!L44</f>
        <v>49</v>
      </c>
      <c r="N44" s="16">
        <f t="shared" si="3"/>
        <v>3.9332156044308876E-3</v>
      </c>
      <c r="O44" s="17">
        <f t="shared" si="0"/>
        <v>8.3775554588951723E-2</v>
      </c>
      <c r="P44" s="17">
        <f t="shared" si="0"/>
        <v>7.6481835564053538E-2</v>
      </c>
      <c r="Q44" s="18">
        <f t="shared" si="1"/>
        <v>116.42990654205607</v>
      </c>
      <c r="R44" s="18">
        <f t="shared" si="2"/>
        <v>108.33043478260869</v>
      </c>
      <c r="S44" s="37">
        <f>(S43-SUM(F38:F44))/SUM(F38:F44)</f>
        <v>-1.2484774665042631E-2</v>
      </c>
      <c r="T44" s="47">
        <f>SUM(M38:M44)/SUM(I38:I44)</f>
        <v>4.7441960118145788E-3</v>
      </c>
      <c r="U44" s="1739"/>
    </row>
    <row r="45" spans="1:21" ht="17" customHeight="1" thickTop="1">
      <c r="A45" s="10" t="s">
        <v>9</v>
      </c>
      <c r="B45" s="19">
        <f>CHAMNORD!B45</f>
        <v>46062</v>
      </c>
      <c r="C45" s="75">
        <f>IF(H45=0,"",'[7]2025-2026'!C44)</f>
        <v>11579</v>
      </c>
      <c r="D45" s="68">
        <f>'[7]2025'!C45</f>
        <v>5445</v>
      </c>
      <c r="E45" s="68">
        <f>'[7]2025'!D45</f>
        <v>5410</v>
      </c>
      <c r="F45" s="20">
        <f>'[7]2025'!E45</f>
        <v>295</v>
      </c>
      <c r="G45" s="73">
        <f>'[7]2025'!F45</f>
        <v>5500</v>
      </c>
      <c r="H45" s="42">
        <f>'[7]2025'!G45</f>
        <v>7475</v>
      </c>
      <c r="I45" s="13">
        <f>'[7]2025'!H45</f>
        <v>7407</v>
      </c>
      <c r="J45" s="14">
        <f>'[7]2025'!I45</f>
        <v>416</v>
      </c>
      <c r="K45" s="15">
        <f>'[7]2025'!J45</f>
        <v>87</v>
      </c>
      <c r="L45" s="15">
        <f>'[7]2025'!K45</f>
        <v>97</v>
      </c>
      <c r="M45" s="15">
        <f>'[7]2025'!L45</f>
        <v>74</v>
      </c>
      <c r="N45" s="16">
        <f t="shared" si="3"/>
        <v>9.9905494802214126E-3</v>
      </c>
      <c r="O45" s="17">
        <f t="shared" si="0"/>
        <v>0.36913123844731976</v>
      </c>
      <c r="P45" s="17">
        <f t="shared" si="0"/>
        <v>0.4101694915254237</v>
      </c>
      <c r="Q45" s="18">
        <f t="shared" si="1"/>
        <v>85.137931034482762</v>
      </c>
      <c r="R45" s="18">
        <f t="shared" si="2"/>
        <v>76.360824742268036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19">
        <f>CHAMNORD!B46</f>
        <v>46063</v>
      </c>
      <c r="C46" s="75">
        <f>IF(H46=0,"",'[7]2025-2026'!C45)</f>
        <v>5445</v>
      </c>
      <c r="D46" s="68">
        <f>'[7]2025'!C46</f>
        <v>5835</v>
      </c>
      <c r="E46" s="68">
        <f>'[7]2025'!D46</f>
        <v>5795</v>
      </c>
      <c r="F46" s="20">
        <f>'[7]2025'!E46</f>
        <v>325</v>
      </c>
      <c r="G46" s="73">
        <f>'[7]2025'!F46</f>
        <v>5800</v>
      </c>
      <c r="H46" s="42">
        <f>'[7]2025'!G46</f>
        <v>7750</v>
      </c>
      <c r="I46" s="13">
        <f>'[7]2025'!H46</f>
        <v>7671</v>
      </c>
      <c r="J46" s="14">
        <f>'[7]2025'!I46</f>
        <v>431</v>
      </c>
      <c r="K46" s="15">
        <f>'[7]2025'!J46</f>
        <v>82</v>
      </c>
      <c r="L46" s="15">
        <f>'[7]2025'!K46</f>
        <v>90</v>
      </c>
      <c r="M46" s="15">
        <f>'[7]2025'!L46</f>
        <v>40</v>
      </c>
      <c r="N46" s="16">
        <f t="shared" si="3"/>
        <v>5.2144440099074433E-3</v>
      </c>
      <c r="O46" s="17">
        <f t="shared" si="0"/>
        <v>0.32372735116479723</v>
      </c>
      <c r="P46" s="17">
        <f t="shared" si="0"/>
        <v>0.32615384615384613</v>
      </c>
      <c r="Q46" s="18">
        <f t="shared" si="1"/>
        <v>93.548780487804876</v>
      </c>
      <c r="R46" s="18">
        <f t="shared" si="2"/>
        <v>85.233333333333334</v>
      </c>
      <c r="S46" s="34">
        <f>SUM(I45:I51)</f>
        <v>68653</v>
      </c>
      <c r="T46" s="45" t="s">
        <v>41</v>
      </c>
      <c r="U46" s="1738"/>
    </row>
    <row r="47" spans="1:21">
      <c r="A47" s="10" t="s">
        <v>12</v>
      </c>
      <c r="B47" s="19">
        <f>CHAMNORD!B47</f>
        <v>46064</v>
      </c>
      <c r="C47" s="75">
        <f>IF(H47=0,"",'[7]2025-2026'!C46)</f>
        <v>5835</v>
      </c>
      <c r="D47" s="68">
        <f>'[7]2025'!C47</f>
        <v>9075</v>
      </c>
      <c r="E47" s="68">
        <f>'[7]2025'!D47</f>
        <v>8986</v>
      </c>
      <c r="F47" s="20">
        <f>'[7]2025'!E47</f>
        <v>490</v>
      </c>
      <c r="G47" s="73">
        <f>'[7]2025'!F47</f>
        <v>9100</v>
      </c>
      <c r="H47" s="42">
        <f>'[7]2025'!G47</f>
        <v>8299</v>
      </c>
      <c r="I47" s="13">
        <f>'[7]2025'!H47</f>
        <v>8215</v>
      </c>
      <c r="J47" s="14">
        <f>'[7]2025'!I47</f>
        <v>412</v>
      </c>
      <c r="K47" s="15">
        <f>'[7]2025'!J47</f>
        <v>95</v>
      </c>
      <c r="L47" s="15">
        <f>'[7]2025'!K47</f>
        <v>102</v>
      </c>
      <c r="M47" s="15">
        <f>'[7]2025'!L47</f>
        <v>32</v>
      </c>
      <c r="N47" s="16">
        <f t="shared" si="3"/>
        <v>3.8953134510042605E-3</v>
      </c>
      <c r="O47" s="17">
        <f t="shared" si="0"/>
        <v>-8.5800133541063875E-2</v>
      </c>
      <c r="P47" s="17">
        <f t="shared" si="0"/>
        <v>-0.15918367346938775</v>
      </c>
      <c r="Q47" s="18">
        <f t="shared" si="1"/>
        <v>86.473684210526315</v>
      </c>
      <c r="R47" s="18">
        <f t="shared" si="2"/>
        <v>80.539215686274517</v>
      </c>
      <c r="S47" s="35">
        <f>(S46-SUM(E45:E51))/SUM(E45:E51)</f>
        <v>2.0634802646249908E-2</v>
      </c>
      <c r="T47" s="48">
        <f>SUM(I45:I51)/SUM(K45:K51)</f>
        <v>98.781294964028774</v>
      </c>
      <c r="U47" s="1738"/>
    </row>
    <row r="48" spans="1:21">
      <c r="A48" s="10" t="s">
        <v>13</v>
      </c>
      <c r="B48" s="19">
        <f>CHAMNORD!B48</f>
        <v>46065</v>
      </c>
      <c r="C48" s="75">
        <f>IF(H48=0,"",'[7]2025-2026'!C47)</f>
        <v>9075</v>
      </c>
      <c r="D48" s="68">
        <f>'[7]2025'!C48</f>
        <v>7227</v>
      </c>
      <c r="E48" s="68">
        <f>'[7]2025'!D48</f>
        <v>7185</v>
      </c>
      <c r="F48" s="20">
        <f>'[7]2025'!E48</f>
        <v>385</v>
      </c>
      <c r="G48" s="73">
        <f>'[7]2025'!F48</f>
        <v>7200</v>
      </c>
      <c r="H48" s="42">
        <f>'[7]2025'!G48</f>
        <v>8244</v>
      </c>
      <c r="I48" s="13">
        <f>'[7]2025'!H48</f>
        <v>8179</v>
      </c>
      <c r="J48" s="14">
        <f>'[7]2025'!I48</f>
        <v>399</v>
      </c>
      <c r="K48" s="15">
        <f>'[7]2025'!J48</f>
        <v>100</v>
      </c>
      <c r="L48" s="15">
        <f>'[7]2025'!K48</f>
        <v>118</v>
      </c>
      <c r="M48" s="15">
        <f>'[7]2025'!L48</f>
        <v>38</v>
      </c>
      <c r="N48" s="16">
        <f t="shared" si="3"/>
        <v>4.6460447487467905E-3</v>
      </c>
      <c r="O48" s="17">
        <f t="shared" si="0"/>
        <v>0.13834377174669452</v>
      </c>
      <c r="P48" s="17">
        <f t="shared" si="0"/>
        <v>3.6363636363636362E-2</v>
      </c>
      <c r="Q48" s="18">
        <f t="shared" si="1"/>
        <v>81.790000000000006</v>
      </c>
      <c r="R48" s="18">
        <f t="shared" si="2"/>
        <v>69.313559322033896</v>
      </c>
      <c r="S48" s="34"/>
      <c r="T48" s="29" t="s">
        <v>8</v>
      </c>
      <c r="U48" s="1738"/>
    </row>
    <row r="49" spans="1:21">
      <c r="A49" s="10" t="s">
        <v>14</v>
      </c>
      <c r="B49" s="19">
        <f>CHAMNORD!B49</f>
        <v>46066</v>
      </c>
      <c r="C49" s="75">
        <f>IF(H49=0,"",'[7]2025-2026'!C48)</f>
        <v>7227</v>
      </c>
      <c r="D49" s="68">
        <f>'[7]2025'!C49</f>
        <v>14426</v>
      </c>
      <c r="E49" s="68">
        <f>'[7]2025'!D49</f>
        <v>14346</v>
      </c>
      <c r="F49" s="20">
        <f>'[7]2025'!E49</f>
        <v>775</v>
      </c>
      <c r="G49" s="73">
        <f>'[7]2025'!F49</f>
        <v>14500</v>
      </c>
      <c r="H49" s="42">
        <f>'[7]2025'!G49</f>
        <v>11006</v>
      </c>
      <c r="I49" s="13">
        <f>'[7]2025'!H49</f>
        <v>10885</v>
      </c>
      <c r="J49" s="14">
        <f>'[7]2025'!I49</f>
        <v>542</v>
      </c>
      <c r="K49" s="15">
        <f>'[7]2025'!J49</f>
        <v>113</v>
      </c>
      <c r="L49" s="15">
        <f>'[7]2025'!K49</f>
        <v>129</v>
      </c>
      <c r="M49" s="15">
        <f>'[7]2025'!L49</f>
        <v>43</v>
      </c>
      <c r="N49" s="16">
        <f t="shared" si="3"/>
        <v>3.9503904455672947E-3</v>
      </c>
      <c r="O49" s="17">
        <f t="shared" si="0"/>
        <v>-0.2412519169106371</v>
      </c>
      <c r="P49" s="17">
        <f t="shared" si="0"/>
        <v>-0.30064516129032259</v>
      </c>
      <c r="Q49" s="18">
        <f t="shared" si="1"/>
        <v>96.327433628318587</v>
      </c>
      <c r="R49" s="18">
        <f t="shared" si="2"/>
        <v>84.379844961240309</v>
      </c>
      <c r="S49" s="36" t="s">
        <v>40</v>
      </c>
      <c r="T49" s="48">
        <f>SUM(I45:I51)/SUM(L45:L51)</f>
        <v>87.344783715012724</v>
      </c>
      <c r="U49" s="1738"/>
    </row>
    <row r="50" spans="1:21">
      <c r="A50" s="10" t="s">
        <v>15</v>
      </c>
      <c r="B50" s="19">
        <f>CHAMNORD!B50</f>
        <v>46067</v>
      </c>
      <c r="C50" s="75">
        <f>IF(H50=0,"",'[7]2025-2026'!C49)</f>
        <v>14426</v>
      </c>
      <c r="D50" s="68">
        <f>'[7]2025'!C50</f>
        <v>14200</v>
      </c>
      <c r="E50" s="68">
        <f>'[7]2025'!D50</f>
        <v>14072</v>
      </c>
      <c r="F50" s="20">
        <f>'[7]2025'!E50</f>
        <v>672</v>
      </c>
      <c r="G50" s="73">
        <f>'[7]2025'!F50</f>
        <v>14200</v>
      </c>
      <c r="H50" s="42">
        <f>'[7]2025'!G50</f>
        <v>14671</v>
      </c>
      <c r="I50" s="13">
        <f>'[7]2025'!H50</f>
        <v>14539</v>
      </c>
      <c r="J50" s="14">
        <f>'[7]2025'!I50</f>
        <v>660</v>
      </c>
      <c r="K50" s="15">
        <f>'[7]2025'!J50</f>
        <v>118</v>
      </c>
      <c r="L50" s="15">
        <f>'[7]2025'!K50</f>
        <v>135</v>
      </c>
      <c r="M50" s="15">
        <f>'[7]2025'!L50</f>
        <v>51</v>
      </c>
      <c r="N50" s="16">
        <f t="shared" si="3"/>
        <v>3.5078065891739458E-3</v>
      </c>
      <c r="O50" s="17">
        <f t="shared" si="0"/>
        <v>3.3186469584991475E-2</v>
      </c>
      <c r="P50" s="17">
        <f t="shared" si="0"/>
        <v>-1.7857142857142856E-2</v>
      </c>
      <c r="Q50" s="18">
        <f t="shared" si="1"/>
        <v>123.21186440677967</v>
      </c>
      <c r="R50" s="18">
        <f t="shared" si="2"/>
        <v>107.6962962962963</v>
      </c>
      <c r="S50" s="36">
        <f>SUM(J45:J51)</f>
        <v>3401</v>
      </c>
      <c r="T50" s="30" t="s">
        <v>3</v>
      </c>
      <c r="U50" s="1738"/>
    </row>
    <row r="51" spans="1:21" ht="18" thickBot="1">
      <c r="A51" s="10" t="s">
        <v>16</v>
      </c>
      <c r="B51" s="19">
        <f>CHAMNORD!B51</f>
        <v>46068</v>
      </c>
      <c r="C51" s="75">
        <f>IF(H51=0,"",'[7]2025-2026'!C50)</f>
        <v>14200</v>
      </c>
      <c r="D51" s="68">
        <f>'[7]2025'!C51</f>
        <v>11546</v>
      </c>
      <c r="E51" s="68">
        <f>'[7]2025'!D51</f>
        <v>11471</v>
      </c>
      <c r="F51" s="20">
        <f>'[7]2025'!E51</f>
        <v>559</v>
      </c>
      <c r="G51" s="73">
        <f>'[7]2025'!F51</f>
        <v>11600</v>
      </c>
      <c r="H51" s="42">
        <f>'[7]2025'!G51</f>
        <v>11838</v>
      </c>
      <c r="I51" s="13">
        <f>'[7]2025'!H51</f>
        <v>11757</v>
      </c>
      <c r="J51" s="14">
        <f>'[7]2025'!I51</f>
        <v>541</v>
      </c>
      <c r="K51" s="15">
        <f>'[7]2025'!J51</f>
        <v>100</v>
      </c>
      <c r="L51" s="15">
        <f>'[7]2025'!K51</f>
        <v>115</v>
      </c>
      <c r="M51" s="15">
        <f>'[7]2025'!L51</f>
        <v>51</v>
      </c>
      <c r="N51" s="16">
        <f t="shared" si="3"/>
        <v>4.3378412860423576E-3</v>
      </c>
      <c r="O51" s="17">
        <f t="shared" si="0"/>
        <v>2.4932438322726878E-2</v>
      </c>
      <c r="P51" s="17">
        <f t="shared" si="0"/>
        <v>-3.2200357781753133E-2</v>
      </c>
      <c r="Q51" s="18">
        <f t="shared" si="1"/>
        <v>117.57</v>
      </c>
      <c r="R51" s="18">
        <f t="shared" si="2"/>
        <v>102.23478260869565</v>
      </c>
      <c r="S51" s="37">
        <f>(S50-SUM(F45:F51))/SUM(F45:F51)</f>
        <v>-2.8563267637817767E-2</v>
      </c>
      <c r="T51" s="47">
        <f>SUM(M45:M51)/SUM(I45:I51)</f>
        <v>4.7922159264708027E-3</v>
      </c>
      <c r="U51" s="1739"/>
    </row>
    <row r="52" spans="1:21" ht="17" customHeight="1" thickTop="1">
      <c r="A52" s="10" t="s">
        <v>9</v>
      </c>
      <c r="B52" s="19">
        <f>CHAMNORD!B52</f>
        <v>46069</v>
      </c>
      <c r="C52" s="75">
        <f>IF(H52=0,"",'[7]2025-2026'!C51)</f>
        <v>11546</v>
      </c>
      <c r="D52" s="68">
        <f>'[7]2025'!C52</f>
        <v>5675</v>
      </c>
      <c r="E52" s="68">
        <f>'[7]2025'!D52</f>
        <v>5637</v>
      </c>
      <c r="F52" s="20">
        <f>'[7]2025'!E52</f>
        <v>313</v>
      </c>
      <c r="G52" s="73">
        <f>'[7]2025'!F52</f>
        <v>5700</v>
      </c>
      <c r="H52" s="42">
        <f>'[7]2025'!G52</f>
        <v>7862</v>
      </c>
      <c r="I52" s="13">
        <f>'[7]2025'!H52</f>
        <v>7778</v>
      </c>
      <c r="J52" s="14">
        <f>'[7]2025'!I52</f>
        <v>391</v>
      </c>
      <c r="K52" s="15">
        <f>'[7]2025'!J52</f>
        <v>90</v>
      </c>
      <c r="L52" s="15">
        <f>'[7]2025'!K52</f>
        <v>117</v>
      </c>
      <c r="M52" s="15">
        <f>'[7]2025'!L52</f>
        <v>32</v>
      </c>
      <c r="N52" s="16">
        <f t="shared" si="3"/>
        <v>4.1141681666238107E-3</v>
      </c>
      <c r="O52" s="17">
        <f t="shared" si="0"/>
        <v>0.37981195671456447</v>
      </c>
      <c r="P52" s="17">
        <f t="shared" si="0"/>
        <v>0.24920127795527156</v>
      </c>
      <c r="Q52" s="18">
        <f t="shared" si="1"/>
        <v>86.422222222222217</v>
      </c>
      <c r="R52" s="18">
        <f t="shared" si="2"/>
        <v>66.478632478632477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19">
        <f>CHAMNORD!B53</f>
        <v>46070</v>
      </c>
      <c r="C53" s="75">
        <f>IF(H53=0,"",'[7]2025-2026'!C52)</f>
        <v>5675</v>
      </c>
      <c r="D53" s="68">
        <f>'[7]2025'!C53</f>
        <v>6471</v>
      </c>
      <c r="E53" s="68">
        <f>'[7]2025'!D53</f>
        <v>6419</v>
      </c>
      <c r="F53" s="20">
        <f>'[7]2025'!E53</f>
        <v>350</v>
      </c>
      <c r="G53" s="73">
        <f>'[7]2025'!F53</f>
        <v>6500</v>
      </c>
      <c r="H53" s="42">
        <f>'[7]2025'!G53</f>
        <v>8304</v>
      </c>
      <c r="I53" s="13">
        <f>'[7]2025'!H53</f>
        <v>8229</v>
      </c>
      <c r="J53" s="14">
        <f>'[7]2025'!I53</f>
        <v>437</v>
      </c>
      <c r="K53" s="15">
        <f>'[7]2025'!J53</f>
        <v>82</v>
      </c>
      <c r="L53" s="15">
        <f>'[7]2025'!K53</f>
        <v>98</v>
      </c>
      <c r="M53" s="15">
        <f>'[7]2025'!L53</f>
        <v>41</v>
      </c>
      <c r="N53" s="16">
        <f t="shared" si="3"/>
        <v>4.9823793899623284E-3</v>
      </c>
      <c r="O53" s="17">
        <f t="shared" si="0"/>
        <v>0.28197538557407698</v>
      </c>
      <c r="P53" s="17">
        <f t="shared" si="0"/>
        <v>0.24857142857142858</v>
      </c>
      <c r="Q53" s="18">
        <f t="shared" si="1"/>
        <v>100.35365853658537</v>
      </c>
      <c r="R53" s="18">
        <f t="shared" si="2"/>
        <v>83.969387755102048</v>
      </c>
      <c r="S53" s="34">
        <f>SUM(I52:I58)</f>
        <v>67389</v>
      </c>
      <c r="T53" s="45" t="s">
        <v>41</v>
      </c>
      <c r="U53" s="1738"/>
    </row>
    <row r="54" spans="1:21">
      <c r="A54" s="10" t="s">
        <v>12</v>
      </c>
      <c r="B54" s="19">
        <f>CHAMNORD!B54</f>
        <v>46071</v>
      </c>
      <c r="C54" s="75">
        <f>IF(H54=0,"",'[7]2025-2026'!C53)</f>
        <v>6471</v>
      </c>
      <c r="D54" s="68">
        <f>'[7]2025'!C54</f>
        <v>8360</v>
      </c>
      <c r="E54" s="68">
        <f>'[7]2025'!D54</f>
        <v>8251</v>
      </c>
      <c r="F54" s="20">
        <f>'[7]2025'!E54</f>
        <v>445</v>
      </c>
      <c r="G54" s="73">
        <f>'[7]2025'!F54</f>
        <v>8300</v>
      </c>
      <c r="H54" s="42">
        <f>'[7]2025'!G54</f>
        <v>7018</v>
      </c>
      <c r="I54" s="13">
        <f>'[7]2025'!H54</f>
        <v>6959</v>
      </c>
      <c r="J54" s="14">
        <f>'[7]2025'!I54</f>
        <v>357</v>
      </c>
      <c r="K54" s="15">
        <f>'[7]2025'!J54</f>
        <v>80</v>
      </c>
      <c r="L54" s="15">
        <f>'[7]2025'!K54</f>
        <v>95</v>
      </c>
      <c r="M54" s="15">
        <f>'[7]2025'!L54</f>
        <v>35</v>
      </c>
      <c r="N54" s="16">
        <f t="shared" si="3"/>
        <v>5.0294582554964795E-3</v>
      </c>
      <c r="O54" s="17">
        <f t="shared" si="0"/>
        <v>-0.15658708035389649</v>
      </c>
      <c r="P54" s="17">
        <f t="shared" si="0"/>
        <v>-0.19775280898876405</v>
      </c>
      <c r="Q54" s="18">
        <f t="shared" si="1"/>
        <v>86.987499999999997</v>
      </c>
      <c r="R54" s="18">
        <f t="shared" si="2"/>
        <v>73.252631578947373</v>
      </c>
      <c r="S54" s="35">
        <f>(S53-SUM(E52:E58))/SUM(E52:E58)</f>
        <v>6.5809451508825209E-2</v>
      </c>
      <c r="T54" s="48">
        <f>SUM(I52:I58)/SUM(K52:K58)</f>
        <v>102.10454545454546</v>
      </c>
      <c r="U54" s="1738"/>
    </row>
    <row r="55" spans="1:21">
      <c r="A55" s="10" t="s">
        <v>13</v>
      </c>
      <c r="B55" s="19">
        <f>CHAMNORD!B55</f>
        <v>46072</v>
      </c>
      <c r="C55" s="75">
        <f>IF(H55=0,"",'[7]2025-2026'!C54)</f>
        <v>8360</v>
      </c>
      <c r="D55" s="68">
        <f>'[7]2025'!C55</f>
        <v>7011</v>
      </c>
      <c r="E55" s="68">
        <f>'[7]2025'!D55</f>
        <v>6971</v>
      </c>
      <c r="F55" s="20">
        <f>'[7]2025'!E55</f>
        <v>377</v>
      </c>
      <c r="G55" s="73">
        <f>'[7]2025'!F55</f>
        <v>7000</v>
      </c>
      <c r="H55" s="42">
        <f>'[7]2025'!G55</f>
        <v>8882</v>
      </c>
      <c r="I55" s="13">
        <f>'[7]2025'!H55</f>
        <v>8802</v>
      </c>
      <c r="J55" s="14">
        <f>'[7]2025'!I55</f>
        <v>425</v>
      </c>
      <c r="K55" s="15">
        <f>'[7]2025'!J55</f>
        <v>87</v>
      </c>
      <c r="L55" s="15">
        <f>'[7]2025'!K55</f>
        <v>103</v>
      </c>
      <c r="M55" s="15">
        <f>'[7]2025'!L55</f>
        <v>61</v>
      </c>
      <c r="N55" s="16">
        <f t="shared" si="3"/>
        <v>6.9302431265621453E-3</v>
      </c>
      <c r="O55" s="17">
        <f t="shared" si="0"/>
        <v>0.26265958972887676</v>
      </c>
      <c r="P55" s="17">
        <f t="shared" si="0"/>
        <v>0.1273209549071618</v>
      </c>
      <c r="Q55" s="18">
        <f t="shared" si="1"/>
        <v>101.17241379310344</v>
      </c>
      <c r="R55" s="18">
        <f t="shared" si="2"/>
        <v>85.456310679611647</v>
      </c>
      <c r="S55" s="34"/>
      <c r="T55" s="29" t="s">
        <v>8</v>
      </c>
      <c r="U55" s="1738"/>
    </row>
    <row r="56" spans="1:21">
      <c r="A56" s="10" t="s">
        <v>14</v>
      </c>
      <c r="B56" s="19">
        <f>CHAMNORD!B56</f>
        <v>46073</v>
      </c>
      <c r="C56" s="75">
        <f>IF(H56=0,"",'[7]2025-2026'!C55)</f>
        <v>7011</v>
      </c>
      <c r="D56" s="68">
        <f>'[7]2025'!C56</f>
        <v>12906</v>
      </c>
      <c r="E56" s="68">
        <f>'[7]2025'!D56</f>
        <v>12819</v>
      </c>
      <c r="F56" s="20">
        <f>'[7]2025'!E56</f>
        <v>668</v>
      </c>
      <c r="G56" s="73">
        <f>'[7]2025'!F56</f>
        <v>12900</v>
      </c>
      <c r="H56" s="42">
        <f>'[7]2025'!G56</f>
        <v>12185</v>
      </c>
      <c r="I56" s="13">
        <f>'[7]2025'!H56</f>
        <v>12091</v>
      </c>
      <c r="J56" s="14">
        <f>'[7]2025'!I56</f>
        <v>572</v>
      </c>
      <c r="K56" s="15">
        <f>'[7]2025'!J56</f>
        <v>108</v>
      </c>
      <c r="L56" s="15">
        <f>'[7]2025'!K56</f>
        <v>126</v>
      </c>
      <c r="M56" s="15">
        <f>'[7]2025'!L56</f>
        <v>24</v>
      </c>
      <c r="N56" s="16">
        <f t="shared" si="3"/>
        <v>1.9849474815978826E-3</v>
      </c>
      <c r="O56" s="17">
        <f t="shared" si="0"/>
        <v>-5.6790701302753724E-2</v>
      </c>
      <c r="P56" s="17">
        <f t="shared" si="0"/>
        <v>-0.1437125748502994</v>
      </c>
      <c r="Q56" s="18">
        <f t="shared" si="1"/>
        <v>111.95370370370371</v>
      </c>
      <c r="R56" s="18">
        <f t="shared" si="2"/>
        <v>95.960317460317455</v>
      </c>
      <c r="S56" s="36" t="s">
        <v>40</v>
      </c>
      <c r="T56" s="48">
        <f>SUM(I52:I58)/SUM(L52:L58)</f>
        <v>85.51903553299492</v>
      </c>
      <c r="U56" s="1738"/>
    </row>
    <row r="57" spans="1:21">
      <c r="A57" s="10" t="s">
        <v>15</v>
      </c>
      <c r="B57" s="19">
        <f>CHAMNORD!B57</f>
        <v>46074</v>
      </c>
      <c r="C57" s="75">
        <f>IF(H57=0,"",'[7]2025-2026'!C56)</f>
        <v>12906</v>
      </c>
      <c r="D57" s="68">
        <f>'[7]2025'!C57</f>
        <v>11875</v>
      </c>
      <c r="E57" s="68">
        <f>'[7]2025'!D57</f>
        <v>11775</v>
      </c>
      <c r="F57" s="20">
        <f>'[7]2025'!E57</f>
        <v>601</v>
      </c>
      <c r="G57" s="73">
        <f>'[7]2025'!F57</f>
        <v>11900</v>
      </c>
      <c r="H57" s="42">
        <f>'[7]2025'!G57</f>
        <v>13112</v>
      </c>
      <c r="I57" s="13">
        <f>'[7]2025'!H57</f>
        <v>12969</v>
      </c>
      <c r="J57" s="14">
        <f>'[7]2025'!I57</f>
        <v>587</v>
      </c>
      <c r="K57" s="15">
        <f>'[7]2025'!J57</f>
        <v>111</v>
      </c>
      <c r="L57" s="15">
        <f>'[7]2025'!K57</f>
        <v>129</v>
      </c>
      <c r="M57" s="15">
        <f>'[7]2025'!L57</f>
        <v>42</v>
      </c>
      <c r="N57" s="16">
        <f t="shared" si="3"/>
        <v>3.2384917881101089E-3</v>
      </c>
      <c r="O57" s="17">
        <f t="shared" si="0"/>
        <v>0.10140127388535032</v>
      </c>
      <c r="P57" s="17">
        <f t="shared" si="0"/>
        <v>-2.329450915141431E-2</v>
      </c>
      <c r="Q57" s="18">
        <f t="shared" si="1"/>
        <v>116.83783783783784</v>
      </c>
      <c r="R57" s="18">
        <f t="shared" si="2"/>
        <v>100.53488372093024</v>
      </c>
      <c r="S57" s="36">
        <f>SUM(J52:J58)</f>
        <v>3226</v>
      </c>
      <c r="T57" s="30" t="s">
        <v>3</v>
      </c>
      <c r="U57" s="1738"/>
    </row>
    <row r="58" spans="1:21" ht="18" thickBot="1">
      <c r="A58" s="10" t="s">
        <v>16</v>
      </c>
      <c r="B58" s="19">
        <f>CHAMNORD!B58</f>
        <v>46075</v>
      </c>
      <c r="C58" s="75">
        <f>IF(H58=0,"",'[7]2025-2026'!C57)</f>
        <v>11875</v>
      </c>
      <c r="D58" s="68">
        <f>'[7]2025'!C58</f>
        <v>11441</v>
      </c>
      <c r="E58" s="68">
        <f>'[7]2025'!D58</f>
        <v>11356</v>
      </c>
      <c r="F58" s="20">
        <f>'[7]2025'!E58</f>
        <v>505</v>
      </c>
      <c r="G58" s="73">
        <f>'[7]2025'!F58</f>
        <v>11500</v>
      </c>
      <c r="H58" s="42">
        <f>'[7]2025'!G58</f>
        <v>10652</v>
      </c>
      <c r="I58" s="13">
        <f>'[7]2025'!H58</f>
        <v>10561</v>
      </c>
      <c r="J58" s="14">
        <f>'[7]2025'!I58</f>
        <v>457</v>
      </c>
      <c r="K58" s="15">
        <f>'[7]2025'!J58</f>
        <v>102</v>
      </c>
      <c r="L58" s="15">
        <f>'[7]2025'!K58</f>
        <v>120</v>
      </c>
      <c r="M58" s="15">
        <f>'[7]2025'!L58</f>
        <v>37</v>
      </c>
      <c r="N58" s="16">
        <f t="shared" si="3"/>
        <v>3.5034561121105954E-3</v>
      </c>
      <c r="O58" s="17">
        <f t="shared" si="0"/>
        <v>-7.0007044734061288E-2</v>
      </c>
      <c r="P58" s="17">
        <f t="shared" si="0"/>
        <v>-9.5049504950495051E-2</v>
      </c>
      <c r="Q58" s="18">
        <f t="shared" si="1"/>
        <v>103.53921568627452</v>
      </c>
      <c r="R58" s="18">
        <f t="shared" si="2"/>
        <v>88.00833333333334</v>
      </c>
      <c r="S58" s="37">
        <f>(S57-SUM(F52:F58))/SUM(F52:F58)</f>
        <v>-1.0125805461798098E-2</v>
      </c>
      <c r="T58" s="47">
        <f>SUM(M52:M58)/SUM(I52:I58)</f>
        <v>4.0362670465506241E-3</v>
      </c>
      <c r="U58" s="1739"/>
    </row>
    <row r="59" spans="1:21" ht="17" customHeight="1" thickTop="1">
      <c r="A59" s="10" t="s">
        <v>9</v>
      </c>
      <c r="B59" s="19">
        <f>CHAMNORD!B59</f>
        <v>46076</v>
      </c>
      <c r="C59" s="75">
        <f>IF(H59=0,"",'[7]2025-2026'!C58)</f>
        <v>11441</v>
      </c>
      <c r="D59" s="68">
        <f>'[7]2025'!C59</f>
        <v>8177</v>
      </c>
      <c r="E59" s="68">
        <f>'[7]2025'!D59</f>
        <v>8113</v>
      </c>
      <c r="F59" s="20">
        <f>'[7]2025'!E59</f>
        <v>463</v>
      </c>
      <c r="G59" s="73">
        <f>'[7]2025'!F59</f>
        <v>8200</v>
      </c>
      <c r="H59" s="42">
        <f>'[7]2025'!G59</f>
        <v>4879</v>
      </c>
      <c r="I59" s="13">
        <f>'[7]2025'!H59</f>
        <v>4847</v>
      </c>
      <c r="J59" s="14">
        <f>'[7]2025'!I59</f>
        <v>268</v>
      </c>
      <c r="K59" s="15">
        <f>'[7]2025'!J59</f>
        <v>77</v>
      </c>
      <c r="L59" s="15">
        <f>'[7]2025'!K59</f>
        <v>85</v>
      </c>
      <c r="M59" s="15">
        <f>'[7]2025'!L59</f>
        <v>38</v>
      </c>
      <c r="N59" s="16">
        <f t="shared" si="3"/>
        <v>7.8399009696719629E-3</v>
      </c>
      <c r="O59" s="17">
        <f t="shared" si="0"/>
        <v>-0.40256378651546898</v>
      </c>
      <c r="P59" s="17">
        <f t="shared" si="0"/>
        <v>-0.42116630669546434</v>
      </c>
      <c r="Q59" s="18">
        <f t="shared" si="1"/>
        <v>62.948051948051948</v>
      </c>
      <c r="R59" s="18">
        <f t="shared" si="2"/>
        <v>57.023529411764706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19">
        <f>CHAMNORD!B60</f>
        <v>46077</v>
      </c>
      <c r="C60" s="75">
        <f>IF(H60=0,"",'[7]2025-2026'!C59)</f>
        <v>8177</v>
      </c>
      <c r="D60" s="68">
        <f>'[7]2025'!C60</f>
        <v>8344</v>
      </c>
      <c r="E60" s="68">
        <f>'[7]2025'!D60</f>
        <v>8260</v>
      </c>
      <c r="F60" s="20">
        <f>'[7]2025'!E60</f>
        <v>457</v>
      </c>
      <c r="G60" s="73">
        <f>'[7]2025'!F60</f>
        <v>8300</v>
      </c>
      <c r="H60" s="42">
        <f>'[7]2025'!G60</f>
        <v>5656</v>
      </c>
      <c r="I60" s="13">
        <f>'[7]2025'!H60</f>
        <v>5617</v>
      </c>
      <c r="J60" s="14">
        <f>'[7]2025'!I60</f>
        <v>311</v>
      </c>
      <c r="K60" s="15">
        <f>'[7]2025'!J60</f>
        <v>77</v>
      </c>
      <c r="L60" s="15">
        <f>'[7]2025'!K60</f>
        <v>85</v>
      </c>
      <c r="M60" s="15">
        <f>'[7]2025'!L60</f>
        <v>42</v>
      </c>
      <c r="N60" s="16">
        <f t="shared" si="3"/>
        <v>7.477301050382767E-3</v>
      </c>
      <c r="O60" s="17">
        <f t="shared" si="0"/>
        <v>-0.31997578692493944</v>
      </c>
      <c r="P60" s="17">
        <f t="shared" si="0"/>
        <v>-0.31947483588621445</v>
      </c>
      <c r="Q60" s="18">
        <f t="shared" si="1"/>
        <v>72.948051948051955</v>
      </c>
      <c r="R60" s="18">
        <f t="shared" si="2"/>
        <v>66.082352941176467</v>
      </c>
      <c r="S60" s="34">
        <f>SUM(I59:I65)</f>
        <v>64523</v>
      </c>
      <c r="T60" s="45" t="s">
        <v>41</v>
      </c>
      <c r="U60" s="1738"/>
    </row>
    <row r="61" spans="1:21">
      <c r="A61" s="10" t="s">
        <v>12</v>
      </c>
      <c r="B61" s="19">
        <f>CHAMNORD!B61</f>
        <v>46078</v>
      </c>
      <c r="C61" s="75">
        <f>IF(H61=0,"",'[7]2025-2026'!C60)</f>
        <v>8344</v>
      </c>
      <c r="D61" s="68">
        <f>'[7]2025'!C61</f>
        <v>9949</v>
      </c>
      <c r="E61" s="68">
        <f>'[7]2025'!D61</f>
        <v>9862</v>
      </c>
      <c r="F61" s="20">
        <f>'[7]2025'!E61</f>
        <v>534</v>
      </c>
      <c r="G61" s="73">
        <f>'[7]2025'!F61</f>
        <v>9900</v>
      </c>
      <c r="H61" s="42">
        <f>'[7]2025'!G61</f>
        <v>7977</v>
      </c>
      <c r="I61" s="13">
        <f>'[7]2025'!H61</f>
        <v>7919</v>
      </c>
      <c r="J61" s="14">
        <f>'[7]2025'!I61</f>
        <v>416</v>
      </c>
      <c r="K61" s="15">
        <f>'[7]2025'!J61</f>
        <v>83</v>
      </c>
      <c r="L61" s="15">
        <f>'[7]2025'!K61</f>
        <v>101</v>
      </c>
      <c r="M61" s="15">
        <f>'[7]2025'!L61</f>
        <v>64</v>
      </c>
      <c r="N61" s="16">
        <f t="shared" si="3"/>
        <v>8.0818285137012249E-3</v>
      </c>
      <c r="O61" s="17">
        <f t="shared" si="0"/>
        <v>-0.19701886027175014</v>
      </c>
      <c r="P61" s="17">
        <f t="shared" si="0"/>
        <v>-0.22097378277153559</v>
      </c>
      <c r="Q61" s="18">
        <f t="shared" si="1"/>
        <v>95.409638554216869</v>
      </c>
      <c r="R61" s="18">
        <f t="shared" si="2"/>
        <v>78.405940594059402</v>
      </c>
      <c r="S61" s="35">
        <f>(S60-SUM(E59:E65))/SUM(E59:E65)</f>
        <v>-0.14541336653333686</v>
      </c>
      <c r="T61" s="48">
        <f>SUM(I59:I65)/SUM(K59:K65)</f>
        <v>97.614220877458393</v>
      </c>
      <c r="U61" s="1738"/>
    </row>
    <row r="62" spans="1:21">
      <c r="A62" s="10" t="s">
        <v>13</v>
      </c>
      <c r="B62" s="19">
        <f>CHAMNORD!B62</f>
        <v>46079</v>
      </c>
      <c r="C62" s="75">
        <f>IF(H62=0,"",'[7]2025-2026'!C61)</f>
        <v>9949</v>
      </c>
      <c r="D62" s="68">
        <f>'[7]2025'!C62</f>
        <v>11034</v>
      </c>
      <c r="E62" s="68">
        <f>'[7]2025'!D62</f>
        <v>10940</v>
      </c>
      <c r="F62" s="20">
        <f>'[7]2025'!E62</f>
        <v>555</v>
      </c>
      <c r="G62" s="73">
        <f>'[7]2025'!F62</f>
        <v>11000</v>
      </c>
      <c r="H62" s="42">
        <f>'[7]2025'!G62</f>
        <v>7441</v>
      </c>
      <c r="I62" s="13">
        <f>'[7]2025'!H62</f>
        <v>7385</v>
      </c>
      <c r="J62" s="14">
        <f>'[7]2025'!I62</f>
        <v>364</v>
      </c>
      <c r="K62" s="15">
        <f>'[7]2025'!J62</f>
        <v>86</v>
      </c>
      <c r="L62" s="15">
        <f>'[7]2025'!K62</f>
        <v>104</v>
      </c>
      <c r="M62" s="15">
        <f>'[7]2025'!L62</f>
        <v>33</v>
      </c>
      <c r="N62" s="16">
        <f t="shared" si="3"/>
        <v>4.4685172647257959E-3</v>
      </c>
      <c r="O62" s="17">
        <f t="shared" si="0"/>
        <v>-0.32495429616087751</v>
      </c>
      <c r="P62" s="17">
        <f t="shared" si="0"/>
        <v>-0.34414414414414413</v>
      </c>
      <c r="Q62" s="18">
        <f t="shared" si="1"/>
        <v>85.872093023255815</v>
      </c>
      <c r="R62" s="18">
        <f t="shared" si="2"/>
        <v>71.009615384615387</v>
      </c>
      <c r="S62" s="34"/>
      <c r="T62" s="29" t="s">
        <v>8</v>
      </c>
      <c r="U62" s="1738"/>
    </row>
    <row r="63" spans="1:21">
      <c r="A63" s="10" t="s">
        <v>14</v>
      </c>
      <c r="B63" s="19">
        <f>CHAMNORD!B63</f>
        <v>46080</v>
      </c>
      <c r="C63" s="75">
        <f>IF(H63=0,"",'[7]2025-2026'!C62)</f>
        <v>11034</v>
      </c>
      <c r="D63" s="68">
        <f>'[7]2025'!C63</f>
        <v>13035</v>
      </c>
      <c r="E63" s="68">
        <f>'[7]2025'!D63</f>
        <v>12935</v>
      </c>
      <c r="F63" s="20">
        <f>'[7]2025'!E63</f>
        <v>661</v>
      </c>
      <c r="G63" s="73">
        <f>'[7]2025'!F63</f>
        <v>13000</v>
      </c>
      <c r="H63" s="42">
        <f>'[7]2025'!G63</f>
        <v>12525</v>
      </c>
      <c r="I63" s="13">
        <f>'[7]2025'!H63</f>
        <v>12424</v>
      </c>
      <c r="J63" s="14">
        <f>'[7]2025'!I63</f>
        <v>574</v>
      </c>
      <c r="K63" s="15">
        <f>'[7]2025'!J63</f>
        <v>116</v>
      </c>
      <c r="L63" s="15">
        <f>'[7]2025'!K63</f>
        <v>125</v>
      </c>
      <c r="M63" s="15">
        <f>'[7]2025'!L63</f>
        <v>61</v>
      </c>
      <c r="N63" s="16">
        <f t="shared" si="3"/>
        <v>4.9098518995492595E-3</v>
      </c>
      <c r="O63" s="17">
        <f t="shared" si="0"/>
        <v>-3.9505218399690761E-2</v>
      </c>
      <c r="P63" s="17">
        <f t="shared" si="0"/>
        <v>-0.13161875945537066</v>
      </c>
      <c r="Q63" s="18">
        <f t="shared" si="1"/>
        <v>107.10344827586206</v>
      </c>
      <c r="R63" s="18">
        <f t="shared" si="2"/>
        <v>99.391999999999996</v>
      </c>
      <c r="S63" s="36" t="s">
        <v>40</v>
      </c>
      <c r="T63" s="48">
        <f>SUM(I59:I65)/SUM(L59:L65)</f>
        <v>85.235138705416119</v>
      </c>
      <c r="U63" s="1738"/>
    </row>
    <row r="64" spans="1:21">
      <c r="A64" s="10" t="s">
        <v>15</v>
      </c>
      <c r="B64" s="19">
        <f>CHAMNORD!B64</f>
        <v>46081</v>
      </c>
      <c r="C64" s="75">
        <f>IF(H64=0,"",'[7]2025-2026'!C63)</f>
        <v>13035</v>
      </c>
      <c r="D64" s="68">
        <f>'[7]2025'!C64</f>
        <v>13458</v>
      </c>
      <c r="E64" s="68">
        <f>'[7]2025'!D64</f>
        <v>13337</v>
      </c>
      <c r="F64" s="20">
        <f>'[7]2025'!E64</f>
        <v>644</v>
      </c>
      <c r="G64" s="73">
        <f>'[7]2025'!F64</f>
        <v>13500</v>
      </c>
      <c r="H64" s="42">
        <f>'[7]2025'!G64</f>
        <v>14528</v>
      </c>
      <c r="I64" s="13">
        <f>'[7]2025'!H64</f>
        <v>14390</v>
      </c>
      <c r="J64" s="14">
        <f>'[7]2025'!I64</f>
        <v>654</v>
      </c>
      <c r="K64" s="15">
        <f>'[7]2025'!J64</f>
        <v>128</v>
      </c>
      <c r="L64" s="15">
        <f>'[7]2025'!K64</f>
        <v>146</v>
      </c>
      <c r="M64" s="15">
        <f>'[7]2025'!L64</f>
        <v>42</v>
      </c>
      <c r="N64" s="16">
        <f t="shared" si="3"/>
        <v>2.9186935371785963E-3</v>
      </c>
      <c r="O64" s="17">
        <f t="shared" si="0"/>
        <v>7.8953287845842393E-2</v>
      </c>
      <c r="P64" s="17">
        <f t="shared" si="0"/>
        <v>1.5527950310559006E-2</v>
      </c>
      <c r="Q64" s="18">
        <f t="shared" si="1"/>
        <v>112.421875</v>
      </c>
      <c r="R64" s="18">
        <f t="shared" si="2"/>
        <v>98.561643835616437</v>
      </c>
      <c r="S64" s="36">
        <f>SUM(J59:J65)</f>
        <v>3091</v>
      </c>
      <c r="T64" s="30" t="s">
        <v>3</v>
      </c>
      <c r="U64" s="1738"/>
    </row>
    <row r="65" spans="1:21" ht="18" thickBot="1">
      <c r="A65" s="10" t="s">
        <v>16</v>
      </c>
      <c r="B65" s="19">
        <f>CHAMNORD!B65</f>
        <v>46082</v>
      </c>
      <c r="C65" s="75">
        <f>IF(H65=0,"",'[7]2025-2026'!C64)</f>
        <v>13458</v>
      </c>
      <c r="D65" s="68">
        <f>'[7]2025'!C65</f>
        <v>12128</v>
      </c>
      <c r="E65" s="68">
        <f>'[7]2025'!D65</f>
        <v>12055</v>
      </c>
      <c r="F65" s="20">
        <f>'[7]2025'!E65</f>
        <v>554</v>
      </c>
      <c r="G65" s="73">
        <f>'[7]2025'!F65</f>
        <v>12200</v>
      </c>
      <c r="H65" s="42">
        <f>'[7]2025'!G65</f>
        <v>12021</v>
      </c>
      <c r="I65" s="13">
        <f>'[7]2025'!H65</f>
        <v>11941</v>
      </c>
      <c r="J65" s="14">
        <f>'[7]2025'!I65</f>
        <v>504</v>
      </c>
      <c r="K65" s="15">
        <f>'[7]2025'!J65</f>
        <v>94</v>
      </c>
      <c r="L65" s="15">
        <f>'[7]2025'!K65</f>
        <v>111</v>
      </c>
      <c r="M65" s="15">
        <f>'[7]2025'!L65</f>
        <v>43</v>
      </c>
      <c r="N65" s="16">
        <f t="shared" si="3"/>
        <v>3.6010384389917093E-3</v>
      </c>
      <c r="O65" s="17">
        <f t="shared" si="0"/>
        <v>-9.4566569888013281E-3</v>
      </c>
      <c r="P65" s="17">
        <f t="shared" si="0"/>
        <v>-9.0252707581227443E-2</v>
      </c>
      <c r="Q65" s="18">
        <f t="shared" si="1"/>
        <v>127.03191489361703</v>
      </c>
      <c r="R65" s="18">
        <f t="shared" si="2"/>
        <v>107.57657657657657</v>
      </c>
      <c r="S65" s="37">
        <f>(S64-SUM(F59:F65))/SUM(F59:F65)</f>
        <v>-0.20087900723888313</v>
      </c>
      <c r="T65" s="47">
        <f>SUM(M59:M65)/SUM(I59:I65)</f>
        <v>5.0059668645289273E-3</v>
      </c>
      <c r="U65" s="1739"/>
    </row>
    <row r="66" spans="1:21" ht="17" customHeight="1" thickTop="1">
      <c r="A66" s="10" t="s">
        <v>9</v>
      </c>
      <c r="B66" s="19">
        <f>CHAMNORD!B66</f>
        <v>46083</v>
      </c>
      <c r="C66" s="75">
        <f>IF(H66=0,"",'[7]2025-2026'!C65)</f>
        <v>12128</v>
      </c>
      <c r="D66" s="68">
        <f>'[7]2025'!C66</f>
        <v>7979</v>
      </c>
      <c r="E66" s="68">
        <f>'[7]2025'!D66</f>
        <v>7905</v>
      </c>
      <c r="F66" s="20">
        <f>'[7]2025'!E66</f>
        <v>449</v>
      </c>
      <c r="G66" s="73">
        <f>'[7]2025'!F66</f>
        <v>8000</v>
      </c>
      <c r="H66" s="42">
        <f>'[7]2025'!G66</f>
        <v>5534</v>
      </c>
      <c r="I66" s="13">
        <f>'[7]2025'!H66</f>
        <v>5508</v>
      </c>
      <c r="J66" s="14">
        <f>'[7]2025'!I66</f>
        <v>289</v>
      </c>
      <c r="K66" s="15">
        <f>'[7]2025'!J66</f>
        <v>78</v>
      </c>
      <c r="L66" s="15">
        <f>'[7]2025'!K66</f>
        <v>86</v>
      </c>
      <c r="M66" s="15">
        <f>'[7]2025'!L66</f>
        <v>38</v>
      </c>
      <c r="N66" s="16">
        <f t="shared" si="3"/>
        <v>6.8990559186637617E-3</v>
      </c>
      <c r="O66" s="17">
        <f t="shared" si="0"/>
        <v>-0.3032258064516129</v>
      </c>
      <c r="P66" s="17">
        <f t="shared" si="0"/>
        <v>-0.35634743875278396</v>
      </c>
      <c r="Q66" s="18">
        <f t="shared" si="1"/>
        <v>70.615384615384613</v>
      </c>
      <c r="R66" s="18">
        <f t="shared" si="2"/>
        <v>64.04651162790698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19">
        <f>CHAMNORD!B67</f>
        <v>46084</v>
      </c>
      <c r="C67" s="75">
        <f>IF(H67=0,"",'[7]2025-2026'!C66)</f>
        <v>7979</v>
      </c>
      <c r="D67" s="68">
        <f>'[7]2025'!C67</f>
        <v>9763</v>
      </c>
      <c r="E67" s="68">
        <f>'[7]2025'!D67</f>
        <v>9691</v>
      </c>
      <c r="F67" s="20">
        <f>'[7]2025'!E67</f>
        <v>548</v>
      </c>
      <c r="G67" s="73">
        <f>'[7]2025'!F67</f>
        <v>9800</v>
      </c>
      <c r="H67" s="42">
        <f>'[7]2025'!G67</f>
        <v>6249</v>
      </c>
      <c r="I67" s="13">
        <f>'[7]2025'!H67</f>
        <v>6219</v>
      </c>
      <c r="J67" s="14">
        <f>'[7]2025'!I67</f>
        <v>321</v>
      </c>
      <c r="K67" s="15">
        <f>'[7]2025'!J67</f>
        <v>74</v>
      </c>
      <c r="L67" s="15">
        <f>'[7]2025'!K67</f>
        <v>81</v>
      </c>
      <c r="M67" s="15">
        <f>'[7]2025'!L67</f>
        <v>40</v>
      </c>
      <c r="N67" s="16">
        <f t="shared" si="3"/>
        <v>6.4319022350860268E-3</v>
      </c>
      <c r="O67" s="17">
        <f t="shared" si="0"/>
        <v>-0.35827056031369314</v>
      </c>
      <c r="P67" s="17">
        <f t="shared" si="0"/>
        <v>-0.41423357664233579</v>
      </c>
      <c r="Q67" s="18">
        <f t="shared" si="1"/>
        <v>84.040540540540547</v>
      </c>
      <c r="R67" s="18">
        <f t="shared" si="2"/>
        <v>76.777777777777771</v>
      </c>
      <c r="S67" s="34">
        <f>SUM(I66:I72)</f>
        <v>65621</v>
      </c>
      <c r="T67" s="45" t="s">
        <v>41</v>
      </c>
      <c r="U67" s="1738"/>
    </row>
    <row r="68" spans="1:21">
      <c r="A68" s="10" t="s">
        <v>12</v>
      </c>
      <c r="B68" s="19">
        <f>CHAMNORD!B68</f>
        <v>46085</v>
      </c>
      <c r="C68" s="75">
        <f>IF(H68=0,"",'[7]2025-2026'!C67)</f>
        <v>9763</v>
      </c>
      <c r="D68" s="68">
        <f>'[7]2025'!C68</f>
        <v>8735</v>
      </c>
      <c r="E68" s="68">
        <f>'[7]2025'!D68</f>
        <v>8658</v>
      </c>
      <c r="F68" s="20">
        <f>'[7]2025'!E68</f>
        <v>463</v>
      </c>
      <c r="G68" s="73">
        <f>'[7]2025'!F68</f>
        <v>8700</v>
      </c>
      <c r="H68" s="42">
        <f>'[7]2025'!G68</f>
        <v>8050</v>
      </c>
      <c r="I68" s="13">
        <f>'[7]2025'!H68</f>
        <v>7969</v>
      </c>
      <c r="J68" s="14">
        <f>'[7]2025'!I68</f>
        <v>409</v>
      </c>
      <c r="K68" s="15">
        <f>'[7]2025'!J68</f>
        <v>79</v>
      </c>
      <c r="L68" s="15">
        <f>'[7]2025'!K68</f>
        <v>95</v>
      </c>
      <c r="M68" s="15">
        <f>'[7]2025'!L68</f>
        <v>25</v>
      </c>
      <c r="N68" s="16">
        <f t="shared" ref="N68:N131" si="4">IF(M68=0,"",M68/I68)</f>
        <v>3.1371564813652904E-3</v>
      </c>
      <c r="O68" s="17">
        <f t="shared" ref="O68:P131" si="5">IF(I68=0,"",(I68-E68)/E68)</f>
        <v>-7.9579579579579576E-2</v>
      </c>
      <c r="P68" s="17">
        <f t="shared" si="5"/>
        <v>-0.11663066954643629</v>
      </c>
      <c r="Q68" s="18">
        <f t="shared" ref="Q68:Q131" si="6">IF(I68=0,"",I68/K68)</f>
        <v>100.87341772151899</v>
      </c>
      <c r="R68" s="18">
        <f t="shared" ref="R68:R131" si="7">I68/L68</f>
        <v>83.884210526315783</v>
      </c>
      <c r="S68" s="35">
        <f>(S67-SUM(E66:E72))/SUM(E66:E72)</f>
        <v>-0.10221364855250917</v>
      </c>
      <c r="T68" s="48">
        <f>SUM(I66:I72)/SUM(K66:K72)</f>
        <v>104.32591414944356</v>
      </c>
      <c r="U68" s="1738"/>
    </row>
    <row r="69" spans="1:21">
      <c r="A69" s="10" t="s">
        <v>13</v>
      </c>
      <c r="B69" s="19">
        <f>CHAMNORD!B69</f>
        <v>46086</v>
      </c>
      <c r="C69" s="75">
        <f>IF(H69=0,"",'[7]2025-2026'!C68)</f>
        <v>8735</v>
      </c>
      <c r="D69" s="68">
        <f>'[7]2025'!C69</f>
        <v>8900</v>
      </c>
      <c r="E69" s="68">
        <f>'[7]2025'!D69</f>
        <v>8836</v>
      </c>
      <c r="F69" s="20">
        <f>'[7]2025'!E69</f>
        <v>432</v>
      </c>
      <c r="G69" s="73">
        <f>'[7]2025'!F69</f>
        <v>8900</v>
      </c>
      <c r="H69" s="42">
        <f>'[7]2025'!G69</f>
        <v>7669</v>
      </c>
      <c r="I69" s="13">
        <f>'[7]2025'!H69</f>
        <v>7624</v>
      </c>
      <c r="J69" s="14">
        <f>'[7]2025'!I69</f>
        <v>369</v>
      </c>
      <c r="K69" s="15">
        <f>'[7]2025'!J69</f>
        <v>60</v>
      </c>
      <c r="L69" s="15">
        <f>'[7]2025'!K69</f>
        <v>85</v>
      </c>
      <c r="M69" s="15">
        <f>'[7]2025'!L69</f>
        <v>70</v>
      </c>
      <c r="N69" s="16">
        <f t="shared" si="4"/>
        <v>9.1815320041972719E-3</v>
      </c>
      <c r="O69" s="17">
        <f t="shared" si="5"/>
        <v>-0.13716613852421911</v>
      </c>
      <c r="P69" s="17">
        <f t="shared" si="5"/>
        <v>-0.14583333333333334</v>
      </c>
      <c r="Q69" s="18">
        <f t="shared" si="6"/>
        <v>127.06666666666666</v>
      </c>
      <c r="R69" s="18">
        <f t="shared" si="7"/>
        <v>89.694117647058818</v>
      </c>
      <c r="S69" s="34"/>
      <c r="T69" s="29" t="s">
        <v>8</v>
      </c>
      <c r="U69" s="1738"/>
    </row>
    <row r="70" spans="1:21">
      <c r="A70" s="10" t="s">
        <v>14</v>
      </c>
      <c r="B70" s="19">
        <f>CHAMNORD!B70</f>
        <v>46087</v>
      </c>
      <c r="C70" s="75">
        <f>IF(H70=0,"",'[7]2025-2026'!C69)</f>
        <v>8900</v>
      </c>
      <c r="D70" s="68">
        <f>'[7]2025'!C70</f>
        <v>13375</v>
      </c>
      <c r="E70" s="68">
        <f>'[7]2025'!D70</f>
        <v>13274</v>
      </c>
      <c r="F70" s="20">
        <f>'[7]2025'!E70</f>
        <v>686</v>
      </c>
      <c r="G70" s="73">
        <f>'[7]2025'!F70</f>
        <v>13400</v>
      </c>
      <c r="H70" s="42">
        <f>'[7]2025'!G70</f>
        <v>11519</v>
      </c>
      <c r="I70" s="13">
        <f>'[7]2025'!H70</f>
        <v>11440</v>
      </c>
      <c r="J70" s="14">
        <f>'[7]2025'!I70</f>
        <v>595</v>
      </c>
      <c r="K70" s="15">
        <f>'[7]2025'!J70</f>
        <v>105</v>
      </c>
      <c r="L70" s="15">
        <f>'[7]2025'!K70</f>
        <v>114</v>
      </c>
      <c r="M70" s="15">
        <f>'[7]2025'!L70</f>
        <v>34</v>
      </c>
      <c r="N70" s="16">
        <f t="shared" si="4"/>
        <v>2.9720279720279719E-3</v>
      </c>
      <c r="O70" s="17">
        <f t="shared" si="5"/>
        <v>-0.13816483350911557</v>
      </c>
      <c r="P70" s="17">
        <f t="shared" si="5"/>
        <v>-0.1326530612244898</v>
      </c>
      <c r="Q70" s="18">
        <f t="shared" si="6"/>
        <v>108.95238095238095</v>
      </c>
      <c r="R70" s="18">
        <f t="shared" si="7"/>
        <v>100.35087719298245</v>
      </c>
      <c r="S70" s="36" t="s">
        <v>40</v>
      </c>
      <c r="T70" s="48">
        <f>SUM(I66:I72)/SUM(L66:L72)</f>
        <v>91.26703755215577</v>
      </c>
      <c r="U70" s="1738"/>
    </row>
    <row r="71" spans="1:21">
      <c r="A71" s="10" t="s">
        <v>15</v>
      </c>
      <c r="B71" s="19">
        <f>CHAMNORD!B71</f>
        <v>46088</v>
      </c>
      <c r="C71" s="75">
        <f>IF(H71=0,"",'[7]2025-2026'!C70)</f>
        <v>13375</v>
      </c>
      <c r="D71" s="68">
        <f>'[7]2025'!C71</f>
        <v>12474</v>
      </c>
      <c r="E71" s="68">
        <f>'[7]2025'!D71</f>
        <v>12359</v>
      </c>
      <c r="F71" s="20">
        <f>'[7]2025'!E71</f>
        <v>628</v>
      </c>
      <c r="G71" s="73">
        <f>'[7]2025'!F71</f>
        <v>12500</v>
      </c>
      <c r="H71" s="42">
        <f>'[7]2025'!G71</f>
        <v>13322</v>
      </c>
      <c r="I71" s="13">
        <f>'[7]2025'!H71</f>
        <v>13203</v>
      </c>
      <c r="J71" s="14">
        <f>'[7]2025'!I71</f>
        <v>641</v>
      </c>
      <c r="K71" s="15">
        <f>'[7]2025'!J71</f>
        <v>127</v>
      </c>
      <c r="L71" s="15">
        <f>'[7]2025'!K71</f>
        <v>144</v>
      </c>
      <c r="M71" s="15">
        <f>'[7]2025'!L71</f>
        <v>19</v>
      </c>
      <c r="N71" s="16">
        <f t="shared" si="4"/>
        <v>1.4390668787396803E-3</v>
      </c>
      <c r="O71" s="17">
        <f t="shared" si="5"/>
        <v>6.8290314750384329E-2</v>
      </c>
      <c r="P71" s="17">
        <f t="shared" si="5"/>
        <v>2.0700636942675158E-2</v>
      </c>
      <c r="Q71" s="18">
        <f t="shared" si="6"/>
        <v>103.96062992125984</v>
      </c>
      <c r="R71" s="18">
        <f t="shared" si="7"/>
        <v>91.6875</v>
      </c>
      <c r="S71" s="36">
        <f>SUM(J66:J72)</f>
        <v>3233</v>
      </c>
      <c r="T71" s="30" t="s">
        <v>3</v>
      </c>
      <c r="U71" s="1738"/>
    </row>
    <row r="72" spans="1:21" ht="18" thickBot="1">
      <c r="A72" s="10" t="s">
        <v>16</v>
      </c>
      <c r="B72" s="19">
        <f>CHAMNORD!B72</f>
        <v>46089</v>
      </c>
      <c r="C72" s="75">
        <f>IF(H72=0,"",'[7]2025-2026'!C71)</f>
        <v>12474</v>
      </c>
      <c r="D72" s="68">
        <f>'[7]2025'!C72</f>
        <v>12445</v>
      </c>
      <c r="E72" s="68">
        <f>'[7]2025'!D72</f>
        <v>12369</v>
      </c>
      <c r="F72" s="20">
        <f>'[7]2025'!E72</f>
        <v>547</v>
      </c>
      <c r="G72" s="73">
        <f>'[7]2025'!F72</f>
        <v>12500</v>
      </c>
      <c r="H72" s="42">
        <f>'[7]2025'!G72</f>
        <v>13756</v>
      </c>
      <c r="I72" s="13">
        <f>'[7]2025'!H72</f>
        <v>13658</v>
      </c>
      <c r="J72" s="14">
        <f>'[7]2025'!I72</f>
        <v>609</v>
      </c>
      <c r="K72" s="15">
        <f>'[7]2025'!J72</f>
        <v>106</v>
      </c>
      <c r="L72" s="15">
        <f>'[7]2025'!K72</f>
        <v>114</v>
      </c>
      <c r="M72" s="15">
        <f>'[7]2025'!L72</f>
        <v>57</v>
      </c>
      <c r="N72" s="16">
        <f t="shared" si="4"/>
        <v>4.1733782398594233E-3</v>
      </c>
      <c r="O72" s="17">
        <f t="shared" si="5"/>
        <v>0.10421214326137926</v>
      </c>
      <c r="P72" s="17">
        <f t="shared" si="5"/>
        <v>0.11334552102376599</v>
      </c>
      <c r="Q72" s="18">
        <f t="shared" si="6"/>
        <v>128.84905660377359</v>
      </c>
      <c r="R72" s="18">
        <f t="shared" si="7"/>
        <v>119.80701754385964</v>
      </c>
      <c r="S72" s="37">
        <f>(S71-SUM(F66:F72))/SUM(F66:F72)</f>
        <v>-0.13855582200905942</v>
      </c>
      <c r="T72" s="47">
        <f>SUM(M66:M72)/SUM(I66:I72)</f>
        <v>4.3126438182898765E-3</v>
      </c>
      <c r="U72" s="1739"/>
    </row>
    <row r="73" spans="1:21" ht="17" customHeight="1" thickTop="1">
      <c r="A73" s="10" t="s">
        <v>9</v>
      </c>
      <c r="B73" s="19">
        <f>CHAMNORD!B73</f>
        <v>46090</v>
      </c>
      <c r="C73" s="75">
        <f>IF(H73=0,"",'[7]2025-2026'!C72)</f>
        <v>12445</v>
      </c>
      <c r="D73" s="68">
        <f>'[7]2025'!C73</f>
        <v>5621</v>
      </c>
      <c r="E73" s="68">
        <f>'[7]2025'!D73</f>
        <v>5596</v>
      </c>
      <c r="F73" s="20">
        <f>'[7]2025'!E73</f>
        <v>319</v>
      </c>
      <c r="G73" s="73">
        <f>'[7]2025'!F73</f>
        <v>5600</v>
      </c>
      <c r="H73" s="42">
        <f>'[7]2025'!G73</f>
        <v>5387</v>
      </c>
      <c r="I73" s="13">
        <f>'[7]2025'!H73</f>
        <v>5354</v>
      </c>
      <c r="J73" s="14">
        <f>'[7]2025'!I73</f>
        <v>285</v>
      </c>
      <c r="K73" s="15">
        <f>'[7]2025'!J73</f>
        <v>69</v>
      </c>
      <c r="L73" s="15">
        <f>'[7]2025'!K73</f>
        <v>77</v>
      </c>
      <c r="M73" s="15">
        <f>'[7]2025'!L73</f>
        <v>39</v>
      </c>
      <c r="N73" s="16">
        <f t="shared" si="4"/>
        <v>7.2842734404183788E-3</v>
      </c>
      <c r="O73" s="17">
        <f t="shared" si="5"/>
        <v>-4.3245175125089352E-2</v>
      </c>
      <c r="P73" s="17">
        <f t="shared" si="5"/>
        <v>-0.10658307210031348</v>
      </c>
      <c r="Q73" s="18">
        <f t="shared" si="6"/>
        <v>77.594202898550719</v>
      </c>
      <c r="R73" s="18">
        <f t="shared" si="7"/>
        <v>69.532467532467535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19">
        <f>CHAMNORD!B74</f>
        <v>46091</v>
      </c>
      <c r="C74" s="75">
        <f>IF(H74=0,"",'[7]2025-2026'!C73)</f>
        <v>5621</v>
      </c>
      <c r="D74" s="68">
        <f>'[7]2025'!C74</f>
        <v>5330</v>
      </c>
      <c r="E74" s="68">
        <f>'[7]2025'!D74</f>
        <v>5294</v>
      </c>
      <c r="F74" s="20">
        <f>'[7]2025'!E74</f>
        <v>290</v>
      </c>
      <c r="G74" s="73">
        <f>'[7]2025'!F74</f>
        <v>5300</v>
      </c>
      <c r="H74" s="42">
        <f>'[7]2025'!G74</f>
        <v>6062</v>
      </c>
      <c r="I74" s="13">
        <f>'[7]2025'!H74</f>
        <v>6019</v>
      </c>
      <c r="J74" s="14">
        <f>'[7]2025'!I74</f>
        <v>292</v>
      </c>
      <c r="K74" s="15">
        <f>'[7]2025'!J74</f>
        <v>63</v>
      </c>
      <c r="L74" s="15">
        <f>'[7]2025'!K74</f>
        <v>71</v>
      </c>
      <c r="M74" s="15">
        <f>'[7]2025'!L74</f>
        <v>16</v>
      </c>
      <c r="N74" s="16">
        <f t="shared" si="4"/>
        <v>2.6582488785512545E-3</v>
      </c>
      <c r="O74" s="17">
        <f t="shared" si="5"/>
        <v>0.13694748772194937</v>
      </c>
      <c r="P74" s="17">
        <f t="shared" si="5"/>
        <v>6.8965517241379309E-3</v>
      </c>
      <c r="Q74" s="18">
        <f t="shared" si="6"/>
        <v>95.539682539682545</v>
      </c>
      <c r="R74" s="18">
        <f t="shared" si="7"/>
        <v>84.774647887323937</v>
      </c>
      <c r="S74" s="34">
        <f>SUM(I73:I79)</f>
        <v>65145</v>
      </c>
      <c r="T74" s="45" t="s">
        <v>41</v>
      </c>
      <c r="U74" s="1738"/>
    </row>
    <row r="75" spans="1:21">
      <c r="A75" s="10" t="s">
        <v>12</v>
      </c>
      <c r="B75" s="19">
        <f>CHAMNORD!B75</f>
        <v>46092</v>
      </c>
      <c r="C75" s="75">
        <f>IF(H75=0,"",'[7]2025-2026'!C74)</f>
        <v>5330</v>
      </c>
      <c r="D75" s="68">
        <f>'[7]2025'!C75</f>
        <v>8355</v>
      </c>
      <c r="E75" s="68">
        <f>'[7]2025'!D75</f>
        <v>8268</v>
      </c>
      <c r="F75" s="20">
        <f>'[7]2025'!E75</f>
        <v>427</v>
      </c>
      <c r="G75" s="73">
        <f>'[7]2025'!F75</f>
        <v>8300</v>
      </c>
      <c r="H75" s="42">
        <f>'[7]2025'!G75</f>
        <v>8483</v>
      </c>
      <c r="I75" s="13">
        <f>'[7]2025'!H75</f>
        <v>8395</v>
      </c>
      <c r="J75" s="14">
        <f>'[7]2025'!I75</f>
        <v>387</v>
      </c>
      <c r="K75" s="15">
        <f>'[7]2025'!J75</f>
        <v>74</v>
      </c>
      <c r="L75" s="15">
        <f>'[7]2025'!K75</f>
        <v>91</v>
      </c>
      <c r="M75" s="15">
        <f>'[7]2025'!L75</f>
        <v>39</v>
      </c>
      <c r="N75" s="16">
        <f t="shared" si="4"/>
        <v>4.6456223942823111E-3</v>
      </c>
      <c r="O75" s="17">
        <f t="shared" si="5"/>
        <v>1.5360425737784228E-2</v>
      </c>
      <c r="P75" s="17">
        <f t="shared" si="5"/>
        <v>-9.3676814988290405E-2</v>
      </c>
      <c r="Q75" s="18">
        <f t="shared" si="6"/>
        <v>113.44594594594595</v>
      </c>
      <c r="R75" s="18">
        <f t="shared" si="7"/>
        <v>92.252747252747255</v>
      </c>
      <c r="S75" s="35">
        <f>(S74-SUM(E73:E79))/SUM(E73:E79)</f>
        <v>0.12087061252580868</v>
      </c>
      <c r="T75" s="48">
        <f>SUM(I73:I79)/SUM(K73:K79)</f>
        <v>110.41525423728814</v>
      </c>
      <c r="U75" s="1738"/>
    </row>
    <row r="76" spans="1:21">
      <c r="A76" s="10" t="s">
        <v>13</v>
      </c>
      <c r="B76" s="19">
        <f>CHAMNORD!B76</f>
        <v>46093</v>
      </c>
      <c r="C76" s="75">
        <f>IF(H76=0,"",'[7]2025-2026'!C75)</f>
        <v>8355</v>
      </c>
      <c r="D76" s="68">
        <f>'[7]2025'!C76</f>
        <v>6420</v>
      </c>
      <c r="E76" s="68">
        <f>'[7]2025'!D76</f>
        <v>6385</v>
      </c>
      <c r="F76" s="20">
        <f>'[7]2025'!E76</f>
        <v>341</v>
      </c>
      <c r="G76" s="73">
        <f>'[7]2025'!F76</f>
        <v>6400</v>
      </c>
      <c r="H76" s="42">
        <f>'[7]2025'!G76</f>
        <v>6436</v>
      </c>
      <c r="I76" s="13">
        <f>'[7]2025'!H76</f>
        <v>6388</v>
      </c>
      <c r="J76" s="14">
        <f>'[7]2025'!I76</f>
        <v>313</v>
      </c>
      <c r="K76" s="15">
        <f>'[7]2025'!J76</f>
        <v>69</v>
      </c>
      <c r="L76" s="15">
        <f>'[7]2025'!K76</f>
        <v>77</v>
      </c>
      <c r="M76" s="15">
        <f>'[7]2025'!L76</f>
        <v>43</v>
      </c>
      <c r="N76" s="16">
        <f t="shared" si="4"/>
        <v>6.7313713212273016E-3</v>
      </c>
      <c r="O76" s="17">
        <f t="shared" si="5"/>
        <v>4.6985121378230227E-4</v>
      </c>
      <c r="P76" s="17">
        <f t="shared" si="5"/>
        <v>-8.2111436950146624E-2</v>
      </c>
      <c r="Q76" s="18">
        <f t="shared" si="6"/>
        <v>92.579710144927532</v>
      </c>
      <c r="R76" s="18">
        <f t="shared" si="7"/>
        <v>82.961038961038966</v>
      </c>
      <c r="S76" s="34"/>
      <c r="T76" s="29" t="s">
        <v>8</v>
      </c>
      <c r="U76" s="1738"/>
    </row>
    <row r="77" spans="1:21">
      <c r="A77" s="10" t="s">
        <v>14</v>
      </c>
      <c r="B77" s="19">
        <f>CHAMNORD!B77</f>
        <v>46094</v>
      </c>
      <c r="C77" s="75">
        <f>IF(H77=0,"",'[7]2025-2026'!C76)</f>
        <v>6420</v>
      </c>
      <c r="D77" s="68">
        <f>'[7]2025'!C77</f>
        <v>10269</v>
      </c>
      <c r="E77" s="68">
        <f>'[7]2025'!D77</f>
        <v>10198</v>
      </c>
      <c r="F77" s="20">
        <f>'[7]2025'!E77</f>
        <v>544</v>
      </c>
      <c r="G77" s="73">
        <f>'[7]2025'!F77</f>
        <v>10300</v>
      </c>
      <c r="H77" s="42">
        <f>'[7]2025'!G77</f>
        <v>12397</v>
      </c>
      <c r="I77" s="13">
        <f>'[7]2025'!H77</f>
        <v>12300</v>
      </c>
      <c r="J77" s="14">
        <f>'[7]2025'!I77</f>
        <v>607</v>
      </c>
      <c r="K77" s="15">
        <f>'[7]2025'!J77</f>
        <v>102</v>
      </c>
      <c r="L77" s="15">
        <f>'[7]2025'!K77</f>
        <v>120</v>
      </c>
      <c r="M77" s="15">
        <f>'[7]2025'!L77</f>
        <v>66</v>
      </c>
      <c r="N77" s="16">
        <f t="shared" si="4"/>
        <v>5.3658536585365858E-3</v>
      </c>
      <c r="O77" s="17">
        <f t="shared" si="5"/>
        <v>0.20611884683271231</v>
      </c>
      <c r="P77" s="17">
        <f t="shared" si="5"/>
        <v>0.11580882352941177</v>
      </c>
      <c r="Q77" s="18">
        <f t="shared" si="6"/>
        <v>120.58823529411765</v>
      </c>
      <c r="R77" s="18">
        <f t="shared" si="7"/>
        <v>102.5</v>
      </c>
      <c r="S77" s="36" t="s">
        <v>40</v>
      </c>
      <c r="T77" s="48">
        <f>SUM(I73:I79)/SUM(L73:L79)</f>
        <v>97.522455089820355</v>
      </c>
      <c r="U77" s="1738"/>
    </row>
    <row r="78" spans="1:21">
      <c r="A78" s="10" t="s">
        <v>15</v>
      </c>
      <c r="B78" s="19">
        <f>CHAMNORD!B78</f>
        <v>46095</v>
      </c>
      <c r="C78" s="75">
        <f>IF(H78=0,"",'[7]2025-2026'!C77)</f>
        <v>10269</v>
      </c>
      <c r="D78" s="68">
        <f>'[7]2025'!C78</f>
        <v>11895</v>
      </c>
      <c r="E78" s="68">
        <f>'[7]2025'!D78</f>
        <v>11797</v>
      </c>
      <c r="F78" s="20">
        <f>'[7]2025'!E78</f>
        <v>566</v>
      </c>
      <c r="G78" s="73">
        <f>'[7]2025'!F78</f>
        <v>11900</v>
      </c>
      <c r="H78" s="42">
        <f>'[7]2025'!G78</f>
        <v>14021</v>
      </c>
      <c r="I78" s="13">
        <f>'[7]2025'!H78</f>
        <v>13901</v>
      </c>
      <c r="J78" s="14">
        <f>'[7]2025'!I78</f>
        <v>635</v>
      </c>
      <c r="K78" s="15">
        <f>'[7]2025'!J78</f>
        <v>120</v>
      </c>
      <c r="L78" s="15">
        <f>'[7]2025'!K78</f>
        <v>129</v>
      </c>
      <c r="M78" s="15">
        <f>'[7]2025'!L78</f>
        <v>31</v>
      </c>
      <c r="N78" s="16">
        <f t="shared" si="4"/>
        <v>2.2300553916984388E-3</v>
      </c>
      <c r="O78" s="17">
        <f t="shared" si="5"/>
        <v>0.17835042807493431</v>
      </c>
      <c r="P78" s="17">
        <f t="shared" si="5"/>
        <v>0.12190812720848057</v>
      </c>
      <c r="Q78" s="18">
        <f t="shared" si="6"/>
        <v>115.84166666666667</v>
      </c>
      <c r="R78" s="18">
        <f t="shared" si="7"/>
        <v>107.75968992248062</v>
      </c>
      <c r="S78" s="36">
        <f>SUM(J73:J79)</f>
        <v>3062</v>
      </c>
      <c r="T78" s="30" t="s">
        <v>3</v>
      </c>
      <c r="U78" s="1738"/>
    </row>
    <row r="79" spans="1:21" ht="18" thickBot="1">
      <c r="A79" s="10" t="s">
        <v>16</v>
      </c>
      <c r="B79" s="19">
        <f>CHAMNORD!B79</f>
        <v>46096</v>
      </c>
      <c r="C79" s="75">
        <f>IF(H79=0,"",'[7]2025-2026'!C78)</f>
        <v>11895</v>
      </c>
      <c r="D79" s="68">
        <f>'[7]2025'!C79</f>
        <v>10653</v>
      </c>
      <c r="E79" s="68">
        <f>'[7]2025'!D79</f>
        <v>10582</v>
      </c>
      <c r="F79" s="20">
        <f>'[7]2025'!E79</f>
        <v>492</v>
      </c>
      <c r="G79" s="73">
        <f>'[7]2025'!F79</f>
        <v>10700</v>
      </c>
      <c r="H79" s="42">
        <f>'[7]2025'!G79</f>
        <v>12886</v>
      </c>
      <c r="I79" s="13">
        <f>'[7]2025'!H79</f>
        <v>12788</v>
      </c>
      <c r="J79" s="14">
        <f>'[7]2025'!I79</f>
        <v>543</v>
      </c>
      <c r="K79" s="15">
        <f>'[7]2025'!J79</f>
        <v>93</v>
      </c>
      <c r="L79" s="15">
        <f>'[7]2025'!K79</f>
        <v>103</v>
      </c>
      <c r="M79" s="15">
        <f>'[7]2025'!L79</f>
        <v>28</v>
      </c>
      <c r="N79" s="16">
        <f t="shared" si="4"/>
        <v>2.1895527056615578E-3</v>
      </c>
      <c r="O79" s="17">
        <f t="shared" si="5"/>
        <v>0.20846720846720845</v>
      </c>
      <c r="P79" s="17">
        <f t="shared" si="5"/>
        <v>0.10365853658536585</v>
      </c>
      <c r="Q79" s="18">
        <f t="shared" si="6"/>
        <v>137.50537634408602</v>
      </c>
      <c r="R79" s="18">
        <f t="shared" si="7"/>
        <v>124.15533980582525</v>
      </c>
      <c r="S79" s="37">
        <f>(S78-SUM(F73:F79))/SUM(F73:F79)</f>
        <v>2.7861698556562606E-2</v>
      </c>
      <c r="T79" s="47">
        <f>SUM(M73:M79)/SUM(I73:I79)</f>
        <v>4.0217975285900681E-3</v>
      </c>
      <c r="U79" s="1739"/>
    </row>
    <row r="80" spans="1:21" ht="17" customHeight="1" thickTop="1">
      <c r="A80" s="10" t="s">
        <v>9</v>
      </c>
      <c r="B80" s="19">
        <f>CHAMNORD!B80</f>
        <v>46097</v>
      </c>
      <c r="C80" s="75">
        <f>IF(H80=0,"",'[7]2025-2026'!C79)</f>
        <v>10653</v>
      </c>
      <c r="D80" s="68">
        <f>'[7]2025'!C80</f>
        <v>4976</v>
      </c>
      <c r="E80" s="68">
        <f>'[7]2025'!D80</f>
        <v>4946</v>
      </c>
      <c r="F80" s="20">
        <f>'[7]2025'!E80</f>
        <v>284</v>
      </c>
      <c r="G80" s="73">
        <f>'[7]2025'!F80</f>
        <v>5000</v>
      </c>
      <c r="H80" s="42">
        <f>'[7]2025'!G80</f>
        <v>5464</v>
      </c>
      <c r="I80" s="13">
        <f>'[7]2025'!H80</f>
        <v>5437</v>
      </c>
      <c r="J80" s="14">
        <f>'[7]2025'!I80</f>
        <v>279</v>
      </c>
      <c r="K80" s="15">
        <f>'[7]2025'!J80</f>
        <v>60</v>
      </c>
      <c r="L80" s="15">
        <f>'[7]2025'!K80</f>
        <v>68</v>
      </c>
      <c r="M80" s="15">
        <f>'[7]2025'!L80</f>
        <v>30</v>
      </c>
      <c r="N80" s="16">
        <f t="shared" si="4"/>
        <v>5.5177487585065296E-3</v>
      </c>
      <c r="O80" s="17">
        <f t="shared" si="5"/>
        <v>9.9272139102304896E-2</v>
      </c>
      <c r="P80" s="17">
        <f t="shared" si="5"/>
        <v>-1.7605633802816902E-2</v>
      </c>
      <c r="Q80" s="18">
        <f t="shared" si="6"/>
        <v>90.61666666666666</v>
      </c>
      <c r="R80" s="18">
        <f t="shared" si="7"/>
        <v>79.955882352941174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19">
        <f>CHAMNORD!B81</f>
        <v>46098</v>
      </c>
      <c r="C81" s="75">
        <f>IF(H81=0,"",'[7]2025-2026'!C80)</f>
        <v>4976</v>
      </c>
      <c r="D81" s="68">
        <f>'[7]2025'!C81</f>
        <v>5735</v>
      </c>
      <c r="E81" s="68">
        <f>'[7]2025'!D81</f>
        <v>5704</v>
      </c>
      <c r="F81" s="20">
        <f>'[7]2025'!E81</f>
        <v>330</v>
      </c>
      <c r="G81" s="73">
        <f>'[7]2025'!F81</f>
        <v>5800</v>
      </c>
      <c r="H81" s="42">
        <f>'[7]2025'!G81</f>
        <v>6377</v>
      </c>
      <c r="I81" s="13">
        <f>'[7]2025'!H81</f>
        <v>6331</v>
      </c>
      <c r="J81" s="14">
        <f>'[7]2025'!I81</f>
        <v>316</v>
      </c>
      <c r="K81" s="15">
        <f>'[7]2025'!J81</f>
        <v>58</v>
      </c>
      <c r="L81" s="15">
        <f>'[7]2025'!K81</f>
        <v>66</v>
      </c>
      <c r="M81" s="15">
        <f>'[7]2025'!L81</f>
        <v>57</v>
      </c>
      <c r="N81" s="16">
        <f t="shared" si="4"/>
        <v>9.0033170115305632E-3</v>
      </c>
      <c r="O81" s="17">
        <f t="shared" si="5"/>
        <v>0.10992286115007012</v>
      </c>
      <c r="P81" s="17">
        <f t="shared" si="5"/>
        <v>-4.2424242424242427E-2</v>
      </c>
      <c r="Q81" s="18">
        <f t="shared" si="6"/>
        <v>109.15517241379311</v>
      </c>
      <c r="R81" s="18">
        <f t="shared" si="7"/>
        <v>95.924242424242422</v>
      </c>
      <c r="S81" s="34">
        <f>SUM(I80:I86)</f>
        <v>62841</v>
      </c>
      <c r="T81" s="45" t="s">
        <v>41</v>
      </c>
      <c r="U81" s="1738"/>
    </row>
    <row r="82" spans="1:21">
      <c r="A82" s="10" t="s">
        <v>12</v>
      </c>
      <c r="B82" s="19">
        <f>CHAMNORD!B82</f>
        <v>46099</v>
      </c>
      <c r="C82" s="75">
        <f>IF(H82=0,"",'[7]2025-2026'!C81)</f>
        <v>5735</v>
      </c>
      <c r="D82" s="68">
        <f>'[7]2025'!C82</f>
        <v>8365</v>
      </c>
      <c r="E82" s="68">
        <f>'[7]2025'!D82</f>
        <v>8285</v>
      </c>
      <c r="F82" s="20">
        <f>'[7]2025'!E82</f>
        <v>416</v>
      </c>
      <c r="G82" s="73">
        <f>'[7]2025'!F82</f>
        <v>8400</v>
      </c>
      <c r="H82" s="42">
        <f>'[7]2025'!G82</f>
        <v>7996</v>
      </c>
      <c r="I82" s="13">
        <f>'[7]2025'!H82</f>
        <v>7914</v>
      </c>
      <c r="J82" s="14">
        <f>'[7]2025'!I82</f>
        <v>407</v>
      </c>
      <c r="K82" s="15">
        <f>'[7]2025'!J82</f>
        <v>75</v>
      </c>
      <c r="L82" s="15">
        <f>'[7]2025'!K82</f>
        <v>92</v>
      </c>
      <c r="M82" s="15">
        <f>'[7]2025'!L82</f>
        <v>47</v>
      </c>
      <c r="N82" s="16">
        <f t="shared" si="4"/>
        <v>5.9388425574930506E-3</v>
      </c>
      <c r="O82" s="17">
        <f t="shared" si="5"/>
        <v>-4.4779722389861193E-2</v>
      </c>
      <c r="P82" s="17">
        <f t="shared" si="5"/>
        <v>-2.1634615384615384E-2</v>
      </c>
      <c r="Q82" s="18">
        <f t="shared" si="6"/>
        <v>105.52</v>
      </c>
      <c r="R82" s="18">
        <f t="shared" si="7"/>
        <v>86.021739130434781</v>
      </c>
      <c r="S82" s="35">
        <f>(S81-SUM(E80:E86))/SUM(E80:E86)</f>
        <v>4.219115378874571E-2</v>
      </c>
      <c r="T82" s="48">
        <f>SUM(I80:I86)/SUM(K80:K86)</f>
        <v>109.86188811188811</v>
      </c>
      <c r="U82" s="1738"/>
    </row>
    <row r="83" spans="1:21">
      <c r="A83" s="10" t="s">
        <v>13</v>
      </c>
      <c r="B83" s="19">
        <f>CHAMNORD!B83</f>
        <v>46100</v>
      </c>
      <c r="C83" s="75">
        <f>IF(H83=0,"",'[7]2025-2026'!C82)</f>
        <v>8365</v>
      </c>
      <c r="D83" s="68">
        <f>'[7]2025'!C83</f>
        <v>6722</v>
      </c>
      <c r="E83" s="68">
        <f>'[7]2025'!D83</f>
        <v>6681</v>
      </c>
      <c r="F83" s="20">
        <f>'[7]2025'!E83</f>
        <v>371</v>
      </c>
      <c r="G83" s="73">
        <f>'[7]2025'!F83</f>
        <v>6700</v>
      </c>
      <c r="H83" s="42">
        <f>'[7]2025'!G83</f>
        <v>6938</v>
      </c>
      <c r="I83" s="13">
        <f>'[7]2025'!H83</f>
        <v>6885</v>
      </c>
      <c r="J83" s="14">
        <f>'[7]2025'!I83</f>
        <v>336</v>
      </c>
      <c r="K83" s="15">
        <f>'[7]2025'!J83</f>
        <v>71</v>
      </c>
      <c r="L83" s="15">
        <f>'[7]2025'!K83</f>
        <v>92</v>
      </c>
      <c r="M83" s="15">
        <f>'[7]2025'!L83</f>
        <v>24</v>
      </c>
      <c r="N83" s="16">
        <f t="shared" si="4"/>
        <v>3.4858387799564269E-3</v>
      </c>
      <c r="O83" s="17">
        <f t="shared" si="5"/>
        <v>3.0534351145038167E-2</v>
      </c>
      <c r="P83" s="17">
        <f t="shared" si="5"/>
        <v>-9.4339622641509441E-2</v>
      </c>
      <c r="Q83" s="18">
        <f t="shared" si="6"/>
        <v>96.971830985915489</v>
      </c>
      <c r="R83" s="18">
        <f t="shared" si="7"/>
        <v>74.836956521739125</v>
      </c>
      <c r="S83" s="34"/>
      <c r="T83" s="29" t="s">
        <v>8</v>
      </c>
      <c r="U83" s="1738"/>
    </row>
    <row r="84" spans="1:21">
      <c r="A84" s="10" t="s">
        <v>14</v>
      </c>
      <c r="B84" s="19">
        <f>CHAMNORD!B84</f>
        <v>46101</v>
      </c>
      <c r="C84" s="75">
        <f>IF(H84=0,"",'[7]2025-2026'!C83)</f>
        <v>6722</v>
      </c>
      <c r="D84" s="68">
        <f>'[7]2025'!C84</f>
        <v>10663</v>
      </c>
      <c r="E84" s="68">
        <f>'[7]2025'!D84</f>
        <v>10594</v>
      </c>
      <c r="F84" s="20">
        <f>'[7]2025'!E84</f>
        <v>588</v>
      </c>
      <c r="G84" s="73">
        <f>'[7]2025'!F84</f>
        <v>10700</v>
      </c>
      <c r="H84" s="42">
        <f>'[7]2025'!G84</f>
        <v>12819</v>
      </c>
      <c r="I84" s="13">
        <f>'[7]2025'!H84</f>
        <v>12721</v>
      </c>
      <c r="J84" s="14">
        <f>'[7]2025'!I84</f>
        <v>639</v>
      </c>
      <c r="K84" s="15">
        <f>'[7]2025'!J84</f>
        <v>104</v>
      </c>
      <c r="L84" s="15">
        <f>'[7]2025'!K84</f>
        <v>112</v>
      </c>
      <c r="M84" s="15">
        <f>'[7]2025'!L84</f>
        <v>83</v>
      </c>
      <c r="N84" s="16">
        <f t="shared" si="4"/>
        <v>6.5246442889709926E-3</v>
      </c>
      <c r="O84" s="17">
        <f t="shared" si="5"/>
        <v>0.20077402303190486</v>
      </c>
      <c r="P84" s="17">
        <f t="shared" si="5"/>
        <v>8.673469387755102E-2</v>
      </c>
      <c r="Q84" s="18">
        <f t="shared" si="6"/>
        <v>122.31730769230769</v>
      </c>
      <c r="R84" s="18">
        <f t="shared" si="7"/>
        <v>113.58035714285714</v>
      </c>
      <c r="S84" s="36" t="s">
        <v>40</v>
      </c>
      <c r="T84" s="48">
        <f>SUM(I80:I86)/SUM(L80:L86)</f>
        <v>94.073353293413177</v>
      </c>
      <c r="U84" s="1738"/>
    </row>
    <row r="85" spans="1:21">
      <c r="A85" s="10" t="s">
        <v>15</v>
      </c>
      <c r="B85" s="19">
        <f>CHAMNORD!B85</f>
        <v>46102</v>
      </c>
      <c r="C85" s="75">
        <f>IF(H85=0,"",'[7]2025-2026'!C84)</f>
        <v>10663</v>
      </c>
      <c r="D85" s="68">
        <f>'[7]2025'!C85</f>
        <v>12757</v>
      </c>
      <c r="E85" s="68">
        <f>'[7]2025'!D85</f>
        <v>12656</v>
      </c>
      <c r="F85" s="20">
        <f>'[7]2025'!E85</f>
        <v>622</v>
      </c>
      <c r="G85" s="73">
        <f>'[7]2025'!F85</f>
        <v>12800</v>
      </c>
      <c r="H85" s="42">
        <f>'[7]2025'!G85</f>
        <v>11641</v>
      </c>
      <c r="I85" s="13">
        <f>'[7]2025'!H85</f>
        <v>11538</v>
      </c>
      <c r="J85" s="14">
        <f>'[7]2025'!I85</f>
        <v>622</v>
      </c>
      <c r="K85" s="15">
        <f>'[7]2025'!J85</f>
        <v>112</v>
      </c>
      <c r="L85" s="15">
        <f>'[7]2025'!K85</f>
        <v>129</v>
      </c>
      <c r="M85" s="15">
        <f>'[7]2025'!L85</f>
        <v>23</v>
      </c>
      <c r="N85" s="16">
        <f t="shared" si="4"/>
        <v>1.9934130698561277E-3</v>
      </c>
      <c r="O85" s="17">
        <f t="shared" si="5"/>
        <v>-8.8337547408343875E-2</v>
      </c>
      <c r="P85" s="17">
        <f t="shared" si="5"/>
        <v>0</v>
      </c>
      <c r="Q85" s="18">
        <f t="shared" si="6"/>
        <v>103.01785714285714</v>
      </c>
      <c r="R85" s="18">
        <f t="shared" si="7"/>
        <v>89.441860465116278</v>
      </c>
      <c r="S85" s="36">
        <f>SUM(J80:J86)</f>
        <v>3078</v>
      </c>
      <c r="T85" s="30" t="s">
        <v>3</v>
      </c>
      <c r="U85" s="1738"/>
    </row>
    <row r="86" spans="1:21" ht="18" thickBot="1">
      <c r="A86" s="10" t="s">
        <v>16</v>
      </c>
      <c r="B86" s="19">
        <f>CHAMNORD!B86</f>
        <v>46103</v>
      </c>
      <c r="C86" s="75">
        <f>IF(H86=0,"",'[7]2025-2026'!C85)</f>
        <v>12757</v>
      </c>
      <c r="D86" s="68">
        <f>'[7]2025'!C86</f>
        <v>11523</v>
      </c>
      <c r="E86" s="68">
        <f>'[7]2025'!D86</f>
        <v>11431</v>
      </c>
      <c r="F86" s="20">
        <f>'[7]2025'!E86</f>
        <v>553</v>
      </c>
      <c r="G86" s="73">
        <f>'[7]2025'!F86</f>
        <v>11500</v>
      </c>
      <c r="H86" s="42">
        <f>'[7]2025'!G86</f>
        <v>12097</v>
      </c>
      <c r="I86" s="13">
        <f>'[7]2025'!H86</f>
        <v>12015</v>
      </c>
      <c r="J86" s="14">
        <f>'[7]2025'!I86</f>
        <v>479</v>
      </c>
      <c r="K86" s="15">
        <f>'[7]2025'!J86</f>
        <v>92</v>
      </c>
      <c r="L86" s="15">
        <f>'[7]2025'!K86</f>
        <v>109</v>
      </c>
      <c r="M86" s="15">
        <f>'[7]2025'!L86</f>
        <v>27</v>
      </c>
      <c r="N86" s="16">
        <f t="shared" si="4"/>
        <v>2.2471910112359553E-3</v>
      </c>
      <c r="O86" s="17">
        <f t="shared" si="5"/>
        <v>5.1089143556994142E-2</v>
      </c>
      <c r="P86" s="17">
        <f t="shared" si="5"/>
        <v>-0.13381555153707053</v>
      </c>
      <c r="Q86" s="18">
        <f t="shared" si="6"/>
        <v>130.59782608695653</v>
      </c>
      <c r="R86" s="18">
        <f t="shared" si="7"/>
        <v>110.22935779816514</v>
      </c>
      <c r="S86" s="37">
        <f>(S85-SUM(F80:F86))/SUM(F80:F86)</f>
        <v>-2.718078381795196E-2</v>
      </c>
      <c r="T86" s="47">
        <f>SUM(M80:M86)/SUM(I80:I86)</f>
        <v>4.630734711414522E-3</v>
      </c>
      <c r="U86" s="1739"/>
    </row>
    <row r="87" spans="1:21" ht="17" customHeight="1" thickTop="1">
      <c r="A87" s="10" t="s">
        <v>9</v>
      </c>
      <c r="B87" s="19">
        <f>CHAMNORD!B87</f>
        <v>46104</v>
      </c>
      <c r="C87" s="75">
        <f>IF(H87=0,"",'[7]2025-2026'!C86)</f>
        <v>11523</v>
      </c>
      <c r="D87" s="68">
        <f>'[7]2025'!C87</f>
        <v>5625</v>
      </c>
      <c r="E87" s="68">
        <f>'[7]2025'!D87</f>
        <v>5585</v>
      </c>
      <c r="F87" s="20">
        <f>'[7]2025'!E87</f>
        <v>323</v>
      </c>
      <c r="G87" s="73">
        <f>'[7]2025'!F87</f>
        <v>5600</v>
      </c>
      <c r="H87" s="42">
        <f>'[7]2025'!G87</f>
        <v>5632</v>
      </c>
      <c r="I87" s="13">
        <f>'[7]2025'!H87</f>
        <v>5599</v>
      </c>
      <c r="J87" s="14">
        <f>'[7]2025'!I87</f>
        <v>309</v>
      </c>
      <c r="K87" s="15">
        <f>'[7]2025'!J87</f>
        <v>67</v>
      </c>
      <c r="L87" s="15">
        <f>'[7]2025'!K87</f>
        <v>83</v>
      </c>
      <c r="M87" s="15">
        <f>'[7]2025'!L87</f>
        <v>27</v>
      </c>
      <c r="N87" s="16">
        <f t="shared" si="4"/>
        <v>4.8222896945883196E-3</v>
      </c>
      <c r="O87" s="17">
        <f t="shared" si="5"/>
        <v>2.5067144136078781E-3</v>
      </c>
      <c r="P87" s="17">
        <f t="shared" si="5"/>
        <v>-4.3343653250773995E-2</v>
      </c>
      <c r="Q87" s="18">
        <f t="shared" si="6"/>
        <v>83.567164179104481</v>
      </c>
      <c r="R87" s="18">
        <f t="shared" si="7"/>
        <v>67.4578313253012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19">
        <f>CHAMNORD!B88</f>
        <v>46105</v>
      </c>
      <c r="C88" s="75">
        <f>IF(H88=0,"",'[7]2025-2026'!C87)</f>
        <v>5625</v>
      </c>
      <c r="D88" s="68">
        <f>'[7]2025'!C88</f>
        <v>6517</v>
      </c>
      <c r="E88" s="68">
        <f>'[7]2025'!D88</f>
        <v>6358</v>
      </c>
      <c r="F88" s="20">
        <f>'[7]2025'!E88</f>
        <v>352</v>
      </c>
      <c r="G88" s="73">
        <f>'[7]2025'!F88</f>
        <v>6400</v>
      </c>
      <c r="H88" s="42">
        <f>'[7]2025'!G88</f>
        <v>7005</v>
      </c>
      <c r="I88" s="13">
        <f>'[7]2025'!H88</f>
        <v>6915</v>
      </c>
      <c r="J88" s="14">
        <f>'[7]2025'!I88</f>
        <v>355</v>
      </c>
      <c r="K88" s="15">
        <f>'[7]2025'!J88</f>
        <v>63</v>
      </c>
      <c r="L88" s="15">
        <f>'[7]2025'!K88</f>
        <v>80</v>
      </c>
      <c r="M88" s="15">
        <f>'[7]2025'!L88</f>
        <v>17</v>
      </c>
      <c r="N88" s="16">
        <f t="shared" si="4"/>
        <v>2.4584237165582068E-3</v>
      </c>
      <c r="O88" s="17">
        <f t="shared" si="5"/>
        <v>8.7606165460836743E-2</v>
      </c>
      <c r="P88" s="17">
        <f t="shared" si="5"/>
        <v>8.5227272727272721E-3</v>
      </c>
      <c r="Q88" s="18">
        <f t="shared" si="6"/>
        <v>109.76190476190476</v>
      </c>
      <c r="R88" s="18">
        <f t="shared" si="7"/>
        <v>86.4375</v>
      </c>
      <c r="S88" s="34">
        <f>SUM(I87:I93)</f>
        <v>68554</v>
      </c>
      <c r="T88" s="45" t="s">
        <v>41</v>
      </c>
      <c r="U88" s="1738"/>
    </row>
    <row r="89" spans="1:21">
      <c r="A89" s="10" t="s">
        <v>12</v>
      </c>
      <c r="B89" s="19">
        <f>CHAMNORD!B89</f>
        <v>46106</v>
      </c>
      <c r="C89" s="75">
        <f>IF(H89=0,"",'[7]2025-2026'!C88)</f>
        <v>6517</v>
      </c>
      <c r="D89" s="68">
        <f>'[7]2025'!C89</f>
        <v>8996</v>
      </c>
      <c r="E89" s="68">
        <f>'[7]2025'!D89</f>
        <v>8774</v>
      </c>
      <c r="F89" s="20">
        <f>'[7]2025'!E89</f>
        <v>438</v>
      </c>
      <c r="G89" s="73">
        <f>'[7]2025'!F89</f>
        <v>8900</v>
      </c>
      <c r="H89" s="42">
        <f>'[7]2025'!G89</f>
        <v>9605</v>
      </c>
      <c r="I89" s="13">
        <f>'[7]2025'!H89</f>
        <v>9442</v>
      </c>
      <c r="J89" s="14">
        <f>'[7]2025'!I89</f>
        <v>485</v>
      </c>
      <c r="K89" s="15">
        <f>'[7]2025'!J89</f>
        <v>76</v>
      </c>
      <c r="L89" s="15">
        <f>'[7]2025'!K89</f>
        <v>92</v>
      </c>
      <c r="M89" s="15">
        <f>'[7]2025'!L89</f>
        <v>41</v>
      </c>
      <c r="N89" s="16">
        <f t="shared" si="4"/>
        <v>4.3423003600932004E-3</v>
      </c>
      <c r="O89" s="17">
        <f t="shared" si="5"/>
        <v>7.6134032368361068E-2</v>
      </c>
      <c r="P89" s="17">
        <f t="shared" si="5"/>
        <v>0.10730593607305935</v>
      </c>
      <c r="Q89" s="18">
        <f t="shared" si="6"/>
        <v>124.23684210526316</v>
      </c>
      <c r="R89" s="18">
        <f t="shared" si="7"/>
        <v>102.6304347826087</v>
      </c>
      <c r="S89" s="35">
        <f>(S88-SUM(E87:E93))/SUM(E87:E93)</f>
        <v>-2.1006783291681541E-2</v>
      </c>
      <c r="T89" s="48">
        <f>SUM(I87:I93)/SUM(K87:K93)</f>
        <v>114.06655574043262</v>
      </c>
      <c r="U89" s="1738"/>
    </row>
    <row r="90" spans="1:21">
      <c r="A90" s="10" t="s">
        <v>13</v>
      </c>
      <c r="B90" s="19">
        <f>CHAMNORD!B90</f>
        <v>46107</v>
      </c>
      <c r="C90" s="75">
        <f>IF(H90=0,"",'[7]2025-2026'!C89)</f>
        <v>8996</v>
      </c>
      <c r="D90" s="68">
        <f>'[7]2025'!C90</f>
        <v>7882</v>
      </c>
      <c r="E90" s="68">
        <f>'[7]2025'!D90</f>
        <v>7737</v>
      </c>
      <c r="F90" s="20">
        <f>'[7]2025'!E90</f>
        <v>419</v>
      </c>
      <c r="G90" s="73">
        <f>'[7]2025'!F90</f>
        <v>7800</v>
      </c>
      <c r="H90" s="42">
        <f>'[7]2025'!G90</f>
        <v>6829</v>
      </c>
      <c r="I90" s="13">
        <f>'[7]2025'!H90</f>
        <v>6745</v>
      </c>
      <c r="J90" s="14">
        <f>'[7]2025'!I90</f>
        <v>330</v>
      </c>
      <c r="K90" s="15">
        <f>'[7]2025'!J90</f>
        <v>70</v>
      </c>
      <c r="L90" s="15">
        <f>'[7]2025'!K90</f>
        <v>85</v>
      </c>
      <c r="M90" s="15">
        <f>'[7]2025'!L90</f>
        <v>42</v>
      </c>
      <c r="N90" s="16">
        <f t="shared" si="4"/>
        <v>6.2268346923647147E-3</v>
      </c>
      <c r="O90" s="17">
        <f t="shared" si="5"/>
        <v>-0.12821507044073929</v>
      </c>
      <c r="P90" s="17">
        <f t="shared" si="5"/>
        <v>-0.21241050119331742</v>
      </c>
      <c r="Q90" s="18">
        <f t="shared" si="6"/>
        <v>96.357142857142861</v>
      </c>
      <c r="R90" s="18">
        <f t="shared" si="7"/>
        <v>79.352941176470594</v>
      </c>
      <c r="S90" s="34"/>
      <c r="T90" s="29" t="s">
        <v>8</v>
      </c>
      <c r="U90" s="1738"/>
    </row>
    <row r="91" spans="1:21">
      <c r="A91" s="10" t="s">
        <v>14</v>
      </c>
      <c r="B91" s="19">
        <f>CHAMNORD!B91</f>
        <v>46108</v>
      </c>
      <c r="C91" s="75">
        <f>IF(H91=0,"",'[7]2025-2026'!C90)</f>
        <v>7882</v>
      </c>
      <c r="D91" s="68">
        <f>'[7]2025'!C91</f>
        <v>13854</v>
      </c>
      <c r="E91" s="68">
        <f>'[7]2025'!D91</f>
        <v>13590</v>
      </c>
      <c r="F91" s="20">
        <f>'[7]2025'!E91</f>
        <v>691</v>
      </c>
      <c r="G91" s="73">
        <f>'[7]2025'!F91</f>
        <v>13700</v>
      </c>
      <c r="H91" s="42">
        <f>'[7]2025'!G91</f>
        <v>12412</v>
      </c>
      <c r="I91" s="13">
        <f>'[7]2025'!H91</f>
        <v>12244</v>
      </c>
      <c r="J91" s="14">
        <f>'[7]2025'!I91</f>
        <v>620</v>
      </c>
      <c r="K91" s="15">
        <f>'[7]2025'!J91</f>
        <v>100</v>
      </c>
      <c r="L91" s="15">
        <f>'[7]2025'!K91</f>
        <v>118</v>
      </c>
      <c r="M91" s="15">
        <f>'[7]2025'!L91</f>
        <v>47</v>
      </c>
      <c r="N91" s="16">
        <f t="shared" si="4"/>
        <v>3.8386148317543288E-3</v>
      </c>
      <c r="O91" s="17">
        <f t="shared" si="5"/>
        <v>-9.9043414275202357E-2</v>
      </c>
      <c r="P91" s="17">
        <f t="shared" si="5"/>
        <v>-0.10274963820549927</v>
      </c>
      <c r="Q91" s="18">
        <f t="shared" si="6"/>
        <v>122.44</v>
      </c>
      <c r="R91" s="18">
        <f t="shared" si="7"/>
        <v>103.76271186440678</v>
      </c>
      <c r="S91" s="36" t="s">
        <v>40</v>
      </c>
      <c r="T91" s="48">
        <f>SUM(I87:I93)/SUM(L87:L93)</f>
        <v>95.346314325452013</v>
      </c>
      <c r="U91" s="1738"/>
    </row>
    <row r="92" spans="1:21">
      <c r="A92" s="10" t="s">
        <v>15</v>
      </c>
      <c r="B92" s="19">
        <f>CHAMNORD!B92</f>
        <v>46109</v>
      </c>
      <c r="C92" s="75">
        <f>IF(H92=0,"",'[7]2025-2026'!C91)</f>
        <v>13854</v>
      </c>
      <c r="D92" s="68">
        <f>'[7]2025'!C92</f>
        <v>14748</v>
      </c>
      <c r="E92" s="68">
        <f>'[7]2025'!D92</f>
        <v>14413</v>
      </c>
      <c r="F92" s="20">
        <f>'[7]2025'!E92</f>
        <v>685</v>
      </c>
      <c r="G92" s="73">
        <f>'[7]2025'!F92</f>
        <v>14500</v>
      </c>
      <c r="H92" s="42">
        <f>'[7]2025'!G92</f>
        <v>14216</v>
      </c>
      <c r="I92" s="13">
        <f>'[7]2025'!H92</f>
        <v>13982</v>
      </c>
      <c r="J92" s="14">
        <f>'[7]2025'!I92</f>
        <v>676</v>
      </c>
      <c r="K92" s="15">
        <f>'[7]2025'!J92</f>
        <v>113</v>
      </c>
      <c r="L92" s="15">
        <f>'[7]2025'!K92</f>
        <v>131</v>
      </c>
      <c r="M92" s="15">
        <f>'[7]2025'!L92</f>
        <v>43</v>
      </c>
      <c r="N92" s="16">
        <f t="shared" si="4"/>
        <v>3.0753826348161924E-3</v>
      </c>
      <c r="O92" s="17">
        <f t="shared" si="5"/>
        <v>-2.9903559286755012E-2</v>
      </c>
      <c r="P92" s="17">
        <f t="shared" si="5"/>
        <v>-1.3138686131386862E-2</v>
      </c>
      <c r="Q92" s="18">
        <f t="shared" si="6"/>
        <v>123.73451327433628</v>
      </c>
      <c r="R92" s="18">
        <f t="shared" si="7"/>
        <v>106.73282442748092</v>
      </c>
      <c r="S92" s="36">
        <f>SUM(J87:J93)</f>
        <v>3308</v>
      </c>
      <c r="T92" s="30" t="s">
        <v>3</v>
      </c>
      <c r="U92" s="1738"/>
    </row>
    <row r="93" spans="1:21" ht="18" thickBot="1">
      <c r="A93" s="10" t="s">
        <v>16</v>
      </c>
      <c r="B93" s="19">
        <f>CHAMNORD!B93</f>
        <v>46110</v>
      </c>
      <c r="C93" s="75">
        <f>IF(H93=0,"",'[7]2025-2026'!C92)</f>
        <v>14748</v>
      </c>
      <c r="D93" s="68">
        <f>'[7]2025'!C93</f>
        <v>13811</v>
      </c>
      <c r="E93" s="68">
        <f>'[7]2025'!D93</f>
        <v>13568</v>
      </c>
      <c r="F93" s="20">
        <f>'[7]2025'!E93</f>
        <v>652</v>
      </c>
      <c r="G93" s="73">
        <f>'[7]2025'!F93</f>
        <v>13700</v>
      </c>
      <c r="H93" s="42">
        <f>'[7]2025'!G93</f>
        <v>13825</v>
      </c>
      <c r="I93" s="13">
        <f>'[7]2025'!H93</f>
        <v>13627</v>
      </c>
      <c r="J93" s="14">
        <f>'[7]2025'!I93</f>
        <v>533</v>
      </c>
      <c r="K93" s="15">
        <f>'[7]2025'!J93</f>
        <v>112</v>
      </c>
      <c r="L93" s="15">
        <f>'[7]2025'!K93</f>
        <v>130</v>
      </c>
      <c r="M93" s="15">
        <f>'[7]2025'!L93</f>
        <v>52</v>
      </c>
      <c r="N93" s="16">
        <f t="shared" si="4"/>
        <v>3.8159536214867544E-3</v>
      </c>
      <c r="O93" s="17">
        <f t="shared" si="5"/>
        <v>4.3484669811320754E-3</v>
      </c>
      <c r="P93" s="17">
        <f t="shared" si="5"/>
        <v>-0.18251533742331288</v>
      </c>
      <c r="Q93" s="18">
        <f t="shared" si="6"/>
        <v>121.66964285714286</v>
      </c>
      <c r="R93" s="18">
        <f t="shared" si="7"/>
        <v>104.82307692307693</v>
      </c>
      <c r="S93" s="37">
        <f>(S92-SUM(F87:F93))/SUM(F87:F93)</f>
        <v>-7.0786516853932585E-2</v>
      </c>
      <c r="T93" s="47">
        <f>SUM(M87:M93)/SUM(I87:I93)</f>
        <v>3.923913994807013E-3</v>
      </c>
      <c r="U93" s="1739"/>
    </row>
    <row r="94" spans="1:21" ht="17" customHeight="1" thickTop="1">
      <c r="A94" s="10" t="s">
        <v>9</v>
      </c>
      <c r="B94" s="19">
        <f>CHAMNORD!B94</f>
        <v>46111</v>
      </c>
      <c r="C94" s="75">
        <f>IF(H94=0,"",'[7]2025-2026'!C93)</f>
        <v>13811</v>
      </c>
      <c r="D94" s="68">
        <f>'[7]2025'!C94</f>
        <v>5825</v>
      </c>
      <c r="E94" s="68">
        <f>'[7]2025'!D94</f>
        <v>5741</v>
      </c>
      <c r="F94" s="20">
        <f>'[7]2025'!E94</f>
        <v>348</v>
      </c>
      <c r="G94" s="73">
        <f>'[7]2025'!F94</f>
        <v>5800</v>
      </c>
      <c r="H94" s="42">
        <f>'[7]2025'!G94</f>
        <v>6491</v>
      </c>
      <c r="I94" s="13">
        <f>'[7]2025'!H94</f>
        <v>6392</v>
      </c>
      <c r="J94" s="14">
        <f>'[7]2025'!I94</f>
        <v>313</v>
      </c>
      <c r="K94" s="15">
        <f>'[7]2025'!J94</f>
        <v>70</v>
      </c>
      <c r="L94" s="15">
        <f>'[7]2025'!K94</f>
        <v>78</v>
      </c>
      <c r="M94" s="15">
        <f>'[7]2025'!L94</f>
        <v>60</v>
      </c>
      <c r="N94" s="16">
        <f t="shared" si="4"/>
        <v>9.3867334167709645E-3</v>
      </c>
      <c r="O94" s="17">
        <f t="shared" si="5"/>
        <v>0.11339487894095106</v>
      </c>
      <c r="P94" s="17">
        <f t="shared" si="5"/>
        <v>-0.10057471264367816</v>
      </c>
      <c r="Q94" s="18">
        <f t="shared" si="6"/>
        <v>91.314285714285717</v>
      </c>
      <c r="R94" s="18">
        <f t="shared" si="7"/>
        <v>81.948717948717942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19">
        <f>CHAMNORD!B95</f>
        <v>46112</v>
      </c>
      <c r="C95" s="75">
        <f>IF(H95=0,"",'[7]2025-2026'!C94)</f>
        <v>5825</v>
      </c>
      <c r="D95" s="68">
        <f>'[7]2025'!C95</f>
        <v>8205</v>
      </c>
      <c r="E95" s="68">
        <f>'[7]2025'!D95</f>
        <v>8099</v>
      </c>
      <c r="F95" s="20">
        <f>'[7]2025'!E95</f>
        <v>406</v>
      </c>
      <c r="G95" s="73">
        <f>'[7]2025'!F95</f>
        <v>8200</v>
      </c>
      <c r="H95" s="42">
        <f>'[7]2025'!G95</f>
        <v>9226</v>
      </c>
      <c r="I95" s="13">
        <f>'[7]2025'!H95</f>
        <v>9091</v>
      </c>
      <c r="J95" s="14">
        <f>'[7]2025'!I95</f>
        <v>465</v>
      </c>
      <c r="K95" s="15">
        <f>'[7]2025'!J95</f>
        <v>77</v>
      </c>
      <c r="L95" s="15">
        <f>'[7]2025'!K95</f>
        <v>86</v>
      </c>
      <c r="M95" s="15">
        <f>'[7]2025'!L95</f>
        <v>21</v>
      </c>
      <c r="N95" s="16">
        <f t="shared" si="4"/>
        <v>2.3099769002309979E-3</v>
      </c>
      <c r="O95" s="17">
        <f t="shared" si="5"/>
        <v>0.12248425731571799</v>
      </c>
      <c r="P95" s="17">
        <f t="shared" si="5"/>
        <v>0.14532019704433496</v>
      </c>
      <c r="Q95" s="18">
        <f t="shared" si="6"/>
        <v>118.06493506493507</v>
      </c>
      <c r="R95" s="18">
        <f t="shared" si="7"/>
        <v>105.70930232558139</v>
      </c>
      <c r="S95" s="34">
        <f>SUM(I94:I100)</f>
        <v>66781</v>
      </c>
      <c r="T95" s="45" t="s">
        <v>41</v>
      </c>
      <c r="U95" s="1738"/>
    </row>
    <row r="96" spans="1:21">
      <c r="A96" s="10" t="s">
        <v>12</v>
      </c>
      <c r="B96" s="19">
        <f>CHAMNORD!B96</f>
        <v>46113</v>
      </c>
      <c r="C96" s="75">
        <f>IF(H96=0,"",'[7]2025-2026'!C95)</f>
        <v>8205</v>
      </c>
      <c r="D96" s="68">
        <f>'[7]2025'!C96</f>
        <v>9963</v>
      </c>
      <c r="E96" s="68">
        <f>'[7]2025'!D96</f>
        <v>9865</v>
      </c>
      <c r="F96" s="20">
        <f>'[7]2025'!E96</f>
        <v>493</v>
      </c>
      <c r="G96" s="73">
        <f>'[7]2025'!F96</f>
        <v>9900</v>
      </c>
      <c r="H96" s="42">
        <f>'[7]2025'!G96</f>
        <v>8828</v>
      </c>
      <c r="I96" s="13">
        <f>'[7]2025'!H96</f>
        <v>8656</v>
      </c>
      <c r="J96" s="14">
        <f>'[7]2025'!I96</f>
        <v>425</v>
      </c>
      <c r="K96" s="15">
        <f>'[7]2025'!J96</f>
        <v>82</v>
      </c>
      <c r="L96" s="15">
        <f>'[7]2025'!K96</f>
        <v>90</v>
      </c>
      <c r="M96" s="15">
        <f>'[7]2025'!L96</f>
        <v>44</v>
      </c>
      <c r="N96" s="16">
        <f t="shared" si="4"/>
        <v>5.0831792975970427E-3</v>
      </c>
      <c r="O96" s="17">
        <f t="shared" si="5"/>
        <v>-0.1225544855549924</v>
      </c>
      <c r="P96" s="17">
        <f t="shared" si="5"/>
        <v>-0.13793103448275862</v>
      </c>
      <c r="Q96" s="18">
        <f t="shared" si="6"/>
        <v>105.5609756097561</v>
      </c>
      <c r="R96" s="18">
        <f t="shared" si="7"/>
        <v>96.177777777777777</v>
      </c>
      <c r="S96" s="35">
        <f>(S95-SUM(E94:E100))/SUM(E94:E100)</f>
        <v>-7.3451266042317026E-2</v>
      </c>
      <c r="T96" s="48">
        <f>SUM(I94:I100)/SUM(K94:K100)</f>
        <v>106.33917197452229</v>
      </c>
      <c r="U96" s="1738"/>
    </row>
    <row r="97" spans="1:21">
      <c r="A97" s="10" t="s">
        <v>13</v>
      </c>
      <c r="B97" s="19">
        <f>CHAMNORD!B97</f>
        <v>46114</v>
      </c>
      <c r="C97" s="75">
        <f>IF(H97=0,"",'[7]2025-2026'!C96)</f>
        <v>9963</v>
      </c>
      <c r="D97" s="68">
        <f>'[7]2025'!C97</f>
        <v>7491</v>
      </c>
      <c r="E97" s="68">
        <f>'[7]2025'!D97</f>
        <v>7443</v>
      </c>
      <c r="F97" s="20">
        <f>'[7]2025'!E97</f>
        <v>408</v>
      </c>
      <c r="G97" s="73">
        <f>'[7]2025'!F97</f>
        <v>7500</v>
      </c>
      <c r="H97" s="42">
        <f>'[7]2025'!G97</f>
        <v>7804</v>
      </c>
      <c r="I97" s="13">
        <f>'[7]2025'!H97</f>
        <v>7667</v>
      </c>
      <c r="J97" s="14">
        <f>'[7]2025'!I97</f>
        <v>365</v>
      </c>
      <c r="K97" s="15">
        <f>'[7]2025'!J97</f>
        <v>79</v>
      </c>
      <c r="L97" s="15">
        <f>'[7]2025'!K97</f>
        <v>96</v>
      </c>
      <c r="M97" s="15">
        <f>'[7]2025'!L97</f>
        <v>74</v>
      </c>
      <c r="N97" s="16">
        <f t="shared" si="4"/>
        <v>9.6517542715534102E-3</v>
      </c>
      <c r="O97" s="17">
        <f t="shared" si="5"/>
        <v>3.0095391643154643E-2</v>
      </c>
      <c r="P97" s="17">
        <f t="shared" si="5"/>
        <v>-0.1053921568627451</v>
      </c>
      <c r="Q97" s="18">
        <f t="shared" si="6"/>
        <v>97.050632911392398</v>
      </c>
      <c r="R97" s="18">
        <f t="shared" si="7"/>
        <v>79.864583333333329</v>
      </c>
      <c r="S97" s="34"/>
      <c r="T97" s="29" t="s">
        <v>8</v>
      </c>
      <c r="U97" s="1738"/>
    </row>
    <row r="98" spans="1:21">
      <c r="A98" s="10" t="s">
        <v>14</v>
      </c>
      <c r="B98" s="19">
        <f>CHAMNORD!B98</f>
        <v>46115</v>
      </c>
      <c r="C98" s="75">
        <f>IF(H98=0,"",'[7]2025-2026'!C97)</f>
        <v>7491</v>
      </c>
      <c r="D98" s="68">
        <f>'[7]2025'!C98</f>
        <v>13464</v>
      </c>
      <c r="E98" s="68">
        <f>'[7]2025'!D98</f>
        <v>13375</v>
      </c>
      <c r="F98" s="20">
        <f>'[7]2025'!E98</f>
        <v>717</v>
      </c>
      <c r="G98" s="73">
        <f>'[7]2025'!F98</f>
        <v>13500</v>
      </c>
      <c r="H98" s="42">
        <f>'[7]2025'!G98</f>
        <v>13045</v>
      </c>
      <c r="I98" s="13">
        <f>'[7]2025'!H98</f>
        <v>12840</v>
      </c>
      <c r="J98" s="14">
        <f>'[7]2025'!I98</f>
        <v>606</v>
      </c>
      <c r="K98" s="15">
        <f>'[7]2025'!J98</f>
        <v>109</v>
      </c>
      <c r="L98" s="15">
        <f>'[7]2025'!K98</f>
        <v>127</v>
      </c>
      <c r="M98" s="15">
        <f>'[7]2025'!L98</f>
        <v>26</v>
      </c>
      <c r="N98" s="16">
        <f t="shared" si="4"/>
        <v>2.0249221183800624E-3</v>
      </c>
      <c r="O98" s="17">
        <f t="shared" si="5"/>
        <v>-0.04</v>
      </c>
      <c r="P98" s="17">
        <f t="shared" si="5"/>
        <v>-0.15481171548117154</v>
      </c>
      <c r="Q98" s="18">
        <f t="shared" si="6"/>
        <v>117.79816513761467</v>
      </c>
      <c r="R98" s="18">
        <f t="shared" si="7"/>
        <v>101.10236220472441</v>
      </c>
      <c r="S98" s="36" t="s">
        <v>40</v>
      </c>
      <c r="T98" s="48">
        <f>SUM(I94:I100)/SUM(L94:L100)</f>
        <v>92.238950276243088</v>
      </c>
      <c r="U98" s="1738"/>
    </row>
    <row r="99" spans="1:21">
      <c r="A99" s="10" t="s">
        <v>15</v>
      </c>
      <c r="B99" s="19">
        <f>CHAMNORD!B99</f>
        <v>46116</v>
      </c>
      <c r="C99" s="75">
        <f>IF(H99=0,"",'[7]2025-2026'!C98)</f>
        <v>13464</v>
      </c>
      <c r="D99" s="68">
        <f>'[7]2025'!C99</f>
        <v>13768</v>
      </c>
      <c r="E99" s="68">
        <f>'[7]2025'!D99</f>
        <v>13661</v>
      </c>
      <c r="F99" s="20">
        <f>'[7]2025'!E99</f>
        <v>740</v>
      </c>
      <c r="G99" s="73">
        <f>'[7]2025'!F99</f>
        <v>13800</v>
      </c>
      <c r="H99" s="42">
        <f>'[7]2025'!G99</f>
        <v>13516</v>
      </c>
      <c r="I99" s="13">
        <f>'[7]2025'!H99</f>
        <v>13628</v>
      </c>
      <c r="J99" s="14">
        <f>'[7]2025'!I99</f>
        <v>636</v>
      </c>
      <c r="K99" s="15">
        <f>'[7]2025'!J99</f>
        <v>125</v>
      </c>
      <c r="L99" s="15">
        <f>'[7]2025'!K99</f>
        <v>143</v>
      </c>
      <c r="M99" s="15">
        <f>'[7]2025'!L99</f>
        <v>37</v>
      </c>
      <c r="N99" s="16">
        <f t="shared" si="4"/>
        <v>2.7149985324332257E-3</v>
      </c>
      <c r="O99" s="17">
        <f t="shared" si="5"/>
        <v>-2.4156357514091209E-3</v>
      </c>
      <c r="P99" s="17">
        <f t="shared" si="5"/>
        <v>-0.14054054054054055</v>
      </c>
      <c r="Q99" s="18">
        <f t="shared" si="6"/>
        <v>109.024</v>
      </c>
      <c r="R99" s="18">
        <f t="shared" si="7"/>
        <v>95.300699300699307</v>
      </c>
      <c r="S99" s="36">
        <f>SUM(J94:J100)</f>
        <v>3243</v>
      </c>
      <c r="T99" s="30" t="s">
        <v>3</v>
      </c>
      <c r="U99" s="1738"/>
    </row>
    <row r="100" spans="1:21" ht="18" thickBot="1">
      <c r="A100" s="10" t="s">
        <v>16</v>
      </c>
      <c r="B100" s="19">
        <f>CHAMNORD!B100</f>
        <v>46117</v>
      </c>
      <c r="C100" s="75">
        <f>IF(H100=0,"",'[7]2025-2026'!C99)</f>
        <v>13768</v>
      </c>
      <c r="D100" s="68">
        <f>'[7]2025'!C100</f>
        <v>14001</v>
      </c>
      <c r="E100" s="68">
        <f>'[7]2025'!D100</f>
        <v>13891</v>
      </c>
      <c r="F100" s="20">
        <f>'[7]2025'!E100</f>
        <v>621</v>
      </c>
      <c r="G100" s="73">
        <f>'[7]2025'!F100</f>
        <v>14000</v>
      </c>
      <c r="H100" s="42">
        <f>'[7]2025'!G100</f>
        <v>8630</v>
      </c>
      <c r="I100" s="13">
        <f>'[7]2025'!H100</f>
        <v>8507</v>
      </c>
      <c r="J100" s="14">
        <f>'[7]2025'!I100</f>
        <v>433</v>
      </c>
      <c r="K100" s="15">
        <f>'[7]2025'!J100</f>
        <v>86</v>
      </c>
      <c r="L100" s="15">
        <f>'[7]2025'!K100</f>
        <v>104</v>
      </c>
      <c r="M100" s="15">
        <f>'[7]2025'!L100</f>
        <v>34</v>
      </c>
      <c r="N100" s="16">
        <f t="shared" si="4"/>
        <v>3.9967085929234749E-3</v>
      </c>
      <c r="O100" s="17">
        <f t="shared" si="5"/>
        <v>-0.38758908645885826</v>
      </c>
      <c r="P100" s="17">
        <f t="shared" si="5"/>
        <v>-0.30273752012882449</v>
      </c>
      <c r="Q100" s="18">
        <f t="shared" si="6"/>
        <v>98.918604651162795</v>
      </c>
      <c r="R100" s="18">
        <f t="shared" si="7"/>
        <v>81.79807692307692</v>
      </c>
      <c r="S100" s="37">
        <f>(S99-SUM(F94:F100))/SUM(F94:F100)</f>
        <v>-0.13126171979641038</v>
      </c>
      <c r="T100" s="47">
        <f>SUM(M94:M100)/SUM(I94:I100)</f>
        <v>4.432398436681092E-3</v>
      </c>
      <c r="U100" s="1739"/>
    </row>
    <row r="101" spans="1:21" ht="17" customHeight="1" thickTop="1">
      <c r="A101" s="10" t="s">
        <v>9</v>
      </c>
      <c r="B101" s="19">
        <f>CHAMNORD!B101</f>
        <v>46118</v>
      </c>
      <c r="C101" s="75">
        <f>IF(H101=0,"",'[7]2025-2026'!C100)</f>
        <v>14001</v>
      </c>
      <c r="D101" s="68">
        <f>'[7]2025'!C101</f>
        <v>6173</v>
      </c>
      <c r="E101" s="68">
        <f>'[7]2025'!D101</f>
        <v>6127</v>
      </c>
      <c r="F101" s="20">
        <f>'[7]2025'!E101</f>
        <v>336</v>
      </c>
      <c r="G101" s="73">
        <f>'[7]2025'!F101</f>
        <v>10500</v>
      </c>
      <c r="H101" s="42">
        <f>'[7]2025'!G101</f>
        <v>11864</v>
      </c>
      <c r="I101" s="13">
        <f>'[7]2025'!H101</f>
        <v>11680</v>
      </c>
      <c r="J101" s="14">
        <f>'[7]2025'!I101</f>
        <v>536</v>
      </c>
      <c r="K101" s="15">
        <f>'[7]2025'!J101</f>
        <v>112</v>
      </c>
      <c r="L101" s="15">
        <f>'[7]2025'!K101</f>
        <v>121</v>
      </c>
      <c r="M101" s="15">
        <f>'[7]2025'!L101</f>
        <v>37</v>
      </c>
      <c r="N101" s="16">
        <f t="shared" si="4"/>
        <v>3.1678082191780822E-3</v>
      </c>
      <c r="O101" s="17">
        <f t="shared" si="5"/>
        <v>0.90631630488003923</v>
      </c>
      <c r="P101" s="17">
        <f t="shared" si="5"/>
        <v>0.59523809523809523</v>
      </c>
      <c r="Q101" s="18">
        <f t="shared" si="6"/>
        <v>104.28571428571429</v>
      </c>
      <c r="R101" s="18">
        <f t="shared" si="7"/>
        <v>96.528925619834709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19">
        <f>CHAMNORD!B102</f>
        <v>46119</v>
      </c>
      <c r="C102" s="75">
        <f>IF(H102=0,"",'[7]2025-2026'!C101)</f>
        <v>6173</v>
      </c>
      <c r="D102" s="68">
        <f>'[7]2025'!C102</f>
        <v>7588</v>
      </c>
      <c r="E102" s="68">
        <f>'[7]2025'!D102</f>
        <v>7512</v>
      </c>
      <c r="F102" s="20">
        <f>'[7]2025'!E102</f>
        <v>427</v>
      </c>
      <c r="G102" s="73">
        <f>'[7]2025'!F102</f>
        <v>7600</v>
      </c>
      <c r="H102" s="42">
        <f>'[7]2025'!G102</f>
        <v>7707</v>
      </c>
      <c r="I102" s="13">
        <f>'[7]2025'!H102</f>
        <v>7557</v>
      </c>
      <c r="J102" s="14">
        <f>'[7]2025'!I102</f>
        <v>400</v>
      </c>
      <c r="K102" s="15">
        <f>'[7]2025'!J102</f>
        <v>83</v>
      </c>
      <c r="L102" s="15">
        <f>'[7]2025'!K102</f>
        <v>101</v>
      </c>
      <c r="M102" s="15">
        <f>'[7]2025'!L102</f>
        <v>21</v>
      </c>
      <c r="N102" s="16">
        <f t="shared" si="4"/>
        <v>2.7788805081381501E-3</v>
      </c>
      <c r="O102" s="17">
        <f t="shared" si="5"/>
        <v>5.9904153354632585E-3</v>
      </c>
      <c r="P102" s="17">
        <f t="shared" si="5"/>
        <v>-6.323185011709602E-2</v>
      </c>
      <c r="Q102" s="18">
        <f t="shared" si="6"/>
        <v>91.048192771084331</v>
      </c>
      <c r="R102" s="18">
        <f t="shared" si="7"/>
        <v>74.821782178217816</v>
      </c>
      <c r="S102" s="34">
        <f>SUM(I101:I107)</f>
        <v>70506</v>
      </c>
      <c r="T102" s="45" t="s">
        <v>41</v>
      </c>
      <c r="U102" s="1738"/>
    </row>
    <row r="103" spans="1:21">
      <c r="A103" s="10" t="s">
        <v>12</v>
      </c>
      <c r="B103" s="19">
        <f>CHAMNORD!B103</f>
        <v>46120</v>
      </c>
      <c r="C103" s="75">
        <f>IF(H103=0,"",'[7]2025-2026'!C102)</f>
        <v>7588</v>
      </c>
      <c r="D103" s="68">
        <f>'[7]2025'!C103</f>
        <v>9199</v>
      </c>
      <c r="E103" s="68">
        <f>'[7]2025'!D103</f>
        <v>9114</v>
      </c>
      <c r="F103" s="20">
        <f>'[7]2025'!E103</f>
        <v>476</v>
      </c>
      <c r="G103" s="73">
        <f>'[7]2025'!F103</f>
        <v>9200</v>
      </c>
      <c r="H103" s="42">
        <f>'[7]2025'!G103</f>
        <v>8336</v>
      </c>
      <c r="I103" s="13">
        <f>'[7]2025'!H103</f>
        <v>8193</v>
      </c>
      <c r="J103" s="14">
        <f>'[7]2025'!I103</f>
        <v>415</v>
      </c>
      <c r="K103" s="15">
        <f>'[7]2025'!J103</f>
        <v>81</v>
      </c>
      <c r="L103" s="15">
        <f>'[7]2025'!K103</f>
        <v>89</v>
      </c>
      <c r="M103" s="15">
        <f>'[7]2025'!L103</f>
        <v>70</v>
      </c>
      <c r="N103" s="16">
        <f t="shared" si="4"/>
        <v>8.5438789210301475E-3</v>
      </c>
      <c r="O103" s="17">
        <f t="shared" si="5"/>
        <v>-0.10105332455562871</v>
      </c>
      <c r="P103" s="17">
        <f t="shared" si="5"/>
        <v>-0.12815126050420167</v>
      </c>
      <c r="Q103" s="18">
        <f t="shared" si="6"/>
        <v>101.14814814814815</v>
      </c>
      <c r="R103" s="18">
        <f t="shared" si="7"/>
        <v>92.056179775280896</v>
      </c>
      <c r="S103" s="35">
        <f>(S102-SUM(E101:E107))/SUM(E101:E107)</f>
        <v>1.0080215801803081E-3</v>
      </c>
      <c r="T103" s="48">
        <f>SUM(I101:I107)/SUM(K101:K107)</f>
        <v>103.5330396475771</v>
      </c>
      <c r="U103" s="1738"/>
    </row>
    <row r="104" spans="1:21">
      <c r="A104" s="10" t="s">
        <v>13</v>
      </c>
      <c r="B104" s="19">
        <f>CHAMNORD!B104</f>
        <v>46121</v>
      </c>
      <c r="C104" s="75">
        <f>IF(H104=0,"",'[7]2025-2026'!C103)</f>
        <v>9199</v>
      </c>
      <c r="D104" s="68">
        <f>'[7]2025'!C104</f>
        <v>8902</v>
      </c>
      <c r="E104" s="68">
        <f>'[7]2025'!D104</f>
        <v>8844</v>
      </c>
      <c r="F104" s="20">
        <f>'[7]2025'!E104</f>
        <v>465</v>
      </c>
      <c r="G104" s="73">
        <f>'[7]2025'!F104</f>
        <v>8900</v>
      </c>
      <c r="H104" s="42">
        <f>'[7]2025'!G104</f>
        <v>8823</v>
      </c>
      <c r="I104" s="13">
        <f>'[7]2025'!H104</f>
        <v>8694</v>
      </c>
      <c r="J104" s="14">
        <f>'[7]2025'!I104</f>
        <v>447</v>
      </c>
      <c r="K104" s="15">
        <f>'[7]2025'!J104</f>
        <v>81</v>
      </c>
      <c r="L104" s="15">
        <f>'[7]2025'!K104</f>
        <v>90</v>
      </c>
      <c r="M104" s="15">
        <f>'[7]2025'!L104</f>
        <v>40</v>
      </c>
      <c r="N104" s="16">
        <f t="shared" si="4"/>
        <v>4.6008741660915576E-3</v>
      </c>
      <c r="O104" s="17">
        <f t="shared" si="5"/>
        <v>-1.6960651289009497E-2</v>
      </c>
      <c r="P104" s="17">
        <f t="shared" si="5"/>
        <v>-3.870967741935484E-2</v>
      </c>
      <c r="Q104" s="18">
        <f t="shared" si="6"/>
        <v>107.33333333333333</v>
      </c>
      <c r="R104" s="18">
        <f t="shared" si="7"/>
        <v>96.6</v>
      </c>
      <c r="S104" s="34"/>
      <c r="T104" s="29" t="s">
        <v>8</v>
      </c>
      <c r="U104" s="1738"/>
    </row>
    <row r="105" spans="1:21">
      <c r="A105" s="10" t="s">
        <v>14</v>
      </c>
      <c r="B105" s="19">
        <f>CHAMNORD!B105</f>
        <v>46122</v>
      </c>
      <c r="C105" s="75">
        <f>IF(H105=0,"",'[7]2025-2026'!C104)</f>
        <v>8902</v>
      </c>
      <c r="D105" s="68">
        <f>'[7]2025'!C105</f>
        <v>11914</v>
      </c>
      <c r="E105" s="68">
        <f>'[7]2025'!D105</f>
        <v>11831</v>
      </c>
      <c r="F105" s="20">
        <f>'[7]2025'!E105</f>
        <v>640</v>
      </c>
      <c r="G105" s="73">
        <f>'[7]2025'!F105</f>
        <v>11900</v>
      </c>
      <c r="H105" s="42">
        <f>'[7]2025'!G105</f>
        <v>10983</v>
      </c>
      <c r="I105" s="13">
        <f>'[7]2025'!H105</f>
        <v>10806</v>
      </c>
      <c r="J105" s="14">
        <f>'[7]2025'!I105</f>
        <v>534</v>
      </c>
      <c r="K105" s="15">
        <f>'[7]2025'!J105</f>
        <v>110</v>
      </c>
      <c r="L105" s="15">
        <f>'[7]2025'!K105</f>
        <v>119</v>
      </c>
      <c r="M105" s="15">
        <f>'[7]2025'!L105</f>
        <v>54</v>
      </c>
      <c r="N105" s="16">
        <f t="shared" si="4"/>
        <v>4.9972237645752359E-3</v>
      </c>
      <c r="O105" s="17">
        <f t="shared" si="5"/>
        <v>-8.6636801622855211E-2</v>
      </c>
      <c r="P105" s="17">
        <f t="shared" si="5"/>
        <v>-0.16562499999999999</v>
      </c>
      <c r="Q105" s="18">
        <f t="shared" si="6"/>
        <v>98.236363636363635</v>
      </c>
      <c r="R105" s="18">
        <f t="shared" si="7"/>
        <v>90.806722689075627</v>
      </c>
      <c r="S105" s="36" t="s">
        <v>40</v>
      </c>
      <c r="T105" s="48">
        <f>SUM(I101:I107)/SUM(L101:L107)</f>
        <v>94.007999999999996</v>
      </c>
      <c r="U105" s="1738"/>
    </row>
    <row r="106" spans="1:21">
      <c r="A106" s="10" t="s">
        <v>15</v>
      </c>
      <c r="B106" s="19">
        <f>CHAMNORD!B106</f>
        <v>46123</v>
      </c>
      <c r="C106" s="75">
        <f>IF(H106=0,"",'[7]2025-2026'!C105)</f>
        <v>11914</v>
      </c>
      <c r="D106" s="68">
        <f>'[7]2025'!C106</f>
        <v>14425</v>
      </c>
      <c r="E106" s="68">
        <f>'[7]2025'!D106</f>
        <v>14310</v>
      </c>
      <c r="F106" s="20">
        <f>'[7]2025'!E106</f>
        <v>686</v>
      </c>
      <c r="G106" s="73">
        <f>'[7]2025'!F106</f>
        <v>14400</v>
      </c>
      <c r="H106" s="42">
        <f>'[7]2025'!G106</f>
        <v>10864</v>
      </c>
      <c r="I106" s="13">
        <f>'[7]2025'!H106</f>
        <v>10679</v>
      </c>
      <c r="J106" s="14">
        <f>'[7]2025'!I106</f>
        <v>546</v>
      </c>
      <c r="K106" s="15">
        <f>'[7]2025'!J106</f>
        <v>107</v>
      </c>
      <c r="L106" s="15">
        <f>'[7]2025'!K106</f>
        <v>115</v>
      </c>
      <c r="M106" s="15">
        <f>'[7]2025'!L106</f>
        <v>59</v>
      </c>
      <c r="N106" s="16">
        <f t="shared" si="4"/>
        <v>5.5248618784530384E-3</v>
      </c>
      <c r="O106" s="17">
        <f t="shared" si="5"/>
        <v>-0.25373864430468202</v>
      </c>
      <c r="P106" s="17">
        <f t="shared" si="5"/>
        <v>-0.20408163265306123</v>
      </c>
      <c r="Q106" s="18">
        <f t="shared" si="6"/>
        <v>99.803738317757009</v>
      </c>
      <c r="R106" s="18">
        <f t="shared" si="7"/>
        <v>92.860869565217385</v>
      </c>
      <c r="S106" s="36">
        <f>SUM(J101:J107)</f>
        <v>3399</v>
      </c>
      <c r="T106" s="30" t="s">
        <v>3</v>
      </c>
      <c r="U106" s="1738"/>
    </row>
    <row r="107" spans="1:21" ht="18" thickBot="1">
      <c r="A107" s="10" t="s">
        <v>16</v>
      </c>
      <c r="B107" s="19">
        <f>CHAMNORD!B107</f>
        <v>46124</v>
      </c>
      <c r="C107" s="75">
        <f>IF(H107=0,"",'[7]2025-2026'!C106)</f>
        <v>14425</v>
      </c>
      <c r="D107" s="68">
        <f>'[7]2025'!C107</f>
        <v>12786</v>
      </c>
      <c r="E107" s="68">
        <f>'[7]2025'!D107</f>
        <v>12697</v>
      </c>
      <c r="F107" s="20">
        <f>'[7]2025'!E107</f>
        <v>548</v>
      </c>
      <c r="G107" s="73">
        <f>'[7]2025'!F107</f>
        <v>12800</v>
      </c>
      <c r="H107" s="42">
        <f>'[7]2025'!G107</f>
        <v>13063</v>
      </c>
      <c r="I107" s="13">
        <f>'[7]2025'!H107</f>
        <v>12897</v>
      </c>
      <c r="J107" s="14">
        <f>'[7]2025'!I107</f>
        <v>521</v>
      </c>
      <c r="K107" s="15">
        <f>'[7]2025'!J107</f>
        <v>107</v>
      </c>
      <c r="L107" s="15">
        <f>'[7]2025'!K107</f>
        <v>115</v>
      </c>
      <c r="M107" s="15">
        <f>'[7]2025'!L107</f>
        <v>37</v>
      </c>
      <c r="N107" s="16">
        <f t="shared" si="4"/>
        <v>2.8688842366441807E-3</v>
      </c>
      <c r="O107" s="17">
        <f t="shared" si="5"/>
        <v>1.5751752382452546E-2</v>
      </c>
      <c r="P107" s="17">
        <f t="shared" si="5"/>
        <v>-4.9270072992700732E-2</v>
      </c>
      <c r="Q107" s="18">
        <f t="shared" si="6"/>
        <v>120.53271028037383</v>
      </c>
      <c r="R107" s="18">
        <f t="shared" si="7"/>
        <v>112.14782608695653</v>
      </c>
      <c r="S107" s="37">
        <f>(S106-SUM(F101:F107))/SUM(F101:F107)</f>
        <v>-5.0027948574622692E-2</v>
      </c>
      <c r="T107" s="47">
        <f>SUM(M101:M107)/SUM(I101:I107)</f>
        <v>4.5102544464300908E-3</v>
      </c>
      <c r="U107" s="1739"/>
    </row>
    <row r="108" spans="1:21" ht="17" customHeight="1" thickTop="1">
      <c r="A108" s="10" t="s">
        <v>9</v>
      </c>
      <c r="B108" s="19">
        <f>CHAMNORD!B108</f>
        <v>46125</v>
      </c>
      <c r="C108" s="75">
        <f>IF(H108=0,"",'[7]2025-2026'!C107)</f>
        <v>12786</v>
      </c>
      <c r="D108" s="68">
        <f>'[7]2025'!C108</f>
        <v>6291</v>
      </c>
      <c r="E108" s="68">
        <f>'[7]2025'!D108</f>
        <v>6264</v>
      </c>
      <c r="F108" s="20">
        <f>'[7]2025'!E108</f>
        <v>332</v>
      </c>
      <c r="G108" s="73">
        <f>'[7]2025'!F108</f>
        <v>6300</v>
      </c>
      <c r="H108" s="42">
        <f>'[7]2025'!G108</f>
        <v>6282</v>
      </c>
      <c r="I108" s="13">
        <f>'[7]2025'!H108</f>
        <v>6164</v>
      </c>
      <c r="J108" s="14">
        <f>'[7]2025'!I108</f>
        <v>322</v>
      </c>
      <c r="K108" s="15">
        <f>'[7]2025'!J108</f>
        <v>76</v>
      </c>
      <c r="L108" s="15">
        <f>'[7]2025'!K108</f>
        <v>85</v>
      </c>
      <c r="M108" s="15">
        <f>'[7]2025'!L108</f>
        <v>57</v>
      </c>
      <c r="N108" s="16">
        <f t="shared" si="4"/>
        <v>9.2472420506164825E-3</v>
      </c>
      <c r="O108" s="17">
        <f t="shared" si="5"/>
        <v>-1.5964240102171137E-2</v>
      </c>
      <c r="P108" s="17">
        <f t="shared" si="5"/>
        <v>-3.0120481927710843E-2</v>
      </c>
      <c r="Q108" s="18">
        <f t="shared" si="6"/>
        <v>81.10526315789474</v>
      </c>
      <c r="R108" s="18">
        <f t="shared" si="7"/>
        <v>72.517647058823528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19">
        <f>CHAMNORD!B109</f>
        <v>46126</v>
      </c>
      <c r="C109" s="75">
        <f>IF(H109=0,"",'[7]2025-2026'!C108)</f>
        <v>6291</v>
      </c>
      <c r="D109" s="68">
        <f>'[7]2025'!C109</f>
        <v>6662</v>
      </c>
      <c r="E109" s="68">
        <f>'[7]2025'!D109</f>
        <v>6613</v>
      </c>
      <c r="F109" s="20">
        <f>'[7]2025'!E109</f>
        <v>345</v>
      </c>
      <c r="G109" s="73">
        <f>'[7]2025'!F109</f>
        <v>6700</v>
      </c>
      <c r="H109" s="42">
        <f>'[7]2025'!G109</f>
        <v>6870</v>
      </c>
      <c r="I109" s="13">
        <f>'[7]2025'!H109</f>
        <v>6768</v>
      </c>
      <c r="J109" s="14">
        <f>'[7]2025'!I109</f>
        <v>338</v>
      </c>
      <c r="K109" s="15">
        <f>'[7]2025'!J109</f>
        <v>75</v>
      </c>
      <c r="L109" s="15">
        <f>'[7]2025'!K109</f>
        <v>93</v>
      </c>
      <c r="M109" s="15">
        <f>'[7]2025'!L109</f>
        <v>56</v>
      </c>
      <c r="N109" s="16">
        <f t="shared" si="4"/>
        <v>8.2742316784869974E-3</v>
      </c>
      <c r="O109" s="17">
        <f t="shared" si="5"/>
        <v>2.343868138515046E-2</v>
      </c>
      <c r="P109" s="17">
        <f t="shared" si="5"/>
        <v>-2.0289855072463767E-2</v>
      </c>
      <c r="Q109" s="18">
        <f t="shared" si="6"/>
        <v>90.24</v>
      </c>
      <c r="R109" s="18">
        <f t="shared" si="7"/>
        <v>72.774193548387103</v>
      </c>
      <c r="S109" s="34">
        <f>SUM(I108:I114)</f>
        <v>65563</v>
      </c>
      <c r="T109" s="45" t="s">
        <v>41</v>
      </c>
      <c r="U109" s="1738"/>
    </row>
    <row r="110" spans="1:21">
      <c r="A110" s="10" t="s">
        <v>12</v>
      </c>
      <c r="B110" s="19">
        <f>CHAMNORD!B110</f>
        <v>46127</v>
      </c>
      <c r="C110" s="75">
        <f>IF(H110=0,"",'[7]2025-2026'!C109)</f>
        <v>6662</v>
      </c>
      <c r="D110" s="68">
        <f>'[7]2025'!C110</f>
        <v>8751</v>
      </c>
      <c r="E110" s="68">
        <f>'[7]2025'!D110</f>
        <v>8663</v>
      </c>
      <c r="F110" s="20">
        <f>'[7]2025'!E110</f>
        <v>438</v>
      </c>
      <c r="G110" s="73">
        <f>'[7]2025'!F110</f>
        <v>8700</v>
      </c>
      <c r="H110" s="42">
        <f>'[7]2025'!G110</f>
        <v>9259</v>
      </c>
      <c r="I110" s="13">
        <f>'[7]2025'!H110</f>
        <v>9115</v>
      </c>
      <c r="J110" s="14">
        <f>'[7]2025'!I110</f>
        <v>447</v>
      </c>
      <c r="K110" s="15">
        <f>'[7]2025'!J110</f>
        <v>61</v>
      </c>
      <c r="L110" s="15">
        <f>'[7]2025'!K110</f>
        <v>76</v>
      </c>
      <c r="M110" s="15">
        <f>'[7]2025'!L110</f>
        <v>23</v>
      </c>
      <c r="N110" s="16">
        <f t="shared" si="4"/>
        <v>2.5233132199670872E-3</v>
      </c>
      <c r="O110" s="17">
        <f t="shared" si="5"/>
        <v>5.21759205817846E-2</v>
      </c>
      <c r="P110" s="17">
        <f t="shared" si="5"/>
        <v>2.0547945205479451E-2</v>
      </c>
      <c r="Q110" s="18">
        <f t="shared" si="6"/>
        <v>149.42622950819671</v>
      </c>
      <c r="R110" s="18">
        <f t="shared" si="7"/>
        <v>119.93421052631579</v>
      </c>
      <c r="S110" s="35">
        <f>(S109-SUM(E108:E114))/SUM(E108:E114)</f>
        <v>5.266284539922611E-2</v>
      </c>
      <c r="T110" s="48">
        <f>SUM(I108:I114)/SUM(K108:K114)</f>
        <v>114.42059336823735</v>
      </c>
      <c r="U110" s="1738"/>
    </row>
    <row r="111" spans="1:21">
      <c r="A111" s="10" t="s">
        <v>13</v>
      </c>
      <c r="B111" s="19">
        <f>CHAMNORD!B111</f>
        <v>46128</v>
      </c>
      <c r="C111" s="75">
        <f>IF(H111=0,"",'[7]2025-2026'!C110)</f>
        <v>8751</v>
      </c>
      <c r="D111" s="68">
        <f>'[7]2025'!C111</f>
        <v>6715</v>
      </c>
      <c r="E111" s="68">
        <f>'[7]2025'!D111</f>
        <v>6668</v>
      </c>
      <c r="F111" s="20">
        <f>'[7]2025'!E111</f>
        <v>368</v>
      </c>
      <c r="G111" s="73">
        <f>'[7]2025'!F111</f>
        <v>6700</v>
      </c>
      <c r="H111" s="42">
        <f>'[7]2025'!G111</f>
        <v>9121</v>
      </c>
      <c r="I111" s="13">
        <f>'[7]2025'!H111</f>
        <v>8984</v>
      </c>
      <c r="J111" s="14">
        <f>'[7]2025'!I111</f>
        <v>450</v>
      </c>
      <c r="K111" s="15">
        <f>'[7]2025'!J111</f>
        <v>64</v>
      </c>
      <c r="L111" s="15">
        <f>'[7]2025'!K111</f>
        <v>82</v>
      </c>
      <c r="M111" s="15">
        <f>'[7]2025'!L111</f>
        <v>59</v>
      </c>
      <c r="N111" s="16">
        <f t="shared" si="4"/>
        <v>6.5672306322350849E-3</v>
      </c>
      <c r="O111" s="17">
        <f t="shared" si="5"/>
        <v>0.34733053389322138</v>
      </c>
      <c r="P111" s="17">
        <f t="shared" si="5"/>
        <v>0.22282608695652173</v>
      </c>
      <c r="Q111" s="18">
        <f t="shared" si="6"/>
        <v>140.375</v>
      </c>
      <c r="R111" s="18">
        <f t="shared" si="7"/>
        <v>109.5609756097561</v>
      </c>
      <c r="S111" s="34"/>
      <c r="T111" s="29" t="s">
        <v>8</v>
      </c>
      <c r="U111" s="1738"/>
    </row>
    <row r="112" spans="1:21">
      <c r="A112" s="10" t="s">
        <v>14</v>
      </c>
      <c r="B112" s="19">
        <f>CHAMNORD!B112</f>
        <v>46129</v>
      </c>
      <c r="C112" s="75">
        <f>IF(H112=0,"",'[7]2025-2026'!C111)</f>
        <v>6715</v>
      </c>
      <c r="D112" s="68">
        <f>'[7]2025'!C112</f>
        <v>12781</v>
      </c>
      <c r="E112" s="68">
        <f>'[7]2025'!D112</f>
        <v>12698</v>
      </c>
      <c r="F112" s="20">
        <f>'[7]2025'!E112</f>
        <v>667</v>
      </c>
      <c r="G112" s="73">
        <f>'[7]2025'!F112</f>
        <v>12800</v>
      </c>
      <c r="H112" s="42">
        <f>'[7]2025'!G112</f>
        <v>12161</v>
      </c>
      <c r="I112" s="13">
        <f>'[7]2025'!H112</f>
        <v>11985</v>
      </c>
      <c r="J112" s="14">
        <f>'[7]2025'!I112</f>
        <v>562</v>
      </c>
      <c r="K112" s="15">
        <f>'[7]2025'!J112</f>
        <v>95</v>
      </c>
      <c r="L112" s="15">
        <f>'[7]2025'!K112</f>
        <v>113</v>
      </c>
      <c r="M112" s="15">
        <f>'[7]2025'!L112</f>
        <v>59</v>
      </c>
      <c r="N112" s="16">
        <f t="shared" si="4"/>
        <v>4.9228201919065502E-3</v>
      </c>
      <c r="O112" s="17">
        <f t="shared" si="5"/>
        <v>-5.6150574893684045E-2</v>
      </c>
      <c r="P112" s="17">
        <f t="shared" si="5"/>
        <v>-0.15742128935532235</v>
      </c>
      <c r="Q112" s="18">
        <f t="shared" si="6"/>
        <v>126.15789473684211</v>
      </c>
      <c r="R112" s="18">
        <f t="shared" si="7"/>
        <v>106.06194690265487</v>
      </c>
      <c r="S112" s="36" t="s">
        <v>40</v>
      </c>
      <c r="T112" s="48">
        <f>SUM(I108:I114)/SUM(L108:L114)</f>
        <v>98.001494768310906</v>
      </c>
      <c r="U112" s="1738"/>
    </row>
    <row r="113" spans="1:21">
      <c r="A113" s="10" t="s">
        <v>15</v>
      </c>
      <c r="B113" s="19">
        <f>CHAMNORD!B113</f>
        <v>46130</v>
      </c>
      <c r="C113" s="75">
        <f>IF(H113=0,"",'[7]2025-2026'!C112)</f>
        <v>12781</v>
      </c>
      <c r="D113" s="68">
        <f>'[7]2025'!C113</f>
        <v>12132</v>
      </c>
      <c r="E113" s="68">
        <f>'[7]2025'!D113</f>
        <v>12022</v>
      </c>
      <c r="F113" s="20">
        <f>'[7]2025'!E113</f>
        <v>601</v>
      </c>
      <c r="G113" s="73">
        <f>'[7]2025'!F113</f>
        <v>12100</v>
      </c>
      <c r="H113" s="42">
        <f>'[7]2025'!G113</f>
        <v>11183</v>
      </c>
      <c r="I113" s="13">
        <f>'[7]2025'!H113</f>
        <v>11010</v>
      </c>
      <c r="J113" s="14">
        <f>'[7]2025'!I113</f>
        <v>575</v>
      </c>
      <c r="K113" s="15">
        <f>'[7]2025'!J113</f>
        <v>100</v>
      </c>
      <c r="L113" s="15">
        <f>'[7]2025'!K113</f>
        <v>109</v>
      </c>
      <c r="M113" s="15">
        <f>'[7]2025'!L113</f>
        <v>49</v>
      </c>
      <c r="N113" s="16">
        <f t="shared" si="4"/>
        <v>4.4504995458673931E-3</v>
      </c>
      <c r="O113" s="17">
        <f t="shared" si="5"/>
        <v>-8.4179005157211773E-2</v>
      </c>
      <c r="P113" s="17">
        <f t="shared" si="5"/>
        <v>-4.3261231281198007E-2</v>
      </c>
      <c r="Q113" s="18">
        <f t="shared" si="6"/>
        <v>110.1</v>
      </c>
      <c r="R113" s="18">
        <f t="shared" si="7"/>
        <v>101.0091743119266</v>
      </c>
      <c r="S113" s="36">
        <f>SUM(J108:J114)</f>
        <v>3200</v>
      </c>
      <c r="T113" s="30" t="s">
        <v>3</v>
      </c>
      <c r="U113" s="1738"/>
    </row>
    <row r="114" spans="1:21" ht="18" thickBot="1">
      <c r="A114" s="10" t="s">
        <v>16</v>
      </c>
      <c r="B114" s="19">
        <f>CHAMNORD!B114</f>
        <v>46131</v>
      </c>
      <c r="C114" s="75">
        <f>IF(H114=0,"",'[7]2025-2026'!C113)</f>
        <v>12132</v>
      </c>
      <c r="D114" s="68">
        <f>'[7]2025'!C114</f>
        <v>9418</v>
      </c>
      <c r="E114" s="68">
        <f>'[7]2025'!D114</f>
        <v>9355</v>
      </c>
      <c r="F114" s="20">
        <f>'[7]2025'!E114</f>
        <v>453</v>
      </c>
      <c r="G114" s="73">
        <f>'[7]2025'!F114</f>
        <v>9400</v>
      </c>
      <c r="H114" s="42">
        <f>'[7]2025'!G114</f>
        <v>11691</v>
      </c>
      <c r="I114" s="13">
        <f>'[7]2025'!H114</f>
        <v>11537</v>
      </c>
      <c r="J114" s="14">
        <f>'[7]2025'!I114</f>
        <v>506</v>
      </c>
      <c r="K114" s="15">
        <f>'[7]2025'!J114</f>
        <v>102</v>
      </c>
      <c r="L114" s="15">
        <f>'[7]2025'!K114</f>
        <v>111</v>
      </c>
      <c r="M114" s="15">
        <f>'[7]2025'!L114</f>
        <v>56</v>
      </c>
      <c r="N114" s="16">
        <f t="shared" si="4"/>
        <v>4.8539481667677908E-3</v>
      </c>
      <c r="O114" s="17">
        <f t="shared" si="5"/>
        <v>0.23324425440940674</v>
      </c>
      <c r="P114" s="17">
        <f t="shared" si="5"/>
        <v>0.11699779249448124</v>
      </c>
      <c r="Q114" s="18">
        <f t="shared" si="6"/>
        <v>113.1078431372549</v>
      </c>
      <c r="R114" s="18">
        <f t="shared" si="7"/>
        <v>103.93693693693693</v>
      </c>
      <c r="S114" s="37">
        <f>(S113-SUM(F108:F114))/SUM(F108:F114)</f>
        <v>-1.2484394506866417E-3</v>
      </c>
      <c r="T114" s="47">
        <f>SUM(M108:M114)/SUM(I108:I114)</f>
        <v>5.4756493754099115E-3</v>
      </c>
      <c r="U114" s="1739"/>
    </row>
    <row r="115" spans="1:21" ht="17" customHeight="1" thickTop="1">
      <c r="A115" s="10" t="s">
        <v>9</v>
      </c>
      <c r="B115" s="19">
        <f>CHAMNORD!B115</f>
        <v>46132</v>
      </c>
      <c r="C115" s="75">
        <f>IF(H115=0,"",'[7]2025-2026'!C114)</f>
        <v>9418</v>
      </c>
      <c r="D115" s="68">
        <f>'[7]2025'!C115</f>
        <v>12367</v>
      </c>
      <c r="E115" s="68">
        <f>'[7]2025'!D115</f>
        <v>12287</v>
      </c>
      <c r="F115" s="20">
        <f>'[7]2025'!E115</f>
        <v>575</v>
      </c>
      <c r="G115" s="73">
        <f>'[7]2025'!F115</f>
        <v>12400</v>
      </c>
      <c r="H115" s="42">
        <f>'[7]2025'!G115</f>
        <v>6009</v>
      </c>
      <c r="I115" s="13">
        <f>'[7]2025'!H115</f>
        <v>5941</v>
      </c>
      <c r="J115" s="14">
        <f>'[7]2025'!I115</f>
        <v>315</v>
      </c>
      <c r="K115" s="15">
        <f>'[7]2025'!J115</f>
        <v>81</v>
      </c>
      <c r="L115" s="15">
        <f>'[7]2025'!K115</f>
        <v>89</v>
      </c>
      <c r="M115" s="15">
        <f>'[7]2025'!L115</f>
        <v>35</v>
      </c>
      <c r="N115" s="16">
        <f t="shared" si="4"/>
        <v>5.8912640969533752E-3</v>
      </c>
      <c r="O115" s="17">
        <f t="shared" si="5"/>
        <v>-0.51648083340115569</v>
      </c>
      <c r="P115" s="17">
        <f t="shared" si="5"/>
        <v>-0.45217391304347826</v>
      </c>
      <c r="Q115" s="18">
        <f t="shared" si="6"/>
        <v>73.345679012345684</v>
      </c>
      <c r="R115" s="18">
        <f t="shared" si="7"/>
        <v>66.752808988764045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19">
        <f>CHAMNORD!B116</f>
        <v>46133</v>
      </c>
      <c r="C116" s="75">
        <f>IF(H116=0,"",'[7]2025-2026'!C115)</f>
        <v>12367</v>
      </c>
      <c r="D116" s="68">
        <f>'[7]2025'!C116</f>
        <v>7551</v>
      </c>
      <c r="E116" s="68">
        <f>'[7]2025'!D116</f>
        <v>7489</v>
      </c>
      <c r="F116" s="20">
        <f>'[7]2025'!E116</f>
        <v>432</v>
      </c>
      <c r="G116" s="73">
        <f>'[7]2025'!F116</f>
        <v>7600</v>
      </c>
      <c r="H116" s="42">
        <f>'[7]2025'!G116</f>
        <v>6154</v>
      </c>
      <c r="I116" s="13">
        <f>'[7]2025'!H116</f>
        <v>6105</v>
      </c>
      <c r="J116" s="14">
        <f>'[7]2025'!I116</f>
        <v>320</v>
      </c>
      <c r="K116" s="15">
        <f>'[7]2025'!J116</f>
        <v>68</v>
      </c>
      <c r="L116" s="15">
        <f>'[7]2025'!K116</f>
        <v>77</v>
      </c>
      <c r="M116" s="15">
        <f>'[7]2025'!L116</f>
        <v>35</v>
      </c>
      <c r="N116" s="16">
        <f t="shared" si="4"/>
        <v>5.7330057330057327E-3</v>
      </c>
      <c r="O116" s="17">
        <f t="shared" si="5"/>
        <v>-0.18480437975697689</v>
      </c>
      <c r="P116" s="17">
        <f t="shared" si="5"/>
        <v>-0.25925925925925924</v>
      </c>
      <c r="Q116" s="18">
        <f t="shared" si="6"/>
        <v>89.779411764705884</v>
      </c>
      <c r="R116" s="18">
        <f t="shared" si="7"/>
        <v>79.285714285714292</v>
      </c>
      <c r="S116" s="34">
        <f>SUM(I115:I121)</f>
        <v>58632</v>
      </c>
      <c r="T116" s="45" t="s">
        <v>41</v>
      </c>
      <c r="U116" s="1738"/>
    </row>
    <row r="117" spans="1:21">
      <c r="A117" s="10" t="s">
        <v>12</v>
      </c>
      <c r="B117" s="19">
        <f>CHAMNORD!B117</f>
        <v>46134</v>
      </c>
      <c r="C117" s="75">
        <f>IF(H117=0,"",'[7]2025-2026'!C116)</f>
        <v>7551</v>
      </c>
      <c r="D117" s="68">
        <f>'[7]2025'!C117</f>
        <v>7371</v>
      </c>
      <c r="E117" s="68">
        <f>'[7]2025'!D117</f>
        <v>7294</v>
      </c>
      <c r="F117" s="20">
        <f>'[7]2025'!E117</f>
        <v>396</v>
      </c>
      <c r="G117" s="73">
        <f>'[7]2025'!F117</f>
        <v>7400</v>
      </c>
      <c r="H117" s="42">
        <f>'[7]2025'!G117</f>
        <v>8094</v>
      </c>
      <c r="I117" s="13">
        <f>'[7]2025'!H117</f>
        <v>7998</v>
      </c>
      <c r="J117" s="14">
        <f>'[7]2025'!I117</f>
        <v>397</v>
      </c>
      <c r="K117" s="15">
        <f>'[7]2025'!J117</f>
        <v>74</v>
      </c>
      <c r="L117" s="15">
        <f>'[7]2025'!K117</f>
        <v>82</v>
      </c>
      <c r="M117" s="15">
        <f>'[7]2025'!L117</f>
        <v>63</v>
      </c>
      <c r="N117" s="16">
        <f t="shared" si="4"/>
        <v>7.8769692423105771E-3</v>
      </c>
      <c r="O117" s="17">
        <f t="shared" si="5"/>
        <v>9.6517685769125311E-2</v>
      </c>
      <c r="P117" s="17">
        <f t="shared" si="5"/>
        <v>2.5252525252525255E-3</v>
      </c>
      <c r="Q117" s="18">
        <f t="shared" si="6"/>
        <v>108.08108108108108</v>
      </c>
      <c r="R117" s="18">
        <f t="shared" si="7"/>
        <v>97.536585365853654</v>
      </c>
      <c r="S117" s="35">
        <f>(S116-SUM(E115:E121))/SUM(E115:E121)</f>
        <v>-0.14796407707733891</v>
      </c>
      <c r="T117" s="48">
        <f>SUM(I115:I121)/SUM(K115:K121)</f>
        <v>101.0896551724138</v>
      </c>
      <c r="U117" s="1738"/>
    </row>
    <row r="118" spans="1:21">
      <c r="A118" s="10" t="s">
        <v>13</v>
      </c>
      <c r="B118" s="19">
        <f>CHAMNORD!B118</f>
        <v>46135</v>
      </c>
      <c r="C118" s="75">
        <f>IF(H118=0,"",'[7]2025-2026'!C117)</f>
        <v>7371</v>
      </c>
      <c r="D118" s="68">
        <f>'[7]2025'!C118</f>
        <v>8834</v>
      </c>
      <c r="E118" s="68">
        <f>'[7]2025'!D118</f>
        <v>8754</v>
      </c>
      <c r="F118" s="20">
        <f>'[7]2025'!E118</f>
        <v>476</v>
      </c>
      <c r="G118" s="73">
        <f>'[7]2025'!F118</f>
        <v>8800</v>
      </c>
      <c r="H118" s="42">
        <f>'[7]2025'!G118</f>
        <v>6582</v>
      </c>
      <c r="I118" s="13">
        <f>'[7]2025'!H118</f>
        <v>6529</v>
      </c>
      <c r="J118" s="14">
        <f>'[7]2025'!I118</f>
        <v>329</v>
      </c>
      <c r="K118" s="15">
        <f>'[7]2025'!J118</f>
        <v>70</v>
      </c>
      <c r="L118" s="15">
        <f>'[7]2025'!K118</f>
        <v>78</v>
      </c>
      <c r="M118" s="15">
        <f>'[7]2025'!L118</f>
        <v>42</v>
      </c>
      <c r="N118" s="16">
        <f t="shared" si="4"/>
        <v>6.4328381069076431E-3</v>
      </c>
      <c r="O118" s="17">
        <f t="shared" si="5"/>
        <v>-0.25416952250399816</v>
      </c>
      <c r="P118" s="17">
        <f t="shared" si="5"/>
        <v>-0.30882352941176472</v>
      </c>
      <c r="Q118" s="18">
        <f t="shared" si="6"/>
        <v>93.271428571428572</v>
      </c>
      <c r="R118" s="18">
        <f t="shared" si="7"/>
        <v>83.705128205128204</v>
      </c>
      <c r="S118" s="34"/>
      <c r="T118" s="29" t="s">
        <v>8</v>
      </c>
      <c r="U118" s="1738"/>
    </row>
    <row r="119" spans="1:21">
      <c r="A119" s="10" t="s">
        <v>14</v>
      </c>
      <c r="B119" s="19">
        <f>CHAMNORD!B119</f>
        <v>46136</v>
      </c>
      <c r="C119" s="75">
        <f>IF(H119=0,"",'[7]2025-2026'!C118)</f>
        <v>8834</v>
      </c>
      <c r="D119" s="68">
        <f>'[7]2025'!C119</f>
        <v>11492</v>
      </c>
      <c r="E119" s="68">
        <f>'[7]2025'!D119</f>
        <v>11402</v>
      </c>
      <c r="F119" s="20">
        <f>'[7]2025'!E119</f>
        <v>601</v>
      </c>
      <c r="G119" s="73">
        <f>'[7]2025'!F119</f>
        <v>11500</v>
      </c>
      <c r="H119" s="42">
        <f>'[7]2025'!G119</f>
        <v>11460</v>
      </c>
      <c r="I119" s="13">
        <f>'[7]2025'!H119</f>
        <v>11330</v>
      </c>
      <c r="J119" s="14">
        <f>'[7]2025'!I119</f>
        <v>581</v>
      </c>
      <c r="K119" s="15">
        <f>'[7]2025'!J119</f>
        <v>90</v>
      </c>
      <c r="L119" s="15">
        <f>'[7]2025'!K119</f>
        <v>98</v>
      </c>
      <c r="M119" s="15">
        <f>'[7]2025'!L119</f>
        <v>49</v>
      </c>
      <c r="N119" s="16">
        <f t="shared" si="4"/>
        <v>4.3248014121800528E-3</v>
      </c>
      <c r="O119" s="17">
        <f t="shared" si="5"/>
        <v>-6.3146816348009123E-3</v>
      </c>
      <c r="P119" s="17">
        <f t="shared" si="5"/>
        <v>-3.3277870216306155E-2</v>
      </c>
      <c r="Q119" s="18">
        <f t="shared" si="6"/>
        <v>125.88888888888889</v>
      </c>
      <c r="R119" s="18">
        <f t="shared" si="7"/>
        <v>115.61224489795919</v>
      </c>
      <c r="S119" s="36" t="s">
        <v>40</v>
      </c>
      <c r="T119" s="48">
        <f>SUM(I115:I121)/SUM(L115:L121)</f>
        <v>90.902325581395345</v>
      </c>
      <c r="U119" s="1738"/>
    </row>
    <row r="120" spans="1:21">
      <c r="A120" s="10" t="s">
        <v>15</v>
      </c>
      <c r="B120" s="19">
        <f>CHAMNORD!B120</f>
        <v>46137</v>
      </c>
      <c r="C120" s="75">
        <f>IF(H120=0,"",'[7]2025-2026'!C119)</f>
        <v>11492</v>
      </c>
      <c r="D120" s="68">
        <f>'[7]2025'!C120</f>
        <v>10273</v>
      </c>
      <c r="E120" s="68">
        <f>'[7]2025'!D120</f>
        <v>10195</v>
      </c>
      <c r="F120" s="20">
        <f>'[7]2025'!E120</f>
        <v>544</v>
      </c>
      <c r="G120" s="73">
        <f>'[7]2025'!F120</f>
        <v>10300</v>
      </c>
      <c r="H120" s="42">
        <f>'[7]2025'!G120</f>
        <v>11195</v>
      </c>
      <c r="I120" s="13">
        <f>'[7]2025'!H120</f>
        <v>11040</v>
      </c>
      <c r="J120" s="14">
        <f>'[7]2025'!I120</f>
        <v>540</v>
      </c>
      <c r="K120" s="15">
        <f>'[7]2025'!J120</f>
        <v>97</v>
      </c>
      <c r="L120" s="15">
        <f>'[7]2025'!K120</f>
        <v>113</v>
      </c>
      <c r="M120" s="15">
        <f>'[7]2025'!L120</f>
        <v>42</v>
      </c>
      <c r="N120" s="16">
        <f t="shared" si="4"/>
        <v>3.8043478260869567E-3</v>
      </c>
      <c r="O120" s="17">
        <f t="shared" si="5"/>
        <v>8.288376655223148E-2</v>
      </c>
      <c r="P120" s="17">
        <f t="shared" si="5"/>
        <v>-7.3529411764705881E-3</v>
      </c>
      <c r="Q120" s="18">
        <f t="shared" si="6"/>
        <v>113.81443298969072</v>
      </c>
      <c r="R120" s="18">
        <f t="shared" si="7"/>
        <v>97.69911504424779</v>
      </c>
      <c r="S120" s="36">
        <f>SUM(J115:J121)</f>
        <v>2918</v>
      </c>
      <c r="T120" s="30" t="s">
        <v>3</v>
      </c>
      <c r="U120" s="1738"/>
    </row>
    <row r="121" spans="1:21" ht="18" thickBot="1">
      <c r="A121" s="10" t="s">
        <v>16</v>
      </c>
      <c r="B121" s="19">
        <f>CHAMNORD!B121</f>
        <v>46138</v>
      </c>
      <c r="C121" s="75">
        <f>IF(H121=0,"",'[7]2025-2026'!C120)</f>
        <v>10273</v>
      </c>
      <c r="D121" s="68">
        <f>'[7]2025'!C121</f>
        <v>11473</v>
      </c>
      <c r="E121" s="68">
        <f>'[7]2025'!D121</f>
        <v>11393</v>
      </c>
      <c r="F121" s="20">
        <f>'[7]2025'!E121</f>
        <v>535</v>
      </c>
      <c r="G121" s="73">
        <f>'[7]2025'!F121</f>
        <v>11500</v>
      </c>
      <c r="H121" s="42">
        <f>'[7]2025'!G121</f>
        <v>9790</v>
      </c>
      <c r="I121" s="13">
        <f>'[7]2025'!H121</f>
        <v>9689</v>
      </c>
      <c r="J121" s="14">
        <f>'[7]2025'!I121</f>
        <v>436</v>
      </c>
      <c r="K121" s="15">
        <f>'[7]2025'!J121</f>
        <v>100</v>
      </c>
      <c r="L121" s="15">
        <f>'[7]2025'!K121</f>
        <v>108</v>
      </c>
      <c r="M121" s="15">
        <f>'[7]2025'!L121</f>
        <v>47</v>
      </c>
      <c r="N121" s="16">
        <f t="shared" si="4"/>
        <v>4.8508618020435545E-3</v>
      </c>
      <c r="O121" s="17">
        <f t="shared" si="5"/>
        <v>-0.14956552268937068</v>
      </c>
      <c r="P121" s="17">
        <f t="shared" si="5"/>
        <v>-0.18504672897196262</v>
      </c>
      <c r="Q121" s="18">
        <f t="shared" si="6"/>
        <v>96.89</v>
      </c>
      <c r="R121" s="18">
        <f t="shared" si="7"/>
        <v>89.712962962962962</v>
      </c>
      <c r="S121" s="37">
        <f>(S120-SUM(F115:F121))/SUM(F115:F121)</f>
        <v>-0.18010677156504637</v>
      </c>
      <c r="T121" s="47">
        <f>SUM(M115:M121)/SUM(I115:I121)</f>
        <v>5.3383817710465275E-3</v>
      </c>
      <c r="U121" s="1739"/>
    </row>
    <row r="122" spans="1:21" ht="17" customHeight="1" thickTop="1">
      <c r="A122" s="10" t="s">
        <v>9</v>
      </c>
      <c r="B122" s="19">
        <f>CHAMNORD!B122</f>
        <v>46139</v>
      </c>
      <c r="C122" s="75">
        <f>IF(H122=0,"",'[7]2025-2026'!C121)</f>
        <v>11473</v>
      </c>
      <c r="D122" s="68">
        <f>'[7]2025'!C122</f>
        <v>9193</v>
      </c>
      <c r="E122" s="68">
        <f>'[7]2025'!D122</f>
        <v>9103</v>
      </c>
      <c r="F122" s="20">
        <f>'[7]2025'!E122</f>
        <v>452</v>
      </c>
      <c r="G122" s="73">
        <f>'[7]2025'!F122</f>
        <v>9200</v>
      </c>
      <c r="H122" s="42">
        <f>'[7]2025'!G122</f>
        <v>5764</v>
      </c>
      <c r="I122" s="13">
        <f>'[7]2025'!H122</f>
        <v>5726</v>
      </c>
      <c r="J122" s="14">
        <f>'[7]2025'!I122</f>
        <v>331</v>
      </c>
      <c r="K122" s="15">
        <f>'[7]2025'!J122</f>
        <v>71</v>
      </c>
      <c r="L122" s="15">
        <f>'[7]2025'!K122</f>
        <v>79</v>
      </c>
      <c r="M122" s="15">
        <f>'[7]2025'!L122</f>
        <v>35</v>
      </c>
      <c r="N122" s="16">
        <f t="shared" si="4"/>
        <v>6.1124694376528121E-3</v>
      </c>
      <c r="O122" s="17">
        <f t="shared" si="5"/>
        <v>-0.37097660112050973</v>
      </c>
      <c r="P122" s="17">
        <f t="shared" si="5"/>
        <v>-0.26769911504424782</v>
      </c>
      <c r="Q122" s="18">
        <f t="shared" si="6"/>
        <v>80.647887323943664</v>
      </c>
      <c r="R122" s="18">
        <f t="shared" si="7"/>
        <v>72.481012658227854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19">
        <f>CHAMNORD!B123</f>
        <v>46140</v>
      </c>
      <c r="C123" s="75">
        <f>IF(H123=0,"",'[7]2025-2026'!C122)</f>
        <v>9193</v>
      </c>
      <c r="D123" s="68">
        <f>'[7]2025'!C123</f>
        <v>7713</v>
      </c>
      <c r="E123" s="68">
        <f>'[7]2025'!D123</f>
        <v>7642</v>
      </c>
      <c r="F123" s="20">
        <f>'[7]2025'!E123</f>
        <v>435</v>
      </c>
      <c r="G123" s="73">
        <f>'[7]2025'!F123</f>
        <v>7700</v>
      </c>
      <c r="H123" s="42">
        <f>'[7]2025'!G123</f>
        <v>7249</v>
      </c>
      <c r="I123" s="13">
        <f>'[7]2025'!H123</f>
        <v>7196</v>
      </c>
      <c r="J123" s="14">
        <f>'[7]2025'!I123</f>
        <v>337</v>
      </c>
      <c r="K123" s="15">
        <f>'[7]2025'!J123</f>
        <v>73</v>
      </c>
      <c r="L123" s="15">
        <f>'[7]2025'!K123</f>
        <v>81</v>
      </c>
      <c r="M123" s="15">
        <f>'[7]2025'!L123</f>
        <v>33</v>
      </c>
      <c r="N123" s="16">
        <f t="shared" si="4"/>
        <v>4.5858810450250141E-3</v>
      </c>
      <c r="O123" s="17">
        <f t="shared" si="5"/>
        <v>-5.8361685422664226E-2</v>
      </c>
      <c r="P123" s="17">
        <f t="shared" si="5"/>
        <v>-0.22528735632183908</v>
      </c>
      <c r="Q123" s="18">
        <f t="shared" si="6"/>
        <v>98.575342465753423</v>
      </c>
      <c r="R123" s="18">
        <f t="shared" si="7"/>
        <v>88.839506172839506</v>
      </c>
      <c r="S123" s="34">
        <f>SUM(I122:I128)</f>
        <v>69687</v>
      </c>
      <c r="T123" s="45" t="s">
        <v>41</v>
      </c>
      <c r="U123" s="1738"/>
    </row>
    <row r="124" spans="1:21">
      <c r="A124" s="10" t="s">
        <v>12</v>
      </c>
      <c r="B124" s="19">
        <f>CHAMNORD!B124</f>
        <v>46141</v>
      </c>
      <c r="C124" s="75">
        <f>IF(H124=0,"",'[7]2025-2026'!C123)</f>
        <v>7713</v>
      </c>
      <c r="D124" s="68">
        <f>'[7]2025'!C124</f>
        <v>9534</v>
      </c>
      <c r="E124" s="68">
        <f>'[7]2025'!D124</f>
        <v>9429</v>
      </c>
      <c r="F124" s="20">
        <f>'[7]2025'!E124</f>
        <v>496</v>
      </c>
      <c r="G124" s="73">
        <f>'[7]2025'!F124</f>
        <v>9500</v>
      </c>
      <c r="H124" s="42">
        <f>'[7]2025'!G124</f>
        <v>9353</v>
      </c>
      <c r="I124" s="13">
        <f>'[7]2025'!H124</f>
        <v>9244</v>
      </c>
      <c r="J124" s="14">
        <f>'[7]2025'!I124</f>
        <v>473</v>
      </c>
      <c r="K124" s="15">
        <f>'[7]2025'!J124</f>
        <v>80</v>
      </c>
      <c r="L124" s="15">
        <f>'[7]2025'!K124</f>
        <v>98</v>
      </c>
      <c r="M124" s="15">
        <f>'[7]2025'!L124</f>
        <v>36</v>
      </c>
      <c r="N124" s="16">
        <f t="shared" si="4"/>
        <v>3.8944180008654264E-3</v>
      </c>
      <c r="O124" s="17">
        <f t="shared" si="5"/>
        <v>-1.9620320288471736E-2</v>
      </c>
      <c r="P124" s="17">
        <f t="shared" si="5"/>
        <v>-4.6370967741935484E-2</v>
      </c>
      <c r="Q124" s="18">
        <f t="shared" si="6"/>
        <v>115.55</v>
      </c>
      <c r="R124" s="18">
        <f t="shared" si="7"/>
        <v>94.326530612244895</v>
      </c>
      <c r="S124" s="35">
        <f>(S123-SUM(E122:E128))/SUM(E122:E128)</f>
        <v>-4.9108970335398301E-2</v>
      </c>
      <c r="T124" s="48">
        <f>SUM(I122:I128)/SUM(K122:K128)</f>
        <v>93.539597315436239</v>
      </c>
      <c r="U124" s="1738"/>
    </row>
    <row r="125" spans="1:21">
      <c r="A125" s="10" t="s">
        <v>13</v>
      </c>
      <c r="B125" s="19">
        <f>CHAMNORD!B125</f>
        <v>46142</v>
      </c>
      <c r="C125" s="75">
        <f>IF(H125=0,"",'[7]2025-2026'!C124)</f>
        <v>9534</v>
      </c>
      <c r="D125" s="68">
        <f>'[7]2025'!C125</f>
        <v>13927</v>
      </c>
      <c r="E125" s="68">
        <f>'[7]2025'!D125</f>
        <v>13838</v>
      </c>
      <c r="F125" s="20">
        <f>'[7]2025'!E125</f>
        <v>672</v>
      </c>
      <c r="G125" s="73">
        <f>'[7]2025'!F125</f>
        <v>14000</v>
      </c>
      <c r="H125" s="42">
        <f>'[7]2025'!G125</f>
        <v>11536</v>
      </c>
      <c r="I125" s="13">
        <f>'[7]2025'!H125</f>
        <v>11247</v>
      </c>
      <c r="J125" s="14">
        <f>'[7]2025'!I125</f>
        <v>549</v>
      </c>
      <c r="K125" s="15">
        <f>'[7]2025'!J125</f>
        <v>96</v>
      </c>
      <c r="L125" s="15">
        <f>'[7]2025'!K125</f>
        <v>105</v>
      </c>
      <c r="M125" s="15">
        <f>'[7]2025'!L125</f>
        <v>62</v>
      </c>
      <c r="N125" s="16">
        <f t="shared" si="4"/>
        <v>5.5125811327465099E-3</v>
      </c>
      <c r="O125" s="17">
        <f t="shared" si="5"/>
        <v>-0.18723804017921664</v>
      </c>
      <c r="P125" s="17">
        <f t="shared" si="5"/>
        <v>-0.18303571428571427</v>
      </c>
      <c r="Q125" s="18">
        <f t="shared" si="6"/>
        <v>117.15625</v>
      </c>
      <c r="R125" s="18">
        <f t="shared" si="7"/>
        <v>107.11428571428571</v>
      </c>
      <c r="S125" s="34"/>
      <c r="T125" s="29" t="s">
        <v>8</v>
      </c>
      <c r="U125" s="1738"/>
    </row>
    <row r="126" spans="1:21">
      <c r="A126" s="10" t="s">
        <v>14</v>
      </c>
      <c r="B126" s="19">
        <f>CHAMNORD!B126</f>
        <v>46143</v>
      </c>
      <c r="C126" s="75">
        <f>IF(H126=0,"",'[7]2025-2026'!C125)</f>
        <v>13927</v>
      </c>
      <c r="D126" s="68">
        <f>'[7]2025'!C126</f>
        <v>12149</v>
      </c>
      <c r="E126" s="68">
        <f>'[7]2025'!D126</f>
        <v>12051</v>
      </c>
      <c r="F126" s="20">
        <f>'[7]2025'!E126</f>
        <v>598</v>
      </c>
      <c r="G126" s="73">
        <f>'[7]2025'!F126</f>
        <v>12200</v>
      </c>
      <c r="H126" s="42">
        <f>'[7]2025'!G126</f>
        <v>13521</v>
      </c>
      <c r="I126" s="13">
        <f>'[7]2025'!H126</f>
        <v>13414</v>
      </c>
      <c r="J126" s="14">
        <f>'[7]2025'!I126</f>
        <v>629</v>
      </c>
      <c r="K126" s="15">
        <f>'[7]2025'!J126</f>
        <v>220</v>
      </c>
      <c r="L126" s="15">
        <f>'[7]2025'!K126</f>
        <v>254</v>
      </c>
      <c r="M126" s="15">
        <f>'[7]2025'!L126</f>
        <v>72</v>
      </c>
      <c r="N126" s="16">
        <f t="shared" si="4"/>
        <v>5.3675264648874307E-3</v>
      </c>
      <c r="O126" s="17">
        <f t="shared" si="5"/>
        <v>0.1131026470832296</v>
      </c>
      <c r="P126" s="17">
        <f t="shared" si="5"/>
        <v>5.1839464882943144E-2</v>
      </c>
      <c r="Q126" s="18">
        <f t="shared" si="6"/>
        <v>60.972727272727276</v>
      </c>
      <c r="R126" s="18">
        <f t="shared" si="7"/>
        <v>52.811023622047244</v>
      </c>
      <c r="S126" s="36" t="s">
        <v>40</v>
      </c>
      <c r="T126" s="48">
        <f>SUM(I122:I128)/SUM(L122:L128)</f>
        <v>81.505263157894731</v>
      </c>
      <c r="U126" s="1738"/>
    </row>
    <row r="127" spans="1:21">
      <c r="A127" s="10" t="s">
        <v>15</v>
      </c>
      <c r="B127" s="19">
        <f>CHAMNORD!B127</f>
        <v>46144</v>
      </c>
      <c r="C127" s="75">
        <f>IF(H127=0,"",'[7]2025-2026'!C126)</f>
        <v>12149</v>
      </c>
      <c r="D127" s="68">
        <f>'[7]2025'!C127</f>
        <v>9389</v>
      </c>
      <c r="E127" s="68">
        <f>'[7]2025'!D127</f>
        <v>9310</v>
      </c>
      <c r="F127" s="20">
        <f>'[7]2025'!E127</f>
        <v>487</v>
      </c>
      <c r="G127" s="73">
        <f>'[7]2025'!F127</f>
        <v>9400</v>
      </c>
      <c r="H127" s="42">
        <f>'[7]2025'!G127</f>
        <v>11085</v>
      </c>
      <c r="I127" s="13">
        <f>'[7]2025'!H127</f>
        <v>10981</v>
      </c>
      <c r="J127" s="14">
        <f>'[7]2025'!I127</f>
        <v>502</v>
      </c>
      <c r="K127" s="15">
        <f>'[7]2025'!J127</f>
        <v>111</v>
      </c>
      <c r="L127" s="15">
        <f>'[7]2025'!K127</f>
        <v>127</v>
      </c>
      <c r="M127" s="15">
        <f>'[7]2025'!L127</f>
        <v>27</v>
      </c>
      <c r="N127" s="16">
        <f t="shared" si="4"/>
        <v>2.4587924597031237E-3</v>
      </c>
      <c r="O127" s="17">
        <f t="shared" si="5"/>
        <v>0.17948442534908701</v>
      </c>
      <c r="P127" s="17">
        <f t="shared" si="5"/>
        <v>3.0800821355236138E-2</v>
      </c>
      <c r="Q127" s="18">
        <f t="shared" si="6"/>
        <v>98.927927927927925</v>
      </c>
      <c r="R127" s="18">
        <f t="shared" si="7"/>
        <v>86.464566929133852</v>
      </c>
      <c r="S127" s="36">
        <f>SUM(J122:J128)</f>
        <v>3299</v>
      </c>
      <c r="T127" s="30" t="s">
        <v>3</v>
      </c>
      <c r="U127" s="1738"/>
    </row>
    <row r="128" spans="1:21" ht="18" thickBot="1">
      <c r="A128" s="10" t="s">
        <v>16</v>
      </c>
      <c r="B128" s="19">
        <f>CHAMNORD!B128</f>
        <v>46145</v>
      </c>
      <c r="C128" s="75">
        <f>IF(H128=0,"",'[7]2025-2026'!C127)</f>
        <v>9389</v>
      </c>
      <c r="D128" s="68">
        <f>'[7]2025'!C128</f>
        <v>12006</v>
      </c>
      <c r="E128" s="68">
        <f>'[7]2025'!D128</f>
        <v>11913</v>
      </c>
      <c r="F128" s="20">
        <f>'[7]2025'!E128</f>
        <v>530</v>
      </c>
      <c r="G128" s="73">
        <f>'[7]2025'!F128</f>
        <v>12000</v>
      </c>
      <c r="H128" s="42">
        <f>'[7]2025'!G128</f>
        <v>11972</v>
      </c>
      <c r="I128" s="13">
        <f>'[7]2025'!H128</f>
        <v>11879</v>
      </c>
      <c r="J128" s="14">
        <f>'[7]2025'!I128</f>
        <v>478</v>
      </c>
      <c r="K128" s="15">
        <f>'[7]2025'!J128</f>
        <v>94</v>
      </c>
      <c r="L128" s="15">
        <f>'[7]2025'!K128</f>
        <v>111</v>
      </c>
      <c r="M128" s="15">
        <f>'[7]2025'!L128</f>
        <v>36</v>
      </c>
      <c r="N128" s="16">
        <f t="shared" si="4"/>
        <v>3.0305581277885346E-3</v>
      </c>
      <c r="O128" s="17">
        <f t="shared" si="5"/>
        <v>-2.8540250146898345E-3</v>
      </c>
      <c r="P128" s="17">
        <f t="shared" si="5"/>
        <v>-9.8113207547169817E-2</v>
      </c>
      <c r="Q128" s="18">
        <f t="shared" si="6"/>
        <v>126.37234042553192</v>
      </c>
      <c r="R128" s="18">
        <f t="shared" si="7"/>
        <v>107.01801801801801</v>
      </c>
      <c r="S128" s="37">
        <f>(S127-SUM(F122:F128))/SUM(F122:F128)</f>
        <v>-0.10108991825613078</v>
      </c>
      <c r="T128" s="47">
        <f>SUM(M122:M128)/SUM(I122:I128)</f>
        <v>4.3193135018009098E-3</v>
      </c>
      <c r="U128" s="1739"/>
    </row>
    <row r="129" spans="1:21" ht="17" customHeight="1" thickTop="1">
      <c r="A129" s="10" t="s">
        <v>9</v>
      </c>
      <c r="B129" s="19">
        <f>CHAMNORD!B129</f>
        <v>46146</v>
      </c>
      <c r="C129" s="75">
        <f>IF(H129=0,"",'[7]2025-2026'!C128)</f>
        <v>12006</v>
      </c>
      <c r="D129" s="68">
        <f>'[7]2025'!C129</f>
        <v>6727</v>
      </c>
      <c r="E129" s="68">
        <f>'[7]2025'!D129</f>
        <v>6677</v>
      </c>
      <c r="F129" s="20">
        <f>'[7]2025'!E129</f>
        <v>359</v>
      </c>
      <c r="G129" s="73">
        <f>'[7]2025'!F129</f>
        <v>6700</v>
      </c>
      <c r="H129" s="42">
        <f>'[7]2025'!G129</f>
        <v>6856</v>
      </c>
      <c r="I129" s="13">
        <f>'[7]2025'!H129</f>
        <v>6829</v>
      </c>
      <c r="J129" s="14">
        <f>'[7]2025'!I129</f>
        <v>350</v>
      </c>
      <c r="K129" s="15">
        <f>'[7]2025'!J129</f>
        <v>73</v>
      </c>
      <c r="L129" s="15">
        <f>'[7]2025'!K129</f>
        <v>81</v>
      </c>
      <c r="M129" s="15">
        <f>'[7]2025'!L129</f>
        <v>45</v>
      </c>
      <c r="N129" s="16">
        <f t="shared" si="4"/>
        <v>6.5895445892517205E-3</v>
      </c>
      <c r="O129" s="17">
        <f t="shared" si="5"/>
        <v>2.2764714692227048E-2</v>
      </c>
      <c r="P129" s="17">
        <f t="shared" si="5"/>
        <v>-2.5069637883008356E-2</v>
      </c>
      <c r="Q129" s="18">
        <f t="shared" si="6"/>
        <v>93.547945205479451</v>
      </c>
      <c r="R129" s="18">
        <f t="shared" si="7"/>
        <v>84.308641975308646</v>
      </c>
      <c r="S129" s="33" t="s">
        <v>39</v>
      </c>
      <c r="T129" s="31" t="s">
        <v>42</v>
      </c>
      <c r="U129" s="1737" t="s">
        <v>101</v>
      </c>
    </row>
    <row r="130" spans="1:21">
      <c r="A130" s="10" t="s">
        <v>11</v>
      </c>
      <c r="B130" s="19">
        <f>CHAMNORD!B130</f>
        <v>46147</v>
      </c>
      <c r="C130" s="75">
        <f>IF(H130=0,"",'[7]2025-2026'!C129)</f>
        <v>6727</v>
      </c>
      <c r="D130" s="68">
        <f>'[7]2025'!C130</f>
        <v>7010</v>
      </c>
      <c r="E130" s="68">
        <f>'[7]2025'!D130</f>
        <v>6962</v>
      </c>
      <c r="F130" s="20">
        <f>'[7]2025'!E130</f>
        <v>369</v>
      </c>
      <c r="G130" s="73">
        <f>'[7]2025'!F130</f>
        <v>7000</v>
      </c>
      <c r="H130" s="42">
        <f>'[7]2025'!G130</f>
        <v>6322</v>
      </c>
      <c r="I130" s="13">
        <f>'[7]2025'!H130</f>
        <v>6273</v>
      </c>
      <c r="J130" s="14">
        <f>'[7]2025'!I130</f>
        <v>321</v>
      </c>
      <c r="K130" s="15">
        <f>'[7]2025'!J130</f>
        <v>68</v>
      </c>
      <c r="L130" s="15">
        <f>'[7]2025'!K130</f>
        <v>76</v>
      </c>
      <c r="M130" s="15">
        <f>'[7]2025'!L130</f>
        <v>39</v>
      </c>
      <c r="N130" s="16">
        <f t="shared" si="4"/>
        <v>6.2171209947393591E-3</v>
      </c>
      <c r="O130" s="17">
        <f t="shared" si="5"/>
        <v>-9.8965814421143355E-2</v>
      </c>
      <c r="P130" s="17">
        <f t="shared" si="5"/>
        <v>-0.13008130081300814</v>
      </c>
      <c r="Q130" s="18">
        <f t="shared" si="6"/>
        <v>92.25</v>
      </c>
      <c r="R130" s="18">
        <f t="shared" si="7"/>
        <v>82.53947368421052</v>
      </c>
      <c r="S130" s="34">
        <f>SUM(I129:I135)</f>
        <v>68582</v>
      </c>
      <c r="T130" s="45" t="s">
        <v>41</v>
      </c>
      <c r="U130" s="1738"/>
    </row>
    <row r="131" spans="1:21">
      <c r="A131" s="10" t="s">
        <v>12</v>
      </c>
      <c r="B131" s="19">
        <f>CHAMNORD!B131</f>
        <v>46148</v>
      </c>
      <c r="C131" s="75">
        <f>IF(H131=0,"",'[7]2025-2026'!C130)</f>
        <v>7010</v>
      </c>
      <c r="D131" s="68">
        <f>'[7]2025'!C131</f>
        <v>11705</v>
      </c>
      <c r="E131" s="68">
        <f>'[7]2025'!D131</f>
        <v>11618</v>
      </c>
      <c r="F131" s="20">
        <f>'[7]2025'!E131</f>
        <v>581</v>
      </c>
      <c r="G131" s="73">
        <f>'[7]2025'!F131</f>
        <v>11700</v>
      </c>
      <c r="H131" s="42">
        <f>'[7]2025'!G131</f>
        <v>9742</v>
      </c>
      <c r="I131" s="13">
        <f>'[7]2025'!H131</f>
        <v>9637</v>
      </c>
      <c r="J131" s="14">
        <f>'[7]2025'!I131</f>
        <v>471</v>
      </c>
      <c r="K131" s="15">
        <f>'[7]2025'!J131</f>
        <v>97</v>
      </c>
      <c r="L131" s="15">
        <f>'[7]2025'!K131</f>
        <v>105</v>
      </c>
      <c r="M131" s="15">
        <f>'[7]2025'!L131</f>
        <v>49</v>
      </c>
      <c r="N131" s="16">
        <f t="shared" si="4"/>
        <v>5.0845698868942617E-3</v>
      </c>
      <c r="O131" s="17">
        <f t="shared" si="5"/>
        <v>-0.170511275606817</v>
      </c>
      <c r="P131" s="17">
        <f t="shared" si="5"/>
        <v>-0.18932874354561102</v>
      </c>
      <c r="Q131" s="18">
        <f t="shared" si="6"/>
        <v>99.350515463917532</v>
      </c>
      <c r="R131" s="18">
        <f t="shared" si="7"/>
        <v>91.780952380952385</v>
      </c>
      <c r="S131" s="35">
        <f>(S130-SUM(E129:E135))/SUM(E129:E135)</f>
        <v>-4.5443790276559912E-2</v>
      </c>
      <c r="T131" s="48">
        <f>SUM(I129:I135)/SUM(K129:K135)</f>
        <v>103.13082706766917</v>
      </c>
      <c r="U131" s="1738"/>
    </row>
    <row r="132" spans="1:21">
      <c r="A132" s="10" t="s">
        <v>13</v>
      </c>
      <c r="B132" s="19">
        <f>CHAMNORD!B132</f>
        <v>46149</v>
      </c>
      <c r="C132" s="75">
        <f>IF(H132=0,"",'[7]2025-2026'!C131)</f>
        <v>11705</v>
      </c>
      <c r="D132" s="68">
        <f>'[7]2025'!C132</f>
        <v>11615</v>
      </c>
      <c r="E132" s="68">
        <f>'[7]2025'!D132</f>
        <v>11520</v>
      </c>
      <c r="F132" s="20">
        <f>'[7]2025'!E132</f>
        <v>574</v>
      </c>
      <c r="G132" s="73">
        <f>'[7]2025'!F132</f>
        <v>11600</v>
      </c>
      <c r="H132" s="42">
        <f>'[7]2025'!G132</f>
        <v>11941</v>
      </c>
      <c r="I132" s="13">
        <f>'[7]2025'!H132</f>
        <v>11835</v>
      </c>
      <c r="J132" s="14">
        <f>'[7]2025'!I132</f>
        <v>604</v>
      </c>
      <c r="K132" s="15">
        <f>'[7]2025'!J132</f>
        <v>108</v>
      </c>
      <c r="L132" s="15">
        <f>'[7]2025'!K132</f>
        <v>126</v>
      </c>
      <c r="M132" s="15">
        <f>'[7]2025'!L132</f>
        <v>49</v>
      </c>
      <c r="N132" s="16">
        <f t="shared" ref="N132:N195" si="8">IF(M132=0,"",M132/I132)</f>
        <v>4.1402619349387411E-3</v>
      </c>
      <c r="O132" s="17">
        <f t="shared" ref="O132:P195" si="9">IF(I132=0,"",(I132-E132)/E132)</f>
        <v>2.734375E-2</v>
      </c>
      <c r="P132" s="17">
        <f t="shared" si="9"/>
        <v>5.2264808362369339E-2</v>
      </c>
      <c r="Q132" s="18">
        <f t="shared" ref="Q132:Q195" si="10">IF(I132=0,"",I132/K132)</f>
        <v>109.58333333333333</v>
      </c>
      <c r="R132" s="18">
        <f t="shared" ref="R132:R195" si="11">I132/L132</f>
        <v>93.928571428571431</v>
      </c>
      <c r="S132" s="34"/>
      <c r="T132" s="29" t="s">
        <v>8</v>
      </c>
      <c r="U132" s="1738"/>
    </row>
    <row r="133" spans="1:21">
      <c r="A133" s="10" t="s">
        <v>14</v>
      </c>
      <c r="B133" s="19">
        <f>CHAMNORD!B133</f>
        <v>46150</v>
      </c>
      <c r="C133" s="75">
        <f>IF(H133=0,"",'[7]2025-2026'!C132)</f>
        <v>11615</v>
      </c>
      <c r="D133" s="68">
        <f>'[7]2025'!C133</f>
        <v>10645</v>
      </c>
      <c r="E133" s="68">
        <f>'[7]2025'!D133</f>
        <v>10587</v>
      </c>
      <c r="F133" s="20">
        <f>'[7]2025'!E133</f>
        <v>592</v>
      </c>
      <c r="G133" s="73">
        <f>'[7]2025'!F133</f>
        <v>10800</v>
      </c>
      <c r="H133" s="42">
        <f>'[7]2025'!G133</f>
        <v>10918</v>
      </c>
      <c r="I133" s="13">
        <f>'[7]2025'!H133</f>
        <v>10772</v>
      </c>
      <c r="J133" s="14">
        <f>'[7]2025'!I133</f>
        <v>539</v>
      </c>
      <c r="K133" s="15">
        <f>'[7]2025'!J133</f>
        <v>119</v>
      </c>
      <c r="L133" s="15">
        <f>'[7]2025'!K133</f>
        <v>127</v>
      </c>
      <c r="M133" s="15">
        <f>'[7]2025'!L133</f>
        <v>27</v>
      </c>
      <c r="N133" s="16">
        <f t="shared" si="8"/>
        <v>2.5064983290011139E-3</v>
      </c>
      <c r="O133" s="17">
        <f t="shared" si="9"/>
        <v>1.7474260885992254E-2</v>
      </c>
      <c r="P133" s="17">
        <f t="shared" si="9"/>
        <v>-8.9527027027027029E-2</v>
      </c>
      <c r="Q133" s="18">
        <f t="shared" si="10"/>
        <v>90.52100840336135</v>
      </c>
      <c r="R133" s="18">
        <f t="shared" si="11"/>
        <v>84.818897637795274</v>
      </c>
      <c r="S133" s="36" t="s">
        <v>40</v>
      </c>
      <c r="T133" s="48">
        <f>SUM(I129:I135)/SUM(L129:L135)</f>
        <v>92.678378378378383</v>
      </c>
      <c r="U133" s="1738"/>
    </row>
    <row r="134" spans="1:21">
      <c r="A134" s="10" t="s">
        <v>15</v>
      </c>
      <c r="B134" s="19">
        <f>CHAMNORD!B134</f>
        <v>46151</v>
      </c>
      <c r="C134" s="75">
        <f>IF(H134=0,"",'[7]2025-2026'!C133)</f>
        <v>10645</v>
      </c>
      <c r="D134" s="68">
        <f>'[7]2025'!C134</f>
        <v>11798</v>
      </c>
      <c r="E134" s="68">
        <f>'[7]2025'!D134</f>
        <v>11700</v>
      </c>
      <c r="F134" s="20">
        <f>'[7]2025'!E134</f>
        <v>555</v>
      </c>
      <c r="G134" s="73">
        <f>'[7]2025'!F134</f>
        <v>11800</v>
      </c>
      <c r="H134" s="42">
        <f>'[7]2025'!G134</f>
        <v>9950</v>
      </c>
      <c r="I134" s="13">
        <f>'[7]2025'!H134</f>
        <v>9840</v>
      </c>
      <c r="J134" s="14">
        <f>'[7]2025'!I134</f>
        <v>532</v>
      </c>
      <c r="K134" s="15">
        <f>'[7]2025'!J134</f>
        <v>99</v>
      </c>
      <c r="L134" s="15">
        <f>'[7]2025'!K134</f>
        <v>116</v>
      </c>
      <c r="M134" s="15">
        <f>'[7]2025'!L134</f>
        <v>29</v>
      </c>
      <c r="N134" s="16">
        <f t="shared" si="8"/>
        <v>2.9471544715447156E-3</v>
      </c>
      <c r="O134" s="17">
        <f t="shared" si="9"/>
        <v>-0.15897435897435896</v>
      </c>
      <c r="P134" s="17">
        <f t="shared" si="9"/>
        <v>-4.1441441441441441E-2</v>
      </c>
      <c r="Q134" s="18">
        <f t="shared" si="10"/>
        <v>99.393939393939391</v>
      </c>
      <c r="R134" s="18">
        <f t="shared" si="11"/>
        <v>84.827586206896555</v>
      </c>
      <c r="S134" s="36">
        <f>SUM(J129:J135)</f>
        <v>3330</v>
      </c>
      <c r="T134" s="30" t="s">
        <v>3</v>
      </c>
      <c r="U134" s="1738"/>
    </row>
    <row r="135" spans="1:21" ht="18" thickBot="1">
      <c r="A135" s="10" t="s">
        <v>16</v>
      </c>
      <c r="B135" s="19">
        <f>CHAMNORD!B135</f>
        <v>46152</v>
      </c>
      <c r="C135" s="75">
        <f>IF(H135=0,"",'[7]2025-2026'!C134)</f>
        <v>11798</v>
      </c>
      <c r="D135" s="68">
        <f>'[7]2025'!C135</f>
        <v>12886</v>
      </c>
      <c r="E135" s="68">
        <f>'[7]2025'!D135</f>
        <v>12783</v>
      </c>
      <c r="F135" s="20">
        <f>'[7]2025'!E135</f>
        <v>576</v>
      </c>
      <c r="G135" s="73">
        <f>'[7]2025'!F135</f>
        <v>12900</v>
      </c>
      <c r="H135" s="42">
        <f>'[7]2025'!G135</f>
        <v>13593</v>
      </c>
      <c r="I135" s="13">
        <f>'[7]2025'!H135</f>
        <v>13396</v>
      </c>
      <c r="J135" s="14">
        <f>'[7]2025'!I135</f>
        <v>513</v>
      </c>
      <c r="K135" s="15">
        <f>'[7]2025'!J135</f>
        <v>101</v>
      </c>
      <c r="L135" s="15">
        <f>'[7]2025'!K135</f>
        <v>109</v>
      </c>
      <c r="M135" s="15">
        <f>'[7]2025'!L135</f>
        <v>82</v>
      </c>
      <c r="N135" s="16">
        <f t="shared" si="8"/>
        <v>6.1212302179755153E-3</v>
      </c>
      <c r="O135" s="17">
        <f t="shared" si="9"/>
        <v>4.7954314323711181E-2</v>
      </c>
      <c r="P135" s="17">
        <f t="shared" si="9"/>
        <v>-0.109375</v>
      </c>
      <c r="Q135" s="18">
        <f t="shared" si="10"/>
        <v>132.63366336633663</v>
      </c>
      <c r="R135" s="18">
        <f t="shared" si="11"/>
        <v>122.89908256880734</v>
      </c>
      <c r="S135" s="37">
        <f>(S134-SUM(F129:F135))/SUM(F129:F135)</f>
        <v>-7.6539101497504161E-2</v>
      </c>
      <c r="T135" s="47">
        <f>SUM(M129:M135)/SUM(I129:I135)</f>
        <v>4.6659473331194775E-3</v>
      </c>
      <c r="U135" s="1739"/>
    </row>
    <row r="136" spans="1:21" ht="17" customHeight="1" thickTop="1">
      <c r="A136" s="10" t="s">
        <v>9</v>
      </c>
      <c r="B136" s="19">
        <f>CHAMNORD!B136</f>
        <v>46153</v>
      </c>
      <c r="C136" s="75">
        <f>IF(H136=0,"",'[7]2025-2026'!C135)</f>
        <v>12886</v>
      </c>
      <c r="D136" s="68">
        <f>'[7]2025'!C136</f>
        <v>6840</v>
      </c>
      <c r="E136" s="68">
        <f>'[7]2025'!D136</f>
        <v>6798</v>
      </c>
      <c r="F136" s="20">
        <f>'[7]2025'!E136</f>
        <v>356</v>
      </c>
      <c r="G136" s="73">
        <f>'[7]2025'!F136</f>
        <v>6900</v>
      </c>
      <c r="H136" s="42">
        <f>'[7]2025'!G136</f>
        <v>5621</v>
      </c>
      <c r="I136" s="13">
        <f>'[7]2025'!H136</f>
        <v>5580</v>
      </c>
      <c r="J136" s="14">
        <f>'[7]2025'!I136</f>
        <v>314</v>
      </c>
      <c r="K136" s="15">
        <f>'[7]2025'!J136</f>
        <v>74</v>
      </c>
      <c r="L136" s="15">
        <f>'[7]2025'!K136</f>
        <v>82</v>
      </c>
      <c r="M136" s="15">
        <f>'[7]2025'!L136</f>
        <v>41</v>
      </c>
      <c r="N136" s="16">
        <f t="shared" si="8"/>
        <v>7.3476702508960571E-3</v>
      </c>
      <c r="O136" s="17">
        <f t="shared" si="9"/>
        <v>-0.17917034421888792</v>
      </c>
      <c r="P136" s="17">
        <f t="shared" si="9"/>
        <v>-0.11797752808988764</v>
      </c>
      <c r="Q136" s="18">
        <f t="shared" si="10"/>
        <v>75.405405405405403</v>
      </c>
      <c r="R136" s="18">
        <f t="shared" si="11"/>
        <v>68.048780487804876</v>
      </c>
      <c r="S136" s="33" t="s">
        <v>39</v>
      </c>
      <c r="T136" s="31" t="s">
        <v>42</v>
      </c>
      <c r="U136" s="1737" t="s">
        <v>102</v>
      </c>
    </row>
    <row r="137" spans="1:21">
      <c r="A137" s="10" t="s">
        <v>11</v>
      </c>
      <c r="B137" s="19">
        <f>CHAMNORD!B137</f>
        <v>46154</v>
      </c>
      <c r="C137" s="75">
        <f>IF(H137=0,"",'[7]2025-2026'!C136)</f>
        <v>6840</v>
      </c>
      <c r="D137" s="68">
        <f>'[7]2025'!C137</f>
        <v>8064</v>
      </c>
      <c r="E137" s="68">
        <f>'[7]2025'!D137</f>
        <v>8019</v>
      </c>
      <c r="F137" s="20">
        <f>'[7]2025'!E137</f>
        <v>443</v>
      </c>
      <c r="G137" s="73">
        <f>'[7]2025'!F137</f>
        <v>8100</v>
      </c>
      <c r="H137" s="42">
        <f>'[7]2025'!G137</f>
        <v>7096</v>
      </c>
      <c r="I137" s="13">
        <f>'[7]2025'!H137</f>
        <v>7023</v>
      </c>
      <c r="J137" s="14">
        <f>'[7]2025'!I137</f>
        <v>360</v>
      </c>
      <c r="K137" s="15">
        <f>'[7]2025'!J137</f>
        <v>82</v>
      </c>
      <c r="L137" s="15">
        <f>'[7]2025'!K137</f>
        <v>99</v>
      </c>
      <c r="M137" s="15">
        <f>'[7]2025'!L137</f>
        <v>41</v>
      </c>
      <c r="N137" s="16">
        <f t="shared" si="8"/>
        <v>5.8379609853339027E-3</v>
      </c>
      <c r="O137" s="17">
        <f t="shared" si="9"/>
        <v>-0.12420501309390199</v>
      </c>
      <c r="P137" s="17">
        <f t="shared" si="9"/>
        <v>-0.18735891647855529</v>
      </c>
      <c r="Q137" s="18">
        <f t="shared" si="10"/>
        <v>85.646341463414629</v>
      </c>
      <c r="R137" s="18">
        <f t="shared" si="11"/>
        <v>70.939393939393938</v>
      </c>
      <c r="S137" s="34">
        <f>SUM(I136:I142)</f>
        <v>66720</v>
      </c>
      <c r="T137" s="45" t="s">
        <v>41</v>
      </c>
      <c r="U137" s="1738"/>
    </row>
    <row r="138" spans="1:21">
      <c r="A138" s="10" t="s">
        <v>12</v>
      </c>
      <c r="B138" s="19">
        <f>CHAMNORD!B138</f>
        <v>46155</v>
      </c>
      <c r="C138" s="75">
        <f>IF(H138=0,"",'[7]2025-2026'!C137)</f>
        <v>8064</v>
      </c>
      <c r="D138" s="68">
        <f>'[7]2025'!C138</f>
        <v>9067</v>
      </c>
      <c r="E138" s="68">
        <f>'[7]2025'!D138</f>
        <v>8985</v>
      </c>
      <c r="F138" s="20">
        <f>'[7]2025'!E138</f>
        <v>473</v>
      </c>
      <c r="G138" s="73">
        <f>'[7]2025'!F138</f>
        <v>9100</v>
      </c>
      <c r="H138" s="42">
        <f>'[7]2025'!G138</f>
        <v>10886</v>
      </c>
      <c r="I138" s="13">
        <f>'[7]2025'!H138</f>
        <v>10757</v>
      </c>
      <c r="J138" s="14">
        <f>'[7]2025'!I138</f>
        <v>530</v>
      </c>
      <c r="K138" s="15">
        <f>'[7]2025'!J138</f>
        <v>91</v>
      </c>
      <c r="L138" s="15">
        <f>'[7]2025'!K138</f>
        <v>102</v>
      </c>
      <c r="M138" s="15">
        <f>'[7]2025'!L138</f>
        <v>56</v>
      </c>
      <c r="N138" s="16">
        <f t="shared" si="8"/>
        <v>5.2059124291159243E-3</v>
      </c>
      <c r="O138" s="17">
        <f t="shared" si="9"/>
        <v>0.19721758486366167</v>
      </c>
      <c r="P138" s="17">
        <f t="shared" si="9"/>
        <v>0.12050739957716702</v>
      </c>
      <c r="Q138" s="18">
        <f t="shared" si="10"/>
        <v>118.20879120879121</v>
      </c>
      <c r="R138" s="18">
        <f t="shared" si="11"/>
        <v>105.46078431372548</v>
      </c>
      <c r="S138" s="35">
        <f>(S137-SUM(E136:E142))/SUM(E136:E142)</f>
        <v>-3.8076152304609222E-2</v>
      </c>
      <c r="T138" s="48">
        <f>SUM(I136:I142)/SUM(K136:K142)</f>
        <v>93.971830985915489</v>
      </c>
      <c r="U138" s="1738"/>
    </row>
    <row r="139" spans="1:21">
      <c r="A139" s="10" t="s">
        <v>13</v>
      </c>
      <c r="B139" s="19">
        <f>CHAMNORD!B139</f>
        <v>46156</v>
      </c>
      <c r="C139" s="75">
        <f>IF(H139=0,"",'[7]2025-2026'!C138)</f>
        <v>9067</v>
      </c>
      <c r="D139" s="68">
        <f>'[7]2025'!C139</f>
        <v>7643</v>
      </c>
      <c r="E139" s="68">
        <f>'[7]2025'!D139</f>
        <v>7595</v>
      </c>
      <c r="F139" s="20">
        <f>'[7]2025'!E139</f>
        <v>434</v>
      </c>
      <c r="G139" s="73">
        <f>'[7]2025'!F139</f>
        <v>13000</v>
      </c>
      <c r="H139" s="42">
        <f>'[7]2025'!G139</f>
        <v>10954</v>
      </c>
      <c r="I139" s="13">
        <f>'[7]2025'!H139</f>
        <v>10837</v>
      </c>
      <c r="J139" s="14">
        <f>'[7]2025'!I139</f>
        <v>508</v>
      </c>
      <c r="K139" s="15">
        <f>'[7]2025'!J139</f>
        <v>98</v>
      </c>
      <c r="L139" s="15">
        <f>'[7]2025'!K139</f>
        <v>106</v>
      </c>
      <c r="M139" s="15">
        <f>'[7]2025'!L139</f>
        <v>37</v>
      </c>
      <c r="N139" s="16">
        <f t="shared" si="8"/>
        <v>3.4142290301744024E-3</v>
      </c>
      <c r="O139" s="17">
        <f t="shared" si="9"/>
        <v>0.42685977616853193</v>
      </c>
      <c r="P139" s="17">
        <f t="shared" si="9"/>
        <v>0.17050691244239632</v>
      </c>
      <c r="Q139" s="18">
        <f t="shared" si="10"/>
        <v>110.58163265306122</v>
      </c>
      <c r="R139" s="18">
        <f t="shared" si="11"/>
        <v>102.23584905660377</v>
      </c>
      <c r="S139" s="34"/>
      <c r="T139" s="29" t="s">
        <v>8</v>
      </c>
      <c r="U139" s="1738"/>
    </row>
    <row r="140" spans="1:21">
      <c r="A140" s="10" t="s">
        <v>14</v>
      </c>
      <c r="B140" s="19">
        <f>CHAMNORD!B140</f>
        <v>46157</v>
      </c>
      <c r="C140" s="75">
        <f>IF(H140=0,"",'[7]2025-2026'!C139)</f>
        <v>7643</v>
      </c>
      <c r="D140" s="68">
        <f>'[7]2025'!C140</f>
        <v>12332</v>
      </c>
      <c r="E140" s="68">
        <f>'[7]2025'!D140</f>
        <v>12266</v>
      </c>
      <c r="F140" s="20">
        <f>'[7]2025'!E140</f>
        <v>648</v>
      </c>
      <c r="G140" s="73">
        <f>'[7]2025'!F140</f>
        <v>12400</v>
      </c>
      <c r="H140" s="42">
        <f>'[7]2025'!G140</f>
        <v>10470</v>
      </c>
      <c r="I140" s="13">
        <f>'[7]2025'!H140</f>
        <v>10324</v>
      </c>
      <c r="J140" s="14">
        <f>'[7]2025'!I140</f>
        <v>507</v>
      </c>
      <c r="K140" s="15">
        <f>'[7]2025'!J140</f>
        <v>130</v>
      </c>
      <c r="L140" s="15">
        <f>'[7]2025'!K140</f>
        <v>138</v>
      </c>
      <c r="M140" s="15">
        <f>'[7]2025'!L140</f>
        <v>41</v>
      </c>
      <c r="N140" s="16">
        <f t="shared" si="8"/>
        <v>3.9713289422704376E-3</v>
      </c>
      <c r="O140" s="17">
        <f t="shared" si="9"/>
        <v>-0.15832382194684494</v>
      </c>
      <c r="P140" s="17">
        <f t="shared" si="9"/>
        <v>-0.21759259259259259</v>
      </c>
      <c r="Q140" s="18">
        <f t="shared" si="10"/>
        <v>79.41538461538461</v>
      </c>
      <c r="R140" s="18">
        <f t="shared" si="11"/>
        <v>74.811594202898547</v>
      </c>
      <c r="S140" s="36" t="s">
        <v>40</v>
      </c>
      <c r="T140" s="48">
        <f>SUM(I136:I142)/SUM(L136:L142)</f>
        <v>85.538461538461533</v>
      </c>
      <c r="U140" s="1738"/>
    </row>
    <row r="141" spans="1:21">
      <c r="A141" s="10" t="s">
        <v>15</v>
      </c>
      <c r="B141" s="19">
        <f>CHAMNORD!B141</f>
        <v>46158</v>
      </c>
      <c r="C141" s="75">
        <f>IF(H141=0,"",'[7]2025-2026'!C140)</f>
        <v>12332</v>
      </c>
      <c r="D141" s="68">
        <f>'[7]2025'!C141</f>
        <v>12067</v>
      </c>
      <c r="E141" s="68">
        <f>'[7]2025'!D141</f>
        <v>11985</v>
      </c>
      <c r="F141" s="20">
        <f>'[7]2025'!E141</f>
        <v>600</v>
      </c>
      <c r="G141" s="73">
        <f>'[7]2025'!F141</f>
        <v>12100</v>
      </c>
      <c r="H141" s="42">
        <f>'[7]2025'!G141</f>
        <v>10535</v>
      </c>
      <c r="I141" s="13">
        <f>'[7]2025'!H141</f>
        <v>10394</v>
      </c>
      <c r="J141" s="14">
        <f>'[7]2025'!I141</f>
        <v>495</v>
      </c>
      <c r="K141" s="15">
        <f>'[7]2025'!J141</f>
        <v>120</v>
      </c>
      <c r="L141" s="15">
        <f>'[7]2025'!K141</f>
        <v>128</v>
      </c>
      <c r="M141" s="15">
        <f>'[7]2025'!L141</f>
        <v>30</v>
      </c>
      <c r="N141" s="16">
        <f t="shared" si="8"/>
        <v>2.8862805464691167E-3</v>
      </c>
      <c r="O141" s="17">
        <f t="shared" si="9"/>
        <v>-0.13274926992073424</v>
      </c>
      <c r="P141" s="17">
        <f t="shared" si="9"/>
        <v>-0.17499999999999999</v>
      </c>
      <c r="Q141" s="18">
        <f t="shared" si="10"/>
        <v>86.61666666666666</v>
      </c>
      <c r="R141" s="18">
        <f t="shared" si="11"/>
        <v>81.203125</v>
      </c>
      <c r="S141" s="36">
        <f>SUM(J136:J142)</f>
        <v>3224</v>
      </c>
      <c r="T141" s="30" t="s">
        <v>3</v>
      </c>
      <c r="U141" s="1738"/>
    </row>
    <row r="142" spans="1:21" ht="18" thickBot="1">
      <c r="A142" s="10" t="s">
        <v>16</v>
      </c>
      <c r="B142" s="19">
        <f>CHAMNORD!B142</f>
        <v>46159</v>
      </c>
      <c r="C142" s="75">
        <f>IF(H142=0,"",'[7]2025-2026'!C141)</f>
        <v>12067</v>
      </c>
      <c r="D142" s="68">
        <f>'[7]2025'!C142</f>
        <v>13795</v>
      </c>
      <c r="E142" s="68">
        <f>'[7]2025'!D142</f>
        <v>13713</v>
      </c>
      <c r="F142" s="20">
        <f>'[7]2025'!E142</f>
        <v>649</v>
      </c>
      <c r="G142" s="73">
        <f>'[7]2025'!F142</f>
        <v>13800</v>
      </c>
      <c r="H142" s="42">
        <f>'[7]2025'!G142</f>
        <v>11917</v>
      </c>
      <c r="I142" s="13">
        <f>'[7]2025'!H142</f>
        <v>11805</v>
      </c>
      <c r="J142" s="14">
        <f>'[7]2025'!I142</f>
        <v>510</v>
      </c>
      <c r="K142" s="15">
        <f>'[7]2025'!J142</f>
        <v>115</v>
      </c>
      <c r="L142" s="15">
        <f>'[7]2025'!K142</f>
        <v>125</v>
      </c>
      <c r="M142" s="15">
        <f>'[7]2025'!L142</f>
        <v>39</v>
      </c>
      <c r="N142" s="16">
        <f t="shared" si="8"/>
        <v>3.3036848792884371E-3</v>
      </c>
      <c r="O142" s="17">
        <f t="shared" si="9"/>
        <v>-0.13913804419164297</v>
      </c>
      <c r="P142" s="17">
        <f t="shared" si="9"/>
        <v>-0.21417565485362094</v>
      </c>
      <c r="Q142" s="18">
        <f t="shared" si="10"/>
        <v>102.65217391304348</v>
      </c>
      <c r="R142" s="18">
        <f t="shared" si="11"/>
        <v>94.44</v>
      </c>
      <c r="S142" s="37">
        <f>(S141-SUM(F136:F142))/SUM(F136:F142)</f>
        <v>-0.10519011934499028</v>
      </c>
      <c r="T142" s="47">
        <f>SUM(M136:M142)/SUM(I136:I142)</f>
        <v>4.27158273381295E-3</v>
      </c>
      <c r="U142" s="1739"/>
    </row>
    <row r="143" spans="1:21" ht="17" customHeight="1" thickTop="1">
      <c r="A143" s="10" t="s">
        <v>9</v>
      </c>
      <c r="B143" s="19">
        <f>CHAMNORD!B143</f>
        <v>46160</v>
      </c>
      <c r="C143" s="75">
        <f>IF(H143=0,"",'[7]2025-2026'!C142)</f>
        <v>13795</v>
      </c>
      <c r="D143" s="68">
        <f>'[7]2025'!C143</f>
        <v>6932</v>
      </c>
      <c r="E143" s="68">
        <f>'[7]2025'!D143</f>
        <v>6902</v>
      </c>
      <c r="F143" s="20">
        <f>'[7]2025'!E143</f>
        <v>358</v>
      </c>
      <c r="G143" s="73">
        <f>'[7]2025'!F143</f>
        <v>7000</v>
      </c>
      <c r="H143" s="42">
        <f>'[7]2025'!G143</f>
        <v>5702</v>
      </c>
      <c r="I143" s="13">
        <f>'[7]2025'!H143</f>
        <v>5660</v>
      </c>
      <c r="J143" s="14">
        <f>'[7]2025'!I143</f>
        <v>320</v>
      </c>
      <c r="K143" s="15">
        <f>'[7]2025'!J143</f>
        <v>78</v>
      </c>
      <c r="L143" s="15">
        <f>'[7]2025'!K143</f>
        <v>87</v>
      </c>
      <c r="M143" s="15">
        <f>'[7]2025'!L143</f>
        <v>18</v>
      </c>
      <c r="N143" s="16">
        <f t="shared" si="8"/>
        <v>3.1802120141342758E-3</v>
      </c>
      <c r="O143" s="17">
        <f t="shared" si="9"/>
        <v>-0.17994784120544768</v>
      </c>
      <c r="P143" s="17">
        <f t="shared" si="9"/>
        <v>-0.10614525139664804</v>
      </c>
      <c r="Q143" s="18">
        <f t="shared" si="10"/>
        <v>72.564102564102569</v>
      </c>
      <c r="R143" s="18">
        <f t="shared" si="11"/>
        <v>65.05747126436782</v>
      </c>
      <c r="S143" s="33" t="s">
        <v>39</v>
      </c>
      <c r="T143" s="31" t="s">
        <v>42</v>
      </c>
      <c r="U143" s="1737" t="s">
        <v>103</v>
      </c>
    </row>
    <row r="144" spans="1:21">
      <c r="A144" s="10" t="s">
        <v>11</v>
      </c>
      <c r="B144" s="19">
        <f>CHAMNORD!B144</f>
        <v>46161</v>
      </c>
      <c r="C144" s="75">
        <f>IF(H144=0,"",'[7]2025-2026'!C143)</f>
        <v>6932</v>
      </c>
      <c r="D144" s="68">
        <f>'[7]2025'!C144</f>
        <v>6811</v>
      </c>
      <c r="E144" s="68">
        <f>'[7]2025'!D144</f>
        <v>6772</v>
      </c>
      <c r="F144" s="20">
        <f>'[7]2025'!E144</f>
        <v>362</v>
      </c>
      <c r="G144" s="73">
        <f>'[7]2025'!F144</f>
        <v>6800</v>
      </c>
      <c r="H144" s="42">
        <f>'[7]2025'!G144</f>
        <v>5963</v>
      </c>
      <c r="I144" s="13">
        <f>'[7]2025'!H144</f>
        <v>5914</v>
      </c>
      <c r="J144" s="14">
        <f>'[7]2025'!I144</f>
        <v>322</v>
      </c>
      <c r="K144" s="15">
        <f>'[7]2025'!J144</f>
        <v>70</v>
      </c>
      <c r="L144" s="15">
        <f>'[7]2025'!K144</f>
        <v>78</v>
      </c>
      <c r="M144" s="15">
        <f>'[7]2025'!L144</f>
        <v>67</v>
      </c>
      <c r="N144" s="16">
        <f t="shared" si="8"/>
        <v>1.13290497125465E-2</v>
      </c>
      <c r="O144" s="17">
        <f t="shared" si="9"/>
        <v>-0.12669816893089192</v>
      </c>
      <c r="P144" s="17">
        <f t="shared" si="9"/>
        <v>-0.11049723756906077</v>
      </c>
      <c r="Q144" s="18">
        <f t="shared" si="10"/>
        <v>84.48571428571428</v>
      </c>
      <c r="R144" s="18">
        <f t="shared" si="11"/>
        <v>75.820512820512818</v>
      </c>
      <c r="S144" s="34">
        <f>SUM(I143:I149)</f>
        <v>56922</v>
      </c>
      <c r="T144" s="45" t="s">
        <v>41</v>
      </c>
      <c r="U144" s="1738"/>
    </row>
    <row r="145" spans="1:21">
      <c r="A145" s="10" t="s">
        <v>12</v>
      </c>
      <c r="B145" s="19">
        <f>CHAMNORD!B145</f>
        <v>46162</v>
      </c>
      <c r="C145" s="75">
        <f>IF(H145=0,"",'[7]2025-2026'!C144)</f>
        <v>6811</v>
      </c>
      <c r="D145" s="68">
        <f>'[7]2025'!C145</f>
        <v>8900</v>
      </c>
      <c r="E145" s="68">
        <f>'[7]2025'!D145</f>
        <v>8824</v>
      </c>
      <c r="F145" s="20">
        <f>'[7]2025'!E145</f>
        <v>476</v>
      </c>
      <c r="G145" s="73">
        <f>'[7]2025'!F145</f>
        <v>8900</v>
      </c>
      <c r="H145" s="42">
        <f>'[7]2025'!G145</f>
        <v>7785</v>
      </c>
      <c r="I145" s="13">
        <f>'[7]2025'!H145</f>
        <v>7706</v>
      </c>
      <c r="J145" s="14">
        <f>'[7]2025'!I145</f>
        <v>417</v>
      </c>
      <c r="K145" s="15">
        <f>'[7]2025'!J145</f>
        <v>82</v>
      </c>
      <c r="L145" s="15">
        <f>'[7]2025'!K145</f>
        <v>90</v>
      </c>
      <c r="M145" s="15">
        <f>'[7]2025'!L145</f>
        <v>49</v>
      </c>
      <c r="N145" s="16">
        <f t="shared" si="8"/>
        <v>6.3586815468466128E-3</v>
      </c>
      <c r="O145" s="17">
        <f t="shared" si="9"/>
        <v>-0.12669990933816863</v>
      </c>
      <c r="P145" s="17">
        <f t="shared" si="9"/>
        <v>-0.12394957983193278</v>
      </c>
      <c r="Q145" s="18">
        <f t="shared" si="10"/>
        <v>93.975609756097555</v>
      </c>
      <c r="R145" s="18">
        <f t="shared" si="11"/>
        <v>85.62222222222222</v>
      </c>
      <c r="S145" s="35">
        <f>(S144-SUM(E143:E149))/SUM(E143:E149)</f>
        <v>-0.11220288227587498</v>
      </c>
      <c r="T145" s="48">
        <f>SUM(I143:I149)/SUM(K143:K149)</f>
        <v>87.842592592592595</v>
      </c>
      <c r="U145" s="1738"/>
    </row>
    <row r="146" spans="1:21">
      <c r="A146" s="10" t="s">
        <v>13</v>
      </c>
      <c r="B146" s="19">
        <f>CHAMNORD!B146</f>
        <v>46163</v>
      </c>
      <c r="C146" s="75">
        <f>IF(H146=0,"",'[7]2025-2026'!C145)</f>
        <v>8900</v>
      </c>
      <c r="D146" s="68">
        <f>'[7]2025'!C146</f>
        <v>7518</v>
      </c>
      <c r="E146" s="68">
        <f>'[7]2025'!D146</f>
        <v>7476</v>
      </c>
      <c r="F146" s="20">
        <f>'[7]2025'!E146</f>
        <v>396</v>
      </c>
      <c r="G146" s="73">
        <f>'[7]2025'!F146</f>
        <v>7500</v>
      </c>
      <c r="H146" s="42">
        <f>'[7]2025'!G146</f>
        <v>6243</v>
      </c>
      <c r="I146" s="13">
        <f>'[7]2025'!H146</f>
        <v>6189</v>
      </c>
      <c r="J146" s="14">
        <f>'[7]2025'!I146</f>
        <v>348</v>
      </c>
      <c r="K146" s="15">
        <f>'[7]2025'!J146</f>
        <v>88</v>
      </c>
      <c r="L146" s="15">
        <f>'[7]2025'!K146</f>
        <v>96</v>
      </c>
      <c r="M146" s="15">
        <f>'[7]2025'!L146</f>
        <v>30</v>
      </c>
      <c r="N146" s="16">
        <f t="shared" si="8"/>
        <v>4.8473097430925833E-3</v>
      </c>
      <c r="O146" s="17">
        <f t="shared" si="9"/>
        <v>-0.17215088282504012</v>
      </c>
      <c r="P146" s="17">
        <f t="shared" si="9"/>
        <v>-0.12121212121212122</v>
      </c>
      <c r="Q146" s="18">
        <f t="shared" si="10"/>
        <v>70.329545454545453</v>
      </c>
      <c r="R146" s="18">
        <f t="shared" si="11"/>
        <v>64.46875</v>
      </c>
      <c r="S146" s="34"/>
      <c r="T146" s="29" t="s">
        <v>8</v>
      </c>
      <c r="U146" s="1738"/>
    </row>
    <row r="147" spans="1:21">
      <c r="A147" s="10" t="s">
        <v>14</v>
      </c>
      <c r="B147" s="19">
        <f>CHAMNORD!B147</f>
        <v>46164</v>
      </c>
      <c r="C147" s="75">
        <f>IF(H147=0,"",'[7]2025-2026'!C146)</f>
        <v>7518</v>
      </c>
      <c r="D147" s="68">
        <f>'[7]2025'!C147</f>
        <v>11224</v>
      </c>
      <c r="E147" s="68">
        <f>'[7]2025'!D147</f>
        <v>11137</v>
      </c>
      <c r="F147" s="20">
        <f>'[7]2025'!E147</f>
        <v>632</v>
      </c>
      <c r="G147" s="73">
        <f>'[7]2025'!F147</f>
        <v>11200</v>
      </c>
      <c r="H147" s="42">
        <f>'[7]2025'!G147</f>
        <v>10740</v>
      </c>
      <c r="I147" s="13">
        <f>'[7]2025'!H147</f>
        <v>10640</v>
      </c>
      <c r="J147" s="14">
        <f>'[7]2025'!I147</f>
        <v>602</v>
      </c>
      <c r="K147" s="15">
        <f>'[7]2025'!J147</f>
        <v>112</v>
      </c>
      <c r="L147" s="15">
        <f>'[7]2025'!K147</f>
        <v>121</v>
      </c>
      <c r="M147" s="15">
        <f>'[7]2025'!L147</f>
        <v>146</v>
      </c>
      <c r="N147" s="16">
        <f t="shared" si="8"/>
        <v>1.3721804511278196E-2</v>
      </c>
      <c r="O147" s="17">
        <f t="shared" si="9"/>
        <v>-4.4626021370207415E-2</v>
      </c>
      <c r="P147" s="17">
        <f t="shared" si="9"/>
        <v>-4.746835443037975E-2</v>
      </c>
      <c r="Q147" s="18">
        <f t="shared" si="10"/>
        <v>95</v>
      </c>
      <c r="R147" s="18">
        <f t="shared" si="11"/>
        <v>87.933884297520663</v>
      </c>
      <c r="S147" s="36" t="s">
        <v>40</v>
      </c>
      <c r="T147" s="48">
        <f>SUM(I143:I149)/SUM(L143:L149)</f>
        <v>80.626062322946169</v>
      </c>
      <c r="U147" s="1738"/>
    </row>
    <row r="148" spans="1:21">
      <c r="A148" s="10" t="s">
        <v>15</v>
      </c>
      <c r="B148" s="19">
        <f>CHAMNORD!B148</f>
        <v>46165</v>
      </c>
      <c r="C148" s="75">
        <f>IF(H148=0,"",'[7]2025-2026'!C147)</f>
        <v>11224</v>
      </c>
      <c r="D148" s="68">
        <f>'[7]2025'!C148</f>
        <v>12175</v>
      </c>
      <c r="E148" s="68">
        <f>'[7]2025'!D148</f>
        <v>12082</v>
      </c>
      <c r="F148" s="20">
        <f>'[7]2025'!E148</f>
        <v>611</v>
      </c>
      <c r="G148" s="73">
        <f>'[7]2025'!F148</f>
        <v>12200</v>
      </c>
      <c r="H148" s="42">
        <f>'[7]2025'!G148</f>
        <v>9298</v>
      </c>
      <c r="I148" s="13">
        <f>'[7]2025'!H148</f>
        <v>9184</v>
      </c>
      <c r="J148" s="14">
        <f>'[7]2025'!I148</f>
        <v>496</v>
      </c>
      <c r="K148" s="15">
        <f>'[7]2025'!J148</f>
        <v>112</v>
      </c>
      <c r="L148" s="15">
        <f>'[7]2025'!K148</f>
        <v>120</v>
      </c>
      <c r="M148" s="15">
        <f>'[7]2025'!L148</f>
        <v>46</v>
      </c>
      <c r="N148" s="16">
        <f t="shared" si="8"/>
        <v>5.0087108013937278E-3</v>
      </c>
      <c r="O148" s="17">
        <f t="shared" si="9"/>
        <v>-0.23986095017381229</v>
      </c>
      <c r="P148" s="17">
        <f t="shared" si="9"/>
        <v>-0.18821603927986907</v>
      </c>
      <c r="Q148" s="18">
        <f t="shared" si="10"/>
        <v>82</v>
      </c>
      <c r="R148" s="18">
        <f t="shared" si="11"/>
        <v>76.533333333333331</v>
      </c>
      <c r="S148" s="36">
        <f>SUM(J143:J149)</f>
        <v>3080</v>
      </c>
      <c r="T148" s="30" t="s">
        <v>3</v>
      </c>
      <c r="U148" s="1738"/>
    </row>
    <row r="149" spans="1:21" ht="18" thickBot="1">
      <c r="A149" s="10" t="s">
        <v>16</v>
      </c>
      <c r="B149" s="19">
        <f>CHAMNORD!B149</f>
        <v>46166</v>
      </c>
      <c r="C149" s="75">
        <f>IF(H149=0,"",'[7]2025-2026'!C148)</f>
        <v>12175</v>
      </c>
      <c r="D149" s="68">
        <f>'[7]2025'!C149</f>
        <v>11016</v>
      </c>
      <c r="E149" s="68">
        <f>'[7]2025'!D149</f>
        <v>10923</v>
      </c>
      <c r="F149" s="20">
        <f>'[7]2025'!E149</f>
        <v>472</v>
      </c>
      <c r="G149" s="73">
        <f>'[7]2025'!F149</f>
        <v>11000</v>
      </c>
      <c r="H149" s="42">
        <f>'[7]2025'!G149</f>
        <v>11731</v>
      </c>
      <c r="I149" s="13">
        <f>'[7]2025'!H149</f>
        <v>11629</v>
      </c>
      <c r="J149" s="14">
        <f>'[7]2025'!I149</f>
        <v>575</v>
      </c>
      <c r="K149" s="15">
        <f>'[7]2025'!J149</f>
        <v>106</v>
      </c>
      <c r="L149" s="15">
        <f>'[7]2025'!K149</f>
        <v>114</v>
      </c>
      <c r="M149" s="15">
        <f>'[7]2025'!L149</f>
        <v>49</v>
      </c>
      <c r="N149" s="16">
        <f t="shared" si="8"/>
        <v>4.2136039212314043E-3</v>
      </c>
      <c r="O149" s="17">
        <f t="shared" si="9"/>
        <v>6.4634257987732313E-2</v>
      </c>
      <c r="P149" s="17">
        <f t="shared" si="9"/>
        <v>0.21822033898305085</v>
      </c>
      <c r="Q149" s="18">
        <f t="shared" si="10"/>
        <v>109.70754716981132</v>
      </c>
      <c r="R149" s="18">
        <f t="shared" si="11"/>
        <v>102.00877192982456</v>
      </c>
      <c r="S149" s="37">
        <f>(S148-SUM(F143:F149))/SUM(F143:F149)</f>
        <v>-6.8642273964318115E-2</v>
      </c>
      <c r="T149" s="47">
        <f>SUM(M143:M149)/SUM(I143:I149)</f>
        <v>7.1149994729630024E-3</v>
      </c>
      <c r="U149" s="1739"/>
    </row>
    <row r="150" spans="1:21" ht="17" customHeight="1" thickTop="1">
      <c r="A150" s="10" t="s">
        <v>9</v>
      </c>
      <c r="B150" s="19">
        <f>CHAMNORD!B150</f>
        <v>46167</v>
      </c>
      <c r="C150" s="75">
        <f>IF(H150=0,"",'[7]2025-2026'!C149)</f>
        <v>11016</v>
      </c>
      <c r="D150" s="68">
        <f>'[7]2025'!C150</f>
        <v>7083</v>
      </c>
      <c r="E150" s="68">
        <f>'[7]2025'!D150</f>
        <v>7045</v>
      </c>
      <c r="F150" s="20">
        <f>'[7]2025'!E150</f>
        <v>374</v>
      </c>
      <c r="G150" s="73">
        <f>'[7]2025'!F150</f>
        <v>12100</v>
      </c>
      <c r="H150" s="42">
        <f>'[7]2025'!G150</f>
        <v>12092</v>
      </c>
      <c r="I150" s="13">
        <f>'[7]2025'!H150</f>
        <v>11967</v>
      </c>
      <c r="J150" s="14">
        <f>'[7]2025'!I150</f>
        <v>573</v>
      </c>
      <c r="K150" s="15">
        <f>'[7]2025'!J150</f>
        <v>106</v>
      </c>
      <c r="L150" s="15">
        <f>'[7]2025'!K150</f>
        <v>114</v>
      </c>
      <c r="M150" s="15">
        <f>'[7]2025'!L150</f>
        <v>49</v>
      </c>
      <c r="N150" s="16">
        <f t="shared" si="8"/>
        <v>4.0945934653630819E-3</v>
      </c>
      <c r="O150" s="17">
        <f t="shared" si="9"/>
        <v>0.6986515259048971</v>
      </c>
      <c r="P150" s="17">
        <f t="shared" si="9"/>
        <v>0.53208556149732622</v>
      </c>
      <c r="Q150" s="18">
        <f t="shared" si="10"/>
        <v>112.89622641509433</v>
      </c>
      <c r="R150" s="18">
        <f t="shared" si="11"/>
        <v>104.97368421052632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19">
        <f>CHAMNORD!B151</f>
        <v>46168</v>
      </c>
      <c r="C151" s="75">
        <f>IF(H151=0,"",'[7]2025-2026'!C150)</f>
        <v>7083</v>
      </c>
      <c r="D151" s="68">
        <f>'[7]2025'!C151</f>
        <v>7008</v>
      </c>
      <c r="E151" s="68">
        <f>'[7]2025'!D151</f>
        <v>6965</v>
      </c>
      <c r="F151" s="20">
        <f>'[7]2025'!E151</f>
        <v>368</v>
      </c>
      <c r="G151" s="73">
        <f>'[7]2025'!F151</f>
        <v>7000</v>
      </c>
      <c r="H151" s="42">
        <f>'[7]2025'!G151</f>
        <v>5894</v>
      </c>
      <c r="I151" s="13">
        <f>'[7]2025'!H151</f>
        <v>5841</v>
      </c>
      <c r="J151" s="14">
        <f>'[7]2025'!I151</f>
        <v>340</v>
      </c>
      <c r="K151" s="15">
        <f>'[7]2025'!J151</f>
        <v>72</v>
      </c>
      <c r="L151" s="15">
        <f>'[7]2025'!K151</f>
        <v>80</v>
      </c>
      <c r="M151" s="15">
        <f>'[7]2025'!L151</f>
        <v>39</v>
      </c>
      <c r="N151" s="16">
        <f t="shared" si="8"/>
        <v>6.6769388803287104E-3</v>
      </c>
      <c r="O151" s="17">
        <f t="shared" si="9"/>
        <v>-0.16137832017229004</v>
      </c>
      <c r="P151" s="17">
        <f t="shared" si="9"/>
        <v>-7.6086956521739135E-2</v>
      </c>
      <c r="Q151" s="18">
        <f t="shared" si="10"/>
        <v>81.125</v>
      </c>
      <c r="R151" s="18">
        <f t="shared" si="11"/>
        <v>73.012500000000003</v>
      </c>
      <c r="S151" s="34">
        <f>SUM(I150:I156)</f>
        <v>65668</v>
      </c>
      <c r="T151" s="45" t="s">
        <v>41</v>
      </c>
      <c r="U151" s="1738"/>
    </row>
    <row r="152" spans="1:21">
      <c r="A152" s="10" t="s">
        <v>12</v>
      </c>
      <c r="B152" s="19">
        <f>CHAMNORD!B152</f>
        <v>46169</v>
      </c>
      <c r="C152" s="75">
        <f>IF(H152=0,"",'[7]2025-2026'!C151)</f>
        <v>7008</v>
      </c>
      <c r="D152" s="68">
        <f>'[7]2025'!C152</f>
        <v>12237</v>
      </c>
      <c r="E152" s="68">
        <f>'[7]2025'!D152</f>
        <v>12143</v>
      </c>
      <c r="F152" s="20">
        <f>'[7]2025'!E152</f>
        <v>611</v>
      </c>
      <c r="G152" s="73">
        <f>'[7]2025'!F152</f>
        <v>12300</v>
      </c>
      <c r="H152" s="42">
        <f>'[7]2025'!G152</f>
        <v>8152</v>
      </c>
      <c r="I152" s="13">
        <f>'[7]2025'!H152</f>
        <v>8079</v>
      </c>
      <c r="J152" s="14">
        <f>'[7]2025'!I152</f>
        <v>431</v>
      </c>
      <c r="K152" s="15">
        <f>'[7]2025'!J152</f>
        <v>88</v>
      </c>
      <c r="L152" s="15">
        <f>'[7]2025'!K152</f>
        <v>96</v>
      </c>
      <c r="M152" s="15">
        <f>'[7]2025'!L152</f>
        <v>97</v>
      </c>
      <c r="N152" s="16">
        <f t="shared" si="8"/>
        <v>1.2006436440153484E-2</v>
      </c>
      <c r="O152" s="17">
        <f t="shared" si="9"/>
        <v>-0.33467841554805239</v>
      </c>
      <c r="P152" s="17">
        <f t="shared" si="9"/>
        <v>-0.29459901800327332</v>
      </c>
      <c r="Q152" s="18">
        <f t="shared" si="10"/>
        <v>91.806818181818187</v>
      </c>
      <c r="R152" s="18">
        <f t="shared" si="11"/>
        <v>84.15625</v>
      </c>
      <c r="S152" s="35">
        <f>(S151-SUM(E150:E156))/SUM(E150:E156)</f>
        <v>-9.7297445907678776E-2</v>
      </c>
      <c r="T152" s="48">
        <f>SUM(I150:I156)/SUM(K150:K156)</f>
        <v>99.647951441578144</v>
      </c>
      <c r="U152" s="1738"/>
    </row>
    <row r="153" spans="1:21">
      <c r="A153" s="10" t="s">
        <v>13</v>
      </c>
      <c r="B153" s="19">
        <f>CHAMNORD!B153</f>
        <v>46170</v>
      </c>
      <c r="C153" s="75">
        <f>IF(H153=0,"",'[7]2025-2026'!C152)</f>
        <v>12237</v>
      </c>
      <c r="D153" s="68">
        <f>'[7]2025'!C153</f>
        <v>10585</v>
      </c>
      <c r="E153" s="68">
        <f>'[7]2025'!D153</f>
        <v>10517</v>
      </c>
      <c r="F153" s="20">
        <f>'[7]2025'!E153</f>
        <v>492</v>
      </c>
      <c r="G153" s="73">
        <f>'[7]2025'!F153</f>
        <v>4400</v>
      </c>
      <c r="H153" s="42">
        <f>'[7]2025'!G153</f>
        <v>7659</v>
      </c>
      <c r="I153" s="13">
        <f>'[7]2025'!H153</f>
        <v>7604</v>
      </c>
      <c r="J153" s="14">
        <f>'[7]2025'!I153</f>
        <v>381</v>
      </c>
      <c r="K153" s="15">
        <f>'[7]2025'!J153</f>
        <v>82</v>
      </c>
      <c r="L153" s="15">
        <f>'[7]2025'!K153</f>
        <v>90</v>
      </c>
      <c r="M153" s="15">
        <f>'[7]2025'!L153</f>
        <v>58</v>
      </c>
      <c r="N153" s="16">
        <f t="shared" si="8"/>
        <v>7.6275644397685426E-3</v>
      </c>
      <c r="O153" s="17">
        <f t="shared" si="9"/>
        <v>-0.27698012741276029</v>
      </c>
      <c r="P153" s="17">
        <f t="shared" si="9"/>
        <v>-0.22560975609756098</v>
      </c>
      <c r="Q153" s="18">
        <f t="shared" si="10"/>
        <v>92.731707317073173</v>
      </c>
      <c r="R153" s="18">
        <f t="shared" si="11"/>
        <v>84.488888888888894</v>
      </c>
      <c r="S153" s="34"/>
      <c r="T153" s="29" t="s">
        <v>8</v>
      </c>
      <c r="U153" s="1738"/>
    </row>
    <row r="154" spans="1:21">
      <c r="A154" s="10" t="s">
        <v>14</v>
      </c>
      <c r="B154" s="19">
        <f>CHAMNORD!B154</f>
        <v>46171</v>
      </c>
      <c r="C154" s="75">
        <f>IF(H154=0,"",'[7]2025-2026'!C153)</f>
        <v>10585</v>
      </c>
      <c r="D154" s="68">
        <f>'[7]2025'!C154</f>
        <v>11187</v>
      </c>
      <c r="E154" s="68">
        <f>'[7]2025'!D154</f>
        <v>11102</v>
      </c>
      <c r="F154" s="20">
        <f>'[7]2025'!E154</f>
        <v>598</v>
      </c>
      <c r="G154" s="73">
        <f>'[7]2025'!F154</f>
        <v>11200</v>
      </c>
      <c r="H154" s="42">
        <f>'[7]2025'!G154</f>
        <v>10708</v>
      </c>
      <c r="I154" s="13">
        <f>'[7]2025'!H154</f>
        <v>10627</v>
      </c>
      <c r="J154" s="14">
        <f>'[7]2025'!I154</f>
        <v>556</v>
      </c>
      <c r="K154" s="15">
        <f>'[7]2025'!J154</f>
        <v>104</v>
      </c>
      <c r="L154" s="15">
        <f>'[7]2025'!K154</f>
        <v>113</v>
      </c>
      <c r="M154" s="15">
        <f>'[7]2025'!L154</f>
        <v>34</v>
      </c>
      <c r="N154" s="16">
        <f t="shared" si="8"/>
        <v>3.1993977604215678E-3</v>
      </c>
      <c r="O154" s="17">
        <f t="shared" si="9"/>
        <v>-4.2785083768690328E-2</v>
      </c>
      <c r="P154" s="17">
        <f t="shared" si="9"/>
        <v>-7.0234113712374577E-2</v>
      </c>
      <c r="Q154" s="18">
        <f t="shared" si="10"/>
        <v>102.18269230769231</v>
      </c>
      <c r="R154" s="18">
        <f t="shared" si="11"/>
        <v>94.044247787610615</v>
      </c>
      <c r="S154" s="36" t="s">
        <v>40</v>
      </c>
      <c r="T154" s="48">
        <f>SUM(I150:I156)/SUM(L150:L156)</f>
        <v>90.576551724137929</v>
      </c>
      <c r="U154" s="1738"/>
    </row>
    <row r="155" spans="1:21">
      <c r="A155" s="10" t="s">
        <v>15</v>
      </c>
      <c r="B155" s="19">
        <f>CHAMNORD!B155</f>
        <v>46172</v>
      </c>
      <c r="C155" s="75">
        <f>IF(H155=0,"",'[7]2025-2026'!C154)</f>
        <v>11187</v>
      </c>
      <c r="D155" s="68">
        <f>'[7]2025'!C155</f>
        <v>10097</v>
      </c>
      <c r="E155" s="68">
        <f>'[7]2025'!D155</f>
        <v>10019</v>
      </c>
      <c r="F155" s="20">
        <f>'[7]2025'!E155</f>
        <v>520</v>
      </c>
      <c r="G155" s="73">
        <f>'[7]2025'!F155</f>
        <v>10100</v>
      </c>
      <c r="H155" s="42">
        <f>'[7]2025'!G155</f>
        <v>9902</v>
      </c>
      <c r="I155" s="13">
        <f>'[7]2025'!H155</f>
        <v>9815</v>
      </c>
      <c r="J155" s="14">
        <f>'[7]2025'!I155</f>
        <v>473</v>
      </c>
      <c r="K155" s="15">
        <f>'[7]2025'!J155</f>
        <v>101</v>
      </c>
      <c r="L155" s="15">
        <f>'[7]2025'!K155</f>
        <v>109</v>
      </c>
      <c r="M155" s="15">
        <f>'[7]2025'!L155</f>
        <v>7</v>
      </c>
      <c r="N155" s="16">
        <f t="shared" si="8"/>
        <v>7.1319409067753439E-4</v>
      </c>
      <c r="O155" s="17">
        <f t="shared" si="9"/>
        <v>-2.0361313504341751E-2</v>
      </c>
      <c r="P155" s="17">
        <f t="shared" si="9"/>
        <v>-9.0384615384615383E-2</v>
      </c>
      <c r="Q155" s="18">
        <f t="shared" si="10"/>
        <v>97.178217821782184</v>
      </c>
      <c r="R155" s="18">
        <f t="shared" si="11"/>
        <v>90.045871559633028</v>
      </c>
      <c r="S155" s="36">
        <f>SUM(J150:J156)</f>
        <v>3265</v>
      </c>
      <c r="T155" s="30" t="s">
        <v>3</v>
      </c>
      <c r="U155" s="1738"/>
    </row>
    <row r="156" spans="1:21" ht="18" thickBot="1">
      <c r="A156" s="10" t="s">
        <v>16</v>
      </c>
      <c r="B156" s="19">
        <f>CHAMNORD!B156</f>
        <v>46173</v>
      </c>
      <c r="C156" s="75">
        <f>IF(H156=0,"",'[7]2025-2026'!C155)</f>
        <v>10097</v>
      </c>
      <c r="D156" s="68">
        <f>'[7]2025'!C156</f>
        <v>15051</v>
      </c>
      <c r="E156" s="68">
        <f>'[7]2025'!D156</f>
        <v>14955</v>
      </c>
      <c r="F156" s="20">
        <f>'[7]2025'!E156</f>
        <v>659</v>
      </c>
      <c r="G156" s="73">
        <f>'[7]2025'!F156</f>
        <v>15100</v>
      </c>
      <c r="H156" s="42">
        <f>'[7]2025'!G156</f>
        <v>11847</v>
      </c>
      <c r="I156" s="13">
        <f>'[7]2025'!H156</f>
        <v>11735</v>
      </c>
      <c r="J156" s="14">
        <f>'[7]2025'!I156</f>
        <v>511</v>
      </c>
      <c r="K156" s="15">
        <f>'[7]2025'!J156</f>
        <v>106</v>
      </c>
      <c r="L156" s="15">
        <f>'[7]2025'!K156</f>
        <v>123</v>
      </c>
      <c r="M156" s="15">
        <f>'[7]2025'!L156</f>
        <v>56</v>
      </c>
      <c r="N156" s="16">
        <f t="shared" si="8"/>
        <v>4.7720494247976142E-3</v>
      </c>
      <c r="O156" s="17">
        <f t="shared" si="9"/>
        <v>-0.215312604480107</v>
      </c>
      <c r="P156" s="17">
        <f t="shared" si="9"/>
        <v>-0.22458270106221548</v>
      </c>
      <c r="Q156" s="18">
        <f t="shared" si="10"/>
        <v>110.70754716981132</v>
      </c>
      <c r="R156" s="18">
        <f t="shared" si="11"/>
        <v>95.40650406504065</v>
      </c>
      <c r="S156" s="37">
        <f>(S155-SUM(F150:F156))/SUM(F150:F156)</f>
        <v>-9.8564329099944781E-2</v>
      </c>
      <c r="T156" s="47">
        <f>SUM(M150:M156)/SUM(I150:I156)</f>
        <v>5.1775598465005788E-3</v>
      </c>
      <c r="U156" s="1739"/>
    </row>
    <row r="157" spans="1:21" ht="17" customHeight="1" thickTop="1">
      <c r="A157" s="10" t="s">
        <v>9</v>
      </c>
      <c r="B157" s="19">
        <f>CHAMNORD!B157</f>
        <v>46174</v>
      </c>
      <c r="C157" s="75">
        <f>IF(H157=0,"",'[7]2025-2026'!C156)</f>
        <v>15051</v>
      </c>
      <c r="D157" s="68">
        <f>'[7]2025'!C157</f>
        <v>7340</v>
      </c>
      <c r="E157" s="68">
        <f>'[7]2025'!D157</f>
        <v>7301</v>
      </c>
      <c r="F157" s="20">
        <f>'[7]2025'!E157</f>
        <v>385</v>
      </c>
      <c r="G157" s="73">
        <f>'[7]2025'!F157</f>
        <v>7400</v>
      </c>
      <c r="H157" s="42">
        <f>'[7]2025'!G157</f>
        <v>6230</v>
      </c>
      <c r="I157" s="13">
        <f>'[7]2025'!H157</f>
        <v>6192</v>
      </c>
      <c r="J157" s="14">
        <f>'[7]2025'!I157</f>
        <v>338</v>
      </c>
      <c r="K157" s="15">
        <f>'[7]2025'!J157</f>
        <v>71</v>
      </c>
      <c r="L157" s="15">
        <f>'[7]2025'!K157</f>
        <v>79</v>
      </c>
      <c r="M157" s="15">
        <f>'[7]2025'!L157</f>
        <v>18</v>
      </c>
      <c r="N157" s="16">
        <f t="shared" si="8"/>
        <v>2.9069767441860465E-3</v>
      </c>
      <c r="O157" s="17">
        <f t="shared" si="9"/>
        <v>-0.15189700041090262</v>
      </c>
      <c r="P157" s="17">
        <f t="shared" si="9"/>
        <v>-0.12207792207792208</v>
      </c>
      <c r="Q157" s="18">
        <f t="shared" si="10"/>
        <v>87.211267605633807</v>
      </c>
      <c r="R157" s="18">
        <f t="shared" si="11"/>
        <v>78.379746835443044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19">
        <f>CHAMNORD!B158</f>
        <v>46175</v>
      </c>
      <c r="C158" s="75">
        <f>IF(H158=0,"",'[7]2025-2026'!C157)</f>
        <v>7340</v>
      </c>
      <c r="D158" s="68">
        <f>'[7]2025'!C158</f>
        <v>8261</v>
      </c>
      <c r="E158" s="68">
        <f>'[7]2025'!D158</f>
        <v>8194</v>
      </c>
      <c r="F158" s="20">
        <f>'[7]2025'!E158</f>
        <v>461</v>
      </c>
      <c r="G158" s="73">
        <f>'[7]2025'!F158</f>
        <v>8300</v>
      </c>
      <c r="H158" s="42">
        <f>'[7]2025'!G158</f>
        <v>8306</v>
      </c>
      <c r="I158" s="13">
        <f>'[7]2025'!H158</f>
        <v>8185</v>
      </c>
      <c r="J158" s="14">
        <f>'[7]2025'!I158</f>
        <v>431</v>
      </c>
      <c r="K158" s="15">
        <f>'[7]2025'!J158</f>
        <v>80</v>
      </c>
      <c r="L158" s="15">
        <f>'[7]2025'!K158</f>
        <v>88</v>
      </c>
      <c r="M158" s="15">
        <f>'[7]2025'!L158</f>
        <v>18</v>
      </c>
      <c r="N158" s="16">
        <f t="shared" si="8"/>
        <v>2.1991447770311544E-3</v>
      </c>
      <c r="O158" s="17">
        <f t="shared" si="9"/>
        <v>-1.098364657066146E-3</v>
      </c>
      <c r="P158" s="17">
        <f t="shared" si="9"/>
        <v>-6.5075921908893705E-2</v>
      </c>
      <c r="Q158" s="18">
        <f t="shared" si="10"/>
        <v>102.3125</v>
      </c>
      <c r="R158" s="18">
        <f t="shared" si="11"/>
        <v>93.01136363636364</v>
      </c>
      <c r="S158" s="34">
        <f>SUM(I157:I163)</f>
        <v>67012</v>
      </c>
      <c r="T158" s="45" t="s">
        <v>41</v>
      </c>
      <c r="U158" s="1738"/>
    </row>
    <row r="159" spans="1:21">
      <c r="A159" s="10" t="s">
        <v>12</v>
      </c>
      <c r="B159" s="19">
        <f>CHAMNORD!B159</f>
        <v>46176</v>
      </c>
      <c r="C159" s="75">
        <f>IF(H159=0,"",'[7]2025-2026'!C158)</f>
        <v>8261</v>
      </c>
      <c r="D159" s="68">
        <f>'[7]2025'!C159</f>
        <v>9343</v>
      </c>
      <c r="E159" s="68">
        <f>'[7]2025'!D159</f>
        <v>9267</v>
      </c>
      <c r="F159" s="20">
        <f>'[7]2025'!E159</f>
        <v>470</v>
      </c>
      <c r="G159" s="73">
        <f>'[7]2025'!F159</f>
        <v>9400</v>
      </c>
      <c r="H159" s="42">
        <f>'[7]2025'!G159</f>
        <v>9973</v>
      </c>
      <c r="I159" s="13">
        <f>'[7]2025'!H159</f>
        <v>9808</v>
      </c>
      <c r="J159" s="14">
        <f>'[7]2025'!I159</f>
        <v>483</v>
      </c>
      <c r="K159" s="15">
        <f>'[7]2025'!J159</f>
        <v>90</v>
      </c>
      <c r="L159" s="15">
        <f>'[7]2025'!K159</f>
        <v>108</v>
      </c>
      <c r="M159" s="15">
        <f>'[7]2025'!L159</f>
        <v>40</v>
      </c>
      <c r="N159" s="16">
        <f t="shared" si="8"/>
        <v>4.0783034257748773E-3</v>
      </c>
      <c r="O159" s="17">
        <f t="shared" si="9"/>
        <v>5.8379194992985863E-2</v>
      </c>
      <c r="P159" s="17">
        <f t="shared" si="9"/>
        <v>2.7659574468085105E-2</v>
      </c>
      <c r="Q159" s="18">
        <f t="shared" si="10"/>
        <v>108.97777777777777</v>
      </c>
      <c r="R159" s="18">
        <f t="shared" si="11"/>
        <v>90.81481481481481</v>
      </c>
      <c r="S159" s="35">
        <f>(S158-SUM(E157:E163))/SUM(E157:E163)</f>
        <v>-0.11998844370904412</v>
      </c>
      <c r="T159" s="48">
        <f>SUM(I157:I163)/SUM(K157:K163)</f>
        <v>105.19937205651492</v>
      </c>
      <c r="U159" s="1738"/>
    </row>
    <row r="160" spans="1:21">
      <c r="A160" s="10" t="s">
        <v>13</v>
      </c>
      <c r="B160" s="19">
        <f>CHAMNORD!B160</f>
        <v>46177</v>
      </c>
      <c r="C160" s="75">
        <f>IF(H160=0,"",'[7]2025-2026'!C159)</f>
        <v>9343</v>
      </c>
      <c r="D160" s="68">
        <f>'[7]2025'!C160</f>
        <v>9490</v>
      </c>
      <c r="E160" s="68">
        <f>'[7]2025'!D160</f>
        <v>9418</v>
      </c>
      <c r="F160" s="20">
        <f>'[7]2025'!E160</f>
        <v>502</v>
      </c>
      <c r="G160" s="73">
        <f>'[7]2025'!F160</f>
        <v>9500</v>
      </c>
      <c r="H160" s="42">
        <f>'[7]2025'!G160</f>
        <v>6749</v>
      </c>
      <c r="I160" s="13">
        <f>'[7]2025'!H160</f>
        <v>6680</v>
      </c>
      <c r="J160" s="14">
        <f>'[7]2025'!I160</f>
        <v>337</v>
      </c>
      <c r="K160" s="15">
        <f>'[7]2025'!J160</f>
        <v>73</v>
      </c>
      <c r="L160" s="15">
        <f>'[7]2025'!K160</f>
        <v>82</v>
      </c>
      <c r="M160" s="15">
        <f>'[7]2025'!L160</f>
        <v>81</v>
      </c>
      <c r="N160" s="16">
        <f t="shared" si="8"/>
        <v>1.2125748502994011E-2</v>
      </c>
      <c r="O160" s="17">
        <f t="shared" si="9"/>
        <v>-0.29071989806753024</v>
      </c>
      <c r="P160" s="17">
        <f t="shared" si="9"/>
        <v>-0.32868525896414341</v>
      </c>
      <c r="Q160" s="18">
        <f t="shared" si="10"/>
        <v>91.506849315068493</v>
      </c>
      <c r="R160" s="18">
        <f t="shared" si="11"/>
        <v>81.463414634146346</v>
      </c>
      <c r="S160" s="34"/>
      <c r="T160" s="29" t="s">
        <v>8</v>
      </c>
      <c r="U160" s="1738"/>
    </row>
    <row r="161" spans="1:21">
      <c r="A161" s="10" t="s">
        <v>14</v>
      </c>
      <c r="B161" s="19">
        <f>CHAMNORD!B161</f>
        <v>46178</v>
      </c>
      <c r="C161" s="75">
        <f>IF(H161=0,"",'[7]2025-2026'!C160)</f>
        <v>9490</v>
      </c>
      <c r="D161" s="68">
        <f>'[7]2025'!C161</f>
        <v>15008</v>
      </c>
      <c r="E161" s="68">
        <f>'[7]2025'!D161</f>
        <v>14906</v>
      </c>
      <c r="F161" s="20">
        <f>'[7]2025'!E161</f>
        <v>765</v>
      </c>
      <c r="G161" s="73">
        <f>'[7]2025'!F161</f>
        <v>15000</v>
      </c>
      <c r="H161" s="42">
        <f>'[7]2025'!G161</f>
        <v>12125</v>
      </c>
      <c r="I161" s="13">
        <f>'[7]2025'!H161</f>
        <v>11966</v>
      </c>
      <c r="J161" s="14">
        <f>'[7]2025'!I161</f>
        <v>627</v>
      </c>
      <c r="K161" s="15">
        <f>'[7]2025'!J161</f>
        <v>110</v>
      </c>
      <c r="L161" s="15">
        <f>'[7]2025'!K161</f>
        <v>118</v>
      </c>
      <c r="M161" s="15">
        <f>'[7]2025'!L161</f>
        <v>48</v>
      </c>
      <c r="N161" s="16">
        <f t="shared" si="8"/>
        <v>4.0113655356844389E-3</v>
      </c>
      <c r="O161" s="17">
        <f t="shared" si="9"/>
        <v>-0.19723601234402255</v>
      </c>
      <c r="P161" s="17">
        <f t="shared" si="9"/>
        <v>-0.1803921568627451</v>
      </c>
      <c r="Q161" s="18">
        <f t="shared" si="10"/>
        <v>108.78181818181818</v>
      </c>
      <c r="R161" s="18">
        <f t="shared" si="11"/>
        <v>101.40677966101696</v>
      </c>
      <c r="S161" s="36" t="s">
        <v>40</v>
      </c>
      <c r="T161" s="48">
        <f>SUM(I157:I163)/SUM(L157:L163)</f>
        <v>92.686030428769016</v>
      </c>
      <c r="U161" s="1738"/>
    </row>
    <row r="162" spans="1:21">
      <c r="A162" s="10" t="s">
        <v>15</v>
      </c>
      <c r="B162" s="19">
        <f>CHAMNORD!B162</f>
        <v>46179</v>
      </c>
      <c r="C162" s="75">
        <f>IF(H162=0,"",'[7]2025-2026'!C161)</f>
        <v>15008</v>
      </c>
      <c r="D162" s="68">
        <f>'[7]2025'!C162</f>
        <v>12511</v>
      </c>
      <c r="E162" s="68">
        <f>'[7]2025'!D162</f>
        <v>12391</v>
      </c>
      <c r="F162" s="20">
        <f>'[7]2025'!E162</f>
        <v>617</v>
      </c>
      <c r="G162" s="73">
        <f>'[7]2025'!F162</f>
        <v>12500</v>
      </c>
      <c r="H162" s="42">
        <f>'[7]2025'!G162</f>
        <v>11988</v>
      </c>
      <c r="I162" s="13">
        <f>'[7]2025'!H162</f>
        <v>11820</v>
      </c>
      <c r="J162" s="14">
        <f>'[7]2025'!I162</f>
        <v>604</v>
      </c>
      <c r="K162" s="15">
        <f>'[7]2025'!J162</f>
        <v>113</v>
      </c>
      <c r="L162" s="15">
        <f>'[7]2025'!K162</f>
        <v>131</v>
      </c>
      <c r="M162" s="15">
        <f>'[7]2025'!L162</f>
        <v>33</v>
      </c>
      <c r="N162" s="16">
        <f t="shared" si="8"/>
        <v>2.7918781725888324E-3</v>
      </c>
      <c r="O162" s="17">
        <f t="shared" si="9"/>
        <v>-4.6081833588895164E-2</v>
      </c>
      <c r="P162" s="17">
        <f t="shared" si="9"/>
        <v>-2.1069692058346839E-2</v>
      </c>
      <c r="Q162" s="18">
        <f t="shared" si="10"/>
        <v>104.60176991150442</v>
      </c>
      <c r="R162" s="18">
        <f t="shared" si="11"/>
        <v>90.229007633587784</v>
      </c>
      <c r="S162" s="36">
        <f>SUM(J157:J163)</f>
        <v>3373</v>
      </c>
      <c r="T162" s="30" t="s">
        <v>3</v>
      </c>
      <c r="U162" s="1738"/>
    </row>
    <row r="163" spans="1:21" ht="18" thickBot="1">
      <c r="A163" s="10" t="s">
        <v>16</v>
      </c>
      <c r="B163" s="19">
        <f>CHAMNORD!B163</f>
        <v>46180</v>
      </c>
      <c r="C163" s="75">
        <f>IF(H163=0,"",'[7]2025-2026'!C162)</f>
        <v>12511</v>
      </c>
      <c r="D163" s="68">
        <f>'[7]2025'!C163</f>
        <v>14786</v>
      </c>
      <c r="E163" s="68">
        <f>'[7]2025'!D163</f>
        <v>14672</v>
      </c>
      <c r="F163" s="20">
        <f>'[7]2025'!E163</f>
        <v>667</v>
      </c>
      <c r="G163" s="73">
        <f>'[7]2025'!F163</f>
        <v>14800</v>
      </c>
      <c r="H163" s="42">
        <f>'[7]2025'!G163</f>
        <v>12484</v>
      </c>
      <c r="I163" s="13">
        <f>'[7]2025'!H163</f>
        <v>12361</v>
      </c>
      <c r="J163" s="14">
        <f>'[7]2025'!I163</f>
        <v>553</v>
      </c>
      <c r="K163" s="15">
        <f>'[7]2025'!J163</f>
        <v>100</v>
      </c>
      <c r="L163" s="15">
        <f>'[7]2025'!K163</f>
        <v>117</v>
      </c>
      <c r="M163" s="15">
        <f>'[7]2025'!L163</f>
        <v>26</v>
      </c>
      <c r="N163" s="16">
        <f t="shared" si="8"/>
        <v>2.1033896933905023E-3</v>
      </c>
      <c r="O163" s="17">
        <f t="shared" si="9"/>
        <v>-0.15751090512540894</v>
      </c>
      <c r="P163" s="17">
        <f t="shared" si="9"/>
        <v>-0.17091454272863568</v>
      </c>
      <c r="Q163" s="18">
        <f t="shared" si="10"/>
        <v>123.61</v>
      </c>
      <c r="R163" s="18">
        <f t="shared" si="11"/>
        <v>105.64957264957265</v>
      </c>
      <c r="S163" s="37">
        <f>(S162-SUM(F157:F163))/SUM(F157:F163)</f>
        <v>-0.12774760796483062</v>
      </c>
      <c r="T163" s="47">
        <f>SUM(M157:M163)/SUM(I157:I163)</f>
        <v>3.939592908732764E-3</v>
      </c>
      <c r="U163" s="1739"/>
    </row>
    <row r="164" spans="1:21" ht="17" customHeight="1" thickTop="1">
      <c r="A164" s="10" t="s">
        <v>9</v>
      </c>
      <c r="B164" s="19">
        <f>CHAMNORD!B164</f>
        <v>46181</v>
      </c>
      <c r="C164" s="75" t="str">
        <f>IF(H164=0,"",'[7]2025-2026'!C163)</f>
        <v/>
      </c>
      <c r="D164" s="68" t="str">
        <f>'[7]2025'!C164</f>
        <v/>
      </c>
      <c r="E164" s="68" t="str">
        <f>'[7]2025'!D164</f>
        <v/>
      </c>
      <c r="F164" s="20" t="str">
        <f>'[7]2025'!E164</f>
        <v/>
      </c>
      <c r="G164" s="73" t="str">
        <f>'[7]2025'!F164</f>
        <v/>
      </c>
      <c r="H164" s="42">
        <f>'[7]2025'!G164</f>
        <v>0</v>
      </c>
      <c r="I164" s="13">
        <f>'[7]2025'!H164</f>
        <v>0</v>
      </c>
      <c r="J164" s="14">
        <f>'[7]2025'!I164</f>
        <v>0</v>
      </c>
      <c r="K164" s="15">
        <f>'[7]2025'!J164</f>
        <v>0</v>
      </c>
      <c r="L164" s="15">
        <f>'[7]2025'!K164</f>
        <v>0</v>
      </c>
      <c r="M164" s="15">
        <f>'[7]2025'!L164</f>
        <v>0</v>
      </c>
      <c r="N164" s="16" t="str">
        <f t="shared" si="8"/>
        <v/>
      </c>
      <c r="O164" s="17" t="str">
        <f t="shared" si="9"/>
        <v/>
      </c>
      <c r="P164" s="17" t="str">
        <f t="shared" si="9"/>
        <v/>
      </c>
      <c r="Q164" s="18" t="str">
        <f t="shared" si="10"/>
        <v/>
      </c>
      <c r="R164" s="18" t="e">
        <f t="shared" si="11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19">
        <f>CHAMNORD!B165</f>
        <v>46182</v>
      </c>
      <c r="C165" s="75" t="str">
        <f>IF(H165=0,"",'[7]2025-2026'!C164)</f>
        <v/>
      </c>
      <c r="D165" s="68" t="str">
        <f>'[7]2025'!C165</f>
        <v/>
      </c>
      <c r="E165" s="68" t="str">
        <f>'[7]2025'!D165</f>
        <v/>
      </c>
      <c r="F165" s="20" t="str">
        <f>'[7]2025'!E165</f>
        <v/>
      </c>
      <c r="G165" s="73" t="str">
        <f>'[7]2025'!F165</f>
        <v/>
      </c>
      <c r="H165" s="42">
        <f>'[7]2025'!G165</f>
        <v>0</v>
      </c>
      <c r="I165" s="13">
        <f>'[7]2025'!H165</f>
        <v>0</v>
      </c>
      <c r="J165" s="14">
        <f>'[7]2025'!I165</f>
        <v>0</v>
      </c>
      <c r="K165" s="15">
        <f>'[7]2025'!J165</f>
        <v>0</v>
      </c>
      <c r="L165" s="15">
        <f>'[7]2025'!K165</f>
        <v>0</v>
      </c>
      <c r="M165" s="15">
        <f>'[7]2025'!L165</f>
        <v>0</v>
      </c>
      <c r="N165" s="16" t="str">
        <f t="shared" si="8"/>
        <v/>
      </c>
      <c r="O165" s="17" t="str">
        <f t="shared" si="9"/>
        <v/>
      </c>
      <c r="P165" s="17" t="str">
        <f t="shared" si="9"/>
        <v/>
      </c>
      <c r="Q165" s="18" t="str">
        <f t="shared" si="10"/>
        <v/>
      </c>
      <c r="R165" s="18" t="e">
        <f t="shared" si="11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19">
        <f>CHAMNORD!B166</f>
        <v>46183</v>
      </c>
      <c r="C166" s="75" t="str">
        <f>IF(H166=0,"",'[7]2025-2026'!C165)</f>
        <v/>
      </c>
      <c r="D166" s="68" t="str">
        <f>'[7]2025'!C166</f>
        <v/>
      </c>
      <c r="E166" s="68" t="str">
        <f>'[7]2025'!D166</f>
        <v/>
      </c>
      <c r="F166" s="20" t="str">
        <f>'[7]2025'!E166</f>
        <v/>
      </c>
      <c r="G166" s="73" t="str">
        <f>'[7]2025'!F166</f>
        <v/>
      </c>
      <c r="H166" s="42">
        <f>'[7]2025'!G166</f>
        <v>0</v>
      </c>
      <c r="I166" s="13">
        <f>'[7]2025'!H166</f>
        <v>0</v>
      </c>
      <c r="J166" s="14">
        <f>'[7]2025'!I166</f>
        <v>0</v>
      </c>
      <c r="K166" s="15">
        <f>'[7]2025'!J166</f>
        <v>0</v>
      </c>
      <c r="L166" s="15">
        <f>'[7]2025'!K166</f>
        <v>0</v>
      </c>
      <c r="M166" s="15">
        <f>'[7]2025'!L166</f>
        <v>0</v>
      </c>
      <c r="N166" s="16" t="str">
        <f t="shared" si="8"/>
        <v/>
      </c>
      <c r="O166" s="17" t="str">
        <f t="shared" si="9"/>
        <v/>
      </c>
      <c r="P166" s="17" t="str">
        <f t="shared" si="9"/>
        <v/>
      </c>
      <c r="Q166" s="18" t="str">
        <f t="shared" si="10"/>
        <v/>
      </c>
      <c r="R166" s="18" t="e">
        <f t="shared" si="11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19">
        <f>CHAMNORD!B167</f>
        <v>46184</v>
      </c>
      <c r="C167" s="75" t="str">
        <f>IF(H167=0,"",'[7]2025-2026'!C166)</f>
        <v/>
      </c>
      <c r="D167" s="68" t="str">
        <f>'[7]2025'!C167</f>
        <v/>
      </c>
      <c r="E167" s="68" t="str">
        <f>'[7]2025'!D167</f>
        <v/>
      </c>
      <c r="F167" s="20" t="str">
        <f>'[7]2025'!E167</f>
        <v/>
      </c>
      <c r="G167" s="73" t="str">
        <f>'[7]2025'!F167</f>
        <v/>
      </c>
      <c r="H167" s="42">
        <f>'[7]2025'!G167</f>
        <v>0</v>
      </c>
      <c r="I167" s="13">
        <f>'[7]2025'!H167</f>
        <v>0</v>
      </c>
      <c r="J167" s="14">
        <f>'[7]2025'!I167</f>
        <v>0</v>
      </c>
      <c r="K167" s="15">
        <f>'[7]2025'!J167</f>
        <v>0</v>
      </c>
      <c r="L167" s="15">
        <f>'[7]2025'!K167</f>
        <v>0</v>
      </c>
      <c r="M167" s="15">
        <f>'[7]2025'!L167</f>
        <v>0</v>
      </c>
      <c r="N167" s="16" t="str">
        <f t="shared" si="8"/>
        <v/>
      </c>
      <c r="O167" s="17" t="str">
        <f t="shared" si="9"/>
        <v/>
      </c>
      <c r="P167" s="17" t="str">
        <f t="shared" si="9"/>
        <v/>
      </c>
      <c r="Q167" s="18" t="str">
        <f t="shared" si="10"/>
        <v/>
      </c>
      <c r="R167" s="18" t="e">
        <f t="shared" si="11"/>
        <v>#DIV/0!</v>
      </c>
      <c r="S167" s="34"/>
      <c r="T167" s="29" t="s">
        <v>8</v>
      </c>
      <c r="U167" s="1738"/>
    </row>
    <row r="168" spans="1:21">
      <c r="A168" s="10" t="s">
        <v>14</v>
      </c>
      <c r="B168" s="19">
        <f>CHAMNORD!B168</f>
        <v>46185</v>
      </c>
      <c r="C168" s="75" t="str">
        <f>IF(H168=0,"",'[7]2025-2026'!C167)</f>
        <v/>
      </c>
      <c r="D168" s="68" t="str">
        <f>'[7]2025'!C168</f>
        <v/>
      </c>
      <c r="E168" s="68" t="str">
        <f>'[7]2025'!D168</f>
        <v/>
      </c>
      <c r="F168" s="20" t="str">
        <f>'[7]2025'!E168</f>
        <v/>
      </c>
      <c r="G168" s="73" t="str">
        <f>'[7]2025'!F168</f>
        <v/>
      </c>
      <c r="H168" s="42">
        <f>'[7]2025'!G168</f>
        <v>0</v>
      </c>
      <c r="I168" s="13">
        <f>'[7]2025'!H168</f>
        <v>0</v>
      </c>
      <c r="J168" s="14">
        <f>'[7]2025'!I168</f>
        <v>0</v>
      </c>
      <c r="K168" s="15">
        <f>'[7]2025'!J168</f>
        <v>0</v>
      </c>
      <c r="L168" s="15">
        <f>'[7]2025'!K168</f>
        <v>0</v>
      </c>
      <c r="M168" s="15">
        <f>'[7]2025'!L168</f>
        <v>0</v>
      </c>
      <c r="N168" s="16" t="str">
        <f t="shared" si="8"/>
        <v/>
      </c>
      <c r="O168" s="17" t="str">
        <f t="shared" si="9"/>
        <v/>
      </c>
      <c r="P168" s="17" t="str">
        <f t="shared" si="9"/>
        <v/>
      </c>
      <c r="Q168" s="18" t="str">
        <f t="shared" si="10"/>
        <v/>
      </c>
      <c r="R168" s="18" t="e">
        <f t="shared" si="11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19">
        <f>CHAMNORD!B169</f>
        <v>46186</v>
      </c>
      <c r="C169" s="75" t="str">
        <f>IF(H169=0,"",'[7]2025-2026'!C168)</f>
        <v/>
      </c>
      <c r="D169" s="68" t="str">
        <f>'[7]2025'!C169</f>
        <v/>
      </c>
      <c r="E169" s="68" t="str">
        <f>'[7]2025'!D169</f>
        <v/>
      </c>
      <c r="F169" s="20" t="str">
        <f>'[7]2025'!E169</f>
        <v/>
      </c>
      <c r="G169" s="73" t="str">
        <f>'[7]2025'!F169</f>
        <v/>
      </c>
      <c r="H169" s="42">
        <f>'[7]2025'!G169</f>
        <v>0</v>
      </c>
      <c r="I169" s="13">
        <f>'[7]2025'!H169</f>
        <v>0</v>
      </c>
      <c r="J169" s="14">
        <f>'[7]2025'!I169</f>
        <v>0</v>
      </c>
      <c r="K169" s="15">
        <f>'[7]2025'!J169</f>
        <v>0</v>
      </c>
      <c r="L169" s="15">
        <f>'[7]2025'!K169</f>
        <v>0</v>
      </c>
      <c r="M169" s="15">
        <f>'[7]2025'!L169</f>
        <v>0</v>
      </c>
      <c r="N169" s="16" t="str">
        <f t="shared" si="8"/>
        <v/>
      </c>
      <c r="O169" s="17" t="str">
        <f t="shared" si="9"/>
        <v/>
      </c>
      <c r="P169" s="17" t="str">
        <f t="shared" si="9"/>
        <v/>
      </c>
      <c r="Q169" s="18" t="str">
        <f t="shared" si="10"/>
        <v/>
      </c>
      <c r="R169" s="18" t="e">
        <f t="shared" si="11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19">
        <f>CHAMNORD!B170</f>
        <v>46187</v>
      </c>
      <c r="C170" s="75" t="str">
        <f>IF(H170=0,"",'[7]2025-2026'!C169)</f>
        <v/>
      </c>
      <c r="D170" s="68" t="str">
        <f>'[7]2025'!C170</f>
        <v/>
      </c>
      <c r="E170" s="68" t="str">
        <f>'[7]2025'!D170</f>
        <v/>
      </c>
      <c r="F170" s="20" t="str">
        <f>'[7]2025'!E170</f>
        <v/>
      </c>
      <c r="G170" s="73" t="str">
        <f>'[7]2025'!F170</f>
        <v/>
      </c>
      <c r="H170" s="42">
        <f>'[7]2025'!G170</f>
        <v>0</v>
      </c>
      <c r="I170" s="13">
        <f>'[7]2025'!H170</f>
        <v>0</v>
      </c>
      <c r="J170" s="14">
        <f>'[7]2025'!I170</f>
        <v>0</v>
      </c>
      <c r="K170" s="15">
        <f>'[7]2025'!J170</f>
        <v>0</v>
      </c>
      <c r="L170" s="15">
        <f>'[7]2025'!K170</f>
        <v>0</v>
      </c>
      <c r="M170" s="15">
        <f>'[7]2025'!L170</f>
        <v>0</v>
      </c>
      <c r="N170" s="16" t="str">
        <f t="shared" si="8"/>
        <v/>
      </c>
      <c r="O170" s="17" t="str">
        <f t="shared" si="9"/>
        <v/>
      </c>
      <c r="P170" s="17" t="str">
        <f t="shared" si="9"/>
        <v/>
      </c>
      <c r="Q170" s="18" t="str">
        <f t="shared" si="10"/>
        <v/>
      </c>
      <c r="R170" s="18" t="e">
        <f t="shared" si="11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19">
        <f>CHAMNORD!B171</f>
        <v>46188</v>
      </c>
      <c r="C171" s="75" t="str">
        <f>IF(H171=0,"",'[7]2025-2026'!C170)</f>
        <v/>
      </c>
      <c r="D171" s="68" t="str">
        <f>'[7]2025'!C171</f>
        <v/>
      </c>
      <c r="E171" s="68" t="str">
        <f>'[7]2025'!D171</f>
        <v/>
      </c>
      <c r="F171" s="20" t="str">
        <f>'[7]2025'!E171</f>
        <v/>
      </c>
      <c r="G171" s="73" t="str">
        <f>'[7]2025'!F171</f>
        <v/>
      </c>
      <c r="H171" s="42">
        <f>'[7]2025'!G171</f>
        <v>0</v>
      </c>
      <c r="I171" s="13">
        <f>'[7]2025'!H171</f>
        <v>0</v>
      </c>
      <c r="J171" s="14">
        <f>'[7]2025'!I171</f>
        <v>0</v>
      </c>
      <c r="K171" s="15">
        <f>'[7]2025'!J171</f>
        <v>0</v>
      </c>
      <c r="L171" s="15">
        <f>'[7]2025'!K171</f>
        <v>0</v>
      </c>
      <c r="M171" s="15">
        <f>'[7]2025'!L171</f>
        <v>0</v>
      </c>
      <c r="N171" s="16" t="str">
        <f t="shared" si="8"/>
        <v/>
      </c>
      <c r="O171" s="17" t="str">
        <f t="shared" si="9"/>
        <v/>
      </c>
      <c r="P171" s="17" t="str">
        <f t="shared" si="9"/>
        <v/>
      </c>
      <c r="Q171" s="18" t="str">
        <f t="shared" si="10"/>
        <v/>
      </c>
      <c r="R171" s="18" t="e">
        <f t="shared" si="11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19">
        <f>CHAMNORD!B172</f>
        <v>46189</v>
      </c>
      <c r="C172" s="75" t="str">
        <f>IF(H172=0,"",'[7]2025-2026'!C171)</f>
        <v/>
      </c>
      <c r="D172" s="68" t="str">
        <f>'[7]2025'!C172</f>
        <v/>
      </c>
      <c r="E172" s="68" t="str">
        <f>'[7]2025'!D172</f>
        <v/>
      </c>
      <c r="F172" s="20" t="str">
        <f>'[7]2025'!E172</f>
        <v/>
      </c>
      <c r="G172" s="73" t="str">
        <f>'[7]2025'!F172</f>
        <v/>
      </c>
      <c r="H172" s="42">
        <f>'[7]2025'!G172</f>
        <v>0</v>
      </c>
      <c r="I172" s="13">
        <f>'[7]2025'!H172</f>
        <v>0</v>
      </c>
      <c r="J172" s="14">
        <f>'[7]2025'!I172</f>
        <v>0</v>
      </c>
      <c r="K172" s="15">
        <f>'[7]2025'!J172</f>
        <v>0</v>
      </c>
      <c r="L172" s="15">
        <f>'[7]2025'!K172</f>
        <v>0</v>
      </c>
      <c r="M172" s="15">
        <f>'[7]2025'!L172</f>
        <v>0</v>
      </c>
      <c r="N172" s="16" t="str">
        <f t="shared" si="8"/>
        <v/>
      </c>
      <c r="O172" s="17" t="str">
        <f t="shared" si="9"/>
        <v/>
      </c>
      <c r="P172" s="17" t="str">
        <f t="shared" si="9"/>
        <v/>
      </c>
      <c r="Q172" s="18" t="str">
        <f t="shared" si="10"/>
        <v/>
      </c>
      <c r="R172" s="18" t="e">
        <f t="shared" si="11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19">
        <f>CHAMNORD!B173</f>
        <v>46190</v>
      </c>
      <c r="C173" s="75" t="str">
        <f>IF(H173=0,"",'[7]2025-2026'!C172)</f>
        <v/>
      </c>
      <c r="D173" s="68" t="str">
        <f>'[7]2025'!C173</f>
        <v/>
      </c>
      <c r="E173" s="68" t="str">
        <f>'[7]2025'!D173</f>
        <v/>
      </c>
      <c r="F173" s="20" t="str">
        <f>'[7]2025'!E173</f>
        <v/>
      </c>
      <c r="G173" s="73" t="str">
        <f>'[7]2025'!F173</f>
        <v/>
      </c>
      <c r="H173" s="42">
        <f>'[7]2025'!G173</f>
        <v>0</v>
      </c>
      <c r="I173" s="13">
        <f>'[7]2025'!H173</f>
        <v>0</v>
      </c>
      <c r="J173" s="14">
        <f>'[7]2025'!I173</f>
        <v>0</v>
      </c>
      <c r="K173" s="15">
        <f>'[7]2025'!J173</f>
        <v>0</v>
      </c>
      <c r="L173" s="15">
        <f>'[7]2025'!K173</f>
        <v>0</v>
      </c>
      <c r="M173" s="15">
        <f>'[7]2025'!L173</f>
        <v>0</v>
      </c>
      <c r="N173" s="16" t="str">
        <f t="shared" si="8"/>
        <v/>
      </c>
      <c r="O173" s="17" t="str">
        <f t="shared" si="9"/>
        <v/>
      </c>
      <c r="P173" s="17" t="str">
        <f t="shared" si="9"/>
        <v/>
      </c>
      <c r="Q173" s="18" t="str">
        <f t="shared" si="10"/>
        <v/>
      </c>
      <c r="R173" s="18" t="e">
        <f t="shared" si="11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19">
        <f>CHAMNORD!B174</f>
        <v>46191</v>
      </c>
      <c r="C174" s="75" t="str">
        <f>IF(H174=0,"",'[7]2025-2026'!C173)</f>
        <v/>
      </c>
      <c r="D174" s="68" t="str">
        <f>'[7]2025'!C174</f>
        <v/>
      </c>
      <c r="E174" s="68" t="str">
        <f>'[7]2025'!D174</f>
        <v/>
      </c>
      <c r="F174" s="20" t="str">
        <f>'[7]2025'!E174</f>
        <v/>
      </c>
      <c r="G174" s="73" t="str">
        <f>'[7]2025'!F174</f>
        <v/>
      </c>
      <c r="H174" s="42">
        <f>'[7]2025'!G174</f>
        <v>0</v>
      </c>
      <c r="I174" s="13">
        <f>'[7]2025'!H174</f>
        <v>0</v>
      </c>
      <c r="J174" s="14">
        <f>'[7]2025'!I174</f>
        <v>0</v>
      </c>
      <c r="K174" s="15">
        <f>'[7]2025'!J174</f>
        <v>0</v>
      </c>
      <c r="L174" s="15">
        <f>'[7]2025'!K174</f>
        <v>0</v>
      </c>
      <c r="M174" s="15">
        <f>'[7]2025'!L174</f>
        <v>0</v>
      </c>
      <c r="N174" s="16" t="str">
        <f t="shared" si="8"/>
        <v/>
      </c>
      <c r="O174" s="17" t="str">
        <f t="shared" si="9"/>
        <v/>
      </c>
      <c r="P174" s="17" t="str">
        <f t="shared" si="9"/>
        <v/>
      </c>
      <c r="Q174" s="18" t="str">
        <f t="shared" si="10"/>
        <v/>
      </c>
      <c r="R174" s="18" t="e">
        <f t="shared" si="11"/>
        <v>#DIV/0!</v>
      </c>
      <c r="S174" s="34"/>
      <c r="T174" s="29" t="s">
        <v>8</v>
      </c>
      <c r="U174" s="1738"/>
    </row>
    <row r="175" spans="1:21">
      <c r="A175" s="10" t="s">
        <v>14</v>
      </c>
      <c r="B175" s="19">
        <f>CHAMNORD!B175</f>
        <v>46192</v>
      </c>
      <c r="C175" s="75" t="str">
        <f>IF(H175=0,"",'[7]2025-2026'!C174)</f>
        <v/>
      </c>
      <c r="D175" s="68" t="str">
        <f>'[7]2025'!C175</f>
        <v/>
      </c>
      <c r="E175" s="68" t="str">
        <f>'[7]2025'!D175</f>
        <v/>
      </c>
      <c r="F175" s="20" t="str">
        <f>'[7]2025'!E175</f>
        <v/>
      </c>
      <c r="G175" s="73" t="str">
        <f>'[7]2025'!F175</f>
        <v/>
      </c>
      <c r="H175" s="42">
        <f>'[7]2025'!G175</f>
        <v>0</v>
      </c>
      <c r="I175" s="13">
        <f>'[7]2025'!H175</f>
        <v>0</v>
      </c>
      <c r="J175" s="14">
        <f>'[7]2025'!I175</f>
        <v>0</v>
      </c>
      <c r="K175" s="15">
        <f>'[7]2025'!J175</f>
        <v>0</v>
      </c>
      <c r="L175" s="15">
        <f>'[7]2025'!K175</f>
        <v>0</v>
      </c>
      <c r="M175" s="15">
        <f>'[7]2025'!L175</f>
        <v>0</v>
      </c>
      <c r="N175" s="16" t="str">
        <f t="shared" si="8"/>
        <v/>
      </c>
      <c r="O175" s="17" t="str">
        <f t="shared" si="9"/>
        <v/>
      </c>
      <c r="P175" s="17" t="str">
        <f t="shared" si="9"/>
        <v/>
      </c>
      <c r="Q175" s="18" t="str">
        <f t="shared" si="10"/>
        <v/>
      </c>
      <c r="R175" s="18" t="e">
        <f t="shared" si="11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19">
        <f>CHAMNORD!B176</f>
        <v>46193</v>
      </c>
      <c r="C176" s="75" t="str">
        <f>IF(H176=0,"",'[7]2025-2026'!C175)</f>
        <v/>
      </c>
      <c r="D176" s="68" t="str">
        <f>'[7]2025'!C176</f>
        <v/>
      </c>
      <c r="E176" s="68" t="str">
        <f>'[7]2025'!D176</f>
        <v/>
      </c>
      <c r="F176" s="20" t="str">
        <f>'[7]2025'!E176</f>
        <v/>
      </c>
      <c r="G176" s="73" t="str">
        <f>'[7]2025'!F176</f>
        <v/>
      </c>
      <c r="H176" s="42">
        <f>'[7]2025'!G176</f>
        <v>0</v>
      </c>
      <c r="I176" s="13">
        <f>'[7]2025'!H176</f>
        <v>0</v>
      </c>
      <c r="J176" s="14">
        <f>'[7]2025'!I176</f>
        <v>0</v>
      </c>
      <c r="K176" s="15">
        <f>'[7]2025'!J176</f>
        <v>0</v>
      </c>
      <c r="L176" s="15">
        <f>'[7]2025'!K176</f>
        <v>0</v>
      </c>
      <c r="M176" s="15">
        <f>'[7]2025'!L176</f>
        <v>0</v>
      </c>
      <c r="N176" s="16" t="str">
        <f t="shared" si="8"/>
        <v/>
      </c>
      <c r="O176" s="17" t="str">
        <f t="shared" si="9"/>
        <v/>
      </c>
      <c r="P176" s="17" t="str">
        <f t="shared" si="9"/>
        <v/>
      </c>
      <c r="Q176" s="18" t="str">
        <f t="shared" si="10"/>
        <v/>
      </c>
      <c r="R176" s="18" t="e">
        <f t="shared" si="11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19">
        <f>CHAMNORD!B177</f>
        <v>46194</v>
      </c>
      <c r="C177" s="75" t="str">
        <f>IF(H177=0,"",'[7]2025-2026'!C176)</f>
        <v/>
      </c>
      <c r="D177" s="68" t="str">
        <f>'[7]2025'!C177</f>
        <v/>
      </c>
      <c r="E177" s="68" t="str">
        <f>'[7]2025'!D177</f>
        <v/>
      </c>
      <c r="F177" s="20" t="str">
        <f>'[7]2025'!E177</f>
        <v/>
      </c>
      <c r="G177" s="73" t="str">
        <f>'[7]2025'!F177</f>
        <v/>
      </c>
      <c r="H177" s="42">
        <f>'[7]2025'!G177</f>
        <v>0</v>
      </c>
      <c r="I177" s="13">
        <f>'[7]2025'!H177</f>
        <v>0</v>
      </c>
      <c r="J177" s="14">
        <f>'[7]2025'!I177</f>
        <v>0</v>
      </c>
      <c r="K177" s="15">
        <f>'[7]2025'!J177</f>
        <v>0</v>
      </c>
      <c r="L177" s="15">
        <f>'[7]2025'!K177</f>
        <v>0</v>
      </c>
      <c r="M177" s="15">
        <f>'[7]2025'!L177</f>
        <v>0</v>
      </c>
      <c r="N177" s="16" t="str">
        <f t="shared" si="8"/>
        <v/>
      </c>
      <c r="O177" s="17" t="str">
        <f t="shared" si="9"/>
        <v/>
      </c>
      <c r="P177" s="17" t="str">
        <f t="shared" si="9"/>
        <v/>
      </c>
      <c r="Q177" s="18" t="str">
        <f t="shared" si="10"/>
        <v/>
      </c>
      <c r="R177" s="18" t="e">
        <f t="shared" si="11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19">
        <f>CHAMNORD!B178</f>
        <v>46195</v>
      </c>
      <c r="C178" s="75" t="str">
        <f>IF(H178=0,"",'[7]2025-2026'!C177)</f>
        <v/>
      </c>
      <c r="D178" s="68" t="str">
        <f>'[7]2025'!C178</f>
        <v/>
      </c>
      <c r="E178" s="68" t="str">
        <f>'[7]2025'!D178</f>
        <v/>
      </c>
      <c r="F178" s="20" t="str">
        <f>'[7]2025'!E178</f>
        <v/>
      </c>
      <c r="G178" s="73" t="str">
        <f>'[7]2025'!F178</f>
        <v/>
      </c>
      <c r="H178" s="42">
        <f>'[7]2025'!G178</f>
        <v>0</v>
      </c>
      <c r="I178" s="13">
        <f>'[7]2025'!H178</f>
        <v>0</v>
      </c>
      <c r="J178" s="14">
        <f>'[7]2025'!I178</f>
        <v>0</v>
      </c>
      <c r="K178" s="15">
        <f>'[7]2025'!J178</f>
        <v>0</v>
      </c>
      <c r="L178" s="15">
        <f>'[7]2025'!K178</f>
        <v>0</v>
      </c>
      <c r="M178" s="15">
        <f>'[7]2025'!L178</f>
        <v>0</v>
      </c>
      <c r="N178" s="16" t="str">
        <f t="shared" si="8"/>
        <v/>
      </c>
      <c r="O178" s="17" t="str">
        <f t="shared" si="9"/>
        <v/>
      </c>
      <c r="P178" s="17" t="str">
        <f t="shared" si="9"/>
        <v/>
      </c>
      <c r="Q178" s="18" t="str">
        <f t="shared" si="10"/>
        <v/>
      </c>
      <c r="R178" s="18" t="e">
        <f t="shared" si="11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19">
        <f>CHAMNORD!B179</f>
        <v>46196</v>
      </c>
      <c r="C179" s="75" t="str">
        <f>IF(H179=0,"",'[7]2025-2026'!C178)</f>
        <v/>
      </c>
      <c r="D179" s="68" t="str">
        <f>'[7]2025'!C179</f>
        <v/>
      </c>
      <c r="E179" s="68" t="str">
        <f>'[7]2025'!D179</f>
        <v/>
      </c>
      <c r="F179" s="20" t="str">
        <f>'[7]2025'!E179</f>
        <v/>
      </c>
      <c r="G179" s="73" t="str">
        <f>'[7]2025'!F179</f>
        <v/>
      </c>
      <c r="H179" s="42">
        <f>'[7]2025'!G179</f>
        <v>0</v>
      </c>
      <c r="I179" s="13">
        <f>'[7]2025'!H179</f>
        <v>0</v>
      </c>
      <c r="J179" s="14">
        <f>'[7]2025'!I179</f>
        <v>0</v>
      </c>
      <c r="K179" s="15">
        <f>'[7]2025'!J179</f>
        <v>0</v>
      </c>
      <c r="L179" s="15">
        <f>'[7]2025'!K179</f>
        <v>0</v>
      </c>
      <c r="M179" s="15">
        <f>'[7]2025'!L179</f>
        <v>0</v>
      </c>
      <c r="N179" s="16" t="str">
        <f t="shared" si="8"/>
        <v/>
      </c>
      <c r="O179" s="17" t="str">
        <f t="shared" si="9"/>
        <v/>
      </c>
      <c r="P179" s="17" t="str">
        <f t="shared" si="9"/>
        <v/>
      </c>
      <c r="Q179" s="18" t="str">
        <f t="shared" si="10"/>
        <v/>
      </c>
      <c r="R179" s="18" t="e">
        <f t="shared" si="11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19">
        <f>CHAMNORD!B180</f>
        <v>46197</v>
      </c>
      <c r="C180" s="75" t="str">
        <f>IF(H180=0,"",'[7]2025-2026'!C179)</f>
        <v/>
      </c>
      <c r="D180" s="68" t="str">
        <f>'[7]2025'!C180</f>
        <v/>
      </c>
      <c r="E180" s="68" t="str">
        <f>'[7]2025'!D180</f>
        <v/>
      </c>
      <c r="F180" s="20" t="str">
        <f>'[7]2025'!E180</f>
        <v/>
      </c>
      <c r="G180" s="73" t="str">
        <f>'[7]2025'!F180</f>
        <v/>
      </c>
      <c r="H180" s="42">
        <f>'[7]2025'!G180</f>
        <v>0</v>
      </c>
      <c r="I180" s="13">
        <f>'[7]2025'!H180</f>
        <v>0</v>
      </c>
      <c r="J180" s="14">
        <f>'[7]2025'!I180</f>
        <v>0</v>
      </c>
      <c r="K180" s="15">
        <f>'[7]2025'!J180</f>
        <v>0</v>
      </c>
      <c r="L180" s="15">
        <f>'[7]2025'!K180</f>
        <v>0</v>
      </c>
      <c r="M180" s="15">
        <f>'[7]2025'!L180</f>
        <v>0</v>
      </c>
      <c r="N180" s="16" t="str">
        <f t="shared" si="8"/>
        <v/>
      </c>
      <c r="O180" s="17" t="str">
        <f t="shared" si="9"/>
        <v/>
      </c>
      <c r="P180" s="17" t="str">
        <f t="shared" si="9"/>
        <v/>
      </c>
      <c r="Q180" s="18" t="str">
        <f t="shared" si="10"/>
        <v/>
      </c>
      <c r="R180" s="18" t="e">
        <f t="shared" si="11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19">
        <f>CHAMNORD!B181</f>
        <v>46198</v>
      </c>
      <c r="C181" s="75" t="str">
        <f>IF(H181=0,"",'[7]2025-2026'!C180)</f>
        <v/>
      </c>
      <c r="D181" s="68" t="str">
        <f>'[7]2025'!C181</f>
        <v/>
      </c>
      <c r="E181" s="68" t="str">
        <f>'[7]2025'!D181</f>
        <v/>
      </c>
      <c r="F181" s="20" t="str">
        <f>'[7]2025'!E181</f>
        <v/>
      </c>
      <c r="G181" s="73" t="str">
        <f>'[7]2025'!F181</f>
        <v/>
      </c>
      <c r="H181" s="42">
        <f>'[7]2025'!G181</f>
        <v>0</v>
      </c>
      <c r="I181" s="13">
        <f>'[7]2025'!H181</f>
        <v>0</v>
      </c>
      <c r="J181" s="14">
        <f>'[7]2025'!I181</f>
        <v>0</v>
      </c>
      <c r="K181" s="15">
        <f>'[7]2025'!J181</f>
        <v>0</v>
      </c>
      <c r="L181" s="15">
        <f>'[7]2025'!K181</f>
        <v>0</v>
      </c>
      <c r="M181" s="15">
        <f>'[7]2025'!L181</f>
        <v>0</v>
      </c>
      <c r="N181" s="16" t="str">
        <f t="shared" si="8"/>
        <v/>
      </c>
      <c r="O181" s="17" t="str">
        <f t="shared" si="9"/>
        <v/>
      </c>
      <c r="P181" s="17" t="str">
        <f t="shared" si="9"/>
        <v/>
      </c>
      <c r="Q181" s="18" t="str">
        <f t="shared" si="10"/>
        <v/>
      </c>
      <c r="R181" s="18" t="e">
        <f t="shared" si="11"/>
        <v>#DIV/0!</v>
      </c>
      <c r="S181" s="34"/>
      <c r="T181" s="29" t="s">
        <v>8</v>
      </c>
      <c r="U181" s="1738"/>
    </row>
    <row r="182" spans="1:21">
      <c r="A182" s="10" t="s">
        <v>14</v>
      </c>
      <c r="B182" s="19">
        <f>CHAMNORD!B182</f>
        <v>46199</v>
      </c>
      <c r="C182" s="75" t="str">
        <f>IF(H182=0,"",'[7]2025-2026'!C181)</f>
        <v/>
      </c>
      <c r="D182" s="68" t="str">
        <f>'[7]2025'!C182</f>
        <v/>
      </c>
      <c r="E182" s="68" t="str">
        <f>'[7]2025'!D182</f>
        <v/>
      </c>
      <c r="F182" s="20" t="str">
        <f>'[7]2025'!E182</f>
        <v/>
      </c>
      <c r="G182" s="73" t="str">
        <f>'[7]2025'!F182</f>
        <v/>
      </c>
      <c r="H182" s="42">
        <f>'[7]2025'!G182</f>
        <v>0</v>
      </c>
      <c r="I182" s="13">
        <f>'[7]2025'!H182</f>
        <v>0</v>
      </c>
      <c r="J182" s="14">
        <f>'[7]2025'!I182</f>
        <v>0</v>
      </c>
      <c r="K182" s="15">
        <f>'[7]2025'!J182</f>
        <v>0</v>
      </c>
      <c r="L182" s="15">
        <f>'[7]2025'!K182</f>
        <v>0</v>
      </c>
      <c r="M182" s="15">
        <f>'[7]2025'!L182</f>
        <v>0</v>
      </c>
      <c r="N182" s="16" t="str">
        <f t="shared" si="8"/>
        <v/>
      </c>
      <c r="O182" s="17" t="str">
        <f t="shared" si="9"/>
        <v/>
      </c>
      <c r="P182" s="17" t="str">
        <f t="shared" si="9"/>
        <v/>
      </c>
      <c r="Q182" s="18" t="str">
        <f t="shared" si="10"/>
        <v/>
      </c>
      <c r="R182" s="18" t="e">
        <f t="shared" si="11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19">
        <f>CHAMNORD!B183</f>
        <v>46200</v>
      </c>
      <c r="C183" s="75" t="str">
        <f>IF(H183=0,"",'[7]2025-2026'!C182)</f>
        <v/>
      </c>
      <c r="D183" s="68" t="str">
        <f>'[7]2025'!C183</f>
        <v/>
      </c>
      <c r="E183" s="68" t="str">
        <f>'[7]2025'!D183</f>
        <v/>
      </c>
      <c r="F183" s="20" t="str">
        <f>'[7]2025'!E183</f>
        <v/>
      </c>
      <c r="G183" s="73" t="str">
        <f>'[7]2025'!F183</f>
        <v/>
      </c>
      <c r="H183" s="42">
        <f>'[7]2025'!G183</f>
        <v>0</v>
      </c>
      <c r="I183" s="13">
        <f>'[7]2025'!H183</f>
        <v>0</v>
      </c>
      <c r="J183" s="14">
        <f>'[7]2025'!I183</f>
        <v>0</v>
      </c>
      <c r="K183" s="15">
        <f>'[7]2025'!J183</f>
        <v>0</v>
      </c>
      <c r="L183" s="15">
        <f>'[7]2025'!K183</f>
        <v>0</v>
      </c>
      <c r="M183" s="15">
        <f>'[7]2025'!L183</f>
        <v>0</v>
      </c>
      <c r="N183" s="16" t="str">
        <f t="shared" si="8"/>
        <v/>
      </c>
      <c r="O183" s="17" t="str">
        <f t="shared" si="9"/>
        <v/>
      </c>
      <c r="P183" s="17" t="str">
        <f t="shared" si="9"/>
        <v/>
      </c>
      <c r="Q183" s="18" t="str">
        <f t="shared" si="10"/>
        <v/>
      </c>
      <c r="R183" s="18" t="e">
        <f t="shared" si="11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19">
        <f>CHAMNORD!B184</f>
        <v>46201</v>
      </c>
      <c r="C184" s="75" t="str">
        <f>IF(H184=0,"",'[7]2025-2026'!C183)</f>
        <v/>
      </c>
      <c r="D184" s="68" t="str">
        <f>'[7]2025'!C184</f>
        <v/>
      </c>
      <c r="E184" s="68" t="str">
        <f>'[7]2025'!D184</f>
        <v/>
      </c>
      <c r="F184" s="20" t="str">
        <f>'[7]2025'!E184</f>
        <v/>
      </c>
      <c r="G184" s="73" t="str">
        <f>'[7]2025'!F184</f>
        <v/>
      </c>
      <c r="H184" s="42">
        <f>'[7]2025'!G184</f>
        <v>0</v>
      </c>
      <c r="I184" s="13">
        <f>'[7]2025'!H184</f>
        <v>0</v>
      </c>
      <c r="J184" s="14">
        <f>'[7]2025'!I184</f>
        <v>0</v>
      </c>
      <c r="K184" s="15">
        <f>'[7]2025'!J184</f>
        <v>0</v>
      </c>
      <c r="L184" s="15">
        <f>'[7]2025'!K184</f>
        <v>0</v>
      </c>
      <c r="M184" s="15">
        <f>'[7]2025'!L184</f>
        <v>0</v>
      </c>
      <c r="N184" s="16" t="str">
        <f t="shared" si="8"/>
        <v/>
      </c>
      <c r="O184" s="17" t="str">
        <f t="shared" si="9"/>
        <v/>
      </c>
      <c r="P184" s="17" t="str">
        <f t="shared" si="9"/>
        <v/>
      </c>
      <c r="Q184" s="18" t="str">
        <f t="shared" si="10"/>
        <v/>
      </c>
      <c r="R184" s="18" t="e">
        <f t="shared" si="11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19">
        <f>CHAMNORD!B185</f>
        <v>46202</v>
      </c>
      <c r="C185" s="75" t="str">
        <f>IF(H185=0,"",'[7]2025-2026'!C184)</f>
        <v/>
      </c>
      <c r="D185" s="68" t="str">
        <f>'[7]2025'!C185</f>
        <v/>
      </c>
      <c r="E185" s="68" t="str">
        <f>'[7]2025'!D185</f>
        <v/>
      </c>
      <c r="F185" s="20" t="str">
        <f>'[7]2025'!E185</f>
        <v/>
      </c>
      <c r="G185" s="73" t="str">
        <f>'[7]2025'!F185</f>
        <v/>
      </c>
      <c r="H185" s="42">
        <f>'[7]2025'!G185</f>
        <v>0</v>
      </c>
      <c r="I185" s="13">
        <f>'[7]2025'!H185</f>
        <v>0</v>
      </c>
      <c r="J185" s="14">
        <f>'[7]2025'!I185</f>
        <v>0</v>
      </c>
      <c r="K185" s="15">
        <f>'[7]2025'!J185</f>
        <v>0</v>
      </c>
      <c r="L185" s="15">
        <f>'[7]2025'!K185</f>
        <v>0</v>
      </c>
      <c r="M185" s="15">
        <f>'[7]2025'!L185</f>
        <v>0</v>
      </c>
      <c r="N185" s="16" t="str">
        <f t="shared" si="8"/>
        <v/>
      </c>
      <c r="O185" s="17" t="str">
        <f t="shared" si="9"/>
        <v/>
      </c>
      <c r="P185" s="17" t="str">
        <f t="shared" si="9"/>
        <v/>
      </c>
      <c r="Q185" s="18" t="str">
        <f t="shared" si="10"/>
        <v/>
      </c>
      <c r="R185" s="18" t="e">
        <f t="shared" si="11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19">
        <f>CHAMNORD!B186</f>
        <v>46203</v>
      </c>
      <c r="C186" s="75" t="str">
        <f>IF(H186=0,"",'[7]2025-2026'!C185)</f>
        <v/>
      </c>
      <c r="D186" s="68" t="str">
        <f>'[7]2025'!C186</f>
        <v/>
      </c>
      <c r="E186" s="68" t="str">
        <f>'[7]2025'!D186</f>
        <v/>
      </c>
      <c r="F186" s="20" t="str">
        <f>'[7]2025'!E186</f>
        <v/>
      </c>
      <c r="G186" s="73" t="str">
        <f>'[7]2025'!F186</f>
        <v/>
      </c>
      <c r="H186" s="42">
        <f>'[7]2025'!G186</f>
        <v>0</v>
      </c>
      <c r="I186" s="13">
        <f>'[7]2025'!H186</f>
        <v>0</v>
      </c>
      <c r="J186" s="14">
        <f>'[7]2025'!I186</f>
        <v>0</v>
      </c>
      <c r="K186" s="15">
        <f>'[7]2025'!J186</f>
        <v>0</v>
      </c>
      <c r="L186" s="15">
        <f>'[7]2025'!K186</f>
        <v>0</v>
      </c>
      <c r="M186" s="15">
        <f>'[7]2025'!L186</f>
        <v>0</v>
      </c>
      <c r="N186" s="16" t="str">
        <f t="shared" si="8"/>
        <v/>
      </c>
      <c r="O186" s="17" t="str">
        <f t="shared" si="9"/>
        <v/>
      </c>
      <c r="P186" s="17" t="str">
        <f t="shared" si="9"/>
        <v/>
      </c>
      <c r="Q186" s="18" t="str">
        <f t="shared" si="10"/>
        <v/>
      </c>
      <c r="R186" s="18" t="e">
        <f t="shared" si="11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19">
        <f>CHAMNORD!B187</f>
        <v>46204</v>
      </c>
      <c r="C187" s="75" t="str">
        <f>IF(H187=0,"",'[7]2025-2026'!C186)</f>
        <v/>
      </c>
      <c r="D187" s="68" t="str">
        <f>'[7]2025'!C187</f>
        <v/>
      </c>
      <c r="E187" s="68" t="str">
        <f>'[7]2025'!D187</f>
        <v/>
      </c>
      <c r="F187" s="20" t="str">
        <f>'[7]2025'!E187</f>
        <v/>
      </c>
      <c r="G187" s="73" t="str">
        <f>'[7]2025'!F187</f>
        <v/>
      </c>
      <c r="H187" s="42">
        <f>'[7]2025'!G187</f>
        <v>0</v>
      </c>
      <c r="I187" s="13">
        <f>'[7]2025'!H187</f>
        <v>0</v>
      </c>
      <c r="J187" s="14">
        <f>'[7]2025'!I187</f>
        <v>0</v>
      </c>
      <c r="K187" s="15">
        <f>'[7]2025'!J187</f>
        <v>0</v>
      </c>
      <c r="L187" s="15">
        <f>'[7]2025'!K187</f>
        <v>0</v>
      </c>
      <c r="M187" s="15">
        <f>'[7]2025'!L187</f>
        <v>0</v>
      </c>
      <c r="N187" s="16" t="str">
        <f t="shared" si="8"/>
        <v/>
      </c>
      <c r="O187" s="17" t="str">
        <f t="shared" si="9"/>
        <v/>
      </c>
      <c r="P187" s="17" t="str">
        <f t="shared" si="9"/>
        <v/>
      </c>
      <c r="Q187" s="18" t="str">
        <f t="shared" si="10"/>
        <v/>
      </c>
      <c r="R187" s="18" t="e">
        <f t="shared" si="11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19">
        <f>CHAMNORD!B188</f>
        <v>46205</v>
      </c>
      <c r="C188" s="75" t="str">
        <f>IF(H188=0,"",'[7]2025-2026'!C187)</f>
        <v/>
      </c>
      <c r="D188" s="68" t="str">
        <f>'[7]2025'!C188</f>
        <v/>
      </c>
      <c r="E188" s="68" t="str">
        <f>'[7]2025'!D188</f>
        <v/>
      </c>
      <c r="F188" s="20" t="str">
        <f>'[7]2025'!E188</f>
        <v/>
      </c>
      <c r="G188" s="73" t="str">
        <f>'[7]2025'!F188</f>
        <v/>
      </c>
      <c r="H188" s="42">
        <f>'[7]2025'!G188</f>
        <v>0</v>
      </c>
      <c r="I188" s="13">
        <f>'[7]2025'!H188</f>
        <v>0</v>
      </c>
      <c r="J188" s="14">
        <f>'[7]2025'!I188</f>
        <v>0</v>
      </c>
      <c r="K188" s="15">
        <f>'[7]2025'!J188</f>
        <v>0</v>
      </c>
      <c r="L188" s="15">
        <f>'[7]2025'!K188</f>
        <v>0</v>
      </c>
      <c r="M188" s="15">
        <f>'[7]2025'!L188</f>
        <v>0</v>
      </c>
      <c r="N188" s="16" t="str">
        <f t="shared" si="8"/>
        <v/>
      </c>
      <c r="O188" s="17" t="str">
        <f t="shared" si="9"/>
        <v/>
      </c>
      <c r="P188" s="17" t="str">
        <f t="shared" si="9"/>
        <v/>
      </c>
      <c r="Q188" s="18" t="str">
        <f t="shared" si="10"/>
        <v/>
      </c>
      <c r="R188" s="18" t="e">
        <f t="shared" si="11"/>
        <v>#DIV/0!</v>
      </c>
      <c r="S188" s="34"/>
      <c r="T188" s="29" t="s">
        <v>8</v>
      </c>
      <c r="U188" s="1738"/>
    </row>
    <row r="189" spans="1:21">
      <c r="A189" s="10" t="s">
        <v>14</v>
      </c>
      <c r="B189" s="19">
        <f>CHAMNORD!B189</f>
        <v>46206</v>
      </c>
      <c r="C189" s="75" t="str">
        <f>IF(H189=0,"",'[7]2025-2026'!C188)</f>
        <v/>
      </c>
      <c r="D189" s="68" t="str">
        <f>'[7]2025'!C189</f>
        <v/>
      </c>
      <c r="E189" s="68" t="str">
        <f>'[7]2025'!D189</f>
        <v/>
      </c>
      <c r="F189" s="20" t="str">
        <f>'[7]2025'!E189</f>
        <v/>
      </c>
      <c r="G189" s="73" t="str">
        <f>'[7]2025'!F189</f>
        <v/>
      </c>
      <c r="H189" s="42">
        <f>'[7]2025'!G189</f>
        <v>0</v>
      </c>
      <c r="I189" s="13">
        <f>'[7]2025'!H189</f>
        <v>0</v>
      </c>
      <c r="J189" s="14">
        <f>'[7]2025'!I189</f>
        <v>0</v>
      </c>
      <c r="K189" s="15">
        <f>'[7]2025'!J189</f>
        <v>0</v>
      </c>
      <c r="L189" s="15">
        <f>'[7]2025'!K189</f>
        <v>0</v>
      </c>
      <c r="M189" s="15">
        <f>'[7]2025'!L189</f>
        <v>0</v>
      </c>
      <c r="N189" s="16" t="str">
        <f t="shared" si="8"/>
        <v/>
      </c>
      <c r="O189" s="17" t="str">
        <f t="shared" si="9"/>
        <v/>
      </c>
      <c r="P189" s="17" t="str">
        <f t="shared" si="9"/>
        <v/>
      </c>
      <c r="Q189" s="18" t="str">
        <f t="shared" si="10"/>
        <v/>
      </c>
      <c r="R189" s="18" t="e">
        <f t="shared" si="11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19">
        <f>CHAMNORD!B190</f>
        <v>46207</v>
      </c>
      <c r="C190" s="75" t="str">
        <f>IF(H190=0,"",'[7]2025-2026'!C189)</f>
        <v/>
      </c>
      <c r="D190" s="68" t="str">
        <f>'[7]2025'!C190</f>
        <v/>
      </c>
      <c r="E190" s="68" t="str">
        <f>'[7]2025'!D190</f>
        <v/>
      </c>
      <c r="F190" s="20" t="str">
        <f>'[7]2025'!E190</f>
        <v/>
      </c>
      <c r="G190" s="73" t="str">
        <f>'[7]2025'!F190</f>
        <v/>
      </c>
      <c r="H190" s="42">
        <f>'[7]2025'!G190</f>
        <v>0</v>
      </c>
      <c r="I190" s="13">
        <f>'[7]2025'!H190</f>
        <v>0</v>
      </c>
      <c r="J190" s="14">
        <f>'[7]2025'!I190</f>
        <v>0</v>
      </c>
      <c r="K190" s="15">
        <f>'[7]2025'!J190</f>
        <v>0</v>
      </c>
      <c r="L190" s="15">
        <f>'[7]2025'!K190</f>
        <v>0</v>
      </c>
      <c r="M190" s="15">
        <f>'[7]2025'!L190</f>
        <v>0</v>
      </c>
      <c r="N190" s="16" t="str">
        <f t="shared" si="8"/>
        <v/>
      </c>
      <c r="O190" s="17" t="str">
        <f t="shared" si="9"/>
        <v/>
      </c>
      <c r="P190" s="17" t="str">
        <f t="shared" si="9"/>
        <v/>
      </c>
      <c r="Q190" s="18" t="str">
        <f t="shared" si="10"/>
        <v/>
      </c>
      <c r="R190" s="18" t="e">
        <f t="shared" si="11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19">
        <f>CHAMNORD!B191</f>
        <v>46208</v>
      </c>
      <c r="C191" s="75" t="str">
        <f>IF(H191=0,"",'[7]2025-2026'!C190)</f>
        <v/>
      </c>
      <c r="D191" s="68" t="str">
        <f>'[7]2025'!C191</f>
        <v/>
      </c>
      <c r="E191" s="68" t="str">
        <f>'[7]2025'!D191</f>
        <v/>
      </c>
      <c r="F191" s="20" t="str">
        <f>'[7]2025'!E191</f>
        <v/>
      </c>
      <c r="G191" s="73" t="str">
        <f>'[7]2025'!F191</f>
        <v/>
      </c>
      <c r="H191" s="42">
        <f>'[7]2025'!G191</f>
        <v>0</v>
      </c>
      <c r="I191" s="13">
        <f>'[7]2025'!H191</f>
        <v>0</v>
      </c>
      <c r="J191" s="14">
        <f>'[7]2025'!I191</f>
        <v>0</v>
      </c>
      <c r="K191" s="15">
        <f>'[7]2025'!J191</f>
        <v>0</v>
      </c>
      <c r="L191" s="15">
        <f>'[7]2025'!K191</f>
        <v>0</v>
      </c>
      <c r="M191" s="15">
        <f>'[7]2025'!L191</f>
        <v>0</v>
      </c>
      <c r="N191" s="16" t="str">
        <f t="shared" si="8"/>
        <v/>
      </c>
      <c r="O191" s="17" t="str">
        <f t="shared" si="9"/>
        <v/>
      </c>
      <c r="P191" s="17" t="str">
        <f t="shared" si="9"/>
        <v/>
      </c>
      <c r="Q191" s="18" t="str">
        <f t="shared" si="10"/>
        <v/>
      </c>
      <c r="R191" s="18" t="e">
        <f t="shared" si="11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19">
        <f>CHAMNORD!B192</f>
        <v>46209</v>
      </c>
      <c r="C192" s="75" t="str">
        <f>IF(H192=0,"",'[7]2025-2026'!C191)</f>
        <v/>
      </c>
      <c r="D192" s="68" t="str">
        <f>'[7]2025'!C192</f>
        <v/>
      </c>
      <c r="E192" s="68" t="str">
        <f>'[7]2025'!D192</f>
        <v/>
      </c>
      <c r="F192" s="20" t="str">
        <f>'[7]2025'!E192</f>
        <v/>
      </c>
      <c r="G192" s="73" t="str">
        <f>'[7]2025'!F192</f>
        <v/>
      </c>
      <c r="H192" s="42">
        <f>'[7]2025'!G192</f>
        <v>0</v>
      </c>
      <c r="I192" s="13">
        <f>'[7]2025'!H192</f>
        <v>0</v>
      </c>
      <c r="J192" s="14">
        <f>'[7]2025'!I192</f>
        <v>0</v>
      </c>
      <c r="K192" s="15">
        <f>'[7]2025'!J192</f>
        <v>0</v>
      </c>
      <c r="L192" s="15">
        <f>'[7]2025'!K192</f>
        <v>0</v>
      </c>
      <c r="M192" s="15">
        <f>'[7]2025'!L192</f>
        <v>0</v>
      </c>
      <c r="N192" s="16" t="str">
        <f t="shared" si="8"/>
        <v/>
      </c>
      <c r="O192" s="17" t="str">
        <f t="shared" si="9"/>
        <v/>
      </c>
      <c r="P192" s="17" t="str">
        <f t="shared" si="9"/>
        <v/>
      </c>
      <c r="Q192" s="18" t="str">
        <f t="shared" si="10"/>
        <v/>
      </c>
      <c r="R192" s="18" t="e">
        <f t="shared" si="11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19">
        <f>CHAMNORD!B193</f>
        <v>46210</v>
      </c>
      <c r="C193" s="75" t="str">
        <f>IF(H193=0,"",'[7]2025-2026'!C192)</f>
        <v/>
      </c>
      <c r="D193" s="68" t="str">
        <f>'[7]2025'!C193</f>
        <v/>
      </c>
      <c r="E193" s="68" t="str">
        <f>'[7]2025'!D193</f>
        <v/>
      </c>
      <c r="F193" s="20" t="str">
        <f>'[7]2025'!E193</f>
        <v/>
      </c>
      <c r="G193" s="73" t="str">
        <f>'[7]2025'!F193</f>
        <v/>
      </c>
      <c r="H193" s="42">
        <f>'[7]2025'!G193</f>
        <v>0</v>
      </c>
      <c r="I193" s="13">
        <f>'[7]2025'!H193</f>
        <v>0</v>
      </c>
      <c r="J193" s="14">
        <f>'[7]2025'!I193</f>
        <v>0</v>
      </c>
      <c r="K193" s="15">
        <f>'[7]2025'!J193</f>
        <v>0</v>
      </c>
      <c r="L193" s="15">
        <f>'[7]2025'!K193</f>
        <v>0</v>
      </c>
      <c r="M193" s="15">
        <f>'[7]2025'!L193</f>
        <v>0</v>
      </c>
      <c r="N193" s="16" t="str">
        <f t="shared" si="8"/>
        <v/>
      </c>
      <c r="O193" s="17" t="str">
        <f t="shared" si="9"/>
        <v/>
      </c>
      <c r="P193" s="17" t="str">
        <f t="shared" si="9"/>
        <v/>
      </c>
      <c r="Q193" s="18" t="str">
        <f t="shared" si="10"/>
        <v/>
      </c>
      <c r="R193" s="18" t="e">
        <f t="shared" si="11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19">
        <f>CHAMNORD!B194</f>
        <v>46211</v>
      </c>
      <c r="C194" s="75" t="str">
        <f>IF(H194=0,"",'[7]2025-2026'!C193)</f>
        <v/>
      </c>
      <c r="D194" s="68" t="str">
        <f>'[7]2025'!C194</f>
        <v/>
      </c>
      <c r="E194" s="68" t="str">
        <f>'[7]2025'!D194</f>
        <v/>
      </c>
      <c r="F194" s="20" t="str">
        <f>'[7]2025'!E194</f>
        <v/>
      </c>
      <c r="G194" s="73" t="str">
        <f>'[7]2025'!F194</f>
        <v/>
      </c>
      <c r="H194" s="42">
        <f>'[7]2025'!G194</f>
        <v>0</v>
      </c>
      <c r="I194" s="13">
        <f>'[7]2025'!H194</f>
        <v>0</v>
      </c>
      <c r="J194" s="14">
        <f>'[7]2025'!I194</f>
        <v>0</v>
      </c>
      <c r="K194" s="15">
        <f>'[7]2025'!J194</f>
        <v>0</v>
      </c>
      <c r="L194" s="15">
        <f>'[7]2025'!K194</f>
        <v>0</v>
      </c>
      <c r="M194" s="15">
        <f>'[7]2025'!L194</f>
        <v>0</v>
      </c>
      <c r="N194" s="16" t="str">
        <f t="shared" si="8"/>
        <v/>
      </c>
      <c r="O194" s="17" t="str">
        <f t="shared" si="9"/>
        <v/>
      </c>
      <c r="P194" s="17" t="str">
        <f t="shared" si="9"/>
        <v/>
      </c>
      <c r="Q194" s="18" t="str">
        <f t="shared" si="10"/>
        <v/>
      </c>
      <c r="R194" s="18" t="e">
        <f t="shared" si="11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19">
        <f>CHAMNORD!B195</f>
        <v>46212</v>
      </c>
      <c r="C195" s="75" t="str">
        <f>IF(H195=0,"",'[7]2025-2026'!C194)</f>
        <v/>
      </c>
      <c r="D195" s="68" t="str">
        <f>'[7]2025'!C195</f>
        <v/>
      </c>
      <c r="E195" s="68" t="str">
        <f>'[7]2025'!D195</f>
        <v/>
      </c>
      <c r="F195" s="20" t="str">
        <f>'[7]2025'!E195</f>
        <v/>
      </c>
      <c r="G195" s="73" t="str">
        <f>'[7]2025'!F195</f>
        <v/>
      </c>
      <c r="H195" s="42">
        <f>'[7]2025'!G195</f>
        <v>0</v>
      </c>
      <c r="I195" s="13">
        <f>'[7]2025'!H195</f>
        <v>0</v>
      </c>
      <c r="J195" s="14">
        <f>'[7]2025'!I195</f>
        <v>0</v>
      </c>
      <c r="K195" s="15">
        <f>'[7]2025'!J195</f>
        <v>0</v>
      </c>
      <c r="L195" s="15">
        <f>'[7]2025'!K195</f>
        <v>0</v>
      </c>
      <c r="M195" s="15">
        <f>'[7]2025'!L195</f>
        <v>0</v>
      </c>
      <c r="N195" s="16" t="str">
        <f t="shared" si="8"/>
        <v/>
      </c>
      <c r="O195" s="17" t="str">
        <f t="shared" si="9"/>
        <v/>
      </c>
      <c r="P195" s="17" t="str">
        <f t="shared" si="9"/>
        <v/>
      </c>
      <c r="Q195" s="18" t="str">
        <f t="shared" si="10"/>
        <v/>
      </c>
      <c r="R195" s="18" t="e">
        <f t="shared" si="11"/>
        <v>#DIV/0!</v>
      </c>
      <c r="S195" s="34"/>
      <c r="T195" s="29" t="s">
        <v>8</v>
      </c>
      <c r="U195" s="1738"/>
    </row>
    <row r="196" spans="1:21">
      <c r="A196" s="10" t="s">
        <v>14</v>
      </c>
      <c r="B196" s="19">
        <f>CHAMNORD!B196</f>
        <v>46213</v>
      </c>
      <c r="C196" s="75" t="str">
        <f>IF(H196=0,"",'[7]2025-2026'!C195)</f>
        <v/>
      </c>
      <c r="D196" s="68" t="str">
        <f>'[7]2025'!C196</f>
        <v/>
      </c>
      <c r="E196" s="68" t="str">
        <f>'[7]2025'!D196</f>
        <v/>
      </c>
      <c r="F196" s="20" t="str">
        <f>'[7]2025'!E196</f>
        <v/>
      </c>
      <c r="G196" s="73" t="str">
        <f>'[7]2025'!F196</f>
        <v/>
      </c>
      <c r="H196" s="42">
        <f>'[7]2025'!G196</f>
        <v>0</v>
      </c>
      <c r="I196" s="13">
        <f>'[7]2025'!H196</f>
        <v>0</v>
      </c>
      <c r="J196" s="14">
        <f>'[7]2025'!I196</f>
        <v>0</v>
      </c>
      <c r="K196" s="15">
        <f>'[7]2025'!J196</f>
        <v>0</v>
      </c>
      <c r="L196" s="15">
        <f>'[7]2025'!K196</f>
        <v>0</v>
      </c>
      <c r="M196" s="15">
        <f>'[7]2025'!L196</f>
        <v>0</v>
      </c>
      <c r="N196" s="16" t="str">
        <f t="shared" ref="N196:N259" si="12">IF(M196=0,"",M196/I196)</f>
        <v/>
      </c>
      <c r="O196" s="17" t="str">
        <f t="shared" ref="O196:P259" si="13">IF(I196=0,"",(I196-E196)/E196)</f>
        <v/>
      </c>
      <c r="P196" s="17" t="str">
        <f t="shared" si="13"/>
        <v/>
      </c>
      <c r="Q196" s="18" t="str">
        <f t="shared" ref="Q196:Q259" si="14">IF(I196=0,"",I196/K196)</f>
        <v/>
      </c>
      <c r="R196" s="18" t="e">
        <f t="shared" ref="R196:R259" si="15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19">
        <f>CHAMNORD!B197</f>
        <v>46214</v>
      </c>
      <c r="C197" s="75" t="str">
        <f>IF(H197=0,"",'[7]2025-2026'!C196)</f>
        <v/>
      </c>
      <c r="D197" s="68" t="str">
        <f>'[7]2025'!C197</f>
        <v/>
      </c>
      <c r="E197" s="68" t="str">
        <f>'[7]2025'!D197</f>
        <v/>
      </c>
      <c r="F197" s="20" t="str">
        <f>'[7]2025'!E197</f>
        <v/>
      </c>
      <c r="G197" s="73" t="str">
        <f>'[7]2025'!F197</f>
        <v/>
      </c>
      <c r="H197" s="42">
        <f>'[7]2025'!G197</f>
        <v>0</v>
      </c>
      <c r="I197" s="13">
        <f>'[7]2025'!H197</f>
        <v>0</v>
      </c>
      <c r="J197" s="14">
        <f>'[7]2025'!I197</f>
        <v>0</v>
      </c>
      <c r="K197" s="15">
        <f>'[7]2025'!J197</f>
        <v>0</v>
      </c>
      <c r="L197" s="15">
        <f>'[7]2025'!K197</f>
        <v>0</v>
      </c>
      <c r="M197" s="15">
        <f>'[7]2025'!L197</f>
        <v>0</v>
      </c>
      <c r="N197" s="16" t="str">
        <f t="shared" si="12"/>
        <v/>
      </c>
      <c r="O197" s="17" t="str">
        <f t="shared" si="13"/>
        <v/>
      </c>
      <c r="P197" s="17" t="str">
        <f t="shared" si="13"/>
        <v/>
      </c>
      <c r="Q197" s="18" t="str">
        <f t="shared" si="14"/>
        <v/>
      </c>
      <c r="R197" s="18" t="e">
        <f t="shared" si="15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19">
        <f>CHAMNORD!B198</f>
        <v>46215</v>
      </c>
      <c r="C198" s="75" t="str">
        <f>IF(H198=0,"",'[7]2025-2026'!C197)</f>
        <v/>
      </c>
      <c r="D198" s="68" t="str">
        <f>'[7]2025'!C198</f>
        <v/>
      </c>
      <c r="E198" s="68" t="str">
        <f>'[7]2025'!D198</f>
        <v/>
      </c>
      <c r="F198" s="20" t="str">
        <f>'[7]2025'!E198</f>
        <v/>
      </c>
      <c r="G198" s="73" t="str">
        <f>'[7]2025'!F198</f>
        <v/>
      </c>
      <c r="H198" s="42">
        <f>'[7]2025'!G198</f>
        <v>0</v>
      </c>
      <c r="I198" s="13">
        <f>'[7]2025'!H198</f>
        <v>0</v>
      </c>
      <c r="J198" s="14">
        <f>'[7]2025'!I198</f>
        <v>0</v>
      </c>
      <c r="K198" s="15">
        <f>'[7]2025'!J198</f>
        <v>0</v>
      </c>
      <c r="L198" s="15">
        <f>'[7]2025'!K198</f>
        <v>0</v>
      </c>
      <c r="M198" s="15">
        <f>'[7]2025'!L198</f>
        <v>0</v>
      </c>
      <c r="N198" s="16" t="str">
        <f t="shared" si="12"/>
        <v/>
      </c>
      <c r="O198" s="17" t="str">
        <f t="shared" si="13"/>
        <v/>
      </c>
      <c r="P198" s="17" t="str">
        <f t="shared" si="13"/>
        <v/>
      </c>
      <c r="Q198" s="18" t="str">
        <f t="shared" si="14"/>
        <v/>
      </c>
      <c r="R198" s="18" t="e">
        <f t="shared" si="15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19">
        <f>CHAMNORD!B199</f>
        <v>46216</v>
      </c>
      <c r="C199" s="75" t="str">
        <f>IF(H199=0,"",'[7]2025-2026'!C198)</f>
        <v/>
      </c>
      <c r="D199" s="68" t="str">
        <f>'[7]2025'!C199</f>
        <v/>
      </c>
      <c r="E199" s="68" t="str">
        <f>'[7]2025'!D199</f>
        <v/>
      </c>
      <c r="F199" s="20" t="str">
        <f>'[7]2025'!E199</f>
        <v/>
      </c>
      <c r="G199" s="73" t="str">
        <f>'[7]2025'!F199</f>
        <v/>
      </c>
      <c r="H199" s="42">
        <f>'[7]2025'!G199</f>
        <v>0</v>
      </c>
      <c r="I199" s="13">
        <f>'[7]2025'!H199</f>
        <v>0</v>
      </c>
      <c r="J199" s="14">
        <f>'[7]2025'!I199</f>
        <v>0</v>
      </c>
      <c r="K199" s="15">
        <f>'[7]2025'!J199</f>
        <v>0</v>
      </c>
      <c r="L199" s="15">
        <f>'[7]2025'!K199</f>
        <v>0</v>
      </c>
      <c r="M199" s="15">
        <f>'[7]2025'!L199</f>
        <v>0</v>
      </c>
      <c r="N199" s="16" t="str">
        <f t="shared" si="12"/>
        <v/>
      </c>
      <c r="O199" s="17" t="str">
        <f t="shared" si="13"/>
        <v/>
      </c>
      <c r="P199" s="17" t="str">
        <f t="shared" si="13"/>
        <v/>
      </c>
      <c r="Q199" s="18" t="str">
        <f t="shared" si="14"/>
        <v/>
      </c>
      <c r="R199" s="18" t="e">
        <f t="shared" si="15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19">
        <f>CHAMNORD!B200</f>
        <v>46217</v>
      </c>
      <c r="C200" s="75" t="str">
        <f>IF(H200=0,"",'[7]2025-2026'!C199)</f>
        <v/>
      </c>
      <c r="D200" s="68" t="str">
        <f>'[7]2025'!C200</f>
        <v/>
      </c>
      <c r="E200" s="68" t="str">
        <f>'[7]2025'!D200</f>
        <v/>
      </c>
      <c r="F200" s="20" t="str">
        <f>'[7]2025'!E200</f>
        <v/>
      </c>
      <c r="G200" s="73" t="str">
        <f>'[7]2025'!F200</f>
        <v/>
      </c>
      <c r="H200" s="42">
        <f>'[7]2025'!G200</f>
        <v>0</v>
      </c>
      <c r="I200" s="13">
        <f>'[7]2025'!H200</f>
        <v>0</v>
      </c>
      <c r="J200" s="14">
        <f>'[7]2025'!I200</f>
        <v>0</v>
      </c>
      <c r="K200" s="15">
        <f>'[7]2025'!J200</f>
        <v>0</v>
      </c>
      <c r="L200" s="15">
        <f>'[7]2025'!K200</f>
        <v>0</v>
      </c>
      <c r="M200" s="15">
        <f>'[7]2025'!L200</f>
        <v>0</v>
      </c>
      <c r="N200" s="16" t="str">
        <f t="shared" si="12"/>
        <v/>
      </c>
      <c r="O200" s="17" t="str">
        <f t="shared" si="13"/>
        <v/>
      </c>
      <c r="P200" s="17" t="str">
        <f t="shared" si="13"/>
        <v/>
      </c>
      <c r="Q200" s="18" t="str">
        <f t="shared" si="14"/>
        <v/>
      </c>
      <c r="R200" s="18" t="e">
        <f t="shared" si="15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19">
        <f>CHAMNORD!B201</f>
        <v>46218</v>
      </c>
      <c r="C201" s="75" t="str">
        <f>IF(H201=0,"",'[7]2025-2026'!C200)</f>
        <v/>
      </c>
      <c r="D201" s="68" t="str">
        <f>'[7]2025'!C201</f>
        <v/>
      </c>
      <c r="E201" s="68" t="str">
        <f>'[7]2025'!D201</f>
        <v/>
      </c>
      <c r="F201" s="20" t="str">
        <f>'[7]2025'!E201</f>
        <v/>
      </c>
      <c r="G201" s="73" t="str">
        <f>'[7]2025'!F201</f>
        <v/>
      </c>
      <c r="H201" s="42">
        <f>'[7]2025'!G201</f>
        <v>0</v>
      </c>
      <c r="I201" s="13">
        <f>'[7]2025'!H201</f>
        <v>0</v>
      </c>
      <c r="J201" s="14">
        <f>'[7]2025'!I201</f>
        <v>0</v>
      </c>
      <c r="K201" s="15">
        <f>'[7]2025'!J201</f>
        <v>0</v>
      </c>
      <c r="L201" s="15">
        <f>'[7]2025'!K201</f>
        <v>0</v>
      </c>
      <c r="M201" s="15">
        <f>'[7]2025'!L201</f>
        <v>0</v>
      </c>
      <c r="N201" s="16" t="str">
        <f t="shared" si="12"/>
        <v/>
      </c>
      <c r="O201" s="17" t="str">
        <f t="shared" si="13"/>
        <v/>
      </c>
      <c r="P201" s="17" t="str">
        <f t="shared" si="13"/>
        <v/>
      </c>
      <c r="Q201" s="18" t="str">
        <f t="shared" si="14"/>
        <v/>
      </c>
      <c r="R201" s="18" t="e">
        <f t="shared" si="15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19">
        <f>CHAMNORD!B202</f>
        <v>46219</v>
      </c>
      <c r="C202" s="75" t="str">
        <f>IF(H202=0,"",'[7]2025-2026'!C201)</f>
        <v/>
      </c>
      <c r="D202" s="68" t="str">
        <f>'[7]2025'!C202</f>
        <v/>
      </c>
      <c r="E202" s="68" t="str">
        <f>'[7]2025'!D202</f>
        <v/>
      </c>
      <c r="F202" s="20" t="str">
        <f>'[7]2025'!E202</f>
        <v/>
      </c>
      <c r="G202" s="73" t="str">
        <f>'[7]2025'!F202</f>
        <v/>
      </c>
      <c r="H202" s="42">
        <f>'[7]2025'!G202</f>
        <v>0</v>
      </c>
      <c r="I202" s="13">
        <f>'[7]2025'!H202</f>
        <v>0</v>
      </c>
      <c r="J202" s="14">
        <f>'[7]2025'!I202</f>
        <v>0</v>
      </c>
      <c r="K202" s="15">
        <f>'[7]2025'!J202</f>
        <v>0</v>
      </c>
      <c r="L202" s="15">
        <f>'[7]2025'!K202</f>
        <v>0</v>
      </c>
      <c r="M202" s="15">
        <f>'[7]2025'!L202</f>
        <v>0</v>
      </c>
      <c r="N202" s="16" t="str">
        <f t="shared" si="12"/>
        <v/>
      </c>
      <c r="O202" s="17" t="str">
        <f t="shared" si="13"/>
        <v/>
      </c>
      <c r="P202" s="17" t="str">
        <f t="shared" si="13"/>
        <v/>
      </c>
      <c r="Q202" s="18" t="str">
        <f t="shared" si="14"/>
        <v/>
      </c>
      <c r="R202" s="18" t="e">
        <f t="shared" si="15"/>
        <v>#DIV/0!</v>
      </c>
      <c r="S202" s="34"/>
      <c r="T202" s="29" t="s">
        <v>8</v>
      </c>
      <c r="U202" s="1738"/>
    </row>
    <row r="203" spans="1:21">
      <c r="A203" s="10" t="s">
        <v>14</v>
      </c>
      <c r="B203" s="19">
        <f>CHAMNORD!B203</f>
        <v>46220</v>
      </c>
      <c r="C203" s="75" t="str">
        <f>IF(H203=0,"",'[7]2025-2026'!C202)</f>
        <v/>
      </c>
      <c r="D203" s="68" t="str">
        <f>'[7]2025'!C203</f>
        <v/>
      </c>
      <c r="E203" s="68" t="str">
        <f>'[7]2025'!D203</f>
        <v/>
      </c>
      <c r="F203" s="20" t="str">
        <f>'[7]2025'!E203</f>
        <v/>
      </c>
      <c r="G203" s="73" t="str">
        <f>'[7]2025'!F203</f>
        <v/>
      </c>
      <c r="H203" s="42">
        <f>'[7]2025'!G203</f>
        <v>0</v>
      </c>
      <c r="I203" s="13">
        <f>'[7]2025'!H203</f>
        <v>0</v>
      </c>
      <c r="J203" s="14">
        <f>'[7]2025'!I203</f>
        <v>0</v>
      </c>
      <c r="K203" s="15">
        <f>'[7]2025'!J203</f>
        <v>0</v>
      </c>
      <c r="L203" s="15">
        <f>'[7]2025'!K203</f>
        <v>0</v>
      </c>
      <c r="M203" s="15">
        <f>'[7]2025'!L203</f>
        <v>0</v>
      </c>
      <c r="N203" s="16" t="str">
        <f t="shared" si="12"/>
        <v/>
      </c>
      <c r="O203" s="17" t="str">
        <f t="shared" si="13"/>
        <v/>
      </c>
      <c r="P203" s="17" t="str">
        <f t="shared" si="13"/>
        <v/>
      </c>
      <c r="Q203" s="18" t="str">
        <f t="shared" si="14"/>
        <v/>
      </c>
      <c r="R203" s="18" t="e">
        <f t="shared" si="15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19">
        <f>CHAMNORD!B204</f>
        <v>46221</v>
      </c>
      <c r="C204" s="75" t="str">
        <f>IF(H204=0,"",'[7]2025-2026'!C203)</f>
        <v/>
      </c>
      <c r="D204" s="68" t="str">
        <f>'[7]2025'!C204</f>
        <v/>
      </c>
      <c r="E204" s="68" t="str">
        <f>'[7]2025'!D204</f>
        <v/>
      </c>
      <c r="F204" s="20" t="str">
        <f>'[7]2025'!E204</f>
        <v/>
      </c>
      <c r="G204" s="73" t="str">
        <f>'[7]2025'!F204</f>
        <v/>
      </c>
      <c r="H204" s="42">
        <f>'[7]2025'!G204</f>
        <v>0</v>
      </c>
      <c r="I204" s="13">
        <f>'[7]2025'!H204</f>
        <v>0</v>
      </c>
      <c r="J204" s="14">
        <f>'[7]2025'!I204</f>
        <v>0</v>
      </c>
      <c r="K204" s="15">
        <f>'[7]2025'!J204</f>
        <v>0</v>
      </c>
      <c r="L204" s="15">
        <f>'[7]2025'!K204</f>
        <v>0</v>
      </c>
      <c r="M204" s="15">
        <f>'[7]2025'!L204</f>
        <v>0</v>
      </c>
      <c r="N204" s="16" t="str">
        <f t="shared" si="12"/>
        <v/>
      </c>
      <c r="O204" s="17" t="str">
        <f t="shared" si="13"/>
        <v/>
      </c>
      <c r="P204" s="17" t="str">
        <f t="shared" si="13"/>
        <v/>
      </c>
      <c r="Q204" s="18" t="str">
        <f t="shared" si="14"/>
        <v/>
      </c>
      <c r="R204" s="18" t="e">
        <f t="shared" si="15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19">
        <f>CHAMNORD!B205</f>
        <v>46222</v>
      </c>
      <c r="C205" s="75" t="str">
        <f>IF(H205=0,"",'[7]2025-2026'!C204)</f>
        <v/>
      </c>
      <c r="D205" s="68" t="str">
        <f>'[7]2025'!C205</f>
        <v/>
      </c>
      <c r="E205" s="68" t="str">
        <f>'[7]2025'!D205</f>
        <v/>
      </c>
      <c r="F205" s="20" t="str">
        <f>'[7]2025'!E205</f>
        <v/>
      </c>
      <c r="G205" s="73" t="str">
        <f>'[7]2025'!F205</f>
        <v/>
      </c>
      <c r="H205" s="42">
        <f>'[7]2025'!G205</f>
        <v>0</v>
      </c>
      <c r="I205" s="13">
        <f>'[7]2025'!H205</f>
        <v>0</v>
      </c>
      <c r="J205" s="14">
        <f>'[7]2025'!I205</f>
        <v>0</v>
      </c>
      <c r="K205" s="15">
        <f>'[7]2025'!J205</f>
        <v>0</v>
      </c>
      <c r="L205" s="15">
        <f>'[7]2025'!K205</f>
        <v>0</v>
      </c>
      <c r="M205" s="15">
        <f>'[7]2025'!L205</f>
        <v>0</v>
      </c>
      <c r="N205" s="16" t="str">
        <f t="shared" si="12"/>
        <v/>
      </c>
      <c r="O205" s="17" t="str">
        <f t="shared" si="13"/>
        <v/>
      </c>
      <c r="P205" s="17" t="str">
        <f t="shared" si="13"/>
        <v/>
      </c>
      <c r="Q205" s="18" t="str">
        <f t="shared" si="14"/>
        <v/>
      </c>
      <c r="R205" s="18" t="e">
        <f t="shared" si="15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19">
        <f>CHAMNORD!B206</f>
        <v>46223</v>
      </c>
      <c r="C206" s="75" t="str">
        <f>IF(H206=0,"",'[7]2025-2026'!C205)</f>
        <v/>
      </c>
      <c r="D206" s="68" t="str">
        <f>'[7]2025'!C206</f>
        <v/>
      </c>
      <c r="E206" s="68" t="str">
        <f>'[7]2025'!D206</f>
        <v/>
      </c>
      <c r="F206" s="20" t="str">
        <f>'[7]2025'!E206</f>
        <v/>
      </c>
      <c r="G206" s="73" t="str">
        <f>'[7]2025'!F206</f>
        <v/>
      </c>
      <c r="H206" s="42">
        <f>'[7]2025'!G206</f>
        <v>0</v>
      </c>
      <c r="I206" s="13">
        <f>'[7]2025'!H206</f>
        <v>0</v>
      </c>
      <c r="J206" s="14">
        <f>'[7]2025'!I206</f>
        <v>0</v>
      </c>
      <c r="K206" s="15">
        <f>'[7]2025'!J206</f>
        <v>0</v>
      </c>
      <c r="L206" s="15">
        <f>'[7]2025'!K206</f>
        <v>0</v>
      </c>
      <c r="M206" s="15">
        <f>'[7]2025'!L206</f>
        <v>0</v>
      </c>
      <c r="N206" s="16" t="str">
        <f t="shared" si="12"/>
        <v/>
      </c>
      <c r="O206" s="17" t="str">
        <f t="shared" si="13"/>
        <v/>
      </c>
      <c r="P206" s="17" t="str">
        <f t="shared" si="13"/>
        <v/>
      </c>
      <c r="Q206" s="18" t="str">
        <f t="shared" si="14"/>
        <v/>
      </c>
      <c r="R206" s="18" t="e">
        <f t="shared" si="15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19">
        <f>CHAMNORD!B207</f>
        <v>46224</v>
      </c>
      <c r="C207" s="75" t="str">
        <f>IF(H207=0,"",'[7]2025-2026'!C206)</f>
        <v/>
      </c>
      <c r="D207" s="68" t="str">
        <f>'[7]2025'!C207</f>
        <v/>
      </c>
      <c r="E207" s="68" t="str">
        <f>'[7]2025'!D207</f>
        <v/>
      </c>
      <c r="F207" s="20" t="str">
        <f>'[7]2025'!E207</f>
        <v/>
      </c>
      <c r="G207" s="73" t="str">
        <f>'[7]2025'!F207</f>
        <v/>
      </c>
      <c r="H207" s="42">
        <f>'[7]2025'!G207</f>
        <v>0</v>
      </c>
      <c r="I207" s="13">
        <f>'[7]2025'!H207</f>
        <v>0</v>
      </c>
      <c r="J207" s="14">
        <f>'[7]2025'!I207</f>
        <v>0</v>
      </c>
      <c r="K207" s="15">
        <f>'[7]2025'!J207</f>
        <v>0</v>
      </c>
      <c r="L207" s="15">
        <f>'[7]2025'!K207</f>
        <v>0</v>
      </c>
      <c r="M207" s="15">
        <f>'[7]2025'!L207</f>
        <v>0</v>
      </c>
      <c r="N207" s="16" t="str">
        <f t="shared" si="12"/>
        <v/>
      </c>
      <c r="O207" s="17" t="str">
        <f t="shared" si="13"/>
        <v/>
      </c>
      <c r="P207" s="17" t="str">
        <f t="shared" si="13"/>
        <v/>
      </c>
      <c r="Q207" s="18" t="str">
        <f t="shared" si="14"/>
        <v/>
      </c>
      <c r="R207" s="18" t="e">
        <f t="shared" si="15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19">
        <f>CHAMNORD!B208</f>
        <v>46225</v>
      </c>
      <c r="C208" s="75" t="str">
        <f>IF(H208=0,"",'[7]2025-2026'!C207)</f>
        <v/>
      </c>
      <c r="D208" s="68" t="str">
        <f>'[7]2025'!C208</f>
        <v/>
      </c>
      <c r="E208" s="68" t="str">
        <f>'[7]2025'!D208</f>
        <v/>
      </c>
      <c r="F208" s="20" t="str">
        <f>'[7]2025'!E208</f>
        <v/>
      </c>
      <c r="G208" s="73" t="str">
        <f>'[7]2025'!F208</f>
        <v/>
      </c>
      <c r="H208" s="42">
        <f>'[7]2025'!G208</f>
        <v>0</v>
      </c>
      <c r="I208" s="13">
        <f>'[7]2025'!H208</f>
        <v>0</v>
      </c>
      <c r="J208" s="14">
        <f>'[7]2025'!I208</f>
        <v>0</v>
      </c>
      <c r="K208" s="15">
        <f>'[7]2025'!J208</f>
        <v>0</v>
      </c>
      <c r="L208" s="15">
        <f>'[7]2025'!K208</f>
        <v>0</v>
      </c>
      <c r="M208" s="15">
        <f>'[7]2025'!L208</f>
        <v>0</v>
      </c>
      <c r="N208" s="16" t="str">
        <f t="shared" si="12"/>
        <v/>
      </c>
      <c r="O208" s="17" t="str">
        <f t="shared" si="13"/>
        <v/>
      </c>
      <c r="P208" s="17" t="str">
        <f t="shared" si="13"/>
        <v/>
      </c>
      <c r="Q208" s="18" t="str">
        <f t="shared" si="14"/>
        <v/>
      </c>
      <c r="R208" s="18" t="e">
        <f t="shared" si="15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19">
        <f>CHAMNORD!B209</f>
        <v>46226</v>
      </c>
      <c r="C209" s="75" t="str">
        <f>IF(H209=0,"",'[7]2025-2026'!C208)</f>
        <v/>
      </c>
      <c r="D209" s="68" t="str">
        <f>'[7]2025'!C209</f>
        <v/>
      </c>
      <c r="E209" s="68" t="str">
        <f>'[7]2025'!D209</f>
        <v/>
      </c>
      <c r="F209" s="20" t="str">
        <f>'[7]2025'!E209</f>
        <v/>
      </c>
      <c r="G209" s="73" t="str">
        <f>'[7]2025'!F209</f>
        <v/>
      </c>
      <c r="H209" s="42">
        <f>'[7]2025'!G209</f>
        <v>0</v>
      </c>
      <c r="I209" s="13">
        <f>'[7]2025'!H209</f>
        <v>0</v>
      </c>
      <c r="J209" s="14">
        <f>'[7]2025'!I209</f>
        <v>0</v>
      </c>
      <c r="K209" s="15">
        <f>'[7]2025'!J209</f>
        <v>0</v>
      </c>
      <c r="L209" s="15">
        <f>'[7]2025'!K209</f>
        <v>0</v>
      </c>
      <c r="M209" s="15">
        <f>'[7]2025'!L209</f>
        <v>0</v>
      </c>
      <c r="N209" s="16" t="str">
        <f t="shared" si="12"/>
        <v/>
      </c>
      <c r="O209" s="17" t="str">
        <f t="shared" si="13"/>
        <v/>
      </c>
      <c r="P209" s="17" t="str">
        <f t="shared" si="13"/>
        <v/>
      </c>
      <c r="Q209" s="18" t="str">
        <f t="shared" si="14"/>
        <v/>
      </c>
      <c r="R209" s="18" t="e">
        <f t="shared" si="15"/>
        <v>#DIV/0!</v>
      </c>
      <c r="S209" s="34"/>
      <c r="T209" s="29" t="s">
        <v>8</v>
      </c>
      <c r="U209" s="1738"/>
    </row>
    <row r="210" spans="1:21">
      <c r="A210" s="10" t="s">
        <v>14</v>
      </c>
      <c r="B210" s="19">
        <f>CHAMNORD!B210</f>
        <v>46227</v>
      </c>
      <c r="C210" s="75" t="str">
        <f>IF(H210=0,"",'[7]2025-2026'!C209)</f>
        <v/>
      </c>
      <c r="D210" s="68" t="str">
        <f>'[7]2025'!C210</f>
        <v/>
      </c>
      <c r="E210" s="68" t="str">
        <f>'[7]2025'!D210</f>
        <v/>
      </c>
      <c r="F210" s="20" t="str">
        <f>'[7]2025'!E210</f>
        <v/>
      </c>
      <c r="G210" s="73" t="str">
        <f>'[7]2025'!F210</f>
        <v/>
      </c>
      <c r="H210" s="42">
        <f>'[7]2025'!G210</f>
        <v>0</v>
      </c>
      <c r="I210" s="13">
        <f>'[7]2025'!H210</f>
        <v>0</v>
      </c>
      <c r="J210" s="14">
        <f>'[7]2025'!I210</f>
        <v>0</v>
      </c>
      <c r="K210" s="15">
        <f>'[7]2025'!J210</f>
        <v>0</v>
      </c>
      <c r="L210" s="15">
        <f>'[7]2025'!K210</f>
        <v>0</v>
      </c>
      <c r="M210" s="15">
        <f>'[7]2025'!L210</f>
        <v>0</v>
      </c>
      <c r="N210" s="16" t="str">
        <f t="shared" si="12"/>
        <v/>
      </c>
      <c r="O210" s="17" t="str">
        <f t="shared" si="13"/>
        <v/>
      </c>
      <c r="P210" s="17" t="str">
        <f t="shared" si="13"/>
        <v/>
      </c>
      <c r="Q210" s="18" t="str">
        <f t="shared" si="14"/>
        <v/>
      </c>
      <c r="R210" s="18" t="e">
        <f t="shared" si="15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19">
        <f>CHAMNORD!B211</f>
        <v>46228</v>
      </c>
      <c r="C211" s="75" t="str">
        <f>IF(H211=0,"",'[7]2025-2026'!C210)</f>
        <v/>
      </c>
      <c r="D211" s="68" t="str">
        <f>'[7]2025'!C211</f>
        <v/>
      </c>
      <c r="E211" s="68" t="str">
        <f>'[7]2025'!D211</f>
        <v/>
      </c>
      <c r="F211" s="20" t="str">
        <f>'[7]2025'!E211</f>
        <v/>
      </c>
      <c r="G211" s="73" t="str">
        <f>'[7]2025'!F211</f>
        <v/>
      </c>
      <c r="H211" s="42">
        <f>'[7]2025'!G211</f>
        <v>0</v>
      </c>
      <c r="I211" s="13">
        <f>'[7]2025'!H211</f>
        <v>0</v>
      </c>
      <c r="J211" s="14">
        <f>'[7]2025'!I211</f>
        <v>0</v>
      </c>
      <c r="K211" s="15">
        <f>'[7]2025'!J211</f>
        <v>0</v>
      </c>
      <c r="L211" s="15">
        <f>'[7]2025'!K211</f>
        <v>0</v>
      </c>
      <c r="M211" s="15">
        <f>'[7]2025'!L211</f>
        <v>0</v>
      </c>
      <c r="N211" s="16" t="str">
        <f t="shared" si="12"/>
        <v/>
      </c>
      <c r="O211" s="17" t="str">
        <f t="shared" si="13"/>
        <v/>
      </c>
      <c r="P211" s="17" t="str">
        <f t="shared" si="13"/>
        <v/>
      </c>
      <c r="Q211" s="18" t="str">
        <f t="shared" si="14"/>
        <v/>
      </c>
      <c r="R211" s="18" t="e">
        <f t="shared" si="15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19">
        <f>CHAMNORD!B212</f>
        <v>46229</v>
      </c>
      <c r="C212" s="75" t="str">
        <f>IF(H212=0,"",'[7]2025-2026'!C211)</f>
        <v/>
      </c>
      <c r="D212" s="68" t="str">
        <f>'[7]2025'!C212</f>
        <v/>
      </c>
      <c r="E212" s="68" t="str">
        <f>'[7]2025'!D212</f>
        <v/>
      </c>
      <c r="F212" s="20" t="str">
        <f>'[7]2025'!E212</f>
        <v/>
      </c>
      <c r="G212" s="73" t="str">
        <f>'[7]2025'!F212</f>
        <v/>
      </c>
      <c r="H212" s="42">
        <f>'[7]2025'!G212</f>
        <v>0</v>
      </c>
      <c r="I212" s="13">
        <f>'[7]2025'!H212</f>
        <v>0</v>
      </c>
      <c r="J212" s="14">
        <f>'[7]2025'!I212</f>
        <v>0</v>
      </c>
      <c r="K212" s="15">
        <f>'[7]2025'!J212</f>
        <v>0</v>
      </c>
      <c r="L212" s="15">
        <f>'[7]2025'!K212</f>
        <v>0</v>
      </c>
      <c r="M212" s="15">
        <f>'[7]2025'!L212</f>
        <v>0</v>
      </c>
      <c r="N212" s="16" t="str">
        <f t="shared" si="12"/>
        <v/>
      </c>
      <c r="O212" s="17" t="str">
        <f t="shared" si="13"/>
        <v/>
      </c>
      <c r="P212" s="17" t="str">
        <f t="shared" si="13"/>
        <v/>
      </c>
      <c r="Q212" s="18" t="str">
        <f t="shared" si="14"/>
        <v/>
      </c>
      <c r="R212" s="18" t="e">
        <f t="shared" si="15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19">
        <f>CHAMNORD!B213</f>
        <v>46230</v>
      </c>
      <c r="C213" s="75" t="str">
        <f>IF(H213=0,"",'[7]2025-2026'!C212)</f>
        <v/>
      </c>
      <c r="D213" s="68" t="str">
        <f>'[7]2025'!C213</f>
        <v/>
      </c>
      <c r="E213" s="68" t="str">
        <f>'[7]2025'!D213</f>
        <v/>
      </c>
      <c r="F213" s="20" t="str">
        <f>'[7]2025'!E213</f>
        <v/>
      </c>
      <c r="G213" s="73" t="str">
        <f>'[7]2025'!F213</f>
        <v/>
      </c>
      <c r="H213" s="42">
        <f>'[7]2025'!G213</f>
        <v>0</v>
      </c>
      <c r="I213" s="13">
        <f>'[7]2025'!H213</f>
        <v>0</v>
      </c>
      <c r="J213" s="14">
        <f>'[7]2025'!I213</f>
        <v>0</v>
      </c>
      <c r="K213" s="15">
        <f>'[7]2025'!J213</f>
        <v>0</v>
      </c>
      <c r="L213" s="15">
        <f>'[7]2025'!K213</f>
        <v>0</v>
      </c>
      <c r="M213" s="15">
        <f>'[7]2025'!L213</f>
        <v>0</v>
      </c>
      <c r="N213" s="16" t="str">
        <f t="shared" si="12"/>
        <v/>
      </c>
      <c r="O213" s="17" t="str">
        <f t="shared" si="13"/>
        <v/>
      </c>
      <c r="P213" s="17" t="str">
        <f t="shared" si="13"/>
        <v/>
      </c>
      <c r="Q213" s="18" t="str">
        <f t="shared" si="14"/>
        <v/>
      </c>
      <c r="R213" s="18" t="e">
        <f t="shared" si="15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19">
        <f>CHAMNORD!B214</f>
        <v>46231</v>
      </c>
      <c r="C214" s="75" t="str">
        <f>IF(H214=0,"",'[7]2025-2026'!C213)</f>
        <v/>
      </c>
      <c r="D214" s="68" t="str">
        <f>'[7]2025'!C214</f>
        <v/>
      </c>
      <c r="E214" s="68" t="str">
        <f>'[7]2025'!D214</f>
        <v/>
      </c>
      <c r="F214" s="20" t="str">
        <f>'[7]2025'!E214</f>
        <v/>
      </c>
      <c r="G214" s="73" t="str">
        <f>'[7]2025'!F214</f>
        <v/>
      </c>
      <c r="H214" s="42">
        <f>'[7]2025'!G214</f>
        <v>0</v>
      </c>
      <c r="I214" s="13">
        <f>'[7]2025'!H214</f>
        <v>0</v>
      </c>
      <c r="J214" s="14">
        <f>'[7]2025'!I214</f>
        <v>0</v>
      </c>
      <c r="K214" s="15">
        <f>'[7]2025'!J214</f>
        <v>0</v>
      </c>
      <c r="L214" s="15">
        <f>'[7]2025'!K214</f>
        <v>0</v>
      </c>
      <c r="M214" s="15">
        <f>'[7]2025'!L214</f>
        <v>0</v>
      </c>
      <c r="N214" s="16" t="str">
        <f t="shared" si="12"/>
        <v/>
      </c>
      <c r="O214" s="17" t="str">
        <f t="shared" si="13"/>
        <v/>
      </c>
      <c r="P214" s="17" t="str">
        <f t="shared" si="13"/>
        <v/>
      </c>
      <c r="Q214" s="18" t="str">
        <f t="shared" si="14"/>
        <v/>
      </c>
      <c r="R214" s="18" t="e">
        <f t="shared" si="15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19">
        <f>CHAMNORD!B215</f>
        <v>46232</v>
      </c>
      <c r="C215" s="75" t="str">
        <f>IF(H215=0,"",'[7]2025-2026'!C214)</f>
        <v/>
      </c>
      <c r="D215" s="68" t="str">
        <f>'[7]2025'!C215</f>
        <v/>
      </c>
      <c r="E215" s="68" t="str">
        <f>'[7]2025'!D215</f>
        <v/>
      </c>
      <c r="F215" s="20" t="str">
        <f>'[7]2025'!E215</f>
        <v/>
      </c>
      <c r="G215" s="73" t="str">
        <f>'[7]2025'!F215</f>
        <v/>
      </c>
      <c r="H215" s="42">
        <f>'[7]2025'!G215</f>
        <v>0</v>
      </c>
      <c r="I215" s="13">
        <f>'[7]2025'!H215</f>
        <v>0</v>
      </c>
      <c r="J215" s="14">
        <f>'[7]2025'!I215</f>
        <v>0</v>
      </c>
      <c r="K215" s="15">
        <f>'[7]2025'!J215</f>
        <v>0</v>
      </c>
      <c r="L215" s="15">
        <f>'[7]2025'!K215</f>
        <v>0</v>
      </c>
      <c r="M215" s="15">
        <f>'[7]2025'!L215</f>
        <v>0</v>
      </c>
      <c r="N215" s="16" t="str">
        <f t="shared" si="12"/>
        <v/>
      </c>
      <c r="O215" s="17" t="str">
        <f t="shared" si="13"/>
        <v/>
      </c>
      <c r="P215" s="17" t="str">
        <f t="shared" si="13"/>
        <v/>
      </c>
      <c r="Q215" s="18" t="str">
        <f t="shared" si="14"/>
        <v/>
      </c>
      <c r="R215" s="18" t="e">
        <f t="shared" si="15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19">
        <f>CHAMNORD!B216</f>
        <v>46233</v>
      </c>
      <c r="C216" s="75" t="str">
        <f>IF(H216=0,"",'[7]2025-2026'!C215)</f>
        <v/>
      </c>
      <c r="D216" s="68" t="str">
        <f>'[7]2025'!C216</f>
        <v/>
      </c>
      <c r="E216" s="68" t="str">
        <f>'[7]2025'!D216</f>
        <v/>
      </c>
      <c r="F216" s="20" t="str">
        <f>'[7]2025'!E216</f>
        <v/>
      </c>
      <c r="G216" s="73" t="str">
        <f>'[7]2025'!F216</f>
        <v/>
      </c>
      <c r="H216" s="42">
        <f>'[7]2025'!G216</f>
        <v>0</v>
      </c>
      <c r="I216" s="13">
        <f>'[7]2025'!H216</f>
        <v>0</v>
      </c>
      <c r="J216" s="14">
        <f>'[7]2025'!I216</f>
        <v>0</v>
      </c>
      <c r="K216" s="15">
        <f>'[7]2025'!J216</f>
        <v>0</v>
      </c>
      <c r="L216" s="15">
        <f>'[7]2025'!K216</f>
        <v>0</v>
      </c>
      <c r="M216" s="15">
        <f>'[7]2025'!L216</f>
        <v>0</v>
      </c>
      <c r="N216" s="16" t="str">
        <f t="shared" si="12"/>
        <v/>
      </c>
      <c r="O216" s="17" t="str">
        <f t="shared" si="13"/>
        <v/>
      </c>
      <c r="P216" s="17" t="str">
        <f t="shared" si="13"/>
        <v/>
      </c>
      <c r="Q216" s="18" t="str">
        <f t="shared" si="14"/>
        <v/>
      </c>
      <c r="R216" s="18" t="e">
        <f t="shared" si="15"/>
        <v>#DIV/0!</v>
      </c>
      <c r="S216" s="34"/>
      <c r="T216" s="29" t="s">
        <v>8</v>
      </c>
      <c r="U216" s="1738"/>
    </row>
    <row r="217" spans="1:21">
      <c r="A217" s="10" t="s">
        <v>14</v>
      </c>
      <c r="B217" s="19">
        <f>CHAMNORD!B217</f>
        <v>46234</v>
      </c>
      <c r="C217" s="75" t="str">
        <f>IF(H217=0,"",'[7]2025-2026'!C216)</f>
        <v/>
      </c>
      <c r="D217" s="68" t="str">
        <f>'[7]2025'!C217</f>
        <v/>
      </c>
      <c r="E217" s="68" t="str">
        <f>'[7]2025'!D217</f>
        <v/>
      </c>
      <c r="F217" s="20" t="str">
        <f>'[7]2025'!E217</f>
        <v/>
      </c>
      <c r="G217" s="73" t="str">
        <f>'[7]2025'!F217</f>
        <v/>
      </c>
      <c r="H217" s="42">
        <f>'[7]2025'!G217</f>
        <v>0</v>
      </c>
      <c r="I217" s="13">
        <f>'[7]2025'!H217</f>
        <v>0</v>
      </c>
      <c r="J217" s="14">
        <f>'[7]2025'!I217</f>
        <v>0</v>
      </c>
      <c r="K217" s="15">
        <f>'[7]2025'!J217</f>
        <v>0</v>
      </c>
      <c r="L217" s="15">
        <f>'[7]2025'!K217</f>
        <v>0</v>
      </c>
      <c r="M217" s="15">
        <f>'[7]2025'!L217</f>
        <v>0</v>
      </c>
      <c r="N217" s="16" t="str">
        <f t="shared" si="12"/>
        <v/>
      </c>
      <c r="O217" s="17" t="str">
        <f t="shared" si="13"/>
        <v/>
      </c>
      <c r="P217" s="17" t="str">
        <f t="shared" si="13"/>
        <v/>
      </c>
      <c r="Q217" s="18" t="str">
        <f t="shared" si="14"/>
        <v/>
      </c>
      <c r="R217" s="18" t="e">
        <f t="shared" si="15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19">
        <f>CHAMNORD!B218</f>
        <v>46235</v>
      </c>
      <c r="C218" s="75" t="str">
        <f>IF(H218=0,"",'[7]2025-2026'!C217)</f>
        <v/>
      </c>
      <c r="D218" s="68" t="str">
        <f>'[7]2025'!C218</f>
        <v/>
      </c>
      <c r="E218" s="68" t="str">
        <f>'[7]2025'!D218</f>
        <v/>
      </c>
      <c r="F218" s="20" t="str">
        <f>'[7]2025'!E218</f>
        <v/>
      </c>
      <c r="G218" s="73" t="str">
        <f>'[7]2025'!F218</f>
        <v/>
      </c>
      <c r="H218" s="42">
        <f>'[7]2025'!G218</f>
        <v>0</v>
      </c>
      <c r="I218" s="13">
        <f>'[7]2025'!H218</f>
        <v>0</v>
      </c>
      <c r="J218" s="14">
        <f>'[7]2025'!I218</f>
        <v>0</v>
      </c>
      <c r="K218" s="15">
        <f>'[7]2025'!J218</f>
        <v>0</v>
      </c>
      <c r="L218" s="15">
        <f>'[7]2025'!K218</f>
        <v>0</v>
      </c>
      <c r="M218" s="15">
        <f>'[7]2025'!L218</f>
        <v>0</v>
      </c>
      <c r="N218" s="16" t="str">
        <f t="shared" si="12"/>
        <v/>
      </c>
      <c r="O218" s="17" t="str">
        <f t="shared" si="13"/>
        <v/>
      </c>
      <c r="P218" s="17" t="str">
        <f t="shared" si="13"/>
        <v/>
      </c>
      <c r="Q218" s="18" t="str">
        <f t="shared" si="14"/>
        <v/>
      </c>
      <c r="R218" s="18" t="e">
        <f t="shared" si="15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19">
        <f>CHAMNORD!B219</f>
        <v>46236</v>
      </c>
      <c r="C219" s="75" t="str">
        <f>IF(H219=0,"",'[7]2025-2026'!C218)</f>
        <v/>
      </c>
      <c r="D219" s="68" t="str">
        <f>'[7]2025'!C219</f>
        <v/>
      </c>
      <c r="E219" s="68" t="str">
        <f>'[7]2025'!D219</f>
        <v/>
      </c>
      <c r="F219" s="20" t="str">
        <f>'[7]2025'!E219</f>
        <v/>
      </c>
      <c r="G219" s="73" t="str">
        <f>'[7]2025'!F219</f>
        <v/>
      </c>
      <c r="H219" s="42">
        <f>'[7]2025'!G219</f>
        <v>0</v>
      </c>
      <c r="I219" s="13">
        <f>'[7]2025'!H219</f>
        <v>0</v>
      </c>
      <c r="J219" s="14">
        <f>'[7]2025'!I219</f>
        <v>0</v>
      </c>
      <c r="K219" s="15">
        <f>'[7]2025'!J219</f>
        <v>0</v>
      </c>
      <c r="L219" s="15">
        <f>'[7]2025'!K219</f>
        <v>0</v>
      </c>
      <c r="M219" s="15">
        <f>'[7]2025'!L219</f>
        <v>0</v>
      </c>
      <c r="N219" s="16" t="str">
        <f t="shared" si="12"/>
        <v/>
      </c>
      <c r="O219" s="17" t="str">
        <f t="shared" si="13"/>
        <v/>
      </c>
      <c r="P219" s="17" t="str">
        <f t="shared" si="13"/>
        <v/>
      </c>
      <c r="Q219" s="18" t="str">
        <f t="shared" si="14"/>
        <v/>
      </c>
      <c r="R219" s="18" t="e">
        <f t="shared" si="15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19">
        <f>CHAMNORD!B220</f>
        <v>46237</v>
      </c>
      <c r="C220" s="75" t="str">
        <f>IF(H220=0,"",'[7]2025-2026'!C219)</f>
        <v/>
      </c>
      <c r="D220" s="68" t="str">
        <f>'[7]2025'!C220</f>
        <v/>
      </c>
      <c r="E220" s="68" t="str">
        <f>'[7]2025'!D220</f>
        <v/>
      </c>
      <c r="F220" s="20" t="str">
        <f>'[7]2025'!E220</f>
        <v/>
      </c>
      <c r="G220" s="73" t="str">
        <f>'[7]2025'!F220</f>
        <v/>
      </c>
      <c r="H220" s="42">
        <f>'[7]2025'!G220</f>
        <v>0</v>
      </c>
      <c r="I220" s="13">
        <f>'[7]2025'!H220</f>
        <v>0</v>
      </c>
      <c r="J220" s="14">
        <f>'[7]2025'!I220</f>
        <v>0</v>
      </c>
      <c r="K220" s="15">
        <f>'[7]2025'!J220</f>
        <v>0</v>
      </c>
      <c r="L220" s="15">
        <f>'[7]2025'!K220</f>
        <v>0</v>
      </c>
      <c r="M220" s="15">
        <f>'[7]2025'!L220</f>
        <v>0</v>
      </c>
      <c r="N220" s="16" t="str">
        <f t="shared" si="12"/>
        <v/>
      </c>
      <c r="O220" s="17" t="str">
        <f t="shared" si="13"/>
        <v/>
      </c>
      <c r="P220" s="17" t="str">
        <f t="shared" si="13"/>
        <v/>
      </c>
      <c r="Q220" s="18" t="str">
        <f t="shared" si="14"/>
        <v/>
      </c>
      <c r="R220" s="18" t="e">
        <f t="shared" si="15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19">
        <f>CHAMNORD!B221</f>
        <v>46238</v>
      </c>
      <c r="C221" s="75" t="str">
        <f>IF(H221=0,"",'[7]2025-2026'!C220)</f>
        <v/>
      </c>
      <c r="D221" s="68" t="str">
        <f>'[7]2025'!C221</f>
        <v/>
      </c>
      <c r="E221" s="68" t="str">
        <f>'[7]2025'!D221</f>
        <v/>
      </c>
      <c r="F221" s="20" t="str">
        <f>'[7]2025'!E221</f>
        <v/>
      </c>
      <c r="G221" s="73" t="str">
        <f>'[7]2025'!F221</f>
        <v/>
      </c>
      <c r="H221" s="42">
        <f>'[7]2025'!G221</f>
        <v>0</v>
      </c>
      <c r="I221" s="13">
        <f>'[7]2025'!H221</f>
        <v>0</v>
      </c>
      <c r="J221" s="14">
        <f>'[7]2025'!I221</f>
        <v>0</v>
      </c>
      <c r="K221" s="15">
        <f>'[7]2025'!J221</f>
        <v>0</v>
      </c>
      <c r="L221" s="15">
        <f>'[7]2025'!K221</f>
        <v>0</v>
      </c>
      <c r="M221" s="15">
        <f>'[7]2025'!L221</f>
        <v>0</v>
      </c>
      <c r="N221" s="16" t="str">
        <f t="shared" si="12"/>
        <v/>
      </c>
      <c r="O221" s="17" t="str">
        <f t="shared" si="13"/>
        <v/>
      </c>
      <c r="P221" s="17" t="str">
        <f t="shared" si="13"/>
        <v/>
      </c>
      <c r="Q221" s="18" t="str">
        <f t="shared" si="14"/>
        <v/>
      </c>
      <c r="R221" s="18" t="e">
        <f t="shared" si="15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19">
        <f>CHAMNORD!B222</f>
        <v>46239</v>
      </c>
      <c r="C222" s="75" t="str">
        <f>IF(H222=0,"",'[7]2025-2026'!C221)</f>
        <v/>
      </c>
      <c r="D222" s="68" t="str">
        <f>'[7]2025'!C222</f>
        <v/>
      </c>
      <c r="E222" s="68" t="str">
        <f>'[7]2025'!D222</f>
        <v/>
      </c>
      <c r="F222" s="20" t="str">
        <f>'[7]2025'!E222</f>
        <v/>
      </c>
      <c r="G222" s="73" t="str">
        <f>'[7]2025'!F222</f>
        <v/>
      </c>
      <c r="H222" s="42">
        <f>'[7]2025'!G222</f>
        <v>0</v>
      </c>
      <c r="I222" s="13">
        <f>'[7]2025'!H222</f>
        <v>0</v>
      </c>
      <c r="J222" s="14">
        <f>'[7]2025'!I222</f>
        <v>0</v>
      </c>
      <c r="K222" s="15">
        <f>'[7]2025'!J222</f>
        <v>0</v>
      </c>
      <c r="L222" s="15">
        <f>'[7]2025'!K222</f>
        <v>0</v>
      </c>
      <c r="M222" s="15">
        <f>'[7]2025'!L222</f>
        <v>0</v>
      </c>
      <c r="N222" s="16" t="str">
        <f t="shared" si="12"/>
        <v/>
      </c>
      <c r="O222" s="17" t="str">
        <f t="shared" si="13"/>
        <v/>
      </c>
      <c r="P222" s="17" t="str">
        <f t="shared" si="13"/>
        <v/>
      </c>
      <c r="Q222" s="18" t="str">
        <f t="shared" si="14"/>
        <v/>
      </c>
      <c r="R222" s="18" t="e">
        <f t="shared" si="15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19">
        <f>CHAMNORD!B223</f>
        <v>46240</v>
      </c>
      <c r="C223" s="75" t="str">
        <f>IF(H223=0,"",'[7]2025-2026'!C222)</f>
        <v/>
      </c>
      <c r="D223" s="68" t="str">
        <f>'[7]2025'!C223</f>
        <v/>
      </c>
      <c r="E223" s="68" t="str">
        <f>'[7]2025'!D223</f>
        <v/>
      </c>
      <c r="F223" s="20" t="str">
        <f>'[7]2025'!E223</f>
        <v/>
      </c>
      <c r="G223" s="73" t="str">
        <f>'[7]2025'!F223</f>
        <v/>
      </c>
      <c r="H223" s="42">
        <f>'[7]2025'!G223</f>
        <v>0</v>
      </c>
      <c r="I223" s="13">
        <f>'[7]2025'!H223</f>
        <v>0</v>
      </c>
      <c r="J223" s="14">
        <f>'[7]2025'!I223</f>
        <v>0</v>
      </c>
      <c r="K223" s="15">
        <f>'[7]2025'!J223</f>
        <v>0</v>
      </c>
      <c r="L223" s="15">
        <f>'[7]2025'!K223</f>
        <v>0</v>
      </c>
      <c r="M223" s="15">
        <f>'[7]2025'!L223</f>
        <v>0</v>
      </c>
      <c r="N223" s="16" t="str">
        <f t="shared" si="12"/>
        <v/>
      </c>
      <c r="O223" s="17" t="str">
        <f t="shared" si="13"/>
        <v/>
      </c>
      <c r="P223" s="17" t="str">
        <f t="shared" si="13"/>
        <v/>
      </c>
      <c r="Q223" s="18" t="str">
        <f t="shared" si="14"/>
        <v/>
      </c>
      <c r="R223" s="18" t="e">
        <f t="shared" si="15"/>
        <v>#DIV/0!</v>
      </c>
      <c r="S223" s="34"/>
      <c r="T223" s="29" t="s">
        <v>8</v>
      </c>
      <c r="U223" s="1738"/>
    </row>
    <row r="224" spans="1:21">
      <c r="A224" s="10" t="s">
        <v>14</v>
      </c>
      <c r="B224" s="19">
        <f>CHAMNORD!B224</f>
        <v>46241</v>
      </c>
      <c r="C224" s="75" t="str">
        <f>IF(H224=0,"",'[7]2025-2026'!C223)</f>
        <v/>
      </c>
      <c r="D224" s="68" t="str">
        <f>'[7]2025'!C224</f>
        <v/>
      </c>
      <c r="E224" s="68" t="str">
        <f>'[7]2025'!D224</f>
        <v/>
      </c>
      <c r="F224" s="20" t="str">
        <f>'[7]2025'!E224</f>
        <v/>
      </c>
      <c r="G224" s="73" t="str">
        <f>'[7]2025'!F224</f>
        <v/>
      </c>
      <c r="H224" s="42">
        <f>'[7]2025'!G224</f>
        <v>0</v>
      </c>
      <c r="I224" s="13">
        <f>'[7]2025'!H224</f>
        <v>0</v>
      </c>
      <c r="J224" s="14">
        <f>'[7]2025'!I224</f>
        <v>0</v>
      </c>
      <c r="K224" s="15">
        <f>'[7]2025'!J224</f>
        <v>0</v>
      </c>
      <c r="L224" s="15">
        <f>'[7]2025'!K224</f>
        <v>0</v>
      </c>
      <c r="M224" s="15">
        <f>'[7]2025'!L224</f>
        <v>0</v>
      </c>
      <c r="N224" s="16" t="str">
        <f t="shared" si="12"/>
        <v/>
      </c>
      <c r="O224" s="17" t="str">
        <f t="shared" si="13"/>
        <v/>
      </c>
      <c r="P224" s="17" t="str">
        <f t="shared" si="13"/>
        <v/>
      </c>
      <c r="Q224" s="18" t="str">
        <f t="shared" si="14"/>
        <v/>
      </c>
      <c r="R224" s="18" t="e">
        <f t="shared" si="15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19">
        <f>CHAMNORD!B225</f>
        <v>46242</v>
      </c>
      <c r="C225" s="75" t="str">
        <f>IF(H225=0,"",'[7]2025-2026'!C224)</f>
        <v/>
      </c>
      <c r="D225" s="68" t="str">
        <f>'[7]2025'!C225</f>
        <v/>
      </c>
      <c r="E225" s="68" t="str">
        <f>'[7]2025'!D225</f>
        <v/>
      </c>
      <c r="F225" s="20" t="str">
        <f>'[7]2025'!E225</f>
        <v/>
      </c>
      <c r="G225" s="73" t="str">
        <f>'[7]2025'!F225</f>
        <v/>
      </c>
      <c r="H225" s="42">
        <f>'[7]2025'!G225</f>
        <v>0</v>
      </c>
      <c r="I225" s="13">
        <f>'[7]2025'!H225</f>
        <v>0</v>
      </c>
      <c r="J225" s="14">
        <f>'[7]2025'!I225</f>
        <v>0</v>
      </c>
      <c r="K225" s="15">
        <f>'[7]2025'!J225</f>
        <v>0</v>
      </c>
      <c r="L225" s="15">
        <f>'[7]2025'!K225</f>
        <v>0</v>
      </c>
      <c r="M225" s="15">
        <f>'[7]2025'!L225</f>
        <v>0</v>
      </c>
      <c r="N225" s="16" t="str">
        <f t="shared" si="12"/>
        <v/>
      </c>
      <c r="O225" s="17" t="str">
        <f t="shared" si="13"/>
        <v/>
      </c>
      <c r="P225" s="17" t="str">
        <f t="shared" si="13"/>
        <v/>
      </c>
      <c r="Q225" s="18" t="str">
        <f t="shared" si="14"/>
        <v/>
      </c>
      <c r="R225" s="18" t="e">
        <f t="shared" si="15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19">
        <f>CHAMNORD!B226</f>
        <v>46243</v>
      </c>
      <c r="C226" s="75" t="str">
        <f>IF(H226=0,"",'[7]2025-2026'!C225)</f>
        <v/>
      </c>
      <c r="D226" s="68" t="str">
        <f>'[7]2025'!C226</f>
        <v/>
      </c>
      <c r="E226" s="68" t="str">
        <f>'[7]2025'!D226</f>
        <v/>
      </c>
      <c r="F226" s="20" t="str">
        <f>'[7]2025'!E226</f>
        <v/>
      </c>
      <c r="G226" s="73" t="str">
        <f>'[7]2025'!F226</f>
        <v/>
      </c>
      <c r="H226" s="42">
        <f>'[7]2025'!G226</f>
        <v>0</v>
      </c>
      <c r="I226" s="13">
        <f>'[7]2025'!H226</f>
        <v>0</v>
      </c>
      <c r="J226" s="14">
        <f>'[7]2025'!I226</f>
        <v>0</v>
      </c>
      <c r="K226" s="15">
        <f>'[7]2025'!J226</f>
        <v>0</v>
      </c>
      <c r="L226" s="15">
        <f>'[7]2025'!K226</f>
        <v>0</v>
      </c>
      <c r="M226" s="15">
        <f>'[7]2025'!L226</f>
        <v>0</v>
      </c>
      <c r="N226" s="16" t="str">
        <f t="shared" si="12"/>
        <v/>
      </c>
      <c r="O226" s="17" t="str">
        <f t="shared" si="13"/>
        <v/>
      </c>
      <c r="P226" s="17" t="str">
        <f t="shared" si="13"/>
        <v/>
      </c>
      <c r="Q226" s="18" t="str">
        <f t="shared" si="14"/>
        <v/>
      </c>
      <c r="R226" s="18" t="e">
        <f t="shared" si="15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19">
        <f>CHAMNORD!B227</f>
        <v>46244</v>
      </c>
      <c r="C227" s="75" t="str">
        <f>IF(H227=0,"",'[7]2025-2026'!C226)</f>
        <v/>
      </c>
      <c r="D227" s="68" t="str">
        <f>'[7]2025'!C227</f>
        <v/>
      </c>
      <c r="E227" s="68" t="str">
        <f>'[7]2025'!D227</f>
        <v/>
      </c>
      <c r="F227" s="20" t="str">
        <f>'[7]2025'!E227</f>
        <v/>
      </c>
      <c r="G227" s="73" t="str">
        <f>'[7]2025'!F227</f>
        <v/>
      </c>
      <c r="H227" s="42">
        <f>'[7]2025'!G227</f>
        <v>0</v>
      </c>
      <c r="I227" s="13">
        <f>'[7]2025'!H227</f>
        <v>0</v>
      </c>
      <c r="J227" s="14">
        <f>'[7]2025'!I227</f>
        <v>0</v>
      </c>
      <c r="K227" s="15">
        <f>'[7]2025'!J227</f>
        <v>0</v>
      </c>
      <c r="L227" s="15">
        <f>'[7]2025'!K227</f>
        <v>0</v>
      </c>
      <c r="M227" s="15">
        <f>'[7]2025'!L227</f>
        <v>0</v>
      </c>
      <c r="N227" s="16" t="str">
        <f t="shared" si="12"/>
        <v/>
      </c>
      <c r="O227" s="17" t="str">
        <f t="shared" si="13"/>
        <v/>
      </c>
      <c r="P227" s="17" t="str">
        <f t="shared" si="13"/>
        <v/>
      </c>
      <c r="Q227" s="18" t="str">
        <f t="shared" si="14"/>
        <v/>
      </c>
      <c r="R227" s="18" t="e">
        <f t="shared" si="15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19">
        <f>CHAMNORD!B228</f>
        <v>46245</v>
      </c>
      <c r="C228" s="75" t="str">
        <f>IF(H228=0,"",'[7]2025-2026'!C227)</f>
        <v/>
      </c>
      <c r="D228" s="68" t="str">
        <f>'[7]2025'!C228</f>
        <v/>
      </c>
      <c r="E228" s="68" t="str">
        <f>'[7]2025'!D228</f>
        <v/>
      </c>
      <c r="F228" s="20" t="str">
        <f>'[7]2025'!E228</f>
        <v/>
      </c>
      <c r="G228" s="73" t="str">
        <f>'[7]2025'!F228</f>
        <v/>
      </c>
      <c r="H228" s="42">
        <f>'[7]2025'!G228</f>
        <v>0</v>
      </c>
      <c r="I228" s="13">
        <f>'[7]2025'!H228</f>
        <v>0</v>
      </c>
      <c r="J228" s="14">
        <f>'[7]2025'!I228</f>
        <v>0</v>
      </c>
      <c r="K228" s="15">
        <f>'[7]2025'!J228</f>
        <v>0</v>
      </c>
      <c r="L228" s="15">
        <f>'[7]2025'!K228</f>
        <v>0</v>
      </c>
      <c r="M228" s="15">
        <f>'[7]2025'!L228</f>
        <v>0</v>
      </c>
      <c r="N228" s="16" t="str">
        <f t="shared" si="12"/>
        <v/>
      </c>
      <c r="O228" s="17" t="str">
        <f t="shared" si="13"/>
        <v/>
      </c>
      <c r="P228" s="17" t="str">
        <f t="shared" si="13"/>
        <v/>
      </c>
      <c r="Q228" s="18" t="str">
        <f t="shared" si="14"/>
        <v/>
      </c>
      <c r="R228" s="18" t="e">
        <f t="shared" si="15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19">
        <f>CHAMNORD!B229</f>
        <v>46246</v>
      </c>
      <c r="C229" s="75" t="str">
        <f>IF(H229=0,"",'[7]2025-2026'!C228)</f>
        <v/>
      </c>
      <c r="D229" s="68" t="str">
        <f>'[7]2025'!C229</f>
        <v/>
      </c>
      <c r="E229" s="68" t="str">
        <f>'[7]2025'!D229</f>
        <v/>
      </c>
      <c r="F229" s="20" t="str">
        <f>'[7]2025'!E229</f>
        <v/>
      </c>
      <c r="G229" s="73" t="str">
        <f>'[7]2025'!F229</f>
        <v/>
      </c>
      <c r="H229" s="42">
        <f>'[7]2025'!G229</f>
        <v>0</v>
      </c>
      <c r="I229" s="13">
        <f>'[7]2025'!H229</f>
        <v>0</v>
      </c>
      <c r="J229" s="14">
        <f>'[7]2025'!I229</f>
        <v>0</v>
      </c>
      <c r="K229" s="15">
        <f>'[7]2025'!J229</f>
        <v>0</v>
      </c>
      <c r="L229" s="15">
        <f>'[7]2025'!K229</f>
        <v>0</v>
      </c>
      <c r="M229" s="15">
        <f>'[7]2025'!L229</f>
        <v>0</v>
      </c>
      <c r="N229" s="16" t="str">
        <f t="shared" si="12"/>
        <v/>
      </c>
      <c r="O229" s="17" t="str">
        <f t="shared" si="13"/>
        <v/>
      </c>
      <c r="P229" s="17" t="str">
        <f t="shared" si="13"/>
        <v/>
      </c>
      <c r="Q229" s="18" t="str">
        <f t="shared" si="14"/>
        <v/>
      </c>
      <c r="R229" s="18" t="e">
        <f t="shared" si="15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19">
        <f>CHAMNORD!B230</f>
        <v>46247</v>
      </c>
      <c r="C230" s="75" t="str">
        <f>IF(H230=0,"",'[7]2025-2026'!C229)</f>
        <v/>
      </c>
      <c r="D230" s="68" t="str">
        <f>'[7]2025'!C230</f>
        <v/>
      </c>
      <c r="E230" s="68" t="str">
        <f>'[7]2025'!D230</f>
        <v/>
      </c>
      <c r="F230" s="20" t="str">
        <f>'[7]2025'!E230</f>
        <v/>
      </c>
      <c r="G230" s="73" t="str">
        <f>'[7]2025'!F230</f>
        <v/>
      </c>
      <c r="H230" s="42">
        <f>'[7]2025'!G230</f>
        <v>0</v>
      </c>
      <c r="I230" s="13">
        <f>'[7]2025'!H230</f>
        <v>0</v>
      </c>
      <c r="J230" s="14">
        <f>'[7]2025'!I230</f>
        <v>0</v>
      </c>
      <c r="K230" s="15">
        <f>'[7]2025'!J230</f>
        <v>0</v>
      </c>
      <c r="L230" s="15">
        <f>'[7]2025'!K230</f>
        <v>0</v>
      </c>
      <c r="M230" s="15">
        <f>'[7]2025'!L230</f>
        <v>0</v>
      </c>
      <c r="N230" s="16" t="str">
        <f t="shared" si="12"/>
        <v/>
      </c>
      <c r="O230" s="17" t="str">
        <f t="shared" si="13"/>
        <v/>
      </c>
      <c r="P230" s="17" t="str">
        <f t="shared" si="13"/>
        <v/>
      </c>
      <c r="Q230" s="18" t="str">
        <f t="shared" si="14"/>
        <v/>
      </c>
      <c r="R230" s="18" t="e">
        <f t="shared" si="15"/>
        <v>#DIV/0!</v>
      </c>
      <c r="S230" s="34"/>
      <c r="T230" s="29" t="s">
        <v>8</v>
      </c>
      <c r="U230" s="1738"/>
    </row>
    <row r="231" spans="1:21">
      <c r="A231" s="10" t="s">
        <v>14</v>
      </c>
      <c r="B231" s="19">
        <f>CHAMNORD!B231</f>
        <v>46248</v>
      </c>
      <c r="C231" s="75" t="str">
        <f>IF(H231=0,"",'[7]2025-2026'!C230)</f>
        <v/>
      </c>
      <c r="D231" s="68" t="str">
        <f>'[7]2025'!C231</f>
        <v/>
      </c>
      <c r="E231" s="68" t="str">
        <f>'[7]2025'!D231</f>
        <v/>
      </c>
      <c r="F231" s="20" t="str">
        <f>'[7]2025'!E231</f>
        <v/>
      </c>
      <c r="G231" s="73" t="str">
        <f>'[7]2025'!F231</f>
        <v/>
      </c>
      <c r="H231" s="42">
        <f>'[7]2025'!G231</f>
        <v>0</v>
      </c>
      <c r="I231" s="13">
        <f>'[7]2025'!H231</f>
        <v>0</v>
      </c>
      <c r="J231" s="14">
        <f>'[7]2025'!I231</f>
        <v>0</v>
      </c>
      <c r="K231" s="15">
        <f>'[7]2025'!J231</f>
        <v>0</v>
      </c>
      <c r="L231" s="15">
        <f>'[7]2025'!K231</f>
        <v>0</v>
      </c>
      <c r="M231" s="15">
        <f>'[7]2025'!L231</f>
        <v>0</v>
      </c>
      <c r="N231" s="16" t="str">
        <f t="shared" si="12"/>
        <v/>
      </c>
      <c r="O231" s="17" t="str">
        <f t="shared" si="13"/>
        <v/>
      </c>
      <c r="P231" s="17" t="str">
        <f t="shared" si="13"/>
        <v/>
      </c>
      <c r="Q231" s="18" t="str">
        <f t="shared" si="14"/>
        <v/>
      </c>
      <c r="R231" s="18" t="e">
        <f t="shared" si="15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19">
        <f>CHAMNORD!B232</f>
        <v>46249</v>
      </c>
      <c r="C232" s="75" t="str">
        <f>IF(H232=0,"",'[7]2025-2026'!C231)</f>
        <v/>
      </c>
      <c r="D232" s="68" t="str">
        <f>'[7]2025'!C232</f>
        <v/>
      </c>
      <c r="E232" s="68" t="str">
        <f>'[7]2025'!D232</f>
        <v/>
      </c>
      <c r="F232" s="20" t="str">
        <f>'[7]2025'!E232</f>
        <v/>
      </c>
      <c r="G232" s="73" t="str">
        <f>'[7]2025'!F232</f>
        <v/>
      </c>
      <c r="H232" s="42">
        <f>'[7]2025'!G232</f>
        <v>0</v>
      </c>
      <c r="I232" s="13">
        <f>'[7]2025'!H232</f>
        <v>0</v>
      </c>
      <c r="J232" s="14">
        <f>'[7]2025'!I232</f>
        <v>0</v>
      </c>
      <c r="K232" s="15">
        <f>'[7]2025'!J232</f>
        <v>0</v>
      </c>
      <c r="L232" s="15">
        <f>'[7]2025'!K232</f>
        <v>0</v>
      </c>
      <c r="M232" s="15">
        <f>'[7]2025'!L232</f>
        <v>0</v>
      </c>
      <c r="N232" s="16" t="str">
        <f t="shared" si="12"/>
        <v/>
      </c>
      <c r="O232" s="17" t="str">
        <f t="shared" si="13"/>
        <v/>
      </c>
      <c r="P232" s="17" t="str">
        <f t="shared" si="13"/>
        <v/>
      </c>
      <c r="Q232" s="18" t="str">
        <f t="shared" si="14"/>
        <v/>
      </c>
      <c r="R232" s="18" t="e">
        <f t="shared" si="15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19">
        <f>CHAMNORD!B233</f>
        <v>46250</v>
      </c>
      <c r="C233" s="75" t="str">
        <f>IF(H233=0,"",'[7]2025-2026'!C232)</f>
        <v/>
      </c>
      <c r="D233" s="68" t="str">
        <f>'[7]2025'!C233</f>
        <v/>
      </c>
      <c r="E233" s="68" t="str">
        <f>'[7]2025'!D233</f>
        <v/>
      </c>
      <c r="F233" s="20" t="str">
        <f>'[7]2025'!E233</f>
        <v/>
      </c>
      <c r="G233" s="73" t="str">
        <f>'[7]2025'!F233</f>
        <v/>
      </c>
      <c r="H233" s="42">
        <f>'[7]2025'!G233</f>
        <v>0</v>
      </c>
      <c r="I233" s="13">
        <f>'[7]2025'!H233</f>
        <v>0</v>
      </c>
      <c r="J233" s="14">
        <f>'[7]2025'!I233</f>
        <v>0</v>
      </c>
      <c r="K233" s="15">
        <f>'[7]2025'!J233</f>
        <v>0</v>
      </c>
      <c r="L233" s="15">
        <f>'[7]2025'!K233</f>
        <v>0</v>
      </c>
      <c r="M233" s="15">
        <f>'[7]2025'!L233</f>
        <v>0</v>
      </c>
      <c r="N233" s="16" t="str">
        <f t="shared" si="12"/>
        <v/>
      </c>
      <c r="O233" s="17" t="str">
        <f t="shared" si="13"/>
        <v/>
      </c>
      <c r="P233" s="17" t="str">
        <f t="shared" si="13"/>
        <v/>
      </c>
      <c r="Q233" s="18" t="str">
        <f t="shared" si="14"/>
        <v/>
      </c>
      <c r="R233" s="18" t="e">
        <f t="shared" si="15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19">
        <f>CHAMNORD!B234</f>
        <v>46251</v>
      </c>
      <c r="C234" s="75" t="str">
        <f>IF(H234=0,"",'[7]2025-2026'!C233)</f>
        <v/>
      </c>
      <c r="D234" s="68" t="str">
        <f>'[7]2025'!C234</f>
        <v/>
      </c>
      <c r="E234" s="68" t="str">
        <f>'[7]2025'!D234</f>
        <v/>
      </c>
      <c r="F234" s="20" t="str">
        <f>'[7]2025'!E234</f>
        <v/>
      </c>
      <c r="G234" s="73" t="str">
        <f>'[7]2025'!F234</f>
        <v/>
      </c>
      <c r="H234" s="42">
        <f>'[7]2025'!G234</f>
        <v>0</v>
      </c>
      <c r="I234" s="13">
        <f>'[7]2025'!H234</f>
        <v>0</v>
      </c>
      <c r="J234" s="14">
        <f>'[7]2025'!I234</f>
        <v>0</v>
      </c>
      <c r="K234" s="15">
        <f>'[7]2025'!J234</f>
        <v>0</v>
      </c>
      <c r="L234" s="15">
        <f>'[7]2025'!K234</f>
        <v>0</v>
      </c>
      <c r="M234" s="15">
        <f>'[7]2025'!L234</f>
        <v>0</v>
      </c>
      <c r="N234" s="16" t="str">
        <f t="shared" si="12"/>
        <v/>
      </c>
      <c r="O234" s="17" t="str">
        <f t="shared" si="13"/>
        <v/>
      </c>
      <c r="P234" s="17" t="str">
        <f t="shared" si="13"/>
        <v/>
      </c>
      <c r="Q234" s="18" t="str">
        <f t="shared" si="14"/>
        <v/>
      </c>
      <c r="R234" s="18" t="e">
        <f t="shared" si="15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19">
        <f>CHAMNORD!B235</f>
        <v>46252</v>
      </c>
      <c r="C235" s="75" t="str">
        <f>IF(H235=0,"",'[7]2025-2026'!C234)</f>
        <v/>
      </c>
      <c r="D235" s="68" t="str">
        <f>'[7]2025'!C235</f>
        <v/>
      </c>
      <c r="E235" s="68" t="str">
        <f>'[7]2025'!D235</f>
        <v/>
      </c>
      <c r="F235" s="20" t="str">
        <f>'[7]2025'!E235</f>
        <v/>
      </c>
      <c r="G235" s="73" t="str">
        <f>'[7]2025'!F235</f>
        <v/>
      </c>
      <c r="H235" s="42">
        <f>'[7]2025'!G235</f>
        <v>0</v>
      </c>
      <c r="I235" s="13">
        <f>'[7]2025'!H235</f>
        <v>0</v>
      </c>
      <c r="J235" s="14">
        <f>'[7]2025'!I235</f>
        <v>0</v>
      </c>
      <c r="K235" s="15">
        <f>'[7]2025'!J235</f>
        <v>0</v>
      </c>
      <c r="L235" s="15">
        <f>'[7]2025'!K235</f>
        <v>0</v>
      </c>
      <c r="M235" s="15">
        <f>'[7]2025'!L235</f>
        <v>0</v>
      </c>
      <c r="N235" s="16" t="str">
        <f t="shared" si="12"/>
        <v/>
      </c>
      <c r="O235" s="17" t="str">
        <f t="shared" si="13"/>
        <v/>
      </c>
      <c r="P235" s="17" t="str">
        <f t="shared" si="13"/>
        <v/>
      </c>
      <c r="Q235" s="18" t="str">
        <f t="shared" si="14"/>
        <v/>
      </c>
      <c r="R235" s="18" t="e">
        <f t="shared" si="15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19">
        <f>CHAMNORD!B236</f>
        <v>46253</v>
      </c>
      <c r="C236" s="75" t="str">
        <f>IF(H236=0,"",'[7]2025-2026'!C235)</f>
        <v/>
      </c>
      <c r="D236" s="68" t="str">
        <f>'[7]2025'!C236</f>
        <v/>
      </c>
      <c r="E236" s="68" t="str">
        <f>'[7]2025'!D236</f>
        <v/>
      </c>
      <c r="F236" s="20" t="str">
        <f>'[7]2025'!E236</f>
        <v/>
      </c>
      <c r="G236" s="73" t="str">
        <f>'[7]2025'!F236</f>
        <v/>
      </c>
      <c r="H236" s="42">
        <f>'[7]2025'!G236</f>
        <v>0</v>
      </c>
      <c r="I236" s="13">
        <f>'[7]2025'!H236</f>
        <v>0</v>
      </c>
      <c r="J236" s="14">
        <f>'[7]2025'!I236</f>
        <v>0</v>
      </c>
      <c r="K236" s="15">
        <f>'[7]2025'!J236</f>
        <v>0</v>
      </c>
      <c r="L236" s="15">
        <f>'[7]2025'!K236</f>
        <v>0</v>
      </c>
      <c r="M236" s="15">
        <f>'[7]2025'!L236</f>
        <v>0</v>
      </c>
      <c r="N236" s="16" t="str">
        <f t="shared" si="12"/>
        <v/>
      </c>
      <c r="O236" s="17" t="str">
        <f t="shared" si="13"/>
        <v/>
      </c>
      <c r="P236" s="17" t="str">
        <f t="shared" si="13"/>
        <v/>
      </c>
      <c r="Q236" s="18" t="str">
        <f t="shared" si="14"/>
        <v/>
      </c>
      <c r="R236" s="18" t="e">
        <f t="shared" si="15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19">
        <f>CHAMNORD!B237</f>
        <v>46254</v>
      </c>
      <c r="C237" s="75" t="str">
        <f>IF(H237=0,"",'[7]2025-2026'!C236)</f>
        <v/>
      </c>
      <c r="D237" s="68" t="str">
        <f>'[7]2025'!C237</f>
        <v/>
      </c>
      <c r="E237" s="68" t="str">
        <f>'[7]2025'!D237</f>
        <v/>
      </c>
      <c r="F237" s="20" t="str">
        <f>'[7]2025'!E237</f>
        <v/>
      </c>
      <c r="G237" s="73" t="str">
        <f>'[7]2025'!F237</f>
        <v/>
      </c>
      <c r="H237" s="42">
        <f>'[7]2025'!G237</f>
        <v>0</v>
      </c>
      <c r="I237" s="13">
        <f>'[7]2025'!H237</f>
        <v>0</v>
      </c>
      <c r="J237" s="14">
        <f>'[7]2025'!I237</f>
        <v>0</v>
      </c>
      <c r="K237" s="15">
        <f>'[7]2025'!J237</f>
        <v>0</v>
      </c>
      <c r="L237" s="15">
        <f>'[7]2025'!K237</f>
        <v>0</v>
      </c>
      <c r="M237" s="15">
        <f>'[7]2025'!L237</f>
        <v>0</v>
      </c>
      <c r="N237" s="16" t="str">
        <f t="shared" si="12"/>
        <v/>
      </c>
      <c r="O237" s="17" t="str">
        <f t="shared" si="13"/>
        <v/>
      </c>
      <c r="P237" s="17" t="str">
        <f t="shared" si="13"/>
        <v/>
      </c>
      <c r="Q237" s="18" t="str">
        <f t="shared" si="14"/>
        <v/>
      </c>
      <c r="R237" s="18" t="e">
        <f t="shared" si="15"/>
        <v>#DIV/0!</v>
      </c>
      <c r="S237" s="34"/>
      <c r="T237" s="29" t="s">
        <v>8</v>
      </c>
      <c r="U237" s="1738"/>
    </row>
    <row r="238" spans="1:21">
      <c r="A238" s="10" t="s">
        <v>14</v>
      </c>
      <c r="B238" s="19">
        <f>CHAMNORD!B238</f>
        <v>46255</v>
      </c>
      <c r="C238" s="75" t="str">
        <f>IF(H238=0,"",'[7]2025-2026'!C237)</f>
        <v/>
      </c>
      <c r="D238" s="68" t="str">
        <f>'[7]2025'!C238</f>
        <v/>
      </c>
      <c r="E238" s="68" t="str">
        <f>'[7]2025'!D238</f>
        <v/>
      </c>
      <c r="F238" s="20" t="str">
        <f>'[7]2025'!E238</f>
        <v/>
      </c>
      <c r="G238" s="73" t="str">
        <f>'[7]2025'!F238</f>
        <v/>
      </c>
      <c r="H238" s="42">
        <f>'[7]2025'!G238</f>
        <v>0</v>
      </c>
      <c r="I238" s="13">
        <f>'[7]2025'!H238</f>
        <v>0</v>
      </c>
      <c r="J238" s="14">
        <f>'[7]2025'!I238</f>
        <v>0</v>
      </c>
      <c r="K238" s="15">
        <f>'[7]2025'!J238</f>
        <v>0</v>
      </c>
      <c r="L238" s="15">
        <f>'[7]2025'!K238</f>
        <v>0</v>
      </c>
      <c r="M238" s="15">
        <f>'[7]2025'!L238</f>
        <v>0</v>
      </c>
      <c r="N238" s="16" t="str">
        <f t="shared" si="12"/>
        <v/>
      </c>
      <c r="O238" s="17" t="str">
        <f t="shared" si="13"/>
        <v/>
      </c>
      <c r="P238" s="17" t="str">
        <f t="shared" si="13"/>
        <v/>
      </c>
      <c r="Q238" s="18" t="str">
        <f t="shared" si="14"/>
        <v/>
      </c>
      <c r="R238" s="18" t="e">
        <f t="shared" si="15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19">
        <f>CHAMNORD!B239</f>
        <v>46256</v>
      </c>
      <c r="C239" s="75" t="str">
        <f>IF(H239=0,"",'[7]2025-2026'!C238)</f>
        <v/>
      </c>
      <c r="D239" s="68" t="str">
        <f>'[7]2025'!C239</f>
        <v/>
      </c>
      <c r="E239" s="68" t="str">
        <f>'[7]2025'!D239</f>
        <v/>
      </c>
      <c r="F239" s="20" t="str">
        <f>'[7]2025'!E239</f>
        <v/>
      </c>
      <c r="G239" s="73" t="str">
        <f>'[7]2025'!F239</f>
        <v/>
      </c>
      <c r="H239" s="42">
        <f>'[7]2025'!G239</f>
        <v>0</v>
      </c>
      <c r="I239" s="13">
        <f>'[7]2025'!H239</f>
        <v>0</v>
      </c>
      <c r="J239" s="14">
        <f>'[7]2025'!I239</f>
        <v>0</v>
      </c>
      <c r="K239" s="15">
        <f>'[7]2025'!J239</f>
        <v>0</v>
      </c>
      <c r="L239" s="15">
        <f>'[7]2025'!K239</f>
        <v>0</v>
      </c>
      <c r="M239" s="15">
        <f>'[7]2025'!L239</f>
        <v>0</v>
      </c>
      <c r="N239" s="16" t="str">
        <f t="shared" si="12"/>
        <v/>
      </c>
      <c r="O239" s="17" t="str">
        <f t="shared" si="13"/>
        <v/>
      </c>
      <c r="P239" s="17" t="str">
        <f t="shared" si="13"/>
        <v/>
      </c>
      <c r="Q239" s="18" t="str">
        <f t="shared" si="14"/>
        <v/>
      </c>
      <c r="R239" s="18" t="e">
        <f t="shared" si="15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19">
        <f>CHAMNORD!B240</f>
        <v>46257</v>
      </c>
      <c r="C240" s="75" t="str">
        <f>IF(H240=0,"",'[7]2025-2026'!C239)</f>
        <v/>
      </c>
      <c r="D240" s="68" t="str">
        <f>'[7]2025'!C240</f>
        <v/>
      </c>
      <c r="E240" s="68" t="str">
        <f>'[7]2025'!D240</f>
        <v/>
      </c>
      <c r="F240" s="20" t="str">
        <f>'[7]2025'!E240</f>
        <v/>
      </c>
      <c r="G240" s="73" t="str">
        <f>'[7]2025'!F240</f>
        <v/>
      </c>
      <c r="H240" s="42">
        <f>'[7]2025'!G240</f>
        <v>0</v>
      </c>
      <c r="I240" s="13">
        <f>'[7]2025'!H240</f>
        <v>0</v>
      </c>
      <c r="J240" s="14">
        <f>'[7]2025'!I240</f>
        <v>0</v>
      </c>
      <c r="K240" s="15">
        <f>'[7]2025'!J240</f>
        <v>0</v>
      </c>
      <c r="L240" s="15">
        <f>'[7]2025'!K240</f>
        <v>0</v>
      </c>
      <c r="M240" s="15">
        <f>'[7]2025'!L240</f>
        <v>0</v>
      </c>
      <c r="N240" s="16" t="str">
        <f t="shared" si="12"/>
        <v/>
      </c>
      <c r="O240" s="17" t="str">
        <f t="shared" si="13"/>
        <v/>
      </c>
      <c r="P240" s="17" t="str">
        <f t="shared" si="13"/>
        <v/>
      </c>
      <c r="Q240" s="18" t="str">
        <f t="shared" si="14"/>
        <v/>
      </c>
      <c r="R240" s="18" t="e">
        <f t="shared" si="15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19">
        <f>CHAMNORD!B241</f>
        <v>46258</v>
      </c>
      <c r="C241" s="75" t="str">
        <f>IF(H241=0,"",'[7]2025-2026'!C240)</f>
        <v/>
      </c>
      <c r="D241" s="68" t="str">
        <f>'[7]2025'!C241</f>
        <v/>
      </c>
      <c r="E241" s="68" t="str">
        <f>'[7]2025'!D241</f>
        <v/>
      </c>
      <c r="F241" s="20" t="str">
        <f>'[7]2025'!E241</f>
        <v/>
      </c>
      <c r="G241" s="73" t="str">
        <f>'[7]2025'!F241</f>
        <v/>
      </c>
      <c r="H241" s="42">
        <f>'[7]2025'!G241</f>
        <v>0</v>
      </c>
      <c r="I241" s="13">
        <f>'[7]2025'!H241</f>
        <v>0</v>
      </c>
      <c r="J241" s="14">
        <f>'[7]2025'!I241</f>
        <v>0</v>
      </c>
      <c r="K241" s="15">
        <f>'[7]2025'!J241</f>
        <v>0</v>
      </c>
      <c r="L241" s="15">
        <f>'[7]2025'!K241</f>
        <v>0</v>
      </c>
      <c r="M241" s="15">
        <f>'[7]2025'!L241</f>
        <v>0</v>
      </c>
      <c r="N241" s="16" t="str">
        <f t="shared" si="12"/>
        <v/>
      </c>
      <c r="O241" s="17" t="str">
        <f t="shared" si="13"/>
        <v/>
      </c>
      <c r="P241" s="17" t="str">
        <f t="shared" si="13"/>
        <v/>
      </c>
      <c r="Q241" s="18" t="str">
        <f t="shared" si="14"/>
        <v/>
      </c>
      <c r="R241" s="18" t="e">
        <f t="shared" si="15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19">
        <f>CHAMNORD!B242</f>
        <v>46259</v>
      </c>
      <c r="C242" s="75" t="str">
        <f>IF(H242=0,"",'[7]2025-2026'!C241)</f>
        <v/>
      </c>
      <c r="D242" s="68" t="str">
        <f>'[7]2025'!C242</f>
        <v/>
      </c>
      <c r="E242" s="68" t="str">
        <f>'[7]2025'!D242</f>
        <v/>
      </c>
      <c r="F242" s="20" t="str">
        <f>'[7]2025'!E242</f>
        <v/>
      </c>
      <c r="G242" s="73" t="str">
        <f>'[7]2025'!F242</f>
        <v/>
      </c>
      <c r="H242" s="42">
        <f>'[7]2025'!G242</f>
        <v>0</v>
      </c>
      <c r="I242" s="13">
        <f>'[7]2025'!H242</f>
        <v>0</v>
      </c>
      <c r="J242" s="14">
        <f>'[7]2025'!I242</f>
        <v>0</v>
      </c>
      <c r="K242" s="15">
        <f>'[7]2025'!J242</f>
        <v>0</v>
      </c>
      <c r="L242" s="15">
        <f>'[7]2025'!K242</f>
        <v>0</v>
      </c>
      <c r="M242" s="15">
        <f>'[7]2025'!L242</f>
        <v>0</v>
      </c>
      <c r="N242" s="16" t="str">
        <f t="shared" si="12"/>
        <v/>
      </c>
      <c r="O242" s="17" t="str">
        <f t="shared" si="13"/>
        <v/>
      </c>
      <c r="P242" s="17" t="str">
        <f t="shared" si="13"/>
        <v/>
      </c>
      <c r="Q242" s="18" t="str">
        <f t="shared" si="14"/>
        <v/>
      </c>
      <c r="R242" s="18" t="e">
        <f t="shared" si="15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19">
        <f>CHAMNORD!B243</f>
        <v>46260</v>
      </c>
      <c r="C243" s="75" t="str">
        <f>IF(H243=0,"",'[7]2025-2026'!C242)</f>
        <v/>
      </c>
      <c r="D243" s="68" t="str">
        <f>'[7]2025'!C243</f>
        <v/>
      </c>
      <c r="E243" s="68" t="str">
        <f>'[7]2025'!D243</f>
        <v/>
      </c>
      <c r="F243" s="20" t="str">
        <f>'[7]2025'!E243</f>
        <v/>
      </c>
      <c r="G243" s="73" t="str">
        <f>'[7]2025'!F243</f>
        <v/>
      </c>
      <c r="H243" s="42">
        <f>'[7]2025'!G243</f>
        <v>0</v>
      </c>
      <c r="I243" s="13">
        <f>'[7]2025'!H243</f>
        <v>0</v>
      </c>
      <c r="J243" s="14">
        <f>'[7]2025'!I243</f>
        <v>0</v>
      </c>
      <c r="K243" s="15">
        <f>'[7]2025'!J243</f>
        <v>0</v>
      </c>
      <c r="L243" s="15">
        <f>'[7]2025'!K243</f>
        <v>0</v>
      </c>
      <c r="M243" s="15">
        <f>'[7]2025'!L243</f>
        <v>0</v>
      </c>
      <c r="N243" s="16" t="str">
        <f t="shared" si="12"/>
        <v/>
      </c>
      <c r="O243" s="17" t="str">
        <f t="shared" si="13"/>
        <v/>
      </c>
      <c r="P243" s="17" t="str">
        <f t="shared" si="13"/>
        <v/>
      </c>
      <c r="Q243" s="18" t="str">
        <f t="shared" si="14"/>
        <v/>
      </c>
      <c r="R243" s="18" t="e">
        <f t="shared" si="15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19">
        <f>CHAMNORD!B244</f>
        <v>46261</v>
      </c>
      <c r="C244" s="75" t="str">
        <f>IF(H244=0,"",'[7]2025-2026'!C243)</f>
        <v/>
      </c>
      <c r="D244" s="68" t="str">
        <f>'[7]2025'!C244</f>
        <v/>
      </c>
      <c r="E244" s="68" t="str">
        <f>'[7]2025'!D244</f>
        <v/>
      </c>
      <c r="F244" s="20" t="str">
        <f>'[7]2025'!E244</f>
        <v/>
      </c>
      <c r="G244" s="73" t="str">
        <f>'[7]2025'!F244</f>
        <v/>
      </c>
      <c r="H244" s="42">
        <f>'[7]2025'!G244</f>
        <v>0</v>
      </c>
      <c r="I244" s="13">
        <f>'[7]2025'!H244</f>
        <v>0</v>
      </c>
      <c r="J244" s="14">
        <f>'[7]2025'!I244</f>
        <v>0</v>
      </c>
      <c r="K244" s="15">
        <f>'[7]2025'!J244</f>
        <v>0</v>
      </c>
      <c r="L244" s="15">
        <f>'[7]2025'!K244</f>
        <v>0</v>
      </c>
      <c r="M244" s="15">
        <f>'[7]2025'!L244</f>
        <v>0</v>
      </c>
      <c r="N244" s="16" t="str">
        <f t="shared" si="12"/>
        <v/>
      </c>
      <c r="O244" s="17" t="str">
        <f t="shared" si="13"/>
        <v/>
      </c>
      <c r="P244" s="17" t="str">
        <f t="shared" si="13"/>
        <v/>
      </c>
      <c r="Q244" s="18" t="str">
        <f t="shared" si="14"/>
        <v/>
      </c>
      <c r="R244" s="18" t="e">
        <f t="shared" si="15"/>
        <v>#DIV/0!</v>
      </c>
      <c r="S244" s="34"/>
      <c r="T244" s="29" t="s">
        <v>8</v>
      </c>
      <c r="U244" s="1738"/>
    </row>
    <row r="245" spans="1:21">
      <c r="A245" s="10" t="s">
        <v>14</v>
      </c>
      <c r="B245" s="19">
        <f>CHAMNORD!B245</f>
        <v>46262</v>
      </c>
      <c r="C245" s="75" t="str">
        <f>IF(H245=0,"",'[7]2025-2026'!C244)</f>
        <v/>
      </c>
      <c r="D245" s="68" t="str">
        <f>'[7]2025'!C245</f>
        <v/>
      </c>
      <c r="E245" s="68" t="str">
        <f>'[7]2025'!D245</f>
        <v/>
      </c>
      <c r="F245" s="20" t="str">
        <f>'[7]2025'!E245</f>
        <v/>
      </c>
      <c r="G245" s="73" t="str">
        <f>'[7]2025'!F245</f>
        <v/>
      </c>
      <c r="H245" s="42">
        <f>'[7]2025'!G245</f>
        <v>0</v>
      </c>
      <c r="I245" s="13">
        <f>'[7]2025'!H245</f>
        <v>0</v>
      </c>
      <c r="J245" s="14">
        <f>'[7]2025'!I245</f>
        <v>0</v>
      </c>
      <c r="K245" s="15">
        <f>'[7]2025'!J245</f>
        <v>0</v>
      </c>
      <c r="L245" s="15">
        <f>'[7]2025'!K245</f>
        <v>0</v>
      </c>
      <c r="M245" s="15">
        <f>'[7]2025'!L245</f>
        <v>0</v>
      </c>
      <c r="N245" s="16" t="str">
        <f t="shared" si="12"/>
        <v/>
      </c>
      <c r="O245" s="17" t="str">
        <f t="shared" si="13"/>
        <v/>
      </c>
      <c r="P245" s="17" t="str">
        <f t="shared" si="13"/>
        <v/>
      </c>
      <c r="Q245" s="18" t="str">
        <f t="shared" si="14"/>
        <v/>
      </c>
      <c r="R245" s="18" t="e">
        <f t="shared" si="15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19">
        <f>CHAMNORD!B246</f>
        <v>46263</v>
      </c>
      <c r="C246" s="75" t="str">
        <f>IF(H246=0,"",'[7]2025-2026'!C245)</f>
        <v/>
      </c>
      <c r="D246" s="68" t="str">
        <f>'[7]2025'!C246</f>
        <v/>
      </c>
      <c r="E246" s="68" t="str">
        <f>'[7]2025'!D246</f>
        <v/>
      </c>
      <c r="F246" s="20" t="str">
        <f>'[7]2025'!E246</f>
        <v/>
      </c>
      <c r="G246" s="73" t="str">
        <f>'[7]2025'!F246</f>
        <v/>
      </c>
      <c r="H246" s="42">
        <f>'[7]2025'!G246</f>
        <v>0</v>
      </c>
      <c r="I246" s="13">
        <f>'[7]2025'!H246</f>
        <v>0</v>
      </c>
      <c r="J246" s="14">
        <f>'[7]2025'!I246</f>
        <v>0</v>
      </c>
      <c r="K246" s="15">
        <f>'[7]2025'!J246</f>
        <v>0</v>
      </c>
      <c r="L246" s="15">
        <f>'[7]2025'!K246</f>
        <v>0</v>
      </c>
      <c r="M246" s="15">
        <f>'[7]2025'!L246</f>
        <v>0</v>
      </c>
      <c r="N246" s="16" t="str">
        <f t="shared" si="12"/>
        <v/>
      </c>
      <c r="O246" s="17" t="str">
        <f t="shared" si="13"/>
        <v/>
      </c>
      <c r="P246" s="17" t="str">
        <f t="shared" si="13"/>
        <v/>
      </c>
      <c r="Q246" s="18" t="str">
        <f t="shared" si="14"/>
        <v/>
      </c>
      <c r="R246" s="18" t="e">
        <f t="shared" si="15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19">
        <f>CHAMNORD!B247</f>
        <v>46264</v>
      </c>
      <c r="C247" s="75" t="str">
        <f>IF(H247=0,"",'[7]2025-2026'!C246)</f>
        <v/>
      </c>
      <c r="D247" s="68" t="str">
        <f>'[7]2025'!C247</f>
        <v/>
      </c>
      <c r="E247" s="68" t="str">
        <f>'[7]2025'!D247</f>
        <v/>
      </c>
      <c r="F247" s="20" t="str">
        <f>'[7]2025'!E247</f>
        <v/>
      </c>
      <c r="G247" s="73" t="str">
        <f>'[7]2025'!F247</f>
        <v/>
      </c>
      <c r="H247" s="42">
        <f>'[7]2025'!G247</f>
        <v>0</v>
      </c>
      <c r="I247" s="13">
        <f>'[7]2025'!H247</f>
        <v>0</v>
      </c>
      <c r="J247" s="14">
        <f>'[7]2025'!I247</f>
        <v>0</v>
      </c>
      <c r="K247" s="15">
        <f>'[7]2025'!J247</f>
        <v>0</v>
      </c>
      <c r="L247" s="15">
        <f>'[7]2025'!K247</f>
        <v>0</v>
      </c>
      <c r="M247" s="15">
        <f>'[7]2025'!L247</f>
        <v>0</v>
      </c>
      <c r="N247" s="16" t="str">
        <f t="shared" si="12"/>
        <v/>
      </c>
      <c r="O247" s="17" t="str">
        <f t="shared" si="13"/>
        <v/>
      </c>
      <c r="P247" s="17" t="str">
        <f t="shared" si="13"/>
        <v/>
      </c>
      <c r="Q247" s="18" t="str">
        <f t="shared" si="14"/>
        <v/>
      </c>
      <c r="R247" s="18" t="e">
        <f t="shared" si="15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19">
        <f>CHAMNORD!B248</f>
        <v>46265</v>
      </c>
      <c r="C248" s="75" t="str">
        <f>IF(H248=0,"",'[7]2025-2026'!C247)</f>
        <v/>
      </c>
      <c r="D248" s="68" t="str">
        <f>'[7]2025'!C248</f>
        <v/>
      </c>
      <c r="E248" s="68" t="str">
        <f>'[7]2025'!D248</f>
        <v/>
      </c>
      <c r="F248" s="20" t="str">
        <f>'[7]2025'!E248</f>
        <v/>
      </c>
      <c r="G248" s="73" t="str">
        <f>'[7]2025'!F248</f>
        <v/>
      </c>
      <c r="H248" s="42">
        <f>'[7]2025'!G248</f>
        <v>0</v>
      </c>
      <c r="I248" s="13">
        <f>'[7]2025'!H248</f>
        <v>0</v>
      </c>
      <c r="J248" s="14">
        <f>'[7]2025'!I248</f>
        <v>0</v>
      </c>
      <c r="K248" s="15">
        <f>'[7]2025'!J248</f>
        <v>0</v>
      </c>
      <c r="L248" s="15">
        <f>'[7]2025'!K248</f>
        <v>0</v>
      </c>
      <c r="M248" s="15">
        <f>'[7]2025'!L248</f>
        <v>0</v>
      </c>
      <c r="N248" s="16" t="str">
        <f t="shared" si="12"/>
        <v/>
      </c>
      <c r="O248" s="17" t="str">
        <f t="shared" si="13"/>
        <v/>
      </c>
      <c r="P248" s="17" t="str">
        <f t="shared" si="13"/>
        <v/>
      </c>
      <c r="Q248" s="18" t="str">
        <f t="shared" si="14"/>
        <v/>
      </c>
      <c r="R248" s="18" t="e">
        <f t="shared" si="15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19">
        <f>CHAMNORD!B249</f>
        <v>46266</v>
      </c>
      <c r="C249" s="75" t="str">
        <f>IF(H249=0,"",'[7]2025-2026'!C248)</f>
        <v/>
      </c>
      <c r="D249" s="68" t="str">
        <f>'[7]2025'!C249</f>
        <v/>
      </c>
      <c r="E249" s="68" t="str">
        <f>'[7]2025'!D249</f>
        <v/>
      </c>
      <c r="F249" s="20" t="str">
        <f>'[7]2025'!E249</f>
        <v/>
      </c>
      <c r="G249" s="73" t="str">
        <f>'[7]2025'!F249</f>
        <v/>
      </c>
      <c r="H249" s="42">
        <f>'[7]2025'!G249</f>
        <v>0</v>
      </c>
      <c r="I249" s="13">
        <f>'[7]2025'!H249</f>
        <v>0</v>
      </c>
      <c r="J249" s="14">
        <f>'[7]2025'!I249</f>
        <v>0</v>
      </c>
      <c r="K249" s="15">
        <f>'[7]2025'!J249</f>
        <v>0</v>
      </c>
      <c r="L249" s="15">
        <f>'[7]2025'!K249</f>
        <v>0</v>
      </c>
      <c r="M249" s="15">
        <f>'[7]2025'!L249</f>
        <v>0</v>
      </c>
      <c r="N249" s="16" t="str">
        <f t="shared" si="12"/>
        <v/>
      </c>
      <c r="O249" s="17" t="str">
        <f t="shared" si="13"/>
        <v/>
      </c>
      <c r="P249" s="17" t="str">
        <f t="shared" si="13"/>
        <v/>
      </c>
      <c r="Q249" s="18" t="str">
        <f t="shared" si="14"/>
        <v/>
      </c>
      <c r="R249" s="18" t="e">
        <f t="shared" si="15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19">
        <f>CHAMNORD!B250</f>
        <v>46267</v>
      </c>
      <c r="C250" s="75" t="str">
        <f>IF(H250=0,"",'[7]2025-2026'!C249)</f>
        <v/>
      </c>
      <c r="D250" s="68" t="str">
        <f>'[7]2025'!C250</f>
        <v/>
      </c>
      <c r="E250" s="68" t="str">
        <f>'[7]2025'!D250</f>
        <v/>
      </c>
      <c r="F250" s="20" t="str">
        <f>'[7]2025'!E250</f>
        <v/>
      </c>
      <c r="G250" s="73" t="str">
        <f>'[7]2025'!F250</f>
        <v/>
      </c>
      <c r="H250" s="42">
        <f>'[7]2025'!G250</f>
        <v>0</v>
      </c>
      <c r="I250" s="13">
        <f>'[7]2025'!H250</f>
        <v>0</v>
      </c>
      <c r="J250" s="14">
        <f>'[7]2025'!I250</f>
        <v>0</v>
      </c>
      <c r="K250" s="15">
        <f>'[7]2025'!J250</f>
        <v>0</v>
      </c>
      <c r="L250" s="15">
        <f>'[7]2025'!K250</f>
        <v>0</v>
      </c>
      <c r="M250" s="15">
        <f>'[7]2025'!L250</f>
        <v>0</v>
      </c>
      <c r="N250" s="16" t="str">
        <f t="shared" si="12"/>
        <v/>
      </c>
      <c r="O250" s="17" t="str">
        <f t="shared" si="13"/>
        <v/>
      </c>
      <c r="P250" s="17" t="str">
        <f t="shared" si="13"/>
        <v/>
      </c>
      <c r="Q250" s="18" t="str">
        <f t="shared" si="14"/>
        <v/>
      </c>
      <c r="R250" s="18" t="e">
        <f t="shared" si="15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19">
        <f>CHAMNORD!B251</f>
        <v>46268</v>
      </c>
      <c r="C251" s="75" t="str">
        <f>IF(H251=0,"",'[7]2025-2026'!C250)</f>
        <v/>
      </c>
      <c r="D251" s="68" t="str">
        <f>'[7]2025'!C251</f>
        <v/>
      </c>
      <c r="E251" s="68" t="str">
        <f>'[7]2025'!D251</f>
        <v/>
      </c>
      <c r="F251" s="20" t="str">
        <f>'[7]2025'!E251</f>
        <v/>
      </c>
      <c r="G251" s="73" t="str">
        <f>'[7]2025'!F251</f>
        <v/>
      </c>
      <c r="H251" s="42">
        <f>'[7]2025'!G251</f>
        <v>0</v>
      </c>
      <c r="I251" s="13">
        <f>'[7]2025'!H251</f>
        <v>0</v>
      </c>
      <c r="J251" s="14">
        <f>'[7]2025'!I251</f>
        <v>0</v>
      </c>
      <c r="K251" s="15">
        <f>'[7]2025'!J251</f>
        <v>0</v>
      </c>
      <c r="L251" s="15">
        <f>'[7]2025'!K251</f>
        <v>0</v>
      </c>
      <c r="M251" s="15">
        <f>'[7]2025'!L251</f>
        <v>0</v>
      </c>
      <c r="N251" s="16" t="str">
        <f t="shared" si="12"/>
        <v/>
      </c>
      <c r="O251" s="17" t="str">
        <f t="shared" si="13"/>
        <v/>
      </c>
      <c r="P251" s="17" t="str">
        <f t="shared" si="13"/>
        <v/>
      </c>
      <c r="Q251" s="18" t="str">
        <f t="shared" si="14"/>
        <v/>
      </c>
      <c r="R251" s="18" t="e">
        <f t="shared" si="15"/>
        <v>#DIV/0!</v>
      </c>
      <c r="S251" s="34"/>
      <c r="T251" s="29" t="s">
        <v>8</v>
      </c>
      <c r="U251" s="1738"/>
    </row>
    <row r="252" spans="1:21">
      <c r="A252" s="10" t="s">
        <v>14</v>
      </c>
      <c r="B252" s="19">
        <f>CHAMNORD!B252</f>
        <v>46269</v>
      </c>
      <c r="C252" s="75" t="str">
        <f>IF(H252=0,"",'[7]2025-2026'!C251)</f>
        <v/>
      </c>
      <c r="D252" s="68" t="str">
        <f>'[7]2025'!C252</f>
        <v/>
      </c>
      <c r="E252" s="68" t="str">
        <f>'[7]2025'!D252</f>
        <v/>
      </c>
      <c r="F252" s="20" t="str">
        <f>'[7]2025'!E252</f>
        <v/>
      </c>
      <c r="G252" s="73" t="str">
        <f>'[7]2025'!F252</f>
        <v/>
      </c>
      <c r="H252" s="42">
        <f>'[7]2025'!G252</f>
        <v>0</v>
      </c>
      <c r="I252" s="13">
        <f>'[7]2025'!H252</f>
        <v>0</v>
      </c>
      <c r="J252" s="14">
        <f>'[7]2025'!I252</f>
        <v>0</v>
      </c>
      <c r="K252" s="15">
        <f>'[7]2025'!J252</f>
        <v>0</v>
      </c>
      <c r="L252" s="15">
        <f>'[7]2025'!K252</f>
        <v>0</v>
      </c>
      <c r="M252" s="15">
        <f>'[7]2025'!L252</f>
        <v>0</v>
      </c>
      <c r="N252" s="16" t="str">
        <f t="shared" si="12"/>
        <v/>
      </c>
      <c r="O252" s="17" t="str">
        <f t="shared" si="13"/>
        <v/>
      </c>
      <c r="P252" s="17" t="str">
        <f t="shared" si="13"/>
        <v/>
      </c>
      <c r="Q252" s="18" t="str">
        <f t="shared" si="14"/>
        <v/>
      </c>
      <c r="R252" s="18" t="e">
        <f t="shared" si="15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19">
        <f>CHAMNORD!B253</f>
        <v>46270</v>
      </c>
      <c r="C253" s="75" t="str">
        <f>IF(H253=0,"",'[7]2025-2026'!C252)</f>
        <v/>
      </c>
      <c r="D253" s="68" t="str">
        <f>'[7]2025'!C253</f>
        <v/>
      </c>
      <c r="E253" s="68" t="str">
        <f>'[7]2025'!D253</f>
        <v/>
      </c>
      <c r="F253" s="20" t="str">
        <f>'[7]2025'!E253</f>
        <v/>
      </c>
      <c r="G253" s="73" t="str">
        <f>'[7]2025'!F253</f>
        <v/>
      </c>
      <c r="H253" s="42">
        <f>'[7]2025'!G253</f>
        <v>0</v>
      </c>
      <c r="I253" s="13">
        <f>'[7]2025'!H253</f>
        <v>0</v>
      </c>
      <c r="J253" s="14">
        <f>'[7]2025'!I253</f>
        <v>0</v>
      </c>
      <c r="K253" s="15">
        <f>'[7]2025'!J253</f>
        <v>0</v>
      </c>
      <c r="L253" s="15">
        <f>'[7]2025'!K253</f>
        <v>0</v>
      </c>
      <c r="M253" s="15">
        <f>'[7]2025'!L253</f>
        <v>0</v>
      </c>
      <c r="N253" s="16" t="str">
        <f t="shared" si="12"/>
        <v/>
      </c>
      <c r="O253" s="17" t="str">
        <f t="shared" si="13"/>
        <v/>
      </c>
      <c r="P253" s="17" t="str">
        <f t="shared" si="13"/>
        <v/>
      </c>
      <c r="Q253" s="18" t="str">
        <f t="shared" si="14"/>
        <v/>
      </c>
      <c r="R253" s="18" t="e">
        <f t="shared" si="15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19">
        <f>CHAMNORD!B254</f>
        <v>46271</v>
      </c>
      <c r="C254" s="75" t="str">
        <f>IF(H254=0,"",'[7]2025-2026'!C253)</f>
        <v/>
      </c>
      <c r="D254" s="68" t="str">
        <f>'[7]2025'!C254</f>
        <v/>
      </c>
      <c r="E254" s="68" t="str">
        <f>'[7]2025'!D254</f>
        <v/>
      </c>
      <c r="F254" s="20" t="str">
        <f>'[7]2025'!E254</f>
        <v/>
      </c>
      <c r="G254" s="73" t="str">
        <f>'[7]2025'!F254</f>
        <v/>
      </c>
      <c r="H254" s="42">
        <f>'[7]2025'!G254</f>
        <v>0</v>
      </c>
      <c r="I254" s="13">
        <f>'[7]2025'!H254</f>
        <v>0</v>
      </c>
      <c r="J254" s="14">
        <f>'[7]2025'!I254</f>
        <v>0</v>
      </c>
      <c r="K254" s="15">
        <f>'[7]2025'!J254</f>
        <v>0</v>
      </c>
      <c r="L254" s="15">
        <f>'[7]2025'!K254</f>
        <v>0</v>
      </c>
      <c r="M254" s="15">
        <f>'[7]2025'!L254</f>
        <v>0</v>
      </c>
      <c r="N254" s="16" t="str">
        <f t="shared" si="12"/>
        <v/>
      </c>
      <c r="O254" s="17" t="str">
        <f t="shared" si="13"/>
        <v/>
      </c>
      <c r="P254" s="17" t="str">
        <f t="shared" si="13"/>
        <v/>
      </c>
      <c r="Q254" s="18" t="str">
        <f t="shared" si="14"/>
        <v/>
      </c>
      <c r="R254" s="18" t="e">
        <f t="shared" si="15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19">
        <f>CHAMNORD!B255</f>
        <v>46272</v>
      </c>
      <c r="C255" s="75" t="str">
        <f>IF(H255=0,"",'[7]2025-2026'!C254)</f>
        <v/>
      </c>
      <c r="D255" s="68" t="str">
        <f>'[7]2025'!C255</f>
        <v/>
      </c>
      <c r="E255" s="68" t="str">
        <f>'[7]2025'!D255</f>
        <v/>
      </c>
      <c r="F255" s="20" t="str">
        <f>'[7]2025'!E255</f>
        <v/>
      </c>
      <c r="G255" s="73" t="str">
        <f>'[7]2025'!F255</f>
        <v/>
      </c>
      <c r="H255" s="42">
        <f>'[7]2025'!G255</f>
        <v>0</v>
      </c>
      <c r="I255" s="13">
        <f>'[7]2025'!H255</f>
        <v>0</v>
      </c>
      <c r="J255" s="14">
        <f>'[7]2025'!I255</f>
        <v>0</v>
      </c>
      <c r="K255" s="15">
        <f>'[7]2025'!J255</f>
        <v>0</v>
      </c>
      <c r="L255" s="15">
        <f>'[7]2025'!K255</f>
        <v>0</v>
      </c>
      <c r="M255" s="15">
        <f>'[7]2025'!L255</f>
        <v>0</v>
      </c>
      <c r="N255" s="16" t="str">
        <f t="shared" si="12"/>
        <v/>
      </c>
      <c r="O255" s="17" t="str">
        <f t="shared" si="13"/>
        <v/>
      </c>
      <c r="P255" s="17" t="str">
        <f t="shared" si="13"/>
        <v/>
      </c>
      <c r="Q255" s="18" t="str">
        <f t="shared" si="14"/>
        <v/>
      </c>
      <c r="R255" s="18" t="e">
        <f t="shared" si="15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19">
        <f>CHAMNORD!B256</f>
        <v>46273</v>
      </c>
      <c r="C256" s="75" t="str">
        <f>IF(H256=0,"",'[7]2025-2026'!C255)</f>
        <v/>
      </c>
      <c r="D256" s="68" t="str">
        <f>'[7]2025'!C256</f>
        <v/>
      </c>
      <c r="E256" s="68" t="str">
        <f>'[7]2025'!D256</f>
        <v/>
      </c>
      <c r="F256" s="20" t="str">
        <f>'[7]2025'!E256</f>
        <v/>
      </c>
      <c r="G256" s="73" t="str">
        <f>'[7]2025'!F256</f>
        <v/>
      </c>
      <c r="H256" s="42">
        <f>'[7]2025'!G256</f>
        <v>0</v>
      </c>
      <c r="I256" s="13">
        <f>'[7]2025'!H256</f>
        <v>0</v>
      </c>
      <c r="J256" s="14">
        <f>'[7]2025'!I256</f>
        <v>0</v>
      </c>
      <c r="K256" s="15">
        <f>'[7]2025'!J256</f>
        <v>0</v>
      </c>
      <c r="L256" s="15">
        <f>'[7]2025'!K256</f>
        <v>0</v>
      </c>
      <c r="M256" s="15">
        <f>'[7]2025'!L256</f>
        <v>0</v>
      </c>
      <c r="N256" s="16" t="str">
        <f t="shared" si="12"/>
        <v/>
      </c>
      <c r="O256" s="17" t="str">
        <f t="shared" si="13"/>
        <v/>
      </c>
      <c r="P256" s="17" t="str">
        <f t="shared" si="13"/>
        <v/>
      </c>
      <c r="Q256" s="18" t="str">
        <f t="shared" si="14"/>
        <v/>
      </c>
      <c r="R256" s="18" t="e">
        <f t="shared" si="15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19">
        <f>CHAMNORD!B257</f>
        <v>46274</v>
      </c>
      <c r="C257" s="75" t="str">
        <f>IF(H257=0,"",'[7]2025-2026'!C256)</f>
        <v/>
      </c>
      <c r="D257" s="68" t="str">
        <f>'[7]2025'!C257</f>
        <v/>
      </c>
      <c r="E257" s="68" t="str">
        <f>'[7]2025'!D257</f>
        <v/>
      </c>
      <c r="F257" s="20" t="str">
        <f>'[7]2025'!E257</f>
        <v/>
      </c>
      <c r="G257" s="73" t="str">
        <f>'[7]2025'!F257</f>
        <v/>
      </c>
      <c r="H257" s="42">
        <f>'[7]2025'!G257</f>
        <v>0</v>
      </c>
      <c r="I257" s="13">
        <f>'[7]2025'!H257</f>
        <v>0</v>
      </c>
      <c r="J257" s="14">
        <f>'[7]2025'!I257</f>
        <v>0</v>
      </c>
      <c r="K257" s="15">
        <f>'[7]2025'!J257</f>
        <v>0</v>
      </c>
      <c r="L257" s="15">
        <f>'[7]2025'!K257</f>
        <v>0</v>
      </c>
      <c r="M257" s="15">
        <f>'[7]2025'!L257</f>
        <v>0</v>
      </c>
      <c r="N257" s="16" t="str">
        <f t="shared" si="12"/>
        <v/>
      </c>
      <c r="O257" s="17" t="str">
        <f t="shared" si="13"/>
        <v/>
      </c>
      <c r="P257" s="17" t="str">
        <f t="shared" si="13"/>
        <v/>
      </c>
      <c r="Q257" s="18" t="str">
        <f t="shared" si="14"/>
        <v/>
      </c>
      <c r="R257" s="18" t="e">
        <f t="shared" si="15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19">
        <f>CHAMNORD!B258</f>
        <v>46275</v>
      </c>
      <c r="C258" s="75" t="str">
        <f>IF(H258=0,"",'[7]2025-2026'!C257)</f>
        <v/>
      </c>
      <c r="D258" s="68" t="str">
        <f>'[7]2025'!C258</f>
        <v/>
      </c>
      <c r="E258" s="68" t="str">
        <f>'[7]2025'!D258</f>
        <v/>
      </c>
      <c r="F258" s="20" t="str">
        <f>'[7]2025'!E258</f>
        <v/>
      </c>
      <c r="G258" s="73" t="str">
        <f>'[7]2025'!F258</f>
        <v/>
      </c>
      <c r="H258" s="42">
        <f>'[7]2025'!G258</f>
        <v>0</v>
      </c>
      <c r="I258" s="13">
        <f>'[7]2025'!H258</f>
        <v>0</v>
      </c>
      <c r="J258" s="14">
        <f>'[7]2025'!I258</f>
        <v>0</v>
      </c>
      <c r="K258" s="15">
        <f>'[7]2025'!J258</f>
        <v>0</v>
      </c>
      <c r="L258" s="15">
        <f>'[7]2025'!K258</f>
        <v>0</v>
      </c>
      <c r="M258" s="15">
        <f>'[7]2025'!L258</f>
        <v>0</v>
      </c>
      <c r="N258" s="16" t="str">
        <f t="shared" si="12"/>
        <v/>
      </c>
      <c r="O258" s="17" t="str">
        <f t="shared" si="13"/>
        <v/>
      </c>
      <c r="P258" s="17" t="str">
        <f t="shared" si="13"/>
        <v/>
      </c>
      <c r="Q258" s="18" t="str">
        <f t="shared" si="14"/>
        <v/>
      </c>
      <c r="R258" s="18" t="e">
        <f t="shared" si="15"/>
        <v>#DIV/0!</v>
      </c>
      <c r="S258" s="34"/>
      <c r="T258" s="29" t="s">
        <v>8</v>
      </c>
      <c r="U258" s="1738"/>
    </row>
    <row r="259" spans="1:21">
      <c r="A259" s="10" t="s">
        <v>14</v>
      </c>
      <c r="B259" s="19">
        <f>CHAMNORD!B259</f>
        <v>46276</v>
      </c>
      <c r="C259" s="75" t="str">
        <f>IF(H259=0,"",'[7]2025-2026'!C258)</f>
        <v/>
      </c>
      <c r="D259" s="68" t="str">
        <f>'[7]2025'!C259</f>
        <v/>
      </c>
      <c r="E259" s="68" t="str">
        <f>'[7]2025'!D259</f>
        <v/>
      </c>
      <c r="F259" s="20" t="str">
        <f>'[7]2025'!E259</f>
        <v/>
      </c>
      <c r="G259" s="73" t="str">
        <f>'[7]2025'!F259</f>
        <v/>
      </c>
      <c r="H259" s="42">
        <f>'[7]2025'!G259</f>
        <v>0</v>
      </c>
      <c r="I259" s="13">
        <f>'[7]2025'!H259</f>
        <v>0</v>
      </c>
      <c r="J259" s="14">
        <f>'[7]2025'!I259</f>
        <v>0</v>
      </c>
      <c r="K259" s="15">
        <f>'[7]2025'!J259</f>
        <v>0</v>
      </c>
      <c r="L259" s="15">
        <f>'[7]2025'!K259</f>
        <v>0</v>
      </c>
      <c r="M259" s="15">
        <f>'[7]2025'!L259</f>
        <v>0</v>
      </c>
      <c r="N259" s="16" t="str">
        <f t="shared" si="12"/>
        <v/>
      </c>
      <c r="O259" s="17" t="str">
        <f t="shared" si="13"/>
        <v/>
      </c>
      <c r="P259" s="17" t="str">
        <f t="shared" si="13"/>
        <v/>
      </c>
      <c r="Q259" s="18" t="str">
        <f t="shared" si="14"/>
        <v/>
      </c>
      <c r="R259" s="18" t="e">
        <f t="shared" si="15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19">
        <f>CHAMNORD!B260</f>
        <v>46277</v>
      </c>
      <c r="C260" s="75" t="str">
        <f>IF(H260=0,"",'[7]2025-2026'!C259)</f>
        <v/>
      </c>
      <c r="D260" s="68" t="str">
        <f>'[7]2025'!C260</f>
        <v/>
      </c>
      <c r="E260" s="68" t="str">
        <f>'[7]2025'!D260</f>
        <v/>
      </c>
      <c r="F260" s="20" t="str">
        <f>'[7]2025'!E260</f>
        <v/>
      </c>
      <c r="G260" s="73" t="str">
        <f>'[7]2025'!F260</f>
        <v/>
      </c>
      <c r="H260" s="42">
        <f>'[7]2025'!G260</f>
        <v>0</v>
      </c>
      <c r="I260" s="13">
        <f>'[7]2025'!H260</f>
        <v>0</v>
      </c>
      <c r="J260" s="14">
        <f>'[7]2025'!I260</f>
        <v>0</v>
      </c>
      <c r="K260" s="15">
        <f>'[7]2025'!J260</f>
        <v>0</v>
      </c>
      <c r="L260" s="15">
        <f>'[7]2025'!K260</f>
        <v>0</v>
      </c>
      <c r="M260" s="15">
        <f>'[7]2025'!L260</f>
        <v>0</v>
      </c>
      <c r="N260" s="16" t="str">
        <f t="shared" ref="N260:N323" si="16">IF(M260=0,"",M260/I260)</f>
        <v/>
      </c>
      <c r="O260" s="17" t="str">
        <f t="shared" ref="O260:P323" si="17">IF(I260=0,"",(I260-E260)/E260)</f>
        <v/>
      </c>
      <c r="P260" s="17" t="str">
        <f t="shared" si="17"/>
        <v/>
      </c>
      <c r="Q260" s="18" t="str">
        <f t="shared" ref="Q260:Q323" si="18">IF(I260=0,"",I260/K260)</f>
        <v/>
      </c>
      <c r="R260" s="18" t="e">
        <f t="shared" ref="R260:R323" si="19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19">
        <f>CHAMNORD!B261</f>
        <v>46278</v>
      </c>
      <c r="C261" s="75" t="str">
        <f>IF(H261=0,"",'[7]2025-2026'!C260)</f>
        <v/>
      </c>
      <c r="D261" s="68" t="str">
        <f>'[7]2025'!C261</f>
        <v/>
      </c>
      <c r="E261" s="68" t="str">
        <f>'[7]2025'!D261</f>
        <v/>
      </c>
      <c r="F261" s="20" t="str">
        <f>'[7]2025'!E261</f>
        <v/>
      </c>
      <c r="G261" s="73" t="str">
        <f>'[7]2025'!F261</f>
        <v/>
      </c>
      <c r="H261" s="42">
        <f>'[7]2025'!G261</f>
        <v>0</v>
      </c>
      <c r="I261" s="13">
        <f>'[7]2025'!H261</f>
        <v>0</v>
      </c>
      <c r="J261" s="14">
        <f>'[7]2025'!I261</f>
        <v>0</v>
      </c>
      <c r="K261" s="15">
        <f>'[7]2025'!J261</f>
        <v>0</v>
      </c>
      <c r="L261" s="15">
        <f>'[7]2025'!K261</f>
        <v>0</v>
      </c>
      <c r="M261" s="15">
        <f>'[7]2025'!L261</f>
        <v>0</v>
      </c>
      <c r="N261" s="16" t="str">
        <f t="shared" si="16"/>
        <v/>
      </c>
      <c r="O261" s="17" t="str">
        <f t="shared" si="17"/>
        <v/>
      </c>
      <c r="P261" s="17" t="str">
        <f t="shared" si="17"/>
        <v/>
      </c>
      <c r="Q261" s="18" t="str">
        <f t="shared" si="18"/>
        <v/>
      </c>
      <c r="R261" s="18" t="e">
        <f t="shared" si="19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19">
        <f>CHAMNORD!B262</f>
        <v>46279</v>
      </c>
      <c r="C262" s="75" t="str">
        <f>IF(H262=0,"",'[7]2025-2026'!C261)</f>
        <v/>
      </c>
      <c r="D262" s="68" t="str">
        <f>'[7]2025'!C262</f>
        <v/>
      </c>
      <c r="E262" s="68" t="str">
        <f>'[7]2025'!D262</f>
        <v/>
      </c>
      <c r="F262" s="20" t="str">
        <f>'[7]2025'!E262</f>
        <v/>
      </c>
      <c r="G262" s="73" t="str">
        <f>'[7]2025'!F262</f>
        <v/>
      </c>
      <c r="H262" s="42">
        <f>'[7]2025'!G262</f>
        <v>0</v>
      </c>
      <c r="I262" s="13">
        <f>'[7]2025'!H262</f>
        <v>0</v>
      </c>
      <c r="J262" s="14">
        <f>'[7]2025'!I262</f>
        <v>0</v>
      </c>
      <c r="K262" s="15">
        <f>'[7]2025'!J262</f>
        <v>0</v>
      </c>
      <c r="L262" s="15">
        <f>'[7]2025'!K262</f>
        <v>0</v>
      </c>
      <c r="M262" s="15">
        <f>'[7]2025'!L262</f>
        <v>0</v>
      </c>
      <c r="N262" s="16" t="str">
        <f t="shared" si="16"/>
        <v/>
      </c>
      <c r="O262" s="17" t="str">
        <f t="shared" si="17"/>
        <v/>
      </c>
      <c r="P262" s="17" t="str">
        <f t="shared" si="17"/>
        <v/>
      </c>
      <c r="Q262" s="18" t="str">
        <f t="shared" si="18"/>
        <v/>
      </c>
      <c r="R262" s="18" t="e">
        <f t="shared" si="19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19">
        <f>CHAMNORD!B263</f>
        <v>46280</v>
      </c>
      <c r="C263" s="75" t="str">
        <f>IF(H263=0,"",'[7]2025-2026'!C262)</f>
        <v/>
      </c>
      <c r="D263" s="68" t="str">
        <f>'[7]2025'!C263</f>
        <v/>
      </c>
      <c r="E263" s="68" t="str">
        <f>'[7]2025'!D263</f>
        <v/>
      </c>
      <c r="F263" s="20" t="str">
        <f>'[7]2025'!E263</f>
        <v/>
      </c>
      <c r="G263" s="73" t="str">
        <f>'[7]2025'!F263</f>
        <v/>
      </c>
      <c r="H263" s="42">
        <f>'[7]2025'!G263</f>
        <v>0</v>
      </c>
      <c r="I263" s="13">
        <f>'[7]2025'!H263</f>
        <v>0</v>
      </c>
      <c r="J263" s="14">
        <f>'[7]2025'!I263</f>
        <v>0</v>
      </c>
      <c r="K263" s="15">
        <f>'[7]2025'!J263</f>
        <v>0</v>
      </c>
      <c r="L263" s="15">
        <f>'[7]2025'!K263</f>
        <v>0</v>
      </c>
      <c r="M263" s="15">
        <f>'[7]2025'!L263</f>
        <v>0</v>
      </c>
      <c r="N263" s="16" t="str">
        <f t="shared" si="16"/>
        <v/>
      </c>
      <c r="O263" s="17" t="str">
        <f t="shared" si="17"/>
        <v/>
      </c>
      <c r="P263" s="17" t="str">
        <f t="shared" si="17"/>
        <v/>
      </c>
      <c r="Q263" s="18" t="str">
        <f t="shared" si="18"/>
        <v/>
      </c>
      <c r="R263" s="18" t="e">
        <f t="shared" si="19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19">
        <f>CHAMNORD!B264</f>
        <v>46281</v>
      </c>
      <c r="C264" s="75" t="str">
        <f>IF(H264=0,"",'[7]2025-2026'!C263)</f>
        <v/>
      </c>
      <c r="D264" s="68" t="str">
        <f>'[7]2025'!C264</f>
        <v/>
      </c>
      <c r="E264" s="68" t="str">
        <f>'[7]2025'!D264</f>
        <v/>
      </c>
      <c r="F264" s="20" t="str">
        <f>'[7]2025'!E264</f>
        <v/>
      </c>
      <c r="G264" s="73" t="str">
        <f>'[7]2025'!F264</f>
        <v/>
      </c>
      <c r="H264" s="42">
        <f>'[7]2025'!G264</f>
        <v>0</v>
      </c>
      <c r="I264" s="13">
        <f>'[7]2025'!H264</f>
        <v>0</v>
      </c>
      <c r="J264" s="14">
        <f>'[7]2025'!I264</f>
        <v>0</v>
      </c>
      <c r="K264" s="15">
        <f>'[7]2025'!J264</f>
        <v>0</v>
      </c>
      <c r="L264" s="15">
        <f>'[7]2025'!K264</f>
        <v>0</v>
      </c>
      <c r="M264" s="15">
        <f>'[7]2025'!L264</f>
        <v>0</v>
      </c>
      <c r="N264" s="16" t="str">
        <f t="shared" si="16"/>
        <v/>
      </c>
      <c r="O264" s="17" t="str">
        <f t="shared" si="17"/>
        <v/>
      </c>
      <c r="P264" s="17" t="str">
        <f t="shared" si="17"/>
        <v/>
      </c>
      <c r="Q264" s="18" t="str">
        <f t="shared" si="18"/>
        <v/>
      </c>
      <c r="R264" s="18" t="e">
        <f t="shared" si="19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19">
        <f>CHAMNORD!B265</f>
        <v>46282</v>
      </c>
      <c r="C265" s="75" t="str">
        <f>IF(H265=0,"",'[7]2025-2026'!C264)</f>
        <v/>
      </c>
      <c r="D265" s="68" t="str">
        <f>'[7]2025'!C265</f>
        <v/>
      </c>
      <c r="E265" s="68" t="str">
        <f>'[7]2025'!D265</f>
        <v/>
      </c>
      <c r="F265" s="20" t="str">
        <f>'[7]2025'!E265</f>
        <v/>
      </c>
      <c r="G265" s="73" t="str">
        <f>'[7]2025'!F265</f>
        <v/>
      </c>
      <c r="H265" s="42">
        <f>'[7]2025'!G265</f>
        <v>0</v>
      </c>
      <c r="I265" s="13">
        <f>'[7]2025'!H265</f>
        <v>0</v>
      </c>
      <c r="J265" s="14">
        <f>'[7]2025'!I265</f>
        <v>0</v>
      </c>
      <c r="K265" s="15">
        <f>'[7]2025'!J265</f>
        <v>0</v>
      </c>
      <c r="L265" s="15">
        <f>'[7]2025'!K265</f>
        <v>0</v>
      </c>
      <c r="M265" s="15">
        <f>'[7]2025'!L265</f>
        <v>0</v>
      </c>
      <c r="N265" s="16" t="str">
        <f t="shared" si="16"/>
        <v/>
      </c>
      <c r="O265" s="17" t="str">
        <f t="shared" si="17"/>
        <v/>
      </c>
      <c r="P265" s="17" t="str">
        <f t="shared" si="17"/>
        <v/>
      </c>
      <c r="Q265" s="18" t="str">
        <f t="shared" si="18"/>
        <v/>
      </c>
      <c r="R265" s="18" t="e">
        <f t="shared" si="19"/>
        <v>#DIV/0!</v>
      </c>
      <c r="S265" s="34"/>
      <c r="T265" s="29" t="s">
        <v>8</v>
      </c>
      <c r="U265" s="1738"/>
    </row>
    <row r="266" spans="1:21">
      <c r="A266" s="10" t="s">
        <v>14</v>
      </c>
      <c r="B266" s="19">
        <f>CHAMNORD!B266</f>
        <v>46283</v>
      </c>
      <c r="C266" s="75" t="str">
        <f>IF(H266=0,"",'[7]2025-2026'!C265)</f>
        <v/>
      </c>
      <c r="D266" s="68" t="str">
        <f>'[7]2025'!C266</f>
        <v/>
      </c>
      <c r="E266" s="68" t="str">
        <f>'[7]2025'!D266</f>
        <v/>
      </c>
      <c r="F266" s="20" t="str">
        <f>'[7]2025'!E266</f>
        <v/>
      </c>
      <c r="G266" s="73" t="str">
        <f>'[7]2025'!F266</f>
        <v/>
      </c>
      <c r="H266" s="42">
        <f>'[7]2025'!G266</f>
        <v>0</v>
      </c>
      <c r="I266" s="13">
        <f>'[7]2025'!H266</f>
        <v>0</v>
      </c>
      <c r="J266" s="14">
        <f>'[7]2025'!I266</f>
        <v>0</v>
      </c>
      <c r="K266" s="15">
        <f>'[7]2025'!J266</f>
        <v>0</v>
      </c>
      <c r="L266" s="15">
        <f>'[7]2025'!K266</f>
        <v>0</v>
      </c>
      <c r="M266" s="15">
        <f>'[7]2025'!L266</f>
        <v>0</v>
      </c>
      <c r="N266" s="16" t="str">
        <f t="shared" si="16"/>
        <v/>
      </c>
      <c r="O266" s="17" t="str">
        <f t="shared" si="17"/>
        <v/>
      </c>
      <c r="P266" s="17" t="str">
        <f t="shared" si="17"/>
        <v/>
      </c>
      <c r="Q266" s="18" t="str">
        <f t="shared" si="18"/>
        <v/>
      </c>
      <c r="R266" s="18" t="e">
        <f t="shared" si="19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19">
        <f>CHAMNORD!B267</f>
        <v>46284</v>
      </c>
      <c r="C267" s="75" t="str">
        <f>IF(H267=0,"",'[7]2025-2026'!C266)</f>
        <v/>
      </c>
      <c r="D267" s="68" t="str">
        <f>'[7]2025'!C267</f>
        <v/>
      </c>
      <c r="E267" s="68" t="str">
        <f>'[7]2025'!D267</f>
        <v/>
      </c>
      <c r="F267" s="20" t="str">
        <f>'[7]2025'!E267</f>
        <v/>
      </c>
      <c r="G267" s="73" t="str">
        <f>'[7]2025'!F267</f>
        <v/>
      </c>
      <c r="H267" s="42">
        <f>'[7]2025'!G267</f>
        <v>0</v>
      </c>
      <c r="I267" s="13">
        <f>'[7]2025'!H267</f>
        <v>0</v>
      </c>
      <c r="J267" s="14">
        <f>'[7]2025'!I267</f>
        <v>0</v>
      </c>
      <c r="K267" s="15">
        <f>'[7]2025'!J267</f>
        <v>0</v>
      </c>
      <c r="L267" s="15">
        <f>'[7]2025'!K267</f>
        <v>0</v>
      </c>
      <c r="M267" s="15">
        <f>'[7]2025'!L267</f>
        <v>0</v>
      </c>
      <c r="N267" s="16" t="str">
        <f t="shared" si="16"/>
        <v/>
      </c>
      <c r="O267" s="17" t="str">
        <f t="shared" si="17"/>
        <v/>
      </c>
      <c r="P267" s="17" t="str">
        <f t="shared" si="17"/>
        <v/>
      </c>
      <c r="Q267" s="18" t="str">
        <f t="shared" si="18"/>
        <v/>
      </c>
      <c r="R267" s="18" t="e">
        <f t="shared" si="19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19">
        <f>CHAMNORD!B268</f>
        <v>46285</v>
      </c>
      <c r="C268" s="75" t="str">
        <f>IF(H268=0,"",'[7]2025-2026'!C267)</f>
        <v/>
      </c>
      <c r="D268" s="68" t="str">
        <f>'[7]2025'!C268</f>
        <v/>
      </c>
      <c r="E268" s="68" t="str">
        <f>'[7]2025'!D268</f>
        <v/>
      </c>
      <c r="F268" s="20" t="str">
        <f>'[7]2025'!E268</f>
        <v/>
      </c>
      <c r="G268" s="73" t="str">
        <f>'[7]2025'!F268</f>
        <v/>
      </c>
      <c r="H268" s="42">
        <f>'[7]2025'!G268</f>
        <v>0</v>
      </c>
      <c r="I268" s="13">
        <f>'[7]2025'!H268</f>
        <v>0</v>
      </c>
      <c r="J268" s="14">
        <f>'[7]2025'!I268</f>
        <v>0</v>
      </c>
      <c r="K268" s="15">
        <f>'[7]2025'!J268</f>
        <v>0</v>
      </c>
      <c r="L268" s="15">
        <f>'[7]2025'!K268</f>
        <v>0</v>
      </c>
      <c r="M268" s="15">
        <f>'[7]2025'!L268</f>
        <v>0</v>
      </c>
      <c r="N268" s="16" t="str">
        <f t="shared" si="16"/>
        <v/>
      </c>
      <c r="O268" s="17" t="str">
        <f t="shared" si="17"/>
        <v/>
      </c>
      <c r="P268" s="17" t="str">
        <f t="shared" si="17"/>
        <v/>
      </c>
      <c r="Q268" s="18" t="str">
        <f t="shared" si="18"/>
        <v/>
      </c>
      <c r="R268" s="18" t="e">
        <f t="shared" si="19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19">
        <f>CHAMNORD!B269</f>
        <v>46286</v>
      </c>
      <c r="C269" s="75" t="str">
        <f>IF(H269=0,"",'[7]2025-2026'!C268)</f>
        <v/>
      </c>
      <c r="D269" s="68" t="str">
        <f>'[7]2025'!C269</f>
        <v/>
      </c>
      <c r="E269" s="68" t="str">
        <f>'[7]2025'!D269</f>
        <v/>
      </c>
      <c r="F269" s="20" t="str">
        <f>'[7]2025'!E269</f>
        <v/>
      </c>
      <c r="G269" s="73" t="str">
        <f>'[7]2025'!F269</f>
        <v/>
      </c>
      <c r="H269" s="42">
        <f>'[7]2025'!G269</f>
        <v>0</v>
      </c>
      <c r="I269" s="13">
        <f>'[7]2025'!H269</f>
        <v>0</v>
      </c>
      <c r="J269" s="14">
        <f>'[7]2025'!I269</f>
        <v>0</v>
      </c>
      <c r="K269" s="15">
        <f>'[7]2025'!J269</f>
        <v>0</v>
      </c>
      <c r="L269" s="15">
        <f>'[7]2025'!K269</f>
        <v>0</v>
      </c>
      <c r="M269" s="15">
        <f>'[7]2025'!L269</f>
        <v>0</v>
      </c>
      <c r="N269" s="16" t="str">
        <f t="shared" si="16"/>
        <v/>
      </c>
      <c r="O269" s="17" t="str">
        <f t="shared" si="17"/>
        <v/>
      </c>
      <c r="P269" s="17" t="str">
        <f t="shared" si="17"/>
        <v/>
      </c>
      <c r="Q269" s="18" t="str">
        <f t="shared" si="18"/>
        <v/>
      </c>
      <c r="R269" s="18" t="e">
        <f t="shared" si="19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19">
        <f>CHAMNORD!B270</f>
        <v>46287</v>
      </c>
      <c r="C270" s="75" t="str">
        <f>IF(H270=0,"",'[7]2025-2026'!C269)</f>
        <v/>
      </c>
      <c r="D270" s="68" t="str">
        <f>'[7]2025'!C270</f>
        <v/>
      </c>
      <c r="E270" s="68" t="str">
        <f>'[7]2025'!D270</f>
        <v/>
      </c>
      <c r="F270" s="20" t="str">
        <f>'[7]2025'!E270</f>
        <v/>
      </c>
      <c r="G270" s="73" t="str">
        <f>'[7]2025'!F270</f>
        <v/>
      </c>
      <c r="H270" s="42">
        <f>'[7]2025'!G270</f>
        <v>0</v>
      </c>
      <c r="I270" s="13">
        <f>'[7]2025'!H270</f>
        <v>0</v>
      </c>
      <c r="J270" s="14">
        <f>'[7]2025'!I270</f>
        <v>0</v>
      </c>
      <c r="K270" s="15">
        <f>'[7]2025'!J270</f>
        <v>0</v>
      </c>
      <c r="L270" s="15">
        <f>'[7]2025'!K270</f>
        <v>0</v>
      </c>
      <c r="M270" s="15">
        <f>'[7]2025'!L270</f>
        <v>0</v>
      </c>
      <c r="N270" s="16" t="str">
        <f t="shared" si="16"/>
        <v/>
      </c>
      <c r="O270" s="17" t="str">
        <f t="shared" si="17"/>
        <v/>
      </c>
      <c r="P270" s="17" t="str">
        <f t="shared" si="17"/>
        <v/>
      </c>
      <c r="Q270" s="18" t="str">
        <f t="shared" si="18"/>
        <v/>
      </c>
      <c r="R270" s="18" t="e">
        <f t="shared" si="19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19">
        <f>CHAMNORD!B271</f>
        <v>46288</v>
      </c>
      <c r="C271" s="75" t="str">
        <f>IF(H271=0,"",'[7]2025-2026'!C270)</f>
        <v/>
      </c>
      <c r="D271" s="68" t="str">
        <f>'[7]2025'!C271</f>
        <v/>
      </c>
      <c r="E271" s="68" t="str">
        <f>'[7]2025'!D271</f>
        <v/>
      </c>
      <c r="F271" s="20" t="str">
        <f>'[7]2025'!E271</f>
        <v/>
      </c>
      <c r="G271" s="73" t="str">
        <f>'[7]2025'!F271</f>
        <v/>
      </c>
      <c r="H271" s="42">
        <f>'[7]2025'!G271</f>
        <v>0</v>
      </c>
      <c r="I271" s="13">
        <f>'[7]2025'!H271</f>
        <v>0</v>
      </c>
      <c r="J271" s="14">
        <f>'[7]2025'!I271</f>
        <v>0</v>
      </c>
      <c r="K271" s="15">
        <f>'[7]2025'!J271</f>
        <v>0</v>
      </c>
      <c r="L271" s="15">
        <f>'[7]2025'!K271</f>
        <v>0</v>
      </c>
      <c r="M271" s="15">
        <f>'[7]2025'!L271</f>
        <v>0</v>
      </c>
      <c r="N271" s="16" t="str">
        <f t="shared" si="16"/>
        <v/>
      </c>
      <c r="O271" s="17" t="str">
        <f t="shared" si="17"/>
        <v/>
      </c>
      <c r="P271" s="17" t="str">
        <f t="shared" si="17"/>
        <v/>
      </c>
      <c r="Q271" s="18" t="str">
        <f t="shared" si="18"/>
        <v/>
      </c>
      <c r="R271" s="18" t="e">
        <f t="shared" si="19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19">
        <f>CHAMNORD!B272</f>
        <v>46289</v>
      </c>
      <c r="C272" s="75" t="str">
        <f>IF(H272=0,"",'[7]2025-2026'!C271)</f>
        <v/>
      </c>
      <c r="D272" s="68" t="str">
        <f>'[7]2025'!C272</f>
        <v/>
      </c>
      <c r="E272" s="68" t="str">
        <f>'[7]2025'!D272</f>
        <v/>
      </c>
      <c r="F272" s="20" t="str">
        <f>'[7]2025'!E272</f>
        <v/>
      </c>
      <c r="G272" s="73" t="str">
        <f>'[7]2025'!F272</f>
        <v/>
      </c>
      <c r="H272" s="42">
        <f>'[7]2025'!G272</f>
        <v>0</v>
      </c>
      <c r="I272" s="13">
        <f>'[7]2025'!H272</f>
        <v>0</v>
      </c>
      <c r="J272" s="14">
        <f>'[7]2025'!I272</f>
        <v>0</v>
      </c>
      <c r="K272" s="15">
        <f>'[7]2025'!J272</f>
        <v>0</v>
      </c>
      <c r="L272" s="15">
        <f>'[7]2025'!K272</f>
        <v>0</v>
      </c>
      <c r="M272" s="15">
        <f>'[7]2025'!L272</f>
        <v>0</v>
      </c>
      <c r="N272" s="16" t="str">
        <f t="shared" si="16"/>
        <v/>
      </c>
      <c r="O272" s="17" t="str">
        <f t="shared" si="17"/>
        <v/>
      </c>
      <c r="P272" s="17" t="str">
        <f t="shared" si="17"/>
        <v/>
      </c>
      <c r="Q272" s="18" t="str">
        <f t="shared" si="18"/>
        <v/>
      </c>
      <c r="R272" s="18" t="e">
        <f t="shared" si="19"/>
        <v>#DIV/0!</v>
      </c>
      <c r="S272" s="34"/>
      <c r="T272" s="29" t="s">
        <v>8</v>
      </c>
      <c r="U272" s="1738"/>
    </row>
    <row r="273" spans="1:21">
      <c r="A273" s="10" t="s">
        <v>14</v>
      </c>
      <c r="B273" s="19">
        <f>CHAMNORD!B273</f>
        <v>46290</v>
      </c>
      <c r="C273" s="75" t="str">
        <f>IF(H273=0,"",'[7]2025-2026'!C272)</f>
        <v/>
      </c>
      <c r="D273" s="68" t="str">
        <f>'[7]2025'!C273</f>
        <v/>
      </c>
      <c r="E273" s="68" t="str">
        <f>'[7]2025'!D273</f>
        <v/>
      </c>
      <c r="F273" s="20" t="str">
        <f>'[7]2025'!E273</f>
        <v/>
      </c>
      <c r="G273" s="73" t="str">
        <f>'[7]2025'!F273</f>
        <v/>
      </c>
      <c r="H273" s="42">
        <f>'[7]2025'!G273</f>
        <v>0</v>
      </c>
      <c r="I273" s="13">
        <f>'[7]2025'!H273</f>
        <v>0</v>
      </c>
      <c r="J273" s="14">
        <f>'[7]2025'!I273</f>
        <v>0</v>
      </c>
      <c r="K273" s="15">
        <f>'[7]2025'!J273</f>
        <v>0</v>
      </c>
      <c r="L273" s="15">
        <f>'[7]2025'!K273</f>
        <v>0</v>
      </c>
      <c r="M273" s="15">
        <f>'[7]2025'!L273</f>
        <v>0</v>
      </c>
      <c r="N273" s="16" t="str">
        <f t="shared" si="16"/>
        <v/>
      </c>
      <c r="O273" s="17" t="str">
        <f t="shared" si="17"/>
        <v/>
      </c>
      <c r="P273" s="17" t="str">
        <f t="shared" si="17"/>
        <v/>
      </c>
      <c r="Q273" s="18" t="str">
        <f t="shared" si="18"/>
        <v/>
      </c>
      <c r="R273" s="18" t="e">
        <f t="shared" si="19"/>
        <v>#DIV/0!</v>
      </c>
      <c r="S273" s="36" t="s">
        <v>40</v>
      </c>
      <c r="T273" s="48" t="e">
        <f>SUM(I269:I275)/SUM(L269:L275)</f>
        <v>#DIV/0!</v>
      </c>
      <c r="U273" s="1738"/>
    </row>
    <row r="274" spans="1:21">
      <c r="A274" s="10" t="s">
        <v>15</v>
      </c>
      <c r="B274" s="19">
        <f>CHAMNORD!B274</f>
        <v>46291</v>
      </c>
      <c r="C274" s="75" t="str">
        <f>IF(H274=0,"",'[7]2025-2026'!C273)</f>
        <v/>
      </c>
      <c r="D274" s="68" t="str">
        <f>'[7]2025'!C274</f>
        <v/>
      </c>
      <c r="E274" s="68" t="str">
        <f>'[7]2025'!D274</f>
        <v/>
      </c>
      <c r="F274" s="20" t="str">
        <f>'[7]2025'!E274</f>
        <v/>
      </c>
      <c r="G274" s="73" t="str">
        <f>'[7]2025'!F274</f>
        <v/>
      </c>
      <c r="H274" s="42">
        <f>'[7]2025'!G274</f>
        <v>0</v>
      </c>
      <c r="I274" s="13">
        <f>'[7]2025'!H274</f>
        <v>0</v>
      </c>
      <c r="J274" s="14">
        <f>'[7]2025'!I274</f>
        <v>0</v>
      </c>
      <c r="K274" s="15">
        <f>'[7]2025'!J274</f>
        <v>0</v>
      </c>
      <c r="L274" s="15">
        <f>'[7]2025'!K274</f>
        <v>0</v>
      </c>
      <c r="M274" s="15">
        <f>'[7]2025'!L274</f>
        <v>0</v>
      </c>
      <c r="N274" s="16" t="str">
        <f t="shared" si="16"/>
        <v/>
      </c>
      <c r="O274" s="17" t="str">
        <f t="shared" si="17"/>
        <v/>
      </c>
      <c r="P274" s="17" t="str">
        <f t="shared" si="17"/>
        <v/>
      </c>
      <c r="Q274" s="18" t="str">
        <f t="shared" si="18"/>
        <v/>
      </c>
      <c r="R274" s="18" t="e">
        <f t="shared" si="19"/>
        <v>#DIV/0!</v>
      </c>
      <c r="S274" s="36">
        <f>SUM(J269:J275)</f>
        <v>0</v>
      </c>
      <c r="T274" s="30" t="s">
        <v>3</v>
      </c>
      <c r="U274" s="1738"/>
    </row>
    <row r="275" spans="1:21" ht="18" thickBot="1">
      <c r="A275" s="10" t="s">
        <v>16</v>
      </c>
      <c r="B275" s="19">
        <f>CHAMNORD!B275</f>
        <v>46292</v>
      </c>
      <c r="C275" s="75" t="str">
        <f>IF(H275=0,"",'[7]2025-2026'!C274)</f>
        <v/>
      </c>
      <c r="D275" s="68" t="str">
        <f>'[7]2025'!C275</f>
        <v/>
      </c>
      <c r="E275" s="68" t="str">
        <f>'[7]2025'!D275</f>
        <v/>
      </c>
      <c r="F275" s="20" t="str">
        <f>'[7]2025'!E275</f>
        <v/>
      </c>
      <c r="G275" s="73" t="str">
        <f>'[7]2025'!F275</f>
        <v/>
      </c>
      <c r="H275" s="42">
        <f>'[7]2025'!G275</f>
        <v>0</v>
      </c>
      <c r="I275" s="13">
        <f>'[7]2025'!H275</f>
        <v>0</v>
      </c>
      <c r="J275" s="14">
        <f>'[7]2025'!I275</f>
        <v>0</v>
      </c>
      <c r="K275" s="15">
        <f>'[7]2025'!J275</f>
        <v>0</v>
      </c>
      <c r="L275" s="15">
        <f>'[7]2025'!K275</f>
        <v>0</v>
      </c>
      <c r="M275" s="15">
        <f>'[7]2025'!L275</f>
        <v>0</v>
      </c>
      <c r="N275" s="16" t="str">
        <f t="shared" si="16"/>
        <v/>
      </c>
      <c r="O275" s="17" t="str">
        <f t="shared" si="17"/>
        <v/>
      </c>
      <c r="P275" s="17" t="str">
        <f t="shared" si="17"/>
        <v/>
      </c>
      <c r="Q275" s="18" t="str">
        <f t="shared" si="18"/>
        <v/>
      </c>
      <c r="R275" s="18" t="e">
        <f t="shared" si="19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1" ht="17" customHeight="1" thickTop="1">
      <c r="A276" s="10" t="s">
        <v>9</v>
      </c>
      <c r="B276" s="19">
        <f>CHAMNORD!B276</f>
        <v>46293</v>
      </c>
      <c r="C276" s="75" t="str">
        <f>IF(H276=0,"",'[7]2025-2026'!C275)</f>
        <v/>
      </c>
      <c r="D276" s="68" t="str">
        <f>'[7]2025'!C276</f>
        <v/>
      </c>
      <c r="E276" s="68" t="str">
        <f>'[7]2025'!D276</f>
        <v/>
      </c>
      <c r="F276" s="20" t="str">
        <f>'[7]2025'!E276</f>
        <v/>
      </c>
      <c r="G276" s="73" t="str">
        <f>'[7]2025'!F276</f>
        <v/>
      </c>
      <c r="H276" s="42">
        <f>'[7]2025'!G276</f>
        <v>0</v>
      </c>
      <c r="I276" s="13">
        <f>'[7]2025'!H276</f>
        <v>0</v>
      </c>
      <c r="J276" s="14">
        <f>'[7]2025'!I276</f>
        <v>0</v>
      </c>
      <c r="K276" s="15">
        <f>'[7]2025'!J276</f>
        <v>0</v>
      </c>
      <c r="L276" s="15">
        <f>'[7]2025'!K276</f>
        <v>0</v>
      </c>
      <c r="M276" s="15">
        <f>'[7]2025'!L276</f>
        <v>0</v>
      </c>
      <c r="N276" s="16" t="str">
        <f t="shared" si="16"/>
        <v/>
      </c>
      <c r="O276" s="17" t="str">
        <f t="shared" si="17"/>
        <v/>
      </c>
      <c r="P276" s="17" t="str">
        <f t="shared" si="17"/>
        <v/>
      </c>
      <c r="Q276" s="18" t="str">
        <f t="shared" si="18"/>
        <v/>
      </c>
      <c r="R276" s="18" t="e">
        <f t="shared" si="19"/>
        <v>#DIV/0!</v>
      </c>
      <c r="S276" s="33" t="s">
        <v>39</v>
      </c>
      <c r="T276" s="31" t="s">
        <v>42</v>
      </c>
      <c r="U276" s="1737" t="s">
        <v>122</v>
      </c>
    </row>
    <row r="277" spans="1:21">
      <c r="A277" s="10" t="s">
        <v>11</v>
      </c>
      <c r="B277" s="19">
        <f>CHAMNORD!B277</f>
        <v>46294</v>
      </c>
      <c r="C277" s="75" t="str">
        <f>IF(H277=0,"",'[7]2025-2026'!C276)</f>
        <v/>
      </c>
      <c r="D277" s="68" t="str">
        <f>'[7]2025'!C277</f>
        <v/>
      </c>
      <c r="E277" s="68" t="str">
        <f>'[7]2025'!D277</f>
        <v/>
      </c>
      <c r="F277" s="20" t="str">
        <f>'[7]2025'!E277</f>
        <v/>
      </c>
      <c r="G277" s="73" t="str">
        <f>'[7]2025'!F277</f>
        <v/>
      </c>
      <c r="H277" s="42">
        <f>'[7]2025'!G277</f>
        <v>0</v>
      </c>
      <c r="I277" s="13">
        <f>'[7]2025'!H277</f>
        <v>0</v>
      </c>
      <c r="J277" s="14">
        <f>'[7]2025'!I277</f>
        <v>0</v>
      </c>
      <c r="K277" s="15">
        <f>'[7]2025'!J277</f>
        <v>0</v>
      </c>
      <c r="L277" s="15">
        <f>'[7]2025'!K277</f>
        <v>0</v>
      </c>
      <c r="M277" s="15">
        <f>'[7]2025'!L277</f>
        <v>0</v>
      </c>
      <c r="N277" s="16" t="str">
        <f t="shared" si="16"/>
        <v/>
      </c>
      <c r="O277" s="17" t="str">
        <f t="shared" si="17"/>
        <v/>
      </c>
      <c r="P277" s="17" t="str">
        <f t="shared" si="17"/>
        <v/>
      </c>
      <c r="Q277" s="18" t="str">
        <f t="shared" si="18"/>
        <v/>
      </c>
      <c r="R277" s="18" t="e">
        <f t="shared" si="19"/>
        <v>#DIV/0!</v>
      </c>
      <c r="S277" s="34">
        <f>SUM(I276:I282)</f>
        <v>0</v>
      </c>
      <c r="T277" s="45" t="s">
        <v>41</v>
      </c>
      <c r="U277" s="1738"/>
    </row>
    <row r="278" spans="1:21">
      <c r="A278" s="10" t="s">
        <v>12</v>
      </c>
      <c r="B278" s="19">
        <f>CHAMNORD!B278</f>
        <v>46295</v>
      </c>
      <c r="C278" s="75" t="str">
        <f>IF(H278=0,"",'[7]2025-2026'!C277)</f>
        <v/>
      </c>
      <c r="D278" s="68" t="str">
        <f>'[7]2025'!C278</f>
        <v/>
      </c>
      <c r="E278" s="68" t="str">
        <f>'[7]2025'!D278</f>
        <v/>
      </c>
      <c r="F278" s="20" t="str">
        <f>'[7]2025'!E278</f>
        <v/>
      </c>
      <c r="G278" s="73" t="str">
        <f>'[7]2025'!F278</f>
        <v/>
      </c>
      <c r="H278" s="42">
        <f>'[7]2025'!G278</f>
        <v>0</v>
      </c>
      <c r="I278" s="13">
        <f>'[7]2025'!H278</f>
        <v>0</v>
      </c>
      <c r="J278" s="14">
        <f>'[7]2025'!I278</f>
        <v>0</v>
      </c>
      <c r="K278" s="15">
        <f>'[7]2025'!J278</f>
        <v>0</v>
      </c>
      <c r="L278" s="15">
        <f>'[7]2025'!K278</f>
        <v>0</v>
      </c>
      <c r="M278" s="15">
        <f>'[7]2025'!L278</f>
        <v>0</v>
      </c>
      <c r="N278" s="16" t="str">
        <f t="shared" si="16"/>
        <v/>
      </c>
      <c r="O278" s="17" t="str">
        <f t="shared" si="17"/>
        <v/>
      </c>
      <c r="P278" s="17" t="str">
        <f t="shared" si="17"/>
        <v/>
      </c>
      <c r="Q278" s="18" t="str">
        <f t="shared" si="18"/>
        <v/>
      </c>
      <c r="R278" s="18" t="e">
        <f t="shared" si="19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</row>
    <row r="279" spans="1:21">
      <c r="A279" s="10" t="s">
        <v>13</v>
      </c>
      <c r="B279" s="19">
        <f>CHAMNORD!B279</f>
        <v>46296</v>
      </c>
      <c r="C279" s="75" t="str">
        <f>IF(H279=0,"",'[7]2025-2026'!C278)</f>
        <v/>
      </c>
      <c r="D279" s="68" t="str">
        <f>'[7]2025'!C279</f>
        <v/>
      </c>
      <c r="E279" s="68" t="str">
        <f>'[7]2025'!D279</f>
        <v/>
      </c>
      <c r="F279" s="20" t="str">
        <f>'[7]2025'!E279</f>
        <v/>
      </c>
      <c r="G279" s="73" t="str">
        <f>'[7]2025'!F279</f>
        <v/>
      </c>
      <c r="H279" s="42">
        <f>'[7]2025'!G279</f>
        <v>0</v>
      </c>
      <c r="I279" s="13">
        <f>'[7]2025'!H279</f>
        <v>0</v>
      </c>
      <c r="J279" s="14">
        <f>'[7]2025'!I279</f>
        <v>0</v>
      </c>
      <c r="K279" s="15">
        <f>'[7]2025'!J279</f>
        <v>0</v>
      </c>
      <c r="L279" s="15">
        <f>'[7]2025'!K279</f>
        <v>0</v>
      </c>
      <c r="M279" s="15">
        <f>'[7]2025'!L279</f>
        <v>0</v>
      </c>
      <c r="N279" s="16" t="str">
        <f t="shared" si="16"/>
        <v/>
      </c>
      <c r="O279" s="17" t="str">
        <f t="shared" si="17"/>
        <v/>
      </c>
      <c r="P279" s="17" t="str">
        <f t="shared" si="17"/>
        <v/>
      </c>
      <c r="Q279" s="18" t="str">
        <f t="shared" si="18"/>
        <v/>
      </c>
      <c r="R279" s="18" t="e">
        <f t="shared" si="19"/>
        <v>#DIV/0!</v>
      </c>
      <c r="S279" s="34"/>
      <c r="T279" s="29" t="s">
        <v>8</v>
      </c>
      <c r="U279" s="1738"/>
    </row>
    <row r="280" spans="1:21">
      <c r="A280" s="10" t="s">
        <v>14</v>
      </c>
      <c r="B280" s="19">
        <f>CHAMNORD!B280</f>
        <v>46297</v>
      </c>
      <c r="C280" s="75" t="str">
        <f>IF(H280=0,"",'[7]2025-2026'!C279)</f>
        <v/>
      </c>
      <c r="D280" s="68" t="str">
        <f>'[7]2025'!C280</f>
        <v/>
      </c>
      <c r="E280" s="68" t="str">
        <f>'[7]2025'!D280</f>
        <v/>
      </c>
      <c r="F280" s="20" t="str">
        <f>'[7]2025'!E280</f>
        <v/>
      </c>
      <c r="G280" s="73" t="str">
        <f>'[7]2025'!F280</f>
        <v/>
      </c>
      <c r="H280" s="42">
        <f>'[7]2025'!G280</f>
        <v>0</v>
      </c>
      <c r="I280" s="13">
        <f>'[7]2025'!H280</f>
        <v>0</v>
      </c>
      <c r="J280" s="14">
        <f>'[7]2025'!I280</f>
        <v>0</v>
      </c>
      <c r="K280" s="15">
        <f>'[7]2025'!J280</f>
        <v>0</v>
      </c>
      <c r="L280" s="15">
        <f>'[7]2025'!K280</f>
        <v>0</v>
      </c>
      <c r="M280" s="15">
        <f>'[7]2025'!L280</f>
        <v>0</v>
      </c>
      <c r="N280" s="16" t="str">
        <f t="shared" si="16"/>
        <v/>
      </c>
      <c r="O280" s="17" t="str">
        <f t="shared" si="17"/>
        <v/>
      </c>
      <c r="P280" s="17" t="str">
        <f t="shared" si="17"/>
        <v/>
      </c>
      <c r="Q280" s="18" t="str">
        <f t="shared" si="18"/>
        <v/>
      </c>
      <c r="R280" s="18" t="e">
        <f t="shared" si="19"/>
        <v>#DIV/0!</v>
      </c>
      <c r="S280" s="36" t="s">
        <v>40</v>
      </c>
      <c r="T280" s="48" t="e">
        <f>SUM(I276:I282)/SUM(L276:L282)</f>
        <v>#DIV/0!</v>
      </c>
      <c r="U280" s="1738"/>
    </row>
    <row r="281" spans="1:21">
      <c r="A281" s="10" t="s">
        <v>15</v>
      </c>
      <c r="B281" s="19">
        <f>CHAMNORD!B281</f>
        <v>46298</v>
      </c>
      <c r="C281" s="75" t="str">
        <f>IF(H281=0,"",'[7]2025-2026'!C280)</f>
        <v/>
      </c>
      <c r="D281" s="68" t="str">
        <f>'[7]2025'!C281</f>
        <v/>
      </c>
      <c r="E281" s="68" t="str">
        <f>'[7]2025'!D281</f>
        <v/>
      </c>
      <c r="F281" s="20" t="str">
        <f>'[7]2025'!E281</f>
        <v/>
      </c>
      <c r="G281" s="73" t="str">
        <f>'[7]2025'!F281</f>
        <v/>
      </c>
      <c r="H281" s="42">
        <f>'[7]2025'!G281</f>
        <v>0</v>
      </c>
      <c r="I281" s="13">
        <f>'[7]2025'!H281</f>
        <v>0</v>
      </c>
      <c r="J281" s="14">
        <f>'[7]2025'!I281</f>
        <v>0</v>
      </c>
      <c r="K281" s="15">
        <f>'[7]2025'!J281</f>
        <v>0</v>
      </c>
      <c r="L281" s="15">
        <f>'[7]2025'!K281</f>
        <v>0</v>
      </c>
      <c r="M281" s="15">
        <f>'[7]2025'!L281</f>
        <v>0</v>
      </c>
      <c r="N281" s="16" t="str">
        <f t="shared" si="16"/>
        <v/>
      </c>
      <c r="O281" s="17" t="str">
        <f t="shared" si="17"/>
        <v/>
      </c>
      <c r="P281" s="17" t="str">
        <f t="shared" si="17"/>
        <v/>
      </c>
      <c r="Q281" s="18" t="str">
        <f t="shared" si="18"/>
        <v/>
      </c>
      <c r="R281" s="18" t="e">
        <f t="shared" si="19"/>
        <v>#DIV/0!</v>
      </c>
      <c r="S281" s="36">
        <f>SUM(J276:J282)</f>
        <v>0</v>
      </c>
      <c r="T281" s="30" t="s">
        <v>3</v>
      </c>
      <c r="U281" s="1738"/>
    </row>
    <row r="282" spans="1:21" ht="18" thickBot="1">
      <c r="A282" s="10" t="s">
        <v>16</v>
      </c>
      <c r="B282" s="19">
        <f>CHAMNORD!B282</f>
        <v>46299</v>
      </c>
      <c r="C282" s="75" t="str">
        <f>IF(H282=0,"",'[7]2025-2026'!C281)</f>
        <v/>
      </c>
      <c r="D282" s="68" t="str">
        <f>'[7]2025'!C282</f>
        <v/>
      </c>
      <c r="E282" s="68" t="str">
        <f>'[7]2025'!D282</f>
        <v/>
      </c>
      <c r="F282" s="20" t="str">
        <f>'[7]2025'!E282</f>
        <v/>
      </c>
      <c r="G282" s="73" t="str">
        <f>'[7]2025'!F282</f>
        <v/>
      </c>
      <c r="H282" s="42">
        <f>'[7]2025'!G282</f>
        <v>0</v>
      </c>
      <c r="I282" s="13">
        <f>'[7]2025'!H282</f>
        <v>0</v>
      </c>
      <c r="J282" s="14">
        <f>'[7]2025'!I282</f>
        <v>0</v>
      </c>
      <c r="K282" s="15">
        <f>'[7]2025'!J282</f>
        <v>0</v>
      </c>
      <c r="L282" s="15">
        <f>'[7]2025'!K282</f>
        <v>0</v>
      </c>
      <c r="M282" s="15">
        <f>'[7]2025'!L282</f>
        <v>0</v>
      </c>
      <c r="N282" s="16" t="str">
        <f t="shared" si="16"/>
        <v/>
      </c>
      <c r="O282" s="17" t="str">
        <f t="shared" si="17"/>
        <v/>
      </c>
      <c r="P282" s="17" t="str">
        <f t="shared" si="17"/>
        <v/>
      </c>
      <c r="Q282" s="18" t="str">
        <f t="shared" si="18"/>
        <v/>
      </c>
      <c r="R282" s="18" t="e">
        <f t="shared" si="19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</row>
    <row r="283" spans="1:21" ht="17" customHeight="1" thickTop="1">
      <c r="A283" s="10" t="s">
        <v>9</v>
      </c>
      <c r="B283" s="19">
        <f>CHAMNORD!B283</f>
        <v>46300</v>
      </c>
      <c r="C283" s="75" t="str">
        <f>IF(H283=0,"",'[7]2025-2026'!C282)</f>
        <v/>
      </c>
      <c r="D283" s="68" t="str">
        <f>'[7]2025'!C283</f>
        <v/>
      </c>
      <c r="E283" s="68" t="str">
        <f>'[7]2025'!D283</f>
        <v/>
      </c>
      <c r="F283" s="20" t="str">
        <f>'[7]2025'!E283</f>
        <v/>
      </c>
      <c r="G283" s="73" t="str">
        <f>'[7]2025'!F283</f>
        <v/>
      </c>
      <c r="H283" s="42">
        <f>'[7]2025'!G283</f>
        <v>0</v>
      </c>
      <c r="I283" s="13">
        <f>'[7]2025'!H283</f>
        <v>0</v>
      </c>
      <c r="J283" s="14">
        <f>'[7]2025'!I283</f>
        <v>0</v>
      </c>
      <c r="K283" s="15">
        <f>'[7]2025'!J283</f>
        <v>0</v>
      </c>
      <c r="L283" s="15">
        <f>'[7]2025'!K283</f>
        <v>0</v>
      </c>
      <c r="M283" s="15">
        <f>'[7]2025'!L283</f>
        <v>0</v>
      </c>
      <c r="N283" s="16" t="str">
        <f t="shared" si="16"/>
        <v/>
      </c>
      <c r="O283" s="17" t="str">
        <f t="shared" si="17"/>
        <v/>
      </c>
      <c r="P283" s="17" t="str">
        <f t="shared" si="17"/>
        <v/>
      </c>
      <c r="Q283" s="18" t="str">
        <f t="shared" si="18"/>
        <v/>
      </c>
      <c r="R283" s="18" t="e">
        <f t="shared" si="19"/>
        <v>#DIV/0!</v>
      </c>
      <c r="S283" s="33" t="s">
        <v>39</v>
      </c>
      <c r="T283" s="31" t="s">
        <v>42</v>
      </c>
      <c r="U283" s="1737" t="s">
        <v>123</v>
      </c>
    </row>
    <row r="284" spans="1:21">
      <c r="A284" s="10" t="s">
        <v>11</v>
      </c>
      <c r="B284" s="19">
        <f>CHAMNORD!B284</f>
        <v>46301</v>
      </c>
      <c r="C284" s="75" t="str">
        <f>IF(H284=0,"",'[7]2025-2026'!C283)</f>
        <v/>
      </c>
      <c r="D284" s="68" t="str">
        <f>'[7]2025'!C284</f>
        <v/>
      </c>
      <c r="E284" s="68" t="str">
        <f>'[7]2025'!D284</f>
        <v/>
      </c>
      <c r="F284" s="20" t="str">
        <f>'[7]2025'!E284</f>
        <v/>
      </c>
      <c r="G284" s="73" t="str">
        <f>'[7]2025'!F284</f>
        <v/>
      </c>
      <c r="H284" s="42">
        <f>'[7]2025'!G284</f>
        <v>0</v>
      </c>
      <c r="I284" s="13">
        <f>'[7]2025'!H284</f>
        <v>0</v>
      </c>
      <c r="J284" s="14">
        <f>'[7]2025'!I284</f>
        <v>0</v>
      </c>
      <c r="K284" s="15">
        <f>'[7]2025'!J284</f>
        <v>0</v>
      </c>
      <c r="L284" s="15">
        <f>'[7]2025'!K284</f>
        <v>0</v>
      </c>
      <c r="M284" s="15">
        <f>'[7]2025'!L284</f>
        <v>0</v>
      </c>
      <c r="N284" s="16" t="str">
        <f t="shared" si="16"/>
        <v/>
      </c>
      <c r="O284" s="17" t="str">
        <f t="shared" si="17"/>
        <v/>
      </c>
      <c r="P284" s="17" t="str">
        <f t="shared" si="17"/>
        <v/>
      </c>
      <c r="Q284" s="18" t="str">
        <f t="shared" si="18"/>
        <v/>
      </c>
      <c r="R284" s="18" t="e">
        <f t="shared" si="19"/>
        <v>#DIV/0!</v>
      </c>
      <c r="S284" s="34">
        <f>SUM(I283:I289)</f>
        <v>0</v>
      </c>
      <c r="T284" s="45" t="s">
        <v>41</v>
      </c>
      <c r="U284" s="1738"/>
    </row>
    <row r="285" spans="1:21">
      <c r="A285" s="10" t="s">
        <v>12</v>
      </c>
      <c r="B285" s="19">
        <f>CHAMNORD!B285</f>
        <v>46302</v>
      </c>
      <c r="C285" s="75" t="str">
        <f>IF(H285=0,"",'[7]2025-2026'!C284)</f>
        <v/>
      </c>
      <c r="D285" s="68" t="str">
        <f>'[7]2025'!C285</f>
        <v/>
      </c>
      <c r="E285" s="68" t="str">
        <f>'[7]2025'!D285</f>
        <v/>
      </c>
      <c r="F285" s="20" t="str">
        <f>'[7]2025'!E285</f>
        <v/>
      </c>
      <c r="G285" s="73" t="str">
        <f>'[7]2025'!F285</f>
        <v/>
      </c>
      <c r="H285" s="42">
        <f>'[7]2025'!G285</f>
        <v>0</v>
      </c>
      <c r="I285" s="13">
        <f>'[7]2025'!H285</f>
        <v>0</v>
      </c>
      <c r="J285" s="14">
        <f>'[7]2025'!I285</f>
        <v>0</v>
      </c>
      <c r="K285" s="15">
        <f>'[7]2025'!J285</f>
        <v>0</v>
      </c>
      <c r="L285" s="15">
        <f>'[7]2025'!K285</f>
        <v>0</v>
      </c>
      <c r="M285" s="15">
        <f>'[7]2025'!L285</f>
        <v>0</v>
      </c>
      <c r="N285" s="16" t="str">
        <f t="shared" si="16"/>
        <v/>
      </c>
      <c r="O285" s="17" t="str">
        <f t="shared" si="17"/>
        <v/>
      </c>
      <c r="P285" s="17" t="str">
        <f t="shared" si="17"/>
        <v/>
      </c>
      <c r="Q285" s="18" t="str">
        <f t="shared" si="18"/>
        <v/>
      </c>
      <c r="R285" s="18" t="e">
        <f t="shared" si="19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</row>
    <row r="286" spans="1:21">
      <c r="A286" s="10" t="s">
        <v>13</v>
      </c>
      <c r="B286" s="19">
        <f>CHAMNORD!B286</f>
        <v>46303</v>
      </c>
      <c r="C286" s="75" t="str">
        <f>IF(H286=0,"",'[7]2025-2026'!C285)</f>
        <v/>
      </c>
      <c r="D286" s="68" t="str">
        <f>'[7]2025'!C286</f>
        <v/>
      </c>
      <c r="E286" s="68" t="str">
        <f>'[7]2025'!D286</f>
        <v/>
      </c>
      <c r="F286" s="20" t="str">
        <f>'[7]2025'!E286</f>
        <v/>
      </c>
      <c r="G286" s="73" t="str">
        <f>'[7]2025'!F286</f>
        <v/>
      </c>
      <c r="H286" s="42">
        <f>'[7]2025'!G286</f>
        <v>0</v>
      </c>
      <c r="I286" s="13">
        <f>'[7]2025'!H286</f>
        <v>0</v>
      </c>
      <c r="J286" s="14">
        <f>'[7]2025'!I286</f>
        <v>0</v>
      </c>
      <c r="K286" s="15">
        <f>'[7]2025'!J286</f>
        <v>0</v>
      </c>
      <c r="L286" s="15">
        <f>'[7]2025'!K286</f>
        <v>0</v>
      </c>
      <c r="M286" s="15">
        <f>'[7]2025'!L286</f>
        <v>0</v>
      </c>
      <c r="N286" s="16" t="str">
        <f t="shared" si="16"/>
        <v/>
      </c>
      <c r="O286" s="17" t="str">
        <f t="shared" si="17"/>
        <v/>
      </c>
      <c r="P286" s="17" t="str">
        <f t="shared" si="17"/>
        <v/>
      </c>
      <c r="Q286" s="18" t="str">
        <f t="shared" si="18"/>
        <v/>
      </c>
      <c r="R286" s="18" t="e">
        <f t="shared" si="19"/>
        <v>#DIV/0!</v>
      </c>
      <c r="S286" s="34"/>
      <c r="T286" s="29" t="s">
        <v>8</v>
      </c>
      <c r="U286" s="1738"/>
    </row>
    <row r="287" spans="1:21">
      <c r="A287" s="10" t="s">
        <v>14</v>
      </c>
      <c r="B287" s="19">
        <f>CHAMNORD!B287</f>
        <v>46304</v>
      </c>
      <c r="C287" s="75" t="str">
        <f>IF(H287=0,"",'[7]2025-2026'!C286)</f>
        <v/>
      </c>
      <c r="D287" s="68" t="str">
        <f>'[7]2025'!C287</f>
        <v/>
      </c>
      <c r="E287" s="68" t="str">
        <f>'[7]2025'!D287</f>
        <v/>
      </c>
      <c r="F287" s="20" t="str">
        <f>'[7]2025'!E287</f>
        <v/>
      </c>
      <c r="G287" s="73" t="str">
        <f>'[7]2025'!F287</f>
        <v/>
      </c>
      <c r="H287" s="42">
        <f>'[7]2025'!G287</f>
        <v>0</v>
      </c>
      <c r="I287" s="13">
        <f>'[7]2025'!H287</f>
        <v>0</v>
      </c>
      <c r="J287" s="14">
        <f>'[7]2025'!I287</f>
        <v>0</v>
      </c>
      <c r="K287" s="15">
        <f>'[7]2025'!J287</f>
        <v>0</v>
      </c>
      <c r="L287" s="15">
        <f>'[7]2025'!K287</f>
        <v>0</v>
      </c>
      <c r="M287" s="15">
        <f>'[7]2025'!L287</f>
        <v>0</v>
      </c>
      <c r="N287" s="16" t="str">
        <f t="shared" si="16"/>
        <v/>
      </c>
      <c r="O287" s="17" t="str">
        <f t="shared" si="17"/>
        <v/>
      </c>
      <c r="P287" s="17" t="str">
        <f t="shared" si="17"/>
        <v/>
      </c>
      <c r="Q287" s="18" t="str">
        <f t="shared" si="18"/>
        <v/>
      </c>
      <c r="R287" s="18" t="e">
        <f t="shared" si="19"/>
        <v>#DIV/0!</v>
      </c>
      <c r="S287" s="36" t="s">
        <v>40</v>
      </c>
      <c r="T287" s="48" t="e">
        <f>SUM(I283:I289)/SUM(L283:L289)</f>
        <v>#DIV/0!</v>
      </c>
      <c r="U287" s="1738"/>
    </row>
    <row r="288" spans="1:21">
      <c r="A288" s="10" t="s">
        <v>15</v>
      </c>
      <c r="B288" s="19">
        <f>CHAMNORD!B288</f>
        <v>46305</v>
      </c>
      <c r="C288" s="75" t="str">
        <f>IF(H288=0,"",'[7]2025-2026'!C287)</f>
        <v/>
      </c>
      <c r="D288" s="68" t="str">
        <f>'[7]2025'!C288</f>
        <v/>
      </c>
      <c r="E288" s="68" t="str">
        <f>'[7]2025'!D288</f>
        <v/>
      </c>
      <c r="F288" s="20" t="str">
        <f>'[7]2025'!E288</f>
        <v/>
      </c>
      <c r="G288" s="73" t="str">
        <f>'[7]2025'!F288</f>
        <v/>
      </c>
      <c r="H288" s="42">
        <f>'[7]2025'!G288</f>
        <v>0</v>
      </c>
      <c r="I288" s="13">
        <f>'[7]2025'!H288</f>
        <v>0</v>
      </c>
      <c r="J288" s="14">
        <f>'[7]2025'!I288</f>
        <v>0</v>
      </c>
      <c r="K288" s="15">
        <f>'[7]2025'!J288</f>
        <v>0</v>
      </c>
      <c r="L288" s="15">
        <f>'[7]2025'!K288</f>
        <v>0</v>
      </c>
      <c r="M288" s="15">
        <f>'[7]2025'!L288</f>
        <v>0</v>
      </c>
      <c r="N288" s="16" t="str">
        <f t="shared" si="16"/>
        <v/>
      </c>
      <c r="O288" s="17" t="str">
        <f t="shared" si="17"/>
        <v/>
      </c>
      <c r="P288" s="17" t="str">
        <f t="shared" si="17"/>
        <v/>
      </c>
      <c r="Q288" s="18" t="str">
        <f t="shared" si="18"/>
        <v/>
      </c>
      <c r="R288" s="18" t="e">
        <f t="shared" si="19"/>
        <v>#DIV/0!</v>
      </c>
      <c r="S288" s="36">
        <f>SUM(J283:J289)</f>
        <v>0</v>
      </c>
      <c r="T288" s="30" t="s">
        <v>3</v>
      </c>
      <c r="U288" s="1738"/>
    </row>
    <row r="289" spans="1:21" ht="18" thickBot="1">
      <c r="A289" s="10" t="s">
        <v>16</v>
      </c>
      <c r="B289" s="19">
        <f>CHAMNORD!B289</f>
        <v>46306</v>
      </c>
      <c r="C289" s="75" t="str">
        <f>IF(H289=0,"",'[7]2025-2026'!C288)</f>
        <v/>
      </c>
      <c r="D289" s="68" t="str">
        <f>'[7]2025'!C289</f>
        <v/>
      </c>
      <c r="E289" s="68" t="str">
        <f>'[7]2025'!D289</f>
        <v/>
      </c>
      <c r="F289" s="20" t="str">
        <f>'[7]2025'!E289</f>
        <v/>
      </c>
      <c r="G289" s="73" t="str">
        <f>'[7]2025'!F289</f>
        <v/>
      </c>
      <c r="H289" s="42">
        <f>'[7]2025'!G289</f>
        <v>0</v>
      </c>
      <c r="I289" s="13">
        <f>'[7]2025'!H289</f>
        <v>0</v>
      </c>
      <c r="J289" s="14">
        <f>'[7]2025'!I289</f>
        <v>0</v>
      </c>
      <c r="K289" s="15">
        <f>'[7]2025'!J289</f>
        <v>0</v>
      </c>
      <c r="L289" s="15">
        <f>'[7]2025'!K289</f>
        <v>0</v>
      </c>
      <c r="M289" s="15">
        <f>'[7]2025'!L289</f>
        <v>0</v>
      </c>
      <c r="N289" s="16" t="str">
        <f t="shared" si="16"/>
        <v/>
      </c>
      <c r="O289" s="17" t="str">
        <f t="shared" si="17"/>
        <v/>
      </c>
      <c r="P289" s="17" t="str">
        <f t="shared" si="17"/>
        <v/>
      </c>
      <c r="Q289" s="18" t="str">
        <f t="shared" si="18"/>
        <v/>
      </c>
      <c r="R289" s="18" t="e">
        <f t="shared" si="19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</row>
    <row r="290" spans="1:21" ht="17" customHeight="1" thickTop="1">
      <c r="A290" s="10" t="s">
        <v>9</v>
      </c>
      <c r="B290" s="19">
        <f>CHAMNORD!B290</f>
        <v>46307</v>
      </c>
      <c r="C290" s="75" t="str">
        <f>IF(H290=0,"",'[7]2025-2026'!C289)</f>
        <v/>
      </c>
      <c r="D290" s="68" t="str">
        <f>'[7]2025'!C290</f>
        <v/>
      </c>
      <c r="E290" s="68" t="str">
        <f>'[7]2025'!D290</f>
        <v/>
      </c>
      <c r="F290" s="20" t="str">
        <f>'[7]2025'!E290</f>
        <v/>
      </c>
      <c r="G290" s="73" t="str">
        <f>'[7]2025'!F290</f>
        <v/>
      </c>
      <c r="H290" s="42">
        <f>'[7]2025'!G290</f>
        <v>0</v>
      </c>
      <c r="I290" s="13">
        <f>'[7]2025'!H290</f>
        <v>0</v>
      </c>
      <c r="J290" s="14">
        <f>'[7]2025'!I290</f>
        <v>0</v>
      </c>
      <c r="K290" s="15">
        <f>'[7]2025'!J290</f>
        <v>0</v>
      </c>
      <c r="L290" s="15">
        <f>'[7]2025'!K290</f>
        <v>0</v>
      </c>
      <c r="M290" s="15">
        <f>'[7]2025'!L290</f>
        <v>0</v>
      </c>
      <c r="N290" s="16" t="str">
        <f t="shared" si="16"/>
        <v/>
      </c>
      <c r="O290" s="17" t="str">
        <f t="shared" si="17"/>
        <v/>
      </c>
      <c r="P290" s="17" t="str">
        <f t="shared" si="17"/>
        <v/>
      </c>
      <c r="Q290" s="18" t="str">
        <f t="shared" si="18"/>
        <v/>
      </c>
      <c r="R290" s="18" t="e">
        <f t="shared" si="19"/>
        <v>#DIV/0!</v>
      </c>
      <c r="S290" s="33" t="s">
        <v>39</v>
      </c>
      <c r="T290" s="31" t="s">
        <v>42</v>
      </c>
      <c r="U290" s="1737" t="s">
        <v>124</v>
      </c>
    </row>
    <row r="291" spans="1:21">
      <c r="A291" s="10" t="s">
        <v>11</v>
      </c>
      <c r="B291" s="19">
        <f>CHAMNORD!B291</f>
        <v>46308</v>
      </c>
      <c r="C291" s="75" t="str">
        <f>IF(H291=0,"",'[7]2025-2026'!C290)</f>
        <v/>
      </c>
      <c r="D291" s="68" t="str">
        <f>'[7]2025'!C291</f>
        <v/>
      </c>
      <c r="E291" s="68" t="str">
        <f>'[7]2025'!D291</f>
        <v/>
      </c>
      <c r="F291" s="20" t="str">
        <f>'[7]2025'!E291</f>
        <v/>
      </c>
      <c r="G291" s="73" t="str">
        <f>'[7]2025'!F291</f>
        <v/>
      </c>
      <c r="H291" s="42">
        <f>'[7]2025'!G291</f>
        <v>0</v>
      </c>
      <c r="I291" s="13">
        <f>'[7]2025'!H291</f>
        <v>0</v>
      </c>
      <c r="J291" s="14">
        <f>'[7]2025'!I291</f>
        <v>0</v>
      </c>
      <c r="K291" s="15">
        <f>'[7]2025'!J291</f>
        <v>0</v>
      </c>
      <c r="L291" s="15">
        <f>'[7]2025'!K291</f>
        <v>0</v>
      </c>
      <c r="M291" s="15">
        <f>'[7]2025'!L291</f>
        <v>0</v>
      </c>
      <c r="N291" s="16" t="str">
        <f t="shared" si="16"/>
        <v/>
      </c>
      <c r="O291" s="17" t="str">
        <f t="shared" si="17"/>
        <v/>
      </c>
      <c r="P291" s="17" t="str">
        <f t="shared" si="17"/>
        <v/>
      </c>
      <c r="Q291" s="18" t="str">
        <f t="shared" si="18"/>
        <v/>
      </c>
      <c r="R291" s="18" t="e">
        <f t="shared" si="19"/>
        <v>#DIV/0!</v>
      </c>
      <c r="S291" s="34">
        <f>SUM(I290:I296)</f>
        <v>0</v>
      </c>
      <c r="T291" s="45" t="s">
        <v>41</v>
      </c>
      <c r="U291" s="1738"/>
    </row>
    <row r="292" spans="1:21">
      <c r="A292" s="10" t="s">
        <v>12</v>
      </c>
      <c r="B292" s="19">
        <f>CHAMNORD!B292</f>
        <v>46309</v>
      </c>
      <c r="C292" s="75" t="str">
        <f>IF(H292=0,"",'[7]2025-2026'!C291)</f>
        <v/>
      </c>
      <c r="D292" s="68" t="str">
        <f>'[7]2025'!C292</f>
        <v/>
      </c>
      <c r="E292" s="68" t="str">
        <f>'[7]2025'!D292</f>
        <v/>
      </c>
      <c r="F292" s="20" t="str">
        <f>'[7]2025'!E292</f>
        <v/>
      </c>
      <c r="G292" s="73" t="str">
        <f>'[7]2025'!F292</f>
        <v/>
      </c>
      <c r="H292" s="42">
        <f>'[7]2025'!G292</f>
        <v>0</v>
      </c>
      <c r="I292" s="13">
        <f>'[7]2025'!H292</f>
        <v>0</v>
      </c>
      <c r="J292" s="14">
        <f>'[7]2025'!I292</f>
        <v>0</v>
      </c>
      <c r="K292" s="15">
        <f>'[7]2025'!J292</f>
        <v>0</v>
      </c>
      <c r="L292" s="15">
        <f>'[7]2025'!K292</f>
        <v>0</v>
      </c>
      <c r="M292" s="15">
        <f>'[7]2025'!L292</f>
        <v>0</v>
      </c>
      <c r="N292" s="16" t="str">
        <f t="shared" si="16"/>
        <v/>
      </c>
      <c r="O292" s="17" t="str">
        <f t="shared" si="17"/>
        <v/>
      </c>
      <c r="P292" s="17" t="str">
        <f t="shared" si="17"/>
        <v/>
      </c>
      <c r="Q292" s="18" t="str">
        <f t="shared" si="18"/>
        <v/>
      </c>
      <c r="R292" s="18" t="e">
        <f t="shared" si="19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</row>
    <row r="293" spans="1:21">
      <c r="A293" s="10" t="s">
        <v>13</v>
      </c>
      <c r="B293" s="19">
        <f>CHAMNORD!B293</f>
        <v>46310</v>
      </c>
      <c r="C293" s="75" t="str">
        <f>IF(H293=0,"",'[7]2025-2026'!C292)</f>
        <v/>
      </c>
      <c r="D293" s="68" t="str">
        <f>'[7]2025'!C293</f>
        <v/>
      </c>
      <c r="E293" s="68" t="str">
        <f>'[7]2025'!D293</f>
        <v/>
      </c>
      <c r="F293" s="20" t="str">
        <f>'[7]2025'!E293</f>
        <v/>
      </c>
      <c r="G293" s="73" t="str">
        <f>'[7]2025'!F293</f>
        <v/>
      </c>
      <c r="H293" s="42">
        <f>'[7]2025'!G293</f>
        <v>0</v>
      </c>
      <c r="I293" s="13">
        <f>'[7]2025'!H293</f>
        <v>0</v>
      </c>
      <c r="J293" s="14">
        <f>'[7]2025'!I293</f>
        <v>0</v>
      </c>
      <c r="K293" s="15">
        <f>'[7]2025'!J293</f>
        <v>0</v>
      </c>
      <c r="L293" s="15">
        <f>'[7]2025'!K293</f>
        <v>0</v>
      </c>
      <c r="M293" s="15">
        <f>'[7]2025'!L293</f>
        <v>0</v>
      </c>
      <c r="N293" s="16" t="str">
        <f t="shared" si="16"/>
        <v/>
      </c>
      <c r="O293" s="17" t="str">
        <f t="shared" si="17"/>
        <v/>
      </c>
      <c r="P293" s="17" t="str">
        <f t="shared" si="17"/>
        <v/>
      </c>
      <c r="Q293" s="18" t="str">
        <f t="shared" si="18"/>
        <v/>
      </c>
      <c r="R293" s="18" t="e">
        <f t="shared" si="19"/>
        <v>#DIV/0!</v>
      </c>
      <c r="S293" s="34"/>
      <c r="T293" s="29" t="s">
        <v>8</v>
      </c>
      <c r="U293" s="1738"/>
    </row>
    <row r="294" spans="1:21">
      <c r="A294" s="10" t="s">
        <v>14</v>
      </c>
      <c r="B294" s="19">
        <f>CHAMNORD!B294</f>
        <v>46311</v>
      </c>
      <c r="C294" s="75" t="str">
        <f>IF(H294=0,"",'[7]2025-2026'!C293)</f>
        <v/>
      </c>
      <c r="D294" s="68" t="str">
        <f>'[7]2025'!C294</f>
        <v/>
      </c>
      <c r="E294" s="68" t="str">
        <f>'[7]2025'!D294</f>
        <v/>
      </c>
      <c r="F294" s="20" t="str">
        <f>'[7]2025'!E294</f>
        <v/>
      </c>
      <c r="G294" s="73" t="str">
        <f>'[7]2025'!F294</f>
        <v/>
      </c>
      <c r="H294" s="42">
        <f>'[7]2025'!G294</f>
        <v>0</v>
      </c>
      <c r="I294" s="13">
        <f>'[7]2025'!H294</f>
        <v>0</v>
      </c>
      <c r="J294" s="14">
        <f>'[7]2025'!I294</f>
        <v>0</v>
      </c>
      <c r="K294" s="15">
        <f>'[7]2025'!J294</f>
        <v>0</v>
      </c>
      <c r="L294" s="15">
        <f>'[7]2025'!K294</f>
        <v>0</v>
      </c>
      <c r="M294" s="15">
        <f>'[7]2025'!L294</f>
        <v>0</v>
      </c>
      <c r="N294" s="16" t="str">
        <f t="shared" si="16"/>
        <v/>
      </c>
      <c r="O294" s="17" t="str">
        <f t="shared" si="17"/>
        <v/>
      </c>
      <c r="P294" s="17" t="str">
        <f t="shared" si="17"/>
        <v/>
      </c>
      <c r="Q294" s="18" t="str">
        <f t="shared" si="18"/>
        <v/>
      </c>
      <c r="R294" s="18" t="e">
        <f t="shared" si="19"/>
        <v>#DIV/0!</v>
      </c>
      <c r="S294" s="36" t="s">
        <v>40</v>
      </c>
      <c r="T294" s="48" t="e">
        <f>SUM(I290:I296)/SUM(L290:L296)</f>
        <v>#DIV/0!</v>
      </c>
      <c r="U294" s="1738"/>
    </row>
    <row r="295" spans="1:21">
      <c r="A295" s="10" t="s">
        <v>15</v>
      </c>
      <c r="B295" s="19">
        <f>CHAMNORD!B295</f>
        <v>46312</v>
      </c>
      <c r="C295" s="75" t="str">
        <f>IF(H295=0,"",'[7]2025-2026'!C294)</f>
        <v/>
      </c>
      <c r="D295" s="68" t="str">
        <f>'[7]2025'!C295</f>
        <v/>
      </c>
      <c r="E295" s="68" t="str">
        <f>'[7]2025'!D295</f>
        <v/>
      </c>
      <c r="F295" s="20" t="str">
        <f>'[7]2025'!E295</f>
        <v/>
      </c>
      <c r="G295" s="73" t="str">
        <f>'[7]2025'!F295</f>
        <v/>
      </c>
      <c r="H295" s="42">
        <f>'[7]2025'!G295</f>
        <v>0</v>
      </c>
      <c r="I295" s="13">
        <f>'[7]2025'!H295</f>
        <v>0</v>
      </c>
      <c r="J295" s="14">
        <f>'[7]2025'!I295</f>
        <v>0</v>
      </c>
      <c r="K295" s="15">
        <f>'[7]2025'!J295</f>
        <v>0</v>
      </c>
      <c r="L295" s="15">
        <f>'[7]2025'!K295</f>
        <v>0</v>
      </c>
      <c r="M295" s="15">
        <f>'[7]2025'!L295</f>
        <v>0</v>
      </c>
      <c r="N295" s="16" t="str">
        <f t="shared" si="16"/>
        <v/>
      </c>
      <c r="O295" s="17" t="str">
        <f t="shared" si="17"/>
        <v/>
      </c>
      <c r="P295" s="17" t="str">
        <f t="shared" si="17"/>
        <v/>
      </c>
      <c r="Q295" s="18" t="str">
        <f t="shared" si="18"/>
        <v/>
      </c>
      <c r="R295" s="18" t="e">
        <f t="shared" si="19"/>
        <v>#DIV/0!</v>
      </c>
      <c r="S295" s="36">
        <f>SUM(J290:J296)</f>
        <v>0</v>
      </c>
      <c r="T295" s="30" t="s">
        <v>3</v>
      </c>
      <c r="U295" s="1738"/>
    </row>
    <row r="296" spans="1:21" ht="18" thickBot="1">
      <c r="A296" s="10" t="s">
        <v>16</v>
      </c>
      <c r="B296" s="19">
        <f>CHAMNORD!B296</f>
        <v>46313</v>
      </c>
      <c r="C296" s="75" t="str">
        <f>IF(H296=0,"",'[7]2025-2026'!C295)</f>
        <v/>
      </c>
      <c r="D296" s="68" t="str">
        <f>'[7]2025'!C296</f>
        <v/>
      </c>
      <c r="E296" s="68" t="str">
        <f>'[7]2025'!D296</f>
        <v/>
      </c>
      <c r="F296" s="20" t="str">
        <f>'[7]2025'!E296</f>
        <v/>
      </c>
      <c r="G296" s="73" t="str">
        <f>'[7]2025'!F296</f>
        <v/>
      </c>
      <c r="H296" s="42">
        <f>'[7]2025'!G296</f>
        <v>0</v>
      </c>
      <c r="I296" s="13">
        <f>'[7]2025'!H296</f>
        <v>0</v>
      </c>
      <c r="J296" s="14">
        <f>'[7]2025'!I296</f>
        <v>0</v>
      </c>
      <c r="K296" s="15">
        <f>'[7]2025'!J296</f>
        <v>0</v>
      </c>
      <c r="L296" s="15">
        <f>'[7]2025'!K296</f>
        <v>0</v>
      </c>
      <c r="M296" s="15">
        <f>'[7]2025'!L296</f>
        <v>0</v>
      </c>
      <c r="N296" s="16" t="str">
        <f t="shared" si="16"/>
        <v/>
      </c>
      <c r="O296" s="17" t="str">
        <f t="shared" si="17"/>
        <v/>
      </c>
      <c r="P296" s="17" t="str">
        <f t="shared" si="17"/>
        <v/>
      </c>
      <c r="Q296" s="18" t="str">
        <f t="shared" si="18"/>
        <v/>
      </c>
      <c r="R296" s="18" t="e">
        <f t="shared" si="19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</row>
    <row r="297" spans="1:21" ht="17" customHeight="1" thickTop="1">
      <c r="A297" s="10" t="s">
        <v>9</v>
      </c>
      <c r="B297" s="19">
        <f>CHAMNORD!B297</f>
        <v>46314</v>
      </c>
      <c r="C297" s="75" t="str">
        <f>IF(H297=0,"",'[7]2025-2026'!C296)</f>
        <v/>
      </c>
      <c r="D297" s="68" t="str">
        <f>'[7]2025'!C297</f>
        <v/>
      </c>
      <c r="E297" s="68" t="str">
        <f>'[7]2025'!D297</f>
        <v/>
      </c>
      <c r="F297" s="20" t="str">
        <f>'[7]2025'!E297</f>
        <v/>
      </c>
      <c r="G297" s="73" t="str">
        <f>'[7]2025'!F297</f>
        <v/>
      </c>
      <c r="H297" s="42">
        <f>'[7]2025'!G297</f>
        <v>0</v>
      </c>
      <c r="I297" s="13">
        <f>'[7]2025'!H297</f>
        <v>0</v>
      </c>
      <c r="J297" s="14">
        <f>'[7]2025'!I297</f>
        <v>0</v>
      </c>
      <c r="K297" s="15">
        <f>'[7]2025'!J297</f>
        <v>0</v>
      </c>
      <c r="L297" s="15">
        <f>'[7]2025'!K297</f>
        <v>0</v>
      </c>
      <c r="M297" s="15">
        <f>'[7]2025'!L297</f>
        <v>0</v>
      </c>
      <c r="N297" s="16" t="str">
        <f t="shared" si="16"/>
        <v/>
      </c>
      <c r="O297" s="17" t="str">
        <f t="shared" si="17"/>
        <v/>
      </c>
      <c r="P297" s="17" t="str">
        <f t="shared" si="17"/>
        <v/>
      </c>
      <c r="Q297" s="18" t="str">
        <f t="shared" si="18"/>
        <v/>
      </c>
      <c r="R297" s="18" t="e">
        <f t="shared" si="19"/>
        <v>#DIV/0!</v>
      </c>
      <c r="S297" s="33" t="s">
        <v>39</v>
      </c>
      <c r="T297" s="31" t="s">
        <v>42</v>
      </c>
      <c r="U297" s="1737" t="s">
        <v>125</v>
      </c>
    </row>
    <row r="298" spans="1:21">
      <c r="A298" s="10" t="s">
        <v>11</v>
      </c>
      <c r="B298" s="19">
        <f>CHAMNORD!B298</f>
        <v>46315</v>
      </c>
      <c r="C298" s="75" t="str">
        <f>IF(H298=0,"",'[7]2025-2026'!C297)</f>
        <v/>
      </c>
      <c r="D298" s="68" t="str">
        <f>'[7]2025'!C298</f>
        <v/>
      </c>
      <c r="E298" s="68" t="str">
        <f>'[7]2025'!D298</f>
        <v/>
      </c>
      <c r="F298" s="20" t="str">
        <f>'[7]2025'!E298</f>
        <v/>
      </c>
      <c r="G298" s="73" t="str">
        <f>'[7]2025'!F298</f>
        <v/>
      </c>
      <c r="H298" s="42">
        <f>'[7]2025'!G298</f>
        <v>0</v>
      </c>
      <c r="I298" s="13">
        <f>'[7]2025'!H298</f>
        <v>0</v>
      </c>
      <c r="J298" s="14">
        <f>'[7]2025'!I298</f>
        <v>0</v>
      </c>
      <c r="K298" s="15">
        <f>'[7]2025'!J298</f>
        <v>0</v>
      </c>
      <c r="L298" s="15">
        <f>'[7]2025'!K298</f>
        <v>0</v>
      </c>
      <c r="M298" s="15">
        <f>'[7]2025'!L298</f>
        <v>0</v>
      </c>
      <c r="N298" s="16" t="str">
        <f t="shared" si="16"/>
        <v/>
      </c>
      <c r="O298" s="17" t="str">
        <f t="shared" si="17"/>
        <v/>
      </c>
      <c r="P298" s="17" t="str">
        <f t="shared" si="17"/>
        <v/>
      </c>
      <c r="Q298" s="18" t="str">
        <f t="shared" si="18"/>
        <v/>
      </c>
      <c r="R298" s="18" t="e">
        <f t="shared" si="19"/>
        <v>#DIV/0!</v>
      </c>
      <c r="S298" s="34">
        <f>SUM(I297:I303)</f>
        <v>0</v>
      </c>
      <c r="T298" s="45" t="s">
        <v>41</v>
      </c>
      <c r="U298" s="1738"/>
    </row>
    <row r="299" spans="1:21">
      <c r="A299" s="10" t="s">
        <v>12</v>
      </c>
      <c r="B299" s="19">
        <f>CHAMNORD!B299</f>
        <v>46316</v>
      </c>
      <c r="C299" s="75" t="str">
        <f>IF(H299=0,"",'[7]2025-2026'!C298)</f>
        <v/>
      </c>
      <c r="D299" s="68" t="str">
        <f>'[7]2025'!C299</f>
        <v/>
      </c>
      <c r="E299" s="68" t="str">
        <f>'[7]2025'!D299</f>
        <v/>
      </c>
      <c r="F299" s="20" t="str">
        <f>'[7]2025'!E299</f>
        <v/>
      </c>
      <c r="G299" s="73" t="str">
        <f>'[7]2025'!F299</f>
        <v/>
      </c>
      <c r="H299" s="42">
        <f>'[7]2025'!G299</f>
        <v>0</v>
      </c>
      <c r="I299" s="13">
        <f>'[7]2025'!H299</f>
        <v>0</v>
      </c>
      <c r="J299" s="14">
        <f>'[7]2025'!I299</f>
        <v>0</v>
      </c>
      <c r="K299" s="15">
        <f>'[7]2025'!J299</f>
        <v>0</v>
      </c>
      <c r="L299" s="15">
        <f>'[7]2025'!K299</f>
        <v>0</v>
      </c>
      <c r="M299" s="15">
        <f>'[7]2025'!L299</f>
        <v>0</v>
      </c>
      <c r="N299" s="16" t="str">
        <f t="shared" si="16"/>
        <v/>
      </c>
      <c r="O299" s="17" t="str">
        <f t="shared" si="17"/>
        <v/>
      </c>
      <c r="P299" s="17" t="str">
        <f t="shared" si="17"/>
        <v/>
      </c>
      <c r="Q299" s="18" t="str">
        <f t="shared" si="18"/>
        <v/>
      </c>
      <c r="R299" s="18" t="e">
        <f t="shared" si="19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</row>
    <row r="300" spans="1:21">
      <c r="A300" s="10" t="s">
        <v>13</v>
      </c>
      <c r="B300" s="19">
        <f>CHAMNORD!B300</f>
        <v>46317</v>
      </c>
      <c r="C300" s="75" t="str">
        <f>IF(H300=0,"",'[7]2025-2026'!C299)</f>
        <v/>
      </c>
      <c r="D300" s="68" t="str">
        <f>'[7]2025'!C300</f>
        <v/>
      </c>
      <c r="E300" s="68" t="str">
        <f>'[7]2025'!D300</f>
        <v/>
      </c>
      <c r="F300" s="20" t="str">
        <f>'[7]2025'!E300</f>
        <v/>
      </c>
      <c r="G300" s="73" t="str">
        <f>'[7]2025'!F300</f>
        <v/>
      </c>
      <c r="H300" s="42">
        <f>'[7]2025'!G300</f>
        <v>0</v>
      </c>
      <c r="I300" s="13">
        <f>'[7]2025'!H300</f>
        <v>0</v>
      </c>
      <c r="J300" s="14">
        <f>'[7]2025'!I300</f>
        <v>0</v>
      </c>
      <c r="K300" s="15">
        <f>'[7]2025'!J300</f>
        <v>0</v>
      </c>
      <c r="L300" s="15">
        <f>'[7]2025'!K300</f>
        <v>0</v>
      </c>
      <c r="M300" s="15">
        <f>'[7]2025'!L300</f>
        <v>0</v>
      </c>
      <c r="N300" s="16" t="str">
        <f t="shared" si="16"/>
        <v/>
      </c>
      <c r="O300" s="17" t="str">
        <f t="shared" si="17"/>
        <v/>
      </c>
      <c r="P300" s="17" t="str">
        <f t="shared" si="17"/>
        <v/>
      </c>
      <c r="Q300" s="18" t="str">
        <f t="shared" si="18"/>
        <v/>
      </c>
      <c r="R300" s="18" t="e">
        <f t="shared" si="19"/>
        <v>#DIV/0!</v>
      </c>
      <c r="S300" s="34"/>
      <c r="T300" s="29" t="s">
        <v>8</v>
      </c>
      <c r="U300" s="1738"/>
    </row>
    <row r="301" spans="1:21">
      <c r="A301" s="10" t="s">
        <v>14</v>
      </c>
      <c r="B301" s="19">
        <f>CHAMNORD!B301</f>
        <v>46318</v>
      </c>
      <c r="C301" s="75" t="str">
        <f>IF(H301=0,"",'[7]2025-2026'!C300)</f>
        <v/>
      </c>
      <c r="D301" s="68" t="str">
        <f>'[7]2025'!C301</f>
        <v/>
      </c>
      <c r="E301" s="68" t="str">
        <f>'[7]2025'!D301</f>
        <v/>
      </c>
      <c r="F301" s="20" t="str">
        <f>'[7]2025'!E301</f>
        <v/>
      </c>
      <c r="G301" s="73" t="str">
        <f>'[7]2025'!F301</f>
        <v/>
      </c>
      <c r="H301" s="42">
        <f>'[7]2025'!G301</f>
        <v>0</v>
      </c>
      <c r="I301" s="13">
        <f>'[7]2025'!H301</f>
        <v>0</v>
      </c>
      <c r="J301" s="14">
        <f>'[7]2025'!I301</f>
        <v>0</v>
      </c>
      <c r="K301" s="15">
        <f>'[7]2025'!J301</f>
        <v>0</v>
      </c>
      <c r="L301" s="15">
        <f>'[7]2025'!K301</f>
        <v>0</v>
      </c>
      <c r="M301" s="15">
        <f>'[7]2025'!L301</f>
        <v>0</v>
      </c>
      <c r="N301" s="16" t="str">
        <f t="shared" si="16"/>
        <v/>
      </c>
      <c r="O301" s="17" t="str">
        <f t="shared" si="17"/>
        <v/>
      </c>
      <c r="P301" s="17" t="str">
        <f t="shared" si="17"/>
        <v/>
      </c>
      <c r="Q301" s="18" t="str">
        <f t="shared" si="18"/>
        <v/>
      </c>
      <c r="R301" s="18" t="e">
        <f t="shared" si="19"/>
        <v>#DIV/0!</v>
      </c>
      <c r="S301" s="36" t="s">
        <v>40</v>
      </c>
      <c r="T301" s="48" t="e">
        <f>SUM(I297:I303)/SUM(L297:L303)</f>
        <v>#DIV/0!</v>
      </c>
      <c r="U301" s="1738"/>
    </row>
    <row r="302" spans="1:21">
      <c r="A302" s="10" t="s">
        <v>15</v>
      </c>
      <c r="B302" s="19">
        <f>CHAMNORD!B302</f>
        <v>46319</v>
      </c>
      <c r="C302" s="75" t="str">
        <f>IF(H302=0,"",'[7]2025-2026'!C301)</f>
        <v/>
      </c>
      <c r="D302" s="68" t="str">
        <f>'[7]2025'!C302</f>
        <v/>
      </c>
      <c r="E302" s="68" t="str">
        <f>'[7]2025'!D302</f>
        <v/>
      </c>
      <c r="F302" s="20" t="str">
        <f>'[7]2025'!E302</f>
        <v/>
      </c>
      <c r="G302" s="73" t="str">
        <f>'[7]2025'!F302</f>
        <v/>
      </c>
      <c r="H302" s="42">
        <f>'[7]2025'!G302</f>
        <v>0</v>
      </c>
      <c r="I302" s="13">
        <f>'[7]2025'!H302</f>
        <v>0</v>
      </c>
      <c r="J302" s="14">
        <f>'[7]2025'!I302</f>
        <v>0</v>
      </c>
      <c r="K302" s="15">
        <f>'[7]2025'!J302</f>
        <v>0</v>
      </c>
      <c r="L302" s="15">
        <f>'[7]2025'!K302</f>
        <v>0</v>
      </c>
      <c r="M302" s="15">
        <f>'[7]2025'!L302</f>
        <v>0</v>
      </c>
      <c r="N302" s="16" t="str">
        <f t="shared" si="16"/>
        <v/>
      </c>
      <c r="O302" s="17" t="str">
        <f t="shared" si="17"/>
        <v/>
      </c>
      <c r="P302" s="17" t="str">
        <f t="shared" si="17"/>
        <v/>
      </c>
      <c r="Q302" s="18" t="str">
        <f t="shared" si="18"/>
        <v/>
      </c>
      <c r="R302" s="18" t="e">
        <f t="shared" si="19"/>
        <v>#DIV/0!</v>
      </c>
      <c r="S302" s="36">
        <f>SUM(J297:J303)</f>
        <v>0</v>
      </c>
      <c r="T302" s="30" t="s">
        <v>3</v>
      </c>
      <c r="U302" s="1738"/>
    </row>
    <row r="303" spans="1:21" ht="18" thickBot="1">
      <c r="A303" s="10" t="s">
        <v>16</v>
      </c>
      <c r="B303" s="19">
        <f>CHAMNORD!B303</f>
        <v>46320</v>
      </c>
      <c r="C303" s="75" t="str">
        <f>IF(H303=0,"",'[7]2025-2026'!C302)</f>
        <v/>
      </c>
      <c r="D303" s="68" t="str">
        <f>'[7]2025'!C303</f>
        <v/>
      </c>
      <c r="E303" s="68" t="str">
        <f>'[7]2025'!D303</f>
        <v/>
      </c>
      <c r="F303" s="20" t="str">
        <f>'[7]2025'!E303</f>
        <v/>
      </c>
      <c r="G303" s="73" t="str">
        <f>'[7]2025'!F303</f>
        <v/>
      </c>
      <c r="H303" s="42">
        <f>'[7]2025'!G303</f>
        <v>0</v>
      </c>
      <c r="I303" s="13">
        <f>'[7]2025'!H303</f>
        <v>0</v>
      </c>
      <c r="J303" s="14">
        <f>'[7]2025'!I303</f>
        <v>0</v>
      </c>
      <c r="K303" s="15">
        <f>'[7]2025'!J303</f>
        <v>0</v>
      </c>
      <c r="L303" s="15">
        <f>'[7]2025'!K303</f>
        <v>0</v>
      </c>
      <c r="M303" s="15">
        <f>'[7]2025'!L303</f>
        <v>0</v>
      </c>
      <c r="N303" s="16" t="str">
        <f t="shared" si="16"/>
        <v/>
      </c>
      <c r="O303" s="17" t="str">
        <f t="shared" si="17"/>
        <v/>
      </c>
      <c r="P303" s="17" t="str">
        <f t="shared" si="17"/>
        <v/>
      </c>
      <c r="Q303" s="18" t="str">
        <f t="shared" si="18"/>
        <v/>
      </c>
      <c r="R303" s="18" t="e">
        <f t="shared" si="19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</row>
    <row r="304" spans="1:21" ht="17" customHeight="1" thickTop="1">
      <c r="A304" s="10" t="s">
        <v>9</v>
      </c>
      <c r="B304" s="19">
        <f>CHAMNORD!B304</f>
        <v>46321</v>
      </c>
      <c r="C304" s="75" t="str">
        <f>IF(H304=0,"",'[7]2025-2026'!C303)</f>
        <v/>
      </c>
      <c r="D304" s="68" t="str">
        <f>'[7]2025'!C304</f>
        <v/>
      </c>
      <c r="E304" s="68" t="str">
        <f>'[7]2025'!D304</f>
        <v/>
      </c>
      <c r="F304" s="20" t="str">
        <f>'[7]2025'!E304</f>
        <v/>
      </c>
      <c r="G304" s="73" t="str">
        <f>'[7]2025'!F304</f>
        <v/>
      </c>
      <c r="H304" s="42">
        <f>'[7]2025'!G304</f>
        <v>0</v>
      </c>
      <c r="I304" s="13">
        <f>'[7]2025'!H304</f>
        <v>0</v>
      </c>
      <c r="J304" s="14">
        <f>'[7]2025'!I304</f>
        <v>0</v>
      </c>
      <c r="K304" s="15">
        <f>'[7]2025'!J304</f>
        <v>0</v>
      </c>
      <c r="L304" s="15">
        <f>'[7]2025'!K304</f>
        <v>0</v>
      </c>
      <c r="M304" s="15">
        <f>'[7]2025'!L304</f>
        <v>0</v>
      </c>
      <c r="N304" s="16" t="str">
        <f t="shared" si="16"/>
        <v/>
      </c>
      <c r="O304" s="17" t="str">
        <f t="shared" si="17"/>
        <v/>
      </c>
      <c r="P304" s="17" t="str">
        <f t="shared" si="17"/>
        <v/>
      </c>
      <c r="Q304" s="18" t="str">
        <f t="shared" si="18"/>
        <v/>
      </c>
      <c r="R304" s="18" t="e">
        <f t="shared" si="19"/>
        <v>#DIV/0!</v>
      </c>
      <c r="S304" s="33" t="s">
        <v>39</v>
      </c>
      <c r="T304" s="31" t="s">
        <v>42</v>
      </c>
      <c r="U304" s="1737" t="s">
        <v>126</v>
      </c>
    </row>
    <row r="305" spans="1:21">
      <c r="A305" s="10" t="s">
        <v>11</v>
      </c>
      <c r="B305" s="19">
        <f>CHAMNORD!B305</f>
        <v>46322</v>
      </c>
      <c r="C305" s="75" t="str">
        <f>IF(H305=0,"",'[7]2025-2026'!C304)</f>
        <v/>
      </c>
      <c r="D305" s="68" t="str">
        <f>'[7]2025'!C305</f>
        <v/>
      </c>
      <c r="E305" s="68" t="str">
        <f>'[7]2025'!D305</f>
        <v/>
      </c>
      <c r="F305" s="20" t="str">
        <f>'[7]2025'!E305</f>
        <v/>
      </c>
      <c r="G305" s="73" t="str">
        <f>'[7]2025'!F305</f>
        <v/>
      </c>
      <c r="H305" s="42">
        <f>'[7]2025'!G305</f>
        <v>0</v>
      </c>
      <c r="I305" s="13">
        <f>'[7]2025'!H305</f>
        <v>0</v>
      </c>
      <c r="J305" s="14">
        <f>'[7]2025'!I305</f>
        <v>0</v>
      </c>
      <c r="K305" s="15">
        <f>'[7]2025'!J305</f>
        <v>0</v>
      </c>
      <c r="L305" s="15">
        <f>'[7]2025'!K305</f>
        <v>0</v>
      </c>
      <c r="M305" s="15">
        <f>'[7]2025'!L305</f>
        <v>0</v>
      </c>
      <c r="N305" s="16" t="str">
        <f t="shared" si="16"/>
        <v/>
      </c>
      <c r="O305" s="17" t="str">
        <f t="shared" si="17"/>
        <v/>
      </c>
      <c r="P305" s="17" t="str">
        <f t="shared" si="17"/>
        <v/>
      </c>
      <c r="Q305" s="18" t="str">
        <f t="shared" si="18"/>
        <v/>
      </c>
      <c r="R305" s="18" t="e">
        <f t="shared" si="19"/>
        <v>#DIV/0!</v>
      </c>
      <c r="S305" s="34">
        <f>SUM(I304:I310)</f>
        <v>0</v>
      </c>
      <c r="T305" s="45" t="s">
        <v>41</v>
      </c>
      <c r="U305" s="1738"/>
    </row>
    <row r="306" spans="1:21">
      <c r="A306" s="10" t="s">
        <v>12</v>
      </c>
      <c r="B306" s="19">
        <f>CHAMNORD!B306</f>
        <v>46323</v>
      </c>
      <c r="C306" s="75" t="str">
        <f>IF(H306=0,"",'[7]2025-2026'!C305)</f>
        <v/>
      </c>
      <c r="D306" s="68" t="str">
        <f>'[7]2025'!C306</f>
        <v/>
      </c>
      <c r="E306" s="68" t="str">
        <f>'[7]2025'!D306</f>
        <v/>
      </c>
      <c r="F306" s="20" t="str">
        <f>'[7]2025'!E306</f>
        <v/>
      </c>
      <c r="G306" s="73" t="str">
        <f>'[7]2025'!F306</f>
        <v/>
      </c>
      <c r="H306" s="42">
        <f>'[7]2025'!G306</f>
        <v>0</v>
      </c>
      <c r="I306" s="13">
        <f>'[7]2025'!H306</f>
        <v>0</v>
      </c>
      <c r="J306" s="14">
        <f>'[7]2025'!I306</f>
        <v>0</v>
      </c>
      <c r="K306" s="15">
        <f>'[7]2025'!J306</f>
        <v>0</v>
      </c>
      <c r="L306" s="15">
        <f>'[7]2025'!K306</f>
        <v>0</v>
      </c>
      <c r="M306" s="15">
        <f>'[7]2025'!L306</f>
        <v>0</v>
      </c>
      <c r="N306" s="16" t="str">
        <f t="shared" si="16"/>
        <v/>
      </c>
      <c r="O306" s="17" t="str">
        <f t="shared" si="17"/>
        <v/>
      </c>
      <c r="P306" s="17" t="str">
        <f t="shared" si="17"/>
        <v/>
      </c>
      <c r="Q306" s="18" t="str">
        <f t="shared" si="18"/>
        <v/>
      </c>
      <c r="R306" s="18" t="e">
        <f t="shared" si="19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</row>
    <row r="307" spans="1:21">
      <c r="A307" s="10" t="s">
        <v>13</v>
      </c>
      <c r="B307" s="19">
        <f>CHAMNORD!B307</f>
        <v>46324</v>
      </c>
      <c r="C307" s="75" t="str">
        <f>IF(H307=0,"",'[7]2025-2026'!C306)</f>
        <v/>
      </c>
      <c r="D307" s="68" t="str">
        <f>'[7]2025'!C307</f>
        <v/>
      </c>
      <c r="E307" s="68" t="str">
        <f>'[7]2025'!D307</f>
        <v/>
      </c>
      <c r="F307" s="20" t="str">
        <f>'[7]2025'!E307</f>
        <v/>
      </c>
      <c r="G307" s="73" t="str">
        <f>'[7]2025'!F307</f>
        <v/>
      </c>
      <c r="H307" s="42">
        <f>'[7]2025'!G307</f>
        <v>0</v>
      </c>
      <c r="I307" s="13">
        <f>'[7]2025'!H307</f>
        <v>0</v>
      </c>
      <c r="J307" s="14">
        <f>'[7]2025'!I307</f>
        <v>0</v>
      </c>
      <c r="K307" s="15">
        <f>'[7]2025'!J307</f>
        <v>0</v>
      </c>
      <c r="L307" s="15">
        <f>'[7]2025'!K307</f>
        <v>0</v>
      </c>
      <c r="M307" s="15">
        <f>'[7]2025'!L307</f>
        <v>0</v>
      </c>
      <c r="N307" s="16" t="str">
        <f t="shared" si="16"/>
        <v/>
      </c>
      <c r="O307" s="17" t="str">
        <f t="shared" si="17"/>
        <v/>
      </c>
      <c r="P307" s="17" t="str">
        <f t="shared" si="17"/>
        <v/>
      </c>
      <c r="Q307" s="18" t="str">
        <f t="shared" si="18"/>
        <v/>
      </c>
      <c r="R307" s="18" t="e">
        <f t="shared" si="19"/>
        <v>#DIV/0!</v>
      </c>
      <c r="S307" s="34"/>
      <c r="T307" s="29" t="s">
        <v>8</v>
      </c>
      <c r="U307" s="1738"/>
    </row>
    <row r="308" spans="1:21">
      <c r="A308" s="10" t="s">
        <v>14</v>
      </c>
      <c r="B308" s="19">
        <f>CHAMNORD!B308</f>
        <v>46325</v>
      </c>
      <c r="C308" s="75" t="str">
        <f>IF(H308=0,"",'[7]2025-2026'!C307)</f>
        <v/>
      </c>
      <c r="D308" s="68" t="str">
        <f>'[7]2025'!C308</f>
        <v/>
      </c>
      <c r="E308" s="68" t="str">
        <f>'[7]2025'!D308</f>
        <v/>
      </c>
      <c r="F308" s="20" t="str">
        <f>'[7]2025'!E308</f>
        <v/>
      </c>
      <c r="G308" s="73" t="str">
        <f>'[7]2025'!F308</f>
        <v/>
      </c>
      <c r="H308" s="42">
        <f>'[7]2025'!G308</f>
        <v>0</v>
      </c>
      <c r="I308" s="13">
        <f>'[7]2025'!H308</f>
        <v>0</v>
      </c>
      <c r="J308" s="14">
        <f>'[7]2025'!I308</f>
        <v>0</v>
      </c>
      <c r="K308" s="15">
        <f>'[7]2025'!J308</f>
        <v>0</v>
      </c>
      <c r="L308" s="15">
        <f>'[7]2025'!K308</f>
        <v>0</v>
      </c>
      <c r="M308" s="15">
        <f>'[7]2025'!L308</f>
        <v>0</v>
      </c>
      <c r="N308" s="16" t="str">
        <f t="shared" si="16"/>
        <v/>
      </c>
      <c r="O308" s="17" t="str">
        <f t="shared" si="17"/>
        <v/>
      </c>
      <c r="P308" s="17" t="str">
        <f t="shared" si="17"/>
        <v/>
      </c>
      <c r="Q308" s="18" t="str">
        <f t="shared" si="18"/>
        <v/>
      </c>
      <c r="R308" s="18" t="e">
        <f t="shared" si="19"/>
        <v>#DIV/0!</v>
      </c>
      <c r="S308" s="36" t="s">
        <v>40</v>
      </c>
      <c r="T308" s="48" t="e">
        <f>SUM(I304:I310)/SUM(L304:L310)</f>
        <v>#DIV/0!</v>
      </c>
      <c r="U308" s="1738"/>
    </row>
    <row r="309" spans="1:21">
      <c r="A309" s="10" t="s">
        <v>15</v>
      </c>
      <c r="B309" s="19">
        <f>CHAMNORD!B309</f>
        <v>46326</v>
      </c>
      <c r="C309" s="75" t="str">
        <f>IF(H309=0,"",'[7]2025-2026'!C308)</f>
        <v/>
      </c>
      <c r="D309" s="68" t="str">
        <f>'[7]2025'!C309</f>
        <v/>
      </c>
      <c r="E309" s="68" t="str">
        <f>'[7]2025'!D309</f>
        <v/>
      </c>
      <c r="F309" s="20" t="str">
        <f>'[7]2025'!E309</f>
        <v/>
      </c>
      <c r="G309" s="73" t="str">
        <f>'[7]2025'!F309</f>
        <v/>
      </c>
      <c r="H309" s="42">
        <f>'[7]2025'!G309</f>
        <v>0</v>
      </c>
      <c r="I309" s="13">
        <f>'[7]2025'!H309</f>
        <v>0</v>
      </c>
      <c r="J309" s="14">
        <f>'[7]2025'!I309</f>
        <v>0</v>
      </c>
      <c r="K309" s="15">
        <f>'[7]2025'!J309</f>
        <v>0</v>
      </c>
      <c r="L309" s="15">
        <f>'[7]2025'!K309</f>
        <v>0</v>
      </c>
      <c r="M309" s="15">
        <f>'[7]2025'!L309</f>
        <v>0</v>
      </c>
      <c r="N309" s="16" t="str">
        <f t="shared" si="16"/>
        <v/>
      </c>
      <c r="O309" s="17" t="str">
        <f t="shared" si="17"/>
        <v/>
      </c>
      <c r="P309" s="17" t="str">
        <f t="shared" si="17"/>
        <v/>
      </c>
      <c r="Q309" s="18" t="str">
        <f t="shared" si="18"/>
        <v/>
      </c>
      <c r="R309" s="18" t="e">
        <f t="shared" si="19"/>
        <v>#DIV/0!</v>
      </c>
      <c r="S309" s="36">
        <f>SUM(J304:J310)</f>
        <v>0</v>
      </c>
      <c r="T309" s="30" t="s">
        <v>3</v>
      </c>
      <c r="U309" s="1738"/>
    </row>
    <row r="310" spans="1:21" ht="18" thickBot="1">
      <c r="A310" s="10" t="s">
        <v>16</v>
      </c>
      <c r="B310" s="19">
        <f>CHAMNORD!B310</f>
        <v>46327</v>
      </c>
      <c r="C310" s="75" t="str">
        <f>IF(H310=0,"",'[7]2025-2026'!C309)</f>
        <v/>
      </c>
      <c r="D310" s="68" t="str">
        <f>'[7]2025'!C310</f>
        <v/>
      </c>
      <c r="E310" s="68" t="str">
        <f>'[7]2025'!D310</f>
        <v/>
      </c>
      <c r="F310" s="20" t="str">
        <f>'[7]2025'!E310</f>
        <v/>
      </c>
      <c r="G310" s="73" t="str">
        <f>'[7]2025'!F310</f>
        <v/>
      </c>
      <c r="H310" s="42">
        <f>'[7]2025'!G310</f>
        <v>0</v>
      </c>
      <c r="I310" s="13">
        <f>'[7]2025'!H310</f>
        <v>0</v>
      </c>
      <c r="J310" s="14">
        <f>'[7]2025'!I310</f>
        <v>0</v>
      </c>
      <c r="K310" s="15">
        <f>'[7]2025'!J310</f>
        <v>0</v>
      </c>
      <c r="L310" s="15">
        <f>'[7]2025'!K310</f>
        <v>0</v>
      </c>
      <c r="M310" s="15">
        <f>'[7]2025'!L310</f>
        <v>0</v>
      </c>
      <c r="N310" s="16" t="str">
        <f t="shared" si="16"/>
        <v/>
      </c>
      <c r="O310" s="17" t="str">
        <f t="shared" si="17"/>
        <v/>
      </c>
      <c r="P310" s="17" t="str">
        <f t="shared" si="17"/>
        <v/>
      </c>
      <c r="Q310" s="18" t="str">
        <f t="shared" si="18"/>
        <v/>
      </c>
      <c r="R310" s="18" t="e">
        <f t="shared" si="19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</row>
    <row r="311" spans="1:21" ht="17" customHeight="1" thickTop="1">
      <c r="A311" s="10" t="s">
        <v>9</v>
      </c>
      <c r="B311" s="19">
        <f>CHAMNORD!B311</f>
        <v>46328</v>
      </c>
      <c r="C311" s="75" t="str">
        <f>IF(H311=0,"",'[7]2025-2026'!C310)</f>
        <v/>
      </c>
      <c r="D311" s="68" t="str">
        <f>'[7]2025'!C311</f>
        <v/>
      </c>
      <c r="E311" s="68" t="str">
        <f>'[7]2025'!D311</f>
        <v/>
      </c>
      <c r="F311" s="20" t="str">
        <f>'[7]2025'!E311</f>
        <v/>
      </c>
      <c r="G311" s="73" t="str">
        <f>'[7]2025'!F311</f>
        <v/>
      </c>
      <c r="H311" s="42">
        <f>'[7]2025'!G311</f>
        <v>0</v>
      </c>
      <c r="I311" s="13">
        <f>'[7]2025'!H311</f>
        <v>0</v>
      </c>
      <c r="J311" s="14">
        <f>'[7]2025'!I311</f>
        <v>0</v>
      </c>
      <c r="K311" s="15">
        <f>'[7]2025'!J311</f>
        <v>0</v>
      </c>
      <c r="L311" s="15">
        <f>'[7]2025'!K311</f>
        <v>0</v>
      </c>
      <c r="M311" s="15">
        <f>'[7]2025'!L311</f>
        <v>0</v>
      </c>
      <c r="N311" s="16" t="str">
        <f t="shared" si="16"/>
        <v/>
      </c>
      <c r="O311" s="17" t="str">
        <f t="shared" si="17"/>
        <v/>
      </c>
      <c r="P311" s="17" t="str">
        <f t="shared" si="17"/>
        <v/>
      </c>
      <c r="Q311" s="18" t="str">
        <f t="shared" si="18"/>
        <v/>
      </c>
      <c r="R311" s="18" t="e">
        <f t="shared" si="19"/>
        <v>#DIV/0!</v>
      </c>
      <c r="S311" s="33" t="s">
        <v>39</v>
      </c>
      <c r="T311" s="31" t="s">
        <v>42</v>
      </c>
      <c r="U311" s="1737" t="s">
        <v>127</v>
      </c>
    </row>
    <row r="312" spans="1:21">
      <c r="A312" s="10" t="s">
        <v>11</v>
      </c>
      <c r="B312" s="19">
        <f>CHAMNORD!B312</f>
        <v>46329</v>
      </c>
      <c r="C312" s="75" t="str">
        <f>IF(H312=0,"",'[7]2025-2026'!C311)</f>
        <v/>
      </c>
      <c r="D312" s="68" t="str">
        <f>'[7]2025'!C312</f>
        <v/>
      </c>
      <c r="E312" s="68" t="str">
        <f>'[7]2025'!D312</f>
        <v/>
      </c>
      <c r="F312" s="20" t="str">
        <f>'[7]2025'!E312</f>
        <v/>
      </c>
      <c r="G312" s="73" t="str">
        <f>'[7]2025'!F312</f>
        <v/>
      </c>
      <c r="H312" s="42">
        <f>'[7]2025'!G312</f>
        <v>0</v>
      </c>
      <c r="I312" s="13">
        <f>'[7]2025'!H312</f>
        <v>0</v>
      </c>
      <c r="J312" s="14">
        <f>'[7]2025'!I312</f>
        <v>0</v>
      </c>
      <c r="K312" s="15">
        <f>'[7]2025'!J312</f>
        <v>0</v>
      </c>
      <c r="L312" s="15">
        <f>'[7]2025'!K312</f>
        <v>0</v>
      </c>
      <c r="M312" s="15">
        <f>'[7]2025'!L312</f>
        <v>0</v>
      </c>
      <c r="N312" s="16" t="str">
        <f t="shared" si="16"/>
        <v/>
      </c>
      <c r="O312" s="17" t="str">
        <f t="shared" si="17"/>
        <v/>
      </c>
      <c r="P312" s="17" t="str">
        <f t="shared" si="17"/>
        <v/>
      </c>
      <c r="Q312" s="18" t="str">
        <f t="shared" si="18"/>
        <v/>
      </c>
      <c r="R312" s="18" t="e">
        <f t="shared" si="19"/>
        <v>#DIV/0!</v>
      </c>
      <c r="S312" s="34">
        <f>SUM(I311:I317)</f>
        <v>0</v>
      </c>
      <c r="T312" s="45" t="s">
        <v>41</v>
      </c>
      <c r="U312" s="1738"/>
    </row>
    <row r="313" spans="1:21">
      <c r="A313" s="10" t="s">
        <v>12</v>
      </c>
      <c r="B313" s="19">
        <f>CHAMNORD!B313</f>
        <v>46330</v>
      </c>
      <c r="C313" s="75" t="str">
        <f>IF(H313=0,"",'[7]2025-2026'!C312)</f>
        <v/>
      </c>
      <c r="D313" s="68" t="str">
        <f>'[7]2025'!C313</f>
        <v/>
      </c>
      <c r="E313" s="68" t="str">
        <f>'[7]2025'!D313</f>
        <v/>
      </c>
      <c r="F313" s="20" t="str">
        <f>'[7]2025'!E313</f>
        <v/>
      </c>
      <c r="G313" s="73" t="str">
        <f>'[7]2025'!F313</f>
        <v/>
      </c>
      <c r="H313" s="42">
        <f>'[7]2025'!G313</f>
        <v>0</v>
      </c>
      <c r="I313" s="13">
        <f>'[7]2025'!H313</f>
        <v>0</v>
      </c>
      <c r="J313" s="14">
        <f>'[7]2025'!I313</f>
        <v>0</v>
      </c>
      <c r="K313" s="15">
        <f>'[7]2025'!J313</f>
        <v>0</v>
      </c>
      <c r="L313" s="15">
        <f>'[7]2025'!K313</f>
        <v>0</v>
      </c>
      <c r="M313" s="15">
        <f>'[7]2025'!L313</f>
        <v>0</v>
      </c>
      <c r="N313" s="16" t="str">
        <f t="shared" si="16"/>
        <v/>
      </c>
      <c r="O313" s="17" t="str">
        <f t="shared" si="17"/>
        <v/>
      </c>
      <c r="P313" s="17" t="str">
        <f t="shared" si="17"/>
        <v/>
      </c>
      <c r="Q313" s="18" t="str">
        <f t="shared" si="18"/>
        <v/>
      </c>
      <c r="R313" s="18" t="e">
        <f t="shared" si="19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</row>
    <row r="314" spans="1:21">
      <c r="A314" s="10" t="s">
        <v>13</v>
      </c>
      <c r="B314" s="19">
        <f>CHAMNORD!B314</f>
        <v>46331</v>
      </c>
      <c r="C314" s="75" t="str">
        <f>IF(H314=0,"",'[7]2025-2026'!C313)</f>
        <v/>
      </c>
      <c r="D314" s="68" t="str">
        <f>'[7]2025'!C314</f>
        <v/>
      </c>
      <c r="E314" s="68" t="str">
        <f>'[7]2025'!D314</f>
        <v/>
      </c>
      <c r="F314" s="20" t="str">
        <f>'[7]2025'!E314</f>
        <v/>
      </c>
      <c r="G314" s="73" t="str">
        <f>'[7]2025'!F314</f>
        <v/>
      </c>
      <c r="H314" s="42">
        <f>'[7]2025'!G314</f>
        <v>0</v>
      </c>
      <c r="I314" s="13">
        <f>'[7]2025'!H314</f>
        <v>0</v>
      </c>
      <c r="J314" s="14">
        <f>'[7]2025'!I314</f>
        <v>0</v>
      </c>
      <c r="K314" s="15">
        <f>'[7]2025'!J314</f>
        <v>0</v>
      </c>
      <c r="L314" s="15">
        <f>'[7]2025'!K314</f>
        <v>0</v>
      </c>
      <c r="M314" s="15">
        <f>'[7]2025'!L314</f>
        <v>0</v>
      </c>
      <c r="N314" s="16" t="str">
        <f t="shared" si="16"/>
        <v/>
      </c>
      <c r="O314" s="17" t="str">
        <f t="shared" si="17"/>
        <v/>
      </c>
      <c r="P314" s="17" t="str">
        <f t="shared" si="17"/>
        <v/>
      </c>
      <c r="Q314" s="18" t="str">
        <f t="shared" si="18"/>
        <v/>
      </c>
      <c r="R314" s="18" t="e">
        <f t="shared" si="19"/>
        <v>#DIV/0!</v>
      </c>
      <c r="S314" s="34"/>
      <c r="T314" s="29" t="s">
        <v>8</v>
      </c>
      <c r="U314" s="1738"/>
    </row>
    <row r="315" spans="1:21">
      <c r="A315" s="10" t="s">
        <v>14</v>
      </c>
      <c r="B315" s="19">
        <f>CHAMNORD!B315</f>
        <v>46332</v>
      </c>
      <c r="C315" s="75" t="str">
        <f>IF(H315=0,"",'[7]2025-2026'!C314)</f>
        <v/>
      </c>
      <c r="D315" s="68" t="str">
        <f>'[7]2025'!C315</f>
        <v/>
      </c>
      <c r="E315" s="68" t="str">
        <f>'[7]2025'!D315</f>
        <v/>
      </c>
      <c r="F315" s="20" t="str">
        <f>'[7]2025'!E315</f>
        <v/>
      </c>
      <c r="G315" s="73" t="str">
        <f>'[7]2025'!F315</f>
        <v/>
      </c>
      <c r="H315" s="42">
        <f>'[7]2025'!G315</f>
        <v>0</v>
      </c>
      <c r="I315" s="13">
        <f>'[7]2025'!H315</f>
        <v>0</v>
      </c>
      <c r="J315" s="14">
        <f>'[7]2025'!I315</f>
        <v>0</v>
      </c>
      <c r="K315" s="15">
        <f>'[7]2025'!J315</f>
        <v>0</v>
      </c>
      <c r="L315" s="15">
        <f>'[7]2025'!K315</f>
        <v>0</v>
      </c>
      <c r="M315" s="15">
        <f>'[7]2025'!L315</f>
        <v>0</v>
      </c>
      <c r="N315" s="16" t="str">
        <f t="shared" si="16"/>
        <v/>
      </c>
      <c r="O315" s="17" t="str">
        <f t="shared" si="17"/>
        <v/>
      </c>
      <c r="P315" s="17" t="str">
        <f t="shared" si="17"/>
        <v/>
      </c>
      <c r="Q315" s="18" t="str">
        <f t="shared" si="18"/>
        <v/>
      </c>
      <c r="R315" s="18" t="e">
        <f t="shared" si="19"/>
        <v>#DIV/0!</v>
      </c>
      <c r="S315" s="36" t="s">
        <v>40</v>
      </c>
      <c r="T315" s="48" t="e">
        <f>SUM(I311:I317)/SUM(L311:L317)</f>
        <v>#DIV/0!</v>
      </c>
      <c r="U315" s="1738"/>
    </row>
    <row r="316" spans="1:21">
      <c r="A316" s="10" t="s">
        <v>15</v>
      </c>
      <c r="B316" s="19">
        <f>CHAMNORD!B316</f>
        <v>46333</v>
      </c>
      <c r="C316" s="75" t="str">
        <f>IF(H316=0,"",'[7]2025-2026'!C315)</f>
        <v/>
      </c>
      <c r="D316" s="68" t="str">
        <f>'[7]2025'!C316</f>
        <v/>
      </c>
      <c r="E316" s="68" t="str">
        <f>'[7]2025'!D316</f>
        <v/>
      </c>
      <c r="F316" s="20" t="str">
        <f>'[7]2025'!E316</f>
        <v/>
      </c>
      <c r="G316" s="73" t="str">
        <f>'[7]2025'!F316</f>
        <v/>
      </c>
      <c r="H316" s="42">
        <f>'[7]2025'!G316</f>
        <v>0</v>
      </c>
      <c r="I316" s="13">
        <f>'[7]2025'!H316</f>
        <v>0</v>
      </c>
      <c r="J316" s="14">
        <f>'[7]2025'!I316</f>
        <v>0</v>
      </c>
      <c r="K316" s="15">
        <f>'[7]2025'!J316</f>
        <v>0</v>
      </c>
      <c r="L316" s="15">
        <f>'[7]2025'!K316</f>
        <v>0</v>
      </c>
      <c r="M316" s="15">
        <f>'[7]2025'!L316</f>
        <v>0</v>
      </c>
      <c r="N316" s="16" t="str">
        <f t="shared" si="16"/>
        <v/>
      </c>
      <c r="O316" s="17" t="str">
        <f t="shared" si="17"/>
        <v/>
      </c>
      <c r="P316" s="17" t="str">
        <f t="shared" si="17"/>
        <v/>
      </c>
      <c r="Q316" s="18" t="str">
        <f t="shared" si="18"/>
        <v/>
      </c>
      <c r="R316" s="18" t="e">
        <f t="shared" si="19"/>
        <v>#DIV/0!</v>
      </c>
      <c r="S316" s="36">
        <f>SUM(J311:J317)</f>
        <v>0</v>
      </c>
      <c r="T316" s="30" t="s">
        <v>3</v>
      </c>
      <c r="U316" s="1738"/>
    </row>
    <row r="317" spans="1:21" ht="18" thickBot="1">
      <c r="A317" s="10" t="s">
        <v>16</v>
      </c>
      <c r="B317" s="19">
        <f>CHAMNORD!B317</f>
        <v>46334</v>
      </c>
      <c r="C317" s="75" t="str">
        <f>IF(H317=0,"",'[7]2025-2026'!C316)</f>
        <v/>
      </c>
      <c r="D317" s="68" t="str">
        <f>'[7]2025'!C317</f>
        <v/>
      </c>
      <c r="E317" s="68" t="str">
        <f>'[7]2025'!D317</f>
        <v/>
      </c>
      <c r="F317" s="20" t="str">
        <f>'[7]2025'!E317</f>
        <v/>
      </c>
      <c r="G317" s="73" t="str">
        <f>'[7]2025'!F317</f>
        <v/>
      </c>
      <c r="H317" s="42">
        <f>'[7]2025'!G317</f>
        <v>0</v>
      </c>
      <c r="I317" s="13">
        <f>'[7]2025'!H317</f>
        <v>0</v>
      </c>
      <c r="J317" s="14">
        <f>'[7]2025'!I317</f>
        <v>0</v>
      </c>
      <c r="K317" s="15">
        <f>'[7]2025'!J317</f>
        <v>0</v>
      </c>
      <c r="L317" s="15">
        <f>'[7]2025'!K317</f>
        <v>0</v>
      </c>
      <c r="M317" s="15">
        <f>'[7]2025'!L317</f>
        <v>0</v>
      </c>
      <c r="N317" s="16" t="str">
        <f t="shared" si="16"/>
        <v/>
      </c>
      <c r="O317" s="17" t="str">
        <f t="shared" si="17"/>
        <v/>
      </c>
      <c r="P317" s="17" t="str">
        <f t="shared" si="17"/>
        <v/>
      </c>
      <c r="Q317" s="18" t="str">
        <f t="shared" si="18"/>
        <v/>
      </c>
      <c r="R317" s="18" t="e">
        <f t="shared" si="19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</row>
    <row r="318" spans="1:21" ht="17" customHeight="1" thickTop="1">
      <c r="A318" s="10" t="s">
        <v>9</v>
      </c>
      <c r="B318" s="19">
        <f>CHAMNORD!B318</f>
        <v>46335</v>
      </c>
      <c r="C318" s="75" t="str">
        <f>IF(H318=0,"",'[7]2025-2026'!C317)</f>
        <v/>
      </c>
      <c r="D318" s="68" t="str">
        <f>'[7]2025'!C318</f>
        <v/>
      </c>
      <c r="E318" s="68" t="str">
        <f>'[7]2025'!D318</f>
        <v/>
      </c>
      <c r="F318" s="20" t="str">
        <f>'[7]2025'!E318</f>
        <v/>
      </c>
      <c r="G318" s="73" t="str">
        <f>'[7]2025'!F318</f>
        <v/>
      </c>
      <c r="H318" s="42">
        <f>'[7]2025'!G318</f>
        <v>0</v>
      </c>
      <c r="I318" s="13">
        <f>'[7]2025'!H318</f>
        <v>0</v>
      </c>
      <c r="J318" s="14">
        <f>'[7]2025'!I318</f>
        <v>0</v>
      </c>
      <c r="K318" s="15">
        <f>'[7]2025'!J318</f>
        <v>0</v>
      </c>
      <c r="L318" s="15">
        <f>'[7]2025'!K318</f>
        <v>0</v>
      </c>
      <c r="M318" s="15">
        <f>'[7]2025'!L318</f>
        <v>0</v>
      </c>
      <c r="N318" s="16" t="str">
        <f t="shared" si="16"/>
        <v/>
      </c>
      <c r="O318" s="17" t="str">
        <f t="shared" si="17"/>
        <v/>
      </c>
      <c r="P318" s="17" t="str">
        <f t="shared" si="17"/>
        <v/>
      </c>
      <c r="Q318" s="18" t="str">
        <f t="shared" si="18"/>
        <v/>
      </c>
      <c r="R318" s="18" t="e">
        <f t="shared" si="19"/>
        <v>#DIV/0!</v>
      </c>
      <c r="S318" s="33" t="s">
        <v>39</v>
      </c>
      <c r="T318" s="31" t="s">
        <v>42</v>
      </c>
      <c r="U318" s="1737" t="s">
        <v>128</v>
      </c>
    </row>
    <row r="319" spans="1:21">
      <c r="A319" s="10" t="s">
        <v>11</v>
      </c>
      <c r="B319" s="19">
        <f>CHAMNORD!B319</f>
        <v>46336</v>
      </c>
      <c r="C319" s="75" t="str">
        <f>IF(H319=0,"",'[7]2025-2026'!C318)</f>
        <v/>
      </c>
      <c r="D319" s="68" t="str">
        <f>'[7]2025'!C319</f>
        <v/>
      </c>
      <c r="E319" s="68" t="str">
        <f>'[7]2025'!D319</f>
        <v/>
      </c>
      <c r="F319" s="20" t="str">
        <f>'[7]2025'!E319</f>
        <v/>
      </c>
      <c r="G319" s="73" t="str">
        <f>'[7]2025'!F319</f>
        <v/>
      </c>
      <c r="H319" s="42">
        <f>'[7]2025'!G319</f>
        <v>0</v>
      </c>
      <c r="I319" s="13">
        <f>'[7]2025'!H319</f>
        <v>0</v>
      </c>
      <c r="J319" s="14">
        <f>'[7]2025'!I319</f>
        <v>0</v>
      </c>
      <c r="K319" s="15">
        <f>'[7]2025'!J319</f>
        <v>0</v>
      </c>
      <c r="L319" s="15">
        <f>'[7]2025'!K319</f>
        <v>0</v>
      </c>
      <c r="M319" s="15">
        <f>'[7]2025'!L319</f>
        <v>0</v>
      </c>
      <c r="N319" s="16" t="str">
        <f t="shared" si="16"/>
        <v/>
      </c>
      <c r="O319" s="17" t="str">
        <f t="shared" si="17"/>
        <v/>
      </c>
      <c r="P319" s="17" t="str">
        <f t="shared" si="17"/>
        <v/>
      </c>
      <c r="Q319" s="18" t="str">
        <f t="shared" si="18"/>
        <v/>
      </c>
      <c r="R319" s="18" t="e">
        <f t="shared" si="19"/>
        <v>#DIV/0!</v>
      </c>
      <c r="S319" s="34">
        <f>SUM(I318:I324)</f>
        <v>0</v>
      </c>
      <c r="T319" s="45" t="s">
        <v>41</v>
      </c>
      <c r="U319" s="1738"/>
    </row>
    <row r="320" spans="1:21">
      <c r="A320" s="10" t="s">
        <v>12</v>
      </c>
      <c r="B320" s="19">
        <f>CHAMNORD!B320</f>
        <v>46337</v>
      </c>
      <c r="C320" s="75" t="str">
        <f>IF(H320=0,"",'[7]2025-2026'!C319)</f>
        <v/>
      </c>
      <c r="D320" s="68" t="str">
        <f>'[7]2025'!C320</f>
        <v/>
      </c>
      <c r="E320" s="68" t="str">
        <f>'[7]2025'!D320</f>
        <v/>
      </c>
      <c r="F320" s="20" t="str">
        <f>'[7]2025'!E320</f>
        <v/>
      </c>
      <c r="G320" s="73" t="str">
        <f>'[7]2025'!F320</f>
        <v/>
      </c>
      <c r="H320" s="42">
        <f>'[7]2025'!G320</f>
        <v>0</v>
      </c>
      <c r="I320" s="13">
        <f>'[7]2025'!H320</f>
        <v>0</v>
      </c>
      <c r="J320" s="14">
        <f>'[7]2025'!I320</f>
        <v>0</v>
      </c>
      <c r="K320" s="15">
        <f>'[7]2025'!J320</f>
        <v>0</v>
      </c>
      <c r="L320" s="15">
        <f>'[7]2025'!K320</f>
        <v>0</v>
      </c>
      <c r="M320" s="15">
        <f>'[7]2025'!L320</f>
        <v>0</v>
      </c>
      <c r="N320" s="16" t="str">
        <f t="shared" si="16"/>
        <v/>
      </c>
      <c r="O320" s="17" t="str">
        <f t="shared" si="17"/>
        <v/>
      </c>
      <c r="P320" s="17" t="str">
        <f t="shared" si="17"/>
        <v/>
      </c>
      <c r="Q320" s="18" t="str">
        <f t="shared" si="18"/>
        <v/>
      </c>
      <c r="R320" s="18" t="e">
        <f t="shared" si="19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</row>
    <row r="321" spans="1:21">
      <c r="A321" s="10" t="s">
        <v>13</v>
      </c>
      <c r="B321" s="19">
        <f>CHAMNORD!B321</f>
        <v>46338</v>
      </c>
      <c r="C321" s="75" t="str">
        <f>IF(H321=0,"",'[7]2025-2026'!C320)</f>
        <v/>
      </c>
      <c r="D321" s="68" t="str">
        <f>'[7]2025'!C321</f>
        <v/>
      </c>
      <c r="E321" s="68" t="str">
        <f>'[7]2025'!D321</f>
        <v/>
      </c>
      <c r="F321" s="20" t="str">
        <f>'[7]2025'!E321</f>
        <v/>
      </c>
      <c r="G321" s="73" t="str">
        <f>'[7]2025'!F321</f>
        <v/>
      </c>
      <c r="H321" s="42">
        <f>'[7]2025'!G321</f>
        <v>0</v>
      </c>
      <c r="I321" s="13">
        <f>'[7]2025'!H321</f>
        <v>0</v>
      </c>
      <c r="J321" s="14">
        <f>'[7]2025'!I321</f>
        <v>0</v>
      </c>
      <c r="K321" s="15">
        <f>'[7]2025'!J321</f>
        <v>0</v>
      </c>
      <c r="L321" s="15">
        <f>'[7]2025'!K321</f>
        <v>0</v>
      </c>
      <c r="M321" s="15">
        <f>'[7]2025'!L321</f>
        <v>0</v>
      </c>
      <c r="N321" s="16" t="str">
        <f t="shared" si="16"/>
        <v/>
      </c>
      <c r="O321" s="17" t="str">
        <f t="shared" si="17"/>
        <v/>
      </c>
      <c r="P321" s="17" t="str">
        <f t="shared" si="17"/>
        <v/>
      </c>
      <c r="Q321" s="18" t="str">
        <f t="shared" si="18"/>
        <v/>
      </c>
      <c r="R321" s="18" t="e">
        <f t="shared" si="19"/>
        <v>#DIV/0!</v>
      </c>
      <c r="S321" s="34"/>
      <c r="T321" s="29" t="s">
        <v>8</v>
      </c>
      <c r="U321" s="1738"/>
    </row>
    <row r="322" spans="1:21">
      <c r="A322" s="10" t="s">
        <v>14</v>
      </c>
      <c r="B322" s="19">
        <f>CHAMNORD!B322</f>
        <v>46339</v>
      </c>
      <c r="C322" s="75" t="str">
        <f>IF(H322=0,"",'[7]2025-2026'!C321)</f>
        <v/>
      </c>
      <c r="D322" s="68" t="str">
        <f>'[7]2025'!C322</f>
        <v/>
      </c>
      <c r="E322" s="68" t="str">
        <f>'[7]2025'!D322</f>
        <v/>
      </c>
      <c r="F322" s="20" t="str">
        <f>'[7]2025'!E322</f>
        <v/>
      </c>
      <c r="G322" s="73" t="str">
        <f>'[7]2025'!F322</f>
        <v/>
      </c>
      <c r="H322" s="42">
        <f>'[7]2025'!G322</f>
        <v>0</v>
      </c>
      <c r="I322" s="13">
        <f>'[7]2025'!H322</f>
        <v>0</v>
      </c>
      <c r="J322" s="14">
        <f>'[7]2025'!I322</f>
        <v>0</v>
      </c>
      <c r="K322" s="15">
        <f>'[7]2025'!J322</f>
        <v>0</v>
      </c>
      <c r="L322" s="15">
        <f>'[7]2025'!K322</f>
        <v>0</v>
      </c>
      <c r="M322" s="15">
        <f>'[7]2025'!L322</f>
        <v>0</v>
      </c>
      <c r="N322" s="16" t="str">
        <f t="shared" si="16"/>
        <v/>
      </c>
      <c r="O322" s="17" t="str">
        <f t="shared" si="17"/>
        <v/>
      </c>
      <c r="P322" s="17" t="str">
        <f t="shared" si="17"/>
        <v/>
      </c>
      <c r="Q322" s="18" t="str">
        <f t="shared" si="18"/>
        <v/>
      </c>
      <c r="R322" s="18" t="e">
        <f t="shared" si="19"/>
        <v>#DIV/0!</v>
      </c>
      <c r="S322" s="36" t="s">
        <v>40</v>
      </c>
      <c r="T322" s="48" t="e">
        <f>SUM(I318:I324)/SUM(L318:L324)</f>
        <v>#DIV/0!</v>
      </c>
      <c r="U322" s="1738"/>
    </row>
    <row r="323" spans="1:21">
      <c r="A323" s="10" t="s">
        <v>15</v>
      </c>
      <c r="B323" s="19">
        <f>CHAMNORD!B323</f>
        <v>46340</v>
      </c>
      <c r="C323" s="75" t="str">
        <f>IF(H323=0,"",'[7]2025-2026'!C322)</f>
        <v/>
      </c>
      <c r="D323" s="68" t="str">
        <f>'[7]2025'!C323</f>
        <v/>
      </c>
      <c r="E323" s="68" t="str">
        <f>'[7]2025'!D323</f>
        <v/>
      </c>
      <c r="F323" s="20" t="str">
        <f>'[7]2025'!E323</f>
        <v/>
      </c>
      <c r="G323" s="73" t="str">
        <f>'[7]2025'!F323</f>
        <v/>
      </c>
      <c r="H323" s="42">
        <f>'[7]2025'!G323</f>
        <v>0</v>
      </c>
      <c r="I323" s="13">
        <f>'[7]2025'!H323</f>
        <v>0</v>
      </c>
      <c r="J323" s="14">
        <f>'[7]2025'!I323</f>
        <v>0</v>
      </c>
      <c r="K323" s="15">
        <f>'[7]2025'!J323</f>
        <v>0</v>
      </c>
      <c r="L323" s="15">
        <f>'[7]2025'!K323</f>
        <v>0</v>
      </c>
      <c r="M323" s="15">
        <f>'[7]2025'!L323</f>
        <v>0</v>
      </c>
      <c r="N323" s="16" t="str">
        <f t="shared" si="16"/>
        <v/>
      </c>
      <c r="O323" s="17" t="str">
        <f t="shared" si="17"/>
        <v/>
      </c>
      <c r="P323" s="17" t="str">
        <f t="shared" si="17"/>
        <v/>
      </c>
      <c r="Q323" s="18" t="str">
        <f t="shared" si="18"/>
        <v/>
      </c>
      <c r="R323" s="18" t="e">
        <f t="shared" si="19"/>
        <v>#DIV/0!</v>
      </c>
      <c r="S323" s="36">
        <f>SUM(J318:J324)</f>
        <v>0</v>
      </c>
      <c r="T323" s="30" t="s">
        <v>3</v>
      </c>
      <c r="U323" s="1738"/>
    </row>
    <row r="324" spans="1:21" ht="18" thickBot="1">
      <c r="A324" s="10" t="s">
        <v>16</v>
      </c>
      <c r="B324" s="19">
        <f>CHAMNORD!B324</f>
        <v>46341</v>
      </c>
      <c r="C324" s="75" t="str">
        <f>IF(H324=0,"",'[7]2025-2026'!C323)</f>
        <v/>
      </c>
      <c r="D324" s="68" t="str">
        <f>'[7]2025'!C324</f>
        <v/>
      </c>
      <c r="E324" s="68" t="str">
        <f>'[7]2025'!D324</f>
        <v/>
      </c>
      <c r="F324" s="20" t="str">
        <f>'[7]2025'!E324</f>
        <v/>
      </c>
      <c r="G324" s="73" t="str">
        <f>'[7]2025'!F324</f>
        <v/>
      </c>
      <c r="H324" s="42">
        <f>'[7]2025'!G324</f>
        <v>0</v>
      </c>
      <c r="I324" s="13">
        <f>'[7]2025'!H324</f>
        <v>0</v>
      </c>
      <c r="J324" s="14">
        <f>'[7]2025'!I324</f>
        <v>0</v>
      </c>
      <c r="K324" s="15">
        <f>'[7]2025'!J324</f>
        <v>0</v>
      </c>
      <c r="L324" s="15">
        <f>'[7]2025'!K324</f>
        <v>0</v>
      </c>
      <c r="M324" s="15">
        <f>'[7]2025'!L324</f>
        <v>0</v>
      </c>
      <c r="N324" s="16" t="str">
        <f t="shared" ref="N324:N368" si="20">IF(M324=0,"",M324/I324)</f>
        <v/>
      </c>
      <c r="O324" s="17" t="str">
        <f t="shared" ref="O324:P368" si="21">IF(I324=0,"",(I324-E324)/E324)</f>
        <v/>
      </c>
      <c r="P324" s="17" t="str">
        <f t="shared" si="21"/>
        <v/>
      </c>
      <c r="Q324" s="18" t="str">
        <f t="shared" ref="Q324:Q368" si="22">IF(I324=0,"",I324/K324)</f>
        <v/>
      </c>
      <c r="R324" s="18" t="e">
        <f t="shared" ref="R324:R368" si="23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</row>
    <row r="325" spans="1:21" ht="17" customHeight="1" thickTop="1">
      <c r="A325" s="10" t="s">
        <v>9</v>
      </c>
      <c r="B325" s="19">
        <f>CHAMNORD!B325</f>
        <v>46342</v>
      </c>
      <c r="C325" s="75" t="str">
        <f>IF(H325=0,"",'[7]2025-2026'!C324)</f>
        <v/>
      </c>
      <c r="D325" s="68" t="str">
        <f>'[7]2025'!C325</f>
        <v/>
      </c>
      <c r="E325" s="68" t="str">
        <f>'[7]2025'!D325</f>
        <v/>
      </c>
      <c r="F325" s="20" t="str">
        <f>'[7]2025'!E325</f>
        <v/>
      </c>
      <c r="G325" s="73" t="str">
        <f>'[7]2025'!F325</f>
        <v/>
      </c>
      <c r="H325" s="42">
        <f>'[7]2025'!G325</f>
        <v>0</v>
      </c>
      <c r="I325" s="13">
        <f>'[7]2025'!H325</f>
        <v>0</v>
      </c>
      <c r="J325" s="14">
        <f>'[7]2025'!I325</f>
        <v>0</v>
      </c>
      <c r="K325" s="15">
        <f>'[7]2025'!J325</f>
        <v>0</v>
      </c>
      <c r="L325" s="15">
        <f>'[7]2025'!K325</f>
        <v>0</v>
      </c>
      <c r="M325" s="15">
        <f>'[7]2025'!L325</f>
        <v>0</v>
      </c>
      <c r="N325" s="16" t="str">
        <f t="shared" si="20"/>
        <v/>
      </c>
      <c r="O325" s="17" t="str">
        <f t="shared" si="21"/>
        <v/>
      </c>
      <c r="P325" s="17" t="str">
        <f t="shared" si="21"/>
        <v/>
      </c>
      <c r="Q325" s="18" t="str">
        <f t="shared" si="22"/>
        <v/>
      </c>
      <c r="R325" s="18" t="e">
        <f t="shared" si="23"/>
        <v>#DIV/0!</v>
      </c>
      <c r="S325" s="33" t="s">
        <v>39</v>
      </c>
      <c r="T325" s="31" t="s">
        <v>42</v>
      </c>
      <c r="U325" s="1737" t="s">
        <v>129</v>
      </c>
    </row>
    <row r="326" spans="1:21">
      <c r="A326" s="10" t="s">
        <v>11</v>
      </c>
      <c r="B326" s="19">
        <f>CHAMNORD!B326</f>
        <v>46343</v>
      </c>
      <c r="C326" s="75" t="str">
        <f>IF(H326=0,"",'[7]2025-2026'!C325)</f>
        <v/>
      </c>
      <c r="D326" s="68" t="str">
        <f>'[7]2025'!C326</f>
        <v/>
      </c>
      <c r="E326" s="68" t="str">
        <f>'[7]2025'!D326</f>
        <v/>
      </c>
      <c r="F326" s="20" t="str">
        <f>'[7]2025'!E326</f>
        <v/>
      </c>
      <c r="G326" s="73" t="str">
        <f>'[7]2025'!F326</f>
        <v/>
      </c>
      <c r="H326" s="42">
        <f>'[7]2025'!G326</f>
        <v>0</v>
      </c>
      <c r="I326" s="13">
        <f>'[7]2025'!H326</f>
        <v>0</v>
      </c>
      <c r="J326" s="14">
        <f>'[7]2025'!I326</f>
        <v>0</v>
      </c>
      <c r="K326" s="15">
        <f>'[7]2025'!J326</f>
        <v>0</v>
      </c>
      <c r="L326" s="15">
        <f>'[7]2025'!K326</f>
        <v>0</v>
      </c>
      <c r="M326" s="15">
        <f>'[7]2025'!L326</f>
        <v>0</v>
      </c>
      <c r="N326" s="16" t="str">
        <f t="shared" si="20"/>
        <v/>
      </c>
      <c r="O326" s="17" t="str">
        <f t="shared" si="21"/>
        <v/>
      </c>
      <c r="P326" s="17" t="str">
        <f t="shared" si="21"/>
        <v/>
      </c>
      <c r="Q326" s="18" t="str">
        <f t="shared" si="22"/>
        <v/>
      </c>
      <c r="R326" s="18" t="e">
        <f t="shared" si="23"/>
        <v>#DIV/0!</v>
      </c>
      <c r="S326" s="34">
        <f>SUM(I325:I331)</f>
        <v>0</v>
      </c>
      <c r="T326" s="45" t="s">
        <v>41</v>
      </c>
      <c r="U326" s="1738"/>
    </row>
    <row r="327" spans="1:21">
      <c r="A327" s="10" t="s">
        <v>12</v>
      </c>
      <c r="B327" s="19">
        <f>CHAMNORD!B327</f>
        <v>46344</v>
      </c>
      <c r="C327" s="75" t="str">
        <f>IF(H327=0,"",'[7]2025-2026'!C326)</f>
        <v/>
      </c>
      <c r="D327" s="68" t="str">
        <f>'[7]2025'!C327</f>
        <v/>
      </c>
      <c r="E327" s="68" t="str">
        <f>'[7]2025'!D327</f>
        <v/>
      </c>
      <c r="F327" s="20" t="str">
        <f>'[7]2025'!E327</f>
        <v/>
      </c>
      <c r="G327" s="73" t="str">
        <f>'[7]2025'!F327</f>
        <v/>
      </c>
      <c r="H327" s="42">
        <f>'[7]2025'!G327</f>
        <v>0</v>
      </c>
      <c r="I327" s="13">
        <f>'[7]2025'!H327</f>
        <v>0</v>
      </c>
      <c r="J327" s="14">
        <f>'[7]2025'!I327</f>
        <v>0</v>
      </c>
      <c r="K327" s="15">
        <f>'[7]2025'!J327</f>
        <v>0</v>
      </c>
      <c r="L327" s="15">
        <f>'[7]2025'!K327</f>
        <v>0</v>
      </c>
      <c r="M327" s="15">
        <f>'[7]2025'!L327</f>
        <v>0</v>
      </c>
      <c r="N327" s="16" t="str">
        <f t="shared" si="20"/>
        <v/>
      </c>
      <c r="O327" s="17" t="str">
        <f t="shared" si="21"/>
        <v/>
      </c>
      <c r="P327" s="17" t="str">
        <f t="shared" si="21"/>
        <v/>
      </c>
      <c r="Q327" s="18" t="str">
        <f t="shared" si="22"/>
        <v/>
      </c>
      <c r="R327" s="18" t="e">
        <f t="shared" si="23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</row>
    <row r="328" spans="1:21">
      <c r="A328" s="10" t="s">
        <v>13</v>
      </c>
      <c r="B328" s="19">
        <f>CHAMNORD!B328</f>
        <v>46345</v>
      </c>
      <c r="C328" s="75" t="str">
        <f>IF(H328=0,"",'[7]2025-2026'!C327)</f>
        <v/>
      </c>
      <c r="D328" s="68" t="str">
        <f>'[7]2025'!C328</f>
        <v/>
      </c>
      <c r="E328" s="68" t="str">
        <f>'[7]2025'!D328</f>
        <v/>
      </c>
      <c r="F328" s="20" t="str">
        <f>'[7]2025'!E328</f>
        <v/>
      </c>
      <c r="G328" s="73" t="str">
        <f>'[7]2025'!F328</f>
        <v/>
      </c>
      <c r="H328" s="42">
        <f>'[7]2025'!G328</f>
        <v>0</v>
      </c>
      <c r="I328" s="13">
        <f>'[7]2025'!H328</f>
        <v>0</v>
      </c>
      <c r="J328" s="14">
        <f>'[7]2025'!I328</f>
        <v>0</v>
      </c>
      <c r="K328" s="15">
        <f>'[7]2025'!J328</f>
        <v>0</v>
      </c>
      <c r="L328" s="15">
        <f>'[7]2025'!K328</f>
        <v>0</v>
      </c>
      <c r="M328" s="15">
        <f>'[7]2025'!L328</f>
        <v>0</v>
      </c>
      <c r="N328" s="16" t="str">
        <f t="shared" si="20"/>
        <v/>
      </c>
      <c r="O328" s="17" t="str">
        <f t="shared" si="21"/>
        <v/>
      </c>
      <c r="P328" s="17" t="str">
        <f t="shared" si="21"/>
        <v/>
      </c>
      <c r="Q328" s="18" t="str">
        <f t="shared" si="22"/>
        <v/>
      </c>
      <c r="R328" s="18" t="e">
        <f t="shared" si="23"/>
        <v>#DIV/0!</v>
      </c>
      <c r="S328" s="34"/>
      <c r="T328" s="29" t="s">
        <v>8</v>
      </c>
      <c r="U328" s="1738"/>
    </row>
    <row r="329" spans="1:21">
      <c r="A329" s="10" t="s">
        <v>14</v>
      </c>
      <c r="B329" s="19">
        <f>CHAMNORD!B329</f>
        <v>46346</v>
      </c>
      <c r="C329" s="75" t="str">
        <f>IF(H329=0,"",'[7]2025-2026'!C328)</f>
        <v/>
      </c>
      <c r="D329" s="68" t="str">
        <f>'[7]2025'!C329</f>
        <v/>
      </c>
      <c r="E329" s="68" t="str">
        <f>'[7]2025'!D329</f>
        <v/>
      </c>
      <c r="F329" s="20" t="str">
        <f>'[7]2025'!E329</f>
        <v/>
      </c>
      <c r="G329" s="73" t="str">
        <f>'[7]2025'!F329</f>
        <v/>
      </c>
      <c r="H329" s="42">
        <f>'[7]2025'!G329</f>
        <v>0</v>
      </c>
      <c r="I329" s="13">
        <f>'[7]2025'!H329</f>
        <v>0</v>
      </c>
      <c r="J329" s="14">
        <f>'[7]2025'!I329</f>
        <v>0</v>
      </c>
      <c r="K329" s="15">
        <f>'[7]2025'!J329</f>
        <v>0</v>
      </c>
      <c r="L329" s="15">
        <f>'[7]2025'!K329</f>
        <v>0</v>
      </c>
      <c r="M329" s="15">
        <f>'[7]2025'!L329</f>
        <v>0</v>
      </c>
      <c r="N329" s="16" t="str">
        <f t="shared" si="20"/>
        <v/>
      </c>
      <c r="O329" s="17" t="str">
        <f t="shared" si="21"/>
        <v/>
      </c>
      <c r="P329" s="17" t="str">
        <f t="shared" si="21"/>
        <v/>
      </c>
      <c r="Q329" s="18" t="str">
        <f t="shared" si="22"/>
        <v/>
      </c>
      <c r="R329" s="18" t="e">
        <f t="shared" si="23"/>
        <v>#DIV/0!</v>
      </c>
      <c r="S329" s="36" t="s">
        <v>40</v>
      </c>
      <c r="T329" s="48" t="e">
        <f>SUM(I325:I331)/SUM(L325:L331)</f>
        <v>#DIV/0!</v>
      </c>
      <c r="U329" s="1738"/>
    </row>
    <row r="330" spans="1:21">
      <c r="A330" s="10" t="s">
        <v>15</v>
      </c>
      <c r="B330" s="19">
        <f>CHAMNORD!B330</f>
        <v>46347</v>
      </c>
      <c r="C330" s="75" t="str">
        <f>IF(H330=0,"",'[7]2025-2026'!C329)</f>
        <v/>
      </c>
      <c r="D330" s="68" t="str">
        <f>'[7]2025'!C330</f>
        <v/>
      </c>
      <c r="E330" s="68" t="str">
        <f>'[7]2025'!D330</f>
        <v/>
      </c>
      <c r="F330" s="20" t="str">
        <f>'[7]2025'!E330</f>
        <v/>
      </c>
      <c r="G330" s="73" t="str">
        <f>'[7]2025'!F330</f>
        <v/>
      </c>
      <c r="H330" s="42">
        <f>'[7]2025'!G330</f>
        <v>0</v>
      </c>
      <c r="I330" s="13">
        <f>'[7]2025'!H330</f>
        <v>0</v>
      </c>
      <c r="J330" s="14">
        <f>'[7]2025'!I330</f>
        <v>0</v>
      </c>
      <c r="K330" s="15">
        <f>'[7]2025'!J330</f>
        <v>0</v>
      </c>
      <c r="L330" s="15">
        <f>'[7]2025'!K330</f>
        <v>0</v>
      </c>
      <c r="M330" s="15">
        <f>'[7]2025'!L330</f>
        <v>0</v>
      </c>
      <c r="N330" s="16" t="str">
        <f t="shared" si="20"/>
        <v/>
      </c>
      <c r="O330" s="17" t="str">
        <f t="shared" si="21"/>
        <v/>
      </c>
      <c r="P330" s="17" t="str">
        <f t="shared" si="21"/>
        <v/>
      </c>
      <c r="Q330" s="18" t="str">
        <f t="shared" si="22"/>
        <v/>
      </c>
      <c r="R330" s="18" t="e">
        <f t="shared" si="23"/>
        <v>#DIV/0!</v>
      </c>
      <c r="S330" s="36">
        <f>SUM(J325:J331)</f>
        <v>0</v>
      </c>
      <c r="T330" s="30" t="s">
        <v>3</v>
      </c>
      <c r="U330" s="1738"/>
    </row>
    <row r="331" spans="1:21" ht="18" thickBot="1">
      <c r="A331" s="10" t="s">
        <v>16</v>
      </c>
      <c r="B331" s="19">
        <f>CHAMNORD!B331</f>
        <v>46348</v>
      </c>
      <c r="C331" s="75" t="str">
        <f>IF(H331=0,"",'[7]2025-2026'!C330)</f>
        <v/>
      </c>
      <c r="D331" s="68" t="str">
        <f>'[7]2025'!C331</f>
        <v/>
      </c>
      <c r="E331" s="68" t="str">
        <f>'[7]2025'!D331</f>
        <v/>
      </c>
      <c r="F331" s="20" t="str">
        <f>'[7]2025'!E331</f>
        <v/>
      </c>
      <c r="G331" s="73" t="str">
        <f>'[7]2025'!F331</f>
        <v/>
      </c>
      <c r="H331" s="42">
        <f>'[7]2025'!G331</f>
        <v>0</v>
      </c>
      <c r="I331" s="13">
        <f>'[7]2025'!H331</f>
        <v>0</v>
      </c>
      <c r="J331" s="14">
        <f>'[7]2025'!I331</f>
        <v>0</v>
      </c>
      <c r="K331" s="15">
        <f>'[7]2025'!J331</f>
        <v>0</v>
      </c>
      <c r="L331" s="15">
        <f>'[7]2025'!K331</f>
        <v>0</v>
      </c>
      <c r="M331" s="15">
        <f>'[7]2025'!L331</f>
        <v>0</v>
      </c>
      <c r="N331" s="16" t="str">
        <f t="shared" si="20"/>
        <v/>
      </c>
      <c r="O331" s="17" t="str">
        <f t="shared" si="21"/>
        <v/>
      </c>
      <c r="P331" s="17" t="str">
        <f t="shared" si="21"/>
        <v/>
      </c>
      <c r="Q331" s="18" t="str">
        <f t="shared" si="22"/>
        <v/>
      </c>
      <c r="R331" s="18" t="e">
        <f t="shared" si="23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</row>
    <row r="332" spans="1:21" ht="17" customHeight="1" thickTop="1">
      <c r="A332" s="10" t="s">
        <v>9</v>
      </c>
      <c r="B332" s="19">
        <f>CHAMNORD!B332</f>
        <v>46349</v>
      </c>
      <c r="C332" s="75" t="str">
        <f>IF(H332=0,"",'[7]2025-2026'!C331)</f>
        <v/>
      </c>
      <c r="D332" s="68" t="str">
        <f>'[7]2025'!C332</f>
        <v/>
      </c>
      <c r="E332" s="68" t="str">
        <f>'[7]2025'!D332</f>
        <v/>
      </c>
      <c r="F332" s="20" t="str">
        <f>'[7]2025'!E332</f>
        <v/>
      </c>
      <c r="G332" s="73" t="str">
        <f>'[7]2025'!F332</f>
        <v/>
      </c>
      <c r="H332" s="42">
        <f>'[7]2025'!G332</f>
        <v>0</v>
      </c>
      <c r="I332" s="13">
        <f>'[7]2025'!H332</f>
        <v>0</v>
      </c>
      <c r="J332" s="14">
        <f>'[7]2025'!I332</f>
        <v>0</v>
      </c>
      <c r="K332" s="15">
        <f>'[7]2025'!J332</f>
        <v>0</v>
      </c>
      <c r="L332" s="15">
        <f>'[7]2025'!K332</f>
        <v>0</v>
      </c>
      <c r="M332" s="15">
        <f>'[7]2025'!L332</f>
        <v>0</v>
      </c>
      <c r="N332" s="16" t="str">
        <f t="shared" si="20"/>
        <v/>
      </c>
      <c r="O332" s="17" t="str">
        <f t="shared" si="21"/>
        <v/>
      </c>
      <c r="P332" s="17" t="str">
        <f t="shared" si="21"/>
        <v/>
      </c>
      <c r="Q332" s="18" t="str">
        <f t="shared" si="22"/>
        <v/>
      </c>
      <c r="R332" s="18" t="e">
        <f t="shared" si="23"/>
        <v>#DIV/0!</v>
      </c>
      <c r="S332" s="33" t="s">
        <v>39</v>
      </c>
      <c r="T332" s="31" t="s">
        <v>42</v>
      </c>
      <c r="U332" s="1737" t="s">
        <v>130</v>
      </c>
    </row>
    <row r="333" spans="1:21">
      <c r="A333" s="10" t="s">
        <v>11</v>
      </c>
      <c r="B333" s="19">
        <f>CHAMNORD!B333</f>
        <v>46350</v>
      </c>
      <c r="C333" s="75" t="str">
        <f>IF(H333=0,"",'[7]2025-2026'!C332)</f>
        <v/>
      </c>
      <c r="D333" s="68" t="str">
        <f>'[7]2025'!C333</f>
        <v/>
      </c>
      <c r="E333" s="68" t="str">
        <f>'[7]2025'!D333</f>
        <v/>
      </c>
      <c r="F333" s="20" t="str">
        <f>'[7]2025'!E333</f>
        <v/>
      </c>
      <c r="G333" s="73" t="str">
        <f>'[7]2025'!F333</f>
        <v/>
      </c>
      <c r="H333" s="42">
        <f>'[7]2025'!G333</f>
        <v>0</v>
      </c>
      <c r="I333" s="13">
        <f>'[7]2025'!H333</f>
        <v>0</v>
      </c>
      <c r="J333" s="14">
        <f>'[7]2025'!I333</f>
        <v>0</v>
      </c>
      <c r="K333" s="15">
        <f>'[7]2025'!J333</f>
        <v>0</v>
      </c>
      <c r="L333" s="15">
        <f>'[7]2025'!K333</f>
        <v>0</v>
      </c>
      <c r="M333" s="15">
        <f>'[7]2025'!L333</f>
        <v>0</v>
      </c>
      <c r="N333" s="16" t="str">
        <f t="shared" si="20"/>
        <v/>
      </c>
      <c r="O333" s="17" t="str">
        <f t="shared" si="21"/>
        <v/>
      </c>
      <c r="P333" s="17" t="str">
        <f t="shared" si="21"/>
        <v/>
      </c>
      <c r="Q333" s="18" t="str">
        <f t="shared" si="22"/>
        <v/>
      </c>
      <c r="R333" s="18" t="e">
        <f t="shared" si="23"/>
        <v>#DIV/0!</v>
      </c>
      <c r="S333" s="34">
        <f>SUM(I332:I338)</f>
        <v>0</v>
      </c>
      <c r="T333" s="45" t="s">
        <v>41</v>
      </c>
      <c r="U333" s="1738"/>
    </row>
    <row r="334" spans="1:21">
      <c r="A334" s="10" t="s">
        <v>12</v>
      </c>
      <c r="B334" s="19">
        <f>CHAMNORD!B334</f>
        <v>46351</v>
      </c>
      <c r="C334" s="75" t="str">
        <f>IF(H334=0,"",'[7]2025-2026'!C333)</f>
        <v/>
      </c>
      <c r="D334" s="68" t="str">
        <f>'[7]2025'!C334</f>
        <v/>
      </c>
      <c r="E334" s="68" t="str">
        <f>'[7]2025'!D334</f>
        <v/>
      </c>
      <c r="F334" s="20" t="str">
        <f>'[7]2025'!E334</f>
        <v/>
      </c>
      <c r="G334" s="73" t="str">
        <f>'[7]2025'!F334</f>
        <v/>
      </c>
      <c r="H334" s="42">
        <f>'[7]2025'!G334</f>
        <v>0</v>
      </c>
      <c r="I334" s="13">
        <f>'[7]2025'!H334</f>
        <v>0</v>
      </c>
      <c r="J334" s="14">
        <f>'[7]2025'!I334</f>
        <v>0</v>
      </c>
      <c r="K334" s="15">
        <f>'[7]2025'!J334</f>
        <v>0</v>
      </c>
      <c r="L334" s="15">
        <f>'[7]2025'!K334</f>
        <v>0</v>
      </c>
      <c r="M334" s="15">
        <f>'[7]2025'!L334</f>
        <v>0</v>
      </c>
      <c r="N334" s="16" t="str">
        <f t="shared" si="20"/>
        <v/>
      </c>
      <c r="O334" s="17" t="str">
        <f t="shared" si="21"/>
        <v/>
      </c>
      <c r="P334" s="17" t="str">
        <f t="shared" si="21"/>
        <v/>
      </c>
      <c r="Q334" s="18" t="str">
        <f t="shared" si="22"/>
        <v/>
      </c>
      <c r="R334" s="18" t="e">
        <f t="shared" si="23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</row>
    <row r="335" spans="1:21">
      <c r="A335" s="10" t="s">
        <v>13</v>
      </c>
      <c r="B335" s="19">
        <f>CHAMNORD!B335</f>
        <v>46352</v>
      </c>
      <c r="C335" s="75" t="str">
        <f>IF(H335=0,"",'[7]2025-2026'!C334)</f>
        <v/>
      </c>
      <c r="D335" s="68" t="str">
        <f>'[7]2025'!C335</f>
        <v/>
      </c>
      <c r="E335" s="68" t="str">
        <f>'[7]2025'!D335</f>
        <v/>
      </c>
      <c r="F335" s="20" t="str">
        <f>'[7]2025'!E335</f>
        <v/>
      </c>
      <c r="G335" s="73" t="str">
        <f>'[7]2025'!F335</f>
        <v/>
      </c>
      <c r="H335" s="42">
        <f>'[7]2025'!G335</f>
        <v>0</v>
      </c>
      <c r="I335" s="13">
        <f>'[7]2025'!H335</f>
        <v>0</v>
      </c>
      <c r="J335" s="14">
        <f>'[7]2025'!I335</f>
        <v>0</v>
      </c>
      <c r="K335" s="15">
        <f>'[7]2025'!J335</f>
        <v>0</v>
      </c>
      <c r="L335" s="15">
        <f>'[7]2025'!K335</f>
        <v>0</v>
      </c>
      <c r="M335" s="15">
        <f>'[7]2025'!L335</f>
        <v>0</v>
      </c>
      <c r="N335" s="16" t="str">
        <f t="shared" si="20"/>
        <v/>
      </c>
      <c r="O335" s="17" t="str">
        <f t="shared" si="21"/>
        <v/>
      </c>
      <c r="P335" s="17" t="str">
        <f t="shared" si="21"/>
        <v/>
      </c>
      <c r="Q335" s="18" t="str">
        <f t="shared" si="22"/>
        <v/>
      </c>
      <c r="R335" s="18" t="e">
        <f t="shared" si="23"/>
        <v>#DIV/0!</v>
      </c>
      <c r="S335" s="34"/>
      <c r="T335" s="29" t="s">
        <v>8</v>
      </c>
      <c r="U335" s="1738"/>
    </row>
    <row r="336" spans="1:21">
      <c r="A336" s="10" t="s">
        <v>14</v>
      </c>
      <c r="B336" s="19">
        <f>CHAMNORD!B336</f>
        <v>46353</v>
      </c>
      <c r="C336" s="75" t="str">
        <f>IF(H336=0,"",'[7]2025-2026'!C335)</f>
        <v/>
      </c>
      <c r="D336" s="68" t="str">
        <f>'[7]2025'!C336</f>
        <v/>
      </c>
      <c r="E336" s="68" t="str">
        <f>'[7]2025'!D336</f>
        <v/>
      </c>
      <c r="F336" s="20" t="str">
        <f>'[7]2025'!E336</f>
        <v/>
      </c>
      <c r="G336" s="73" t="str">
        <f>'[7]2025'!F336</f>
        <v/>
      </c>
      <c r="H336" s="42">
        <f>'[7]2025'!G336</f>
        <v>0</v>
      </c>
      <c r="I336" s="13">
        <f>'[7]2025'!H336</f>
        <v>0</v>
      </c>
      <c r="J336" s="14">
        <f>'[7]2025'!I336</f>
        <v>0</v>
      </c>
      <c r="K336" s="15">
        <f>'[7]2025'!J336</f>
        <v>0</v>
      </c>
      <c r="L336" s="15">
        <f>'[7]2025'!K336</f>
        <v>0</v>
      </c>
      <c r="M336" s="15">
        <f>'[7]2025'!L336</f>
        <v>0</v>
      </c>
      <c r="N336" s="16" t="str">
        <f t="shared" si="20"/>
        <v/>
      </c>
      <c r="O336" s="17" t="str">
        <f t="shared" si="21"/>
        <v/>
      </c>
      <c r="P336" s="17" t="str">
        <f t="shared" si="21"/>
        <v/>
      </c>
      <c r="Q336" s="18" t="str">
        <f t="shared" si="22"/>
        <v/>
      </c>
      <c r="R336" s="18" t="e">
        <f t="shared" si="23"/>
        <v>#DIV/0!</v>
      </c>
      <c r="S336" s="36" t="s">
        <v>40</v>
      </c>
      <c r="T336" s="48" t="e">
        <f>SUM(I332:I338)/SUM(L332:L338)</f>
        <v>#DIV/0!</v>
      </c>
      <c r="U336" s="1738"/>
    </row>
    <row r="337" spans="1:21">
      <c r="A337" s="10" t="s">
        <v>15</v>
      </c>
      <c r="B337" s="19">
        <f>CHAMNORD!B337</f>
        <v>46354</v>
      </c>
      <c r="C337" s="75" t="str">
        <f>IF(H337=0,"",'[7]2025-2026'!C336)</f>
        <v/>
      </c>
      <c r="D337" s="68" t="str">
        <f>'[7]2025'!C337</f>
        <v/>
      </c>
      <c r="E337" s="68" t="str">
        <f>'[7]2025'!D337</f>
        <v/>
      </c>
      <c r="F337" s="20" t="str">
        <f>'[7]2025'!E337</f>
        <v/>
      </c>
      <c r="G337" s="73" t="str">
        <f>'[7]2025'!F337</f>
        <v/>
      </c>
      <c r="H337" s="42">
        <f>'[7]2025'!G337</f>
        <v>0</v>
      </c>
      <c r="I337" s="13">
        <f>'[7]2025'!H337</f>
        <v>0</v>
      </c>
      <c r="J337" s="14">
        <f>'[7]2025'!I337</f>
        <v>0</v>
      </c>
      <c r="K337" s="15">
        <f>'[7]2025'!J337</f>
        <v>0</v>
      </c>
      <c r="L337" s="15">
        <f>'[7]2025'!K337</f>
        <v>0</v>
      </c>
      <c r="M337" s="15">
        <f>'[7]2025'!L337</f>
        <v>0</v>
      </c>
      <c r="N337" s="16" t="str">
        <f t="shared" si="20"/>
        <v/>
      </c>
      <c r="O337" s="17" t="str">
        <f t="shared" si="21"/>
        <v/>
      </c>
      <c r="P337" s="17" t="str">
        <f t="shared" si="21"/>
        <v/>
      </c>
      <c r="Q337" s="18" t="str">
        <f t="shared" si="22"/>
        <v/>
      </c>
      <c r="R337" s="18" t="e">
        <f t="shared" si="23"/>
        <v>#DIV/0!</v>
      </c>
      <c r="S337" s="36">
        <f>SUM(J332:J338)</f>
        <v>0</v>
      </c>
      <c r="T337" s="30" t="s">
        <v>3</v>
      </c>
      <c r="U337" s="1738"/>
    </row>
    <row r="338" spans="1:21" ht="18" thickBot="1">
      <c r="A338" s="10" t="s">
        <v>16</v>
      </c>
      <c r="B338" s="19">
        <f>CHAMNORD!B338</f>
        <v>46355</v>
      </c>
      <c r="C338" s="75" t="str">
        <f>IF(H338=0,"",'[7]2025-2026'!C337)</f>
        <v/>
      </c>
      <c r="D338" s="68" t="str">
        <f>'[7]2025'!C338</f>
        <v/>
      </c>
      <c r="E338" s="68" t="str">
        <f>'[7]2025'!D338</f>
        <v/>
      </c>
      <c r="F338" s="20" t="str">
        <f>'[7]2025'!E338</f>
        <v/>
      </c>
      <c r="G338" s="73" t="str">
        <f>'[7]2025'!F338</f>
        <v/>
      </c>
      <c r="H338" s="42">
        <f>'[7]2025'!G338</f>
        <v>0</v>
      </c>
      <c r="I338" s="13">
        <f>'[7]2025'!H338</f>
        <v>0</v>
      </c>
      <c r="J338" s="14">
        <f>'[7]2025'!I338</f>
        <v>0</v>
      </c>
      <c r="K338" s="15">
        <f>'[7]2025'!J338</f>
        <v>0</v>
      </c>
      <c r="L338" s="15">
        <f>'[7]2025'!K338</f>
        <v>0</v>
      </c>
      <c r="M338" s="15">
        <f>'[7]2025'!L338</f>
        <v>0</v>
      </c>
      <c r="N338" s="16" t="str">
        <f t="shared" si="20"/>
        <v/>
      </c>
      <c r="O338" s="17" t="str">
        <f t="shared" si="21"/>
        <v/>
      </c>
      <c r="P338" s="17" t="str">
        <f t="shared" si="21"/>
        <v/>
      </c>
      <c r="Q338" s="18" t="str">
        <f t="shared" si="22"/>
        <v/>
      </c>
      <c r="R338" s="18" t="e">
        <f t="shared" si="23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1" ht="17" customHeight="1" thickTop="1">
      <c r="A339" s="10" t="s">
        <v>9</v>
      </c>
      <c r="B339" s="19">
        <f>CHAMNORD!B339</f>
        <v>46356</v>
      </c>
      <c r="C339" s="75" t="str">
        <f>IF(H339=0,"",'[7]2025-2026'!C338)</f>
        <v/>
      </c>
      <c r="D339" s="68" t="str">
        <f>'[7]2025'!C339</f>
        <v/>
      </c>
      <c r="E339" s="68" t="str">
        <f>'[7]2025'!D339</f>
        <v/>
      </c>
      <c r="F339" s="20" t="str">
        <f>'[7]2025'!E339</f>
        <v/>
      </c>
      <c r="G339" s="73" t="str">
        <f>'[7]2025'!F339</f>
        <v/>
      </c>
      <c r="H339" s="42">
        <f>'[7]2025'!G339</f>
        <v>0</v>
      </c>
      <c r="I339" s="13">
        <f>'[7]2025'!H339</f>
        <v>0</v>
      </c>
      <c r="J339" s="14">
        <f>'[7]2025'!I339</f>
        <v>0</v>
      </c>
      <c r="K339" s="15">
        <f>'[7]2025'!J339</f>
        <v>0</v>
      </c>
      <c r="L339" s="15">
        <f>'[7]2025'!K339</f>
        <v>0</v>
      </c>
      <c r="M339" s="15">
        <f>'[7]2025'!L339</f>
        <v>0</v>
      </c>
      <c r="N339" s="16" t="str">
        <f t="shared" si="20"/>
        <v/>
      </c>
      <c r="O339" s="17" t="str">
        <f t="shared" si="21"/>
        <v/>
      </c>
      <c r="P339" s="17" t="str">
        <f t="shared" si="21"/>
        <v/>
      </c>
      <c r="Q339" s="18" t="str">
        <f t="shared" si="22"/>
        <v/>
      </c>
      <c r="R339" s="18" t="e">
        <f t="shared" si="23"/>
        <v>#DIV/0!</v>
      </c>
      <c r="S339" s="33" t="s">
        <v>39</v>
      </c>
      <c r="T339" s="31" t="s">
        <v>42</v>
      </c>
      <c r="U339" s="1737" t="s">
        <v>131</v>
      </c>
    </row>
    <row r="340" spans="1:21">
      <c r="A340" s="10" t="s">
        <v>11</v>
      </c>
      <c r="B340" s="19">
        <f>CHAMNORD!B340</f>
        <v>46357</v>
      </c>
      <c r="C340" s="75" t="str">
        <f>IF(H340=0,"",'[7]2025-2026'!C339)</f>
        <v/>
      </c>
      <c r="D340" s="68" t="str">
        <f>'[7]2025'!C340</f>
        <v/>
      </c>
      <c r="E340" s="68" t="str">
        <f>'[7]2025'!D340</f>
        <v/>
      </c>
      <c r="F340" s="20" t="str">
        <f>'[7]2025'!E340</f>
        <v/>
      </c>
      <c r="G340" s="73" t="str">
        <f>'[7]2025'!F340</f>
        <v/>
      </c>
      <c r="H340" s="42">
        <f>'[7]2025'!G340</f>
        <v>0</v>
      </c>
      <c r="I340" s="13">
        <f>'[7]2025'!H340</f>
        <v>0</v>
      </c>
      <c r="J340" s="14">
        <f>'[7]2025'!I340</f>
        <v>0</v>
      </c>
      <c r="K340" s="15">
        <f>'[7]2025'!J340</f>
        <v>0</v>
      </c>
      <c r="L340" s="15">
        <f>'[7]2025'!K340</f>
        <v>0</v>
      </c>
      <c r="M340" s="15">
        <f>'[7]2025'!L340</f>
        <v>0</v>
      </c>
      <c r="N340" s="16" t="str">
        <f t="shared" si="20"/>
        <v/>
      </c>
      <c r="O340" s="17" t="str">
        <f t="shared" si="21"/>
        <v/>
      </c>
      <c r="P340" s="17" t="str">
        <f t="shared" si="21"/>
        <v/>
      </c>
      <c r="Q340" s="18" t="str">
        <f t="shared" si="22"/>
        <v/>
      </c>
      <c r="R340" s="18" t="e">
        <f t="shared" si="23"/>
        <v>#DIV/0!</v>
      </c>
      <c r="S340" s="34">
        <f>SUM(I339:I345)</f>
        <v>0</v>
      </c>
      <c r="T340" s="45" t="s">
        <v>41</v>
      </c>
      <c r="U340" s="1738"/>
    </row>
    <row r="341" spans="1:21">
      <c r="A341" s="10" t="s">
        <v>12</v>
      </c>
      <c r="B341" s="19">
        <f>CHAMNORD!B341</f>
        <v>46358</v>
      </c>
      <c r="C341" s="75" t="str">
        <f>IF(H341=0,"",'[7]2025-2026'!C340)</f>
        <v/>
      </c>
      <c r="D341" s="68" t="str">
        <f>'[7]2025'!C341</f>
        <v/>
      </c>
      <c r="E341" s="68" t="str">
        <f>'[7]2025'!D341</f>
        <v/>
      </c>
      <c r="F341" s="20" t="str">
        <f>'[7]2025'!E341</f>
        <v/>
      </c>
      <c r="G341" s="73" t="str">
        <f>'[7]2025'!F341</f>
        <v/>
      </c>
      <c r="H341" s="42">
        <f>'[7]2025'!G341</f>
        <v>0</v>
      </c>
      <c r="I341" s="13">
        <f>'[7]2025'!H341</f>
        <v>0</v>
      </c>
      <c r="J341" s="14">
        <f>'[7]2025'!I341</f>
        <v>0</v>
      </c>
      <c r="K341" s="15">
        <f>'[7]2025'!J341</f>
        <v>0</v>
      </c>
      <c r="L341" s="15">
        <f>'[7]2025'!K341</f>
        <v>0</v>
      </c>
      <c r="M341" s="15">
        <f>'[7]2025'!L341</f>
        <v>0</v>
      </c>
      <c r="N341" s="16" t="str">
        <f t="shared" si="20"/>
        <v/>
      </c>
      <c r="O341" s="17" t="str">
        <f t="shared" si="21"/>
        <v/>
      </c>
      <c r="P341" s="17" t="str">
        <f t="shared" si="21"/>
        <v/>
      </c>
      <c r="Q341" s="18" t="str">
        <f t="shared" si="22"/>
        <v/>
      </c>
      <c r="R341" s="18" t="e">
        <f t="shared" si="23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1">
      <c r="A342" s="10" t="s">
        <v>13</v>
      </c>
      <c r="B342" s="19">
        <f>CHAMNORD!B342</f>
        <v>46359</v>
      </c>
      <c r="C342" s="75" t="str">
        <f>IF(H342=0,"",'[7]2025-2026'!C341)</f>
        <v/>
      </c>
      <c r="D342" s="68" t="str">
        <f>'[7]2025'!C342</f>
        <v/>
      </c>
      <c r="E342" s="68" t="str">
        <f>'[7]2025'!D342</f>
        <v/>
      </c>
      <c r="F342" s="20" t="str">
        <f>'[7]2025'!E342</f>
        <v/>
      </c>
      <c r="G342" s="73" t="str">
        <f>'[7]2025'!F342</f>
        <v/>
      </c>
      <c r="H342" s="42">
        <f>'[7]2025'!G342</f>
        <v>0</v>
      </c>
      <c r="I342" s="13">
        <f>'[7]2025'!H342</f>
        <v>0</v>
      </c>
      <c r="J342" s="14">
        <f>'[7]2025'!I342</f>
        <v>0</v>
      </c>
      <c r="K342" s="15">
        <f>'[7]2025'!J342</f>
        <v>0</v>
      </c>
      <c r="L342" s="15">
        <f>'[7]2025'!K342</f>
        <v>0</v>
      </c>
      <c r="M342" s="15">
        <f>'[7]2025'!L342</f>
        <v>0</v>
      </c>
      <c r="N342" s="16" t="str">
        <f t="shared" si="20"/>
        <v/>
      </c>
      <c r="O342" s="17" t="str">
        <f t="shared" si="21"/>
        <v/>
      </c>
      <c r="P342" s="17" t="str">
        <f t="shared" si="21"/>
        <v/>
      </c>
      <c r="Q342" s="18" t="str">
        <f t="shared" si="22"/>
        <v/>
      </c>
      <c r="R342" s="18" t="e">
        <f t="shared" si="23"/>
        <v>#DIV/0!</v>
      </c>
      <c r="S342" s="34"/>
      <c r="T342" s="29" t="s">
        <v>8</v>
      </c>
      <c r="U342" s="1738"/>
    </row>
    <row r="343" spans="1:21">
      <c r="A343" s="10" t="s">
        <v>14</v>
      </c>
      <c r="B343" s="19">
        <f>CHAMNORD!B343</f>
        <v>46360</v>
      </c>
      <c r="C343" s="75" t="str">
        <f>IF(H343=0,"",'[7]2025-2026'!C342)</f>
        <v/>
      </c>
      <c r="D343" s="68" t="str">
        <f>'[7]2025'!C343</f>
        <v/>
      </c>
      <c r="E343" s="68" t="str">
        <f>'[7]2025'!D343</f>
        <v/>
      </c>
      <c r="F343" s="20" t="str">
        <f>'[7]2025'!E343</f>
        <v/>
      </c>
      <c r="G343" s="73" t="str">
        <f>'[7]2025'!F343</f>
        <v/>
      </c>
      <c r="H343" s="42">
        <f>'[7]2025'!G343</f>
        <v>0</v>
      </c>
      <c r="I343" s="13">
        <f>'[7]2025'!H343</f>
        <v>0</v>
      </c>
      <c r="J343" s="14">
        <f>'[7]2025'!I343</f>
        <v>0</v>
      </c>
      <c r="K343" s="15">
        <f>'[7]2025'!J343</f>
        <v>0</v>
      </c>
      <c r="L343" s="15">
        <f>'[7]2025'!K343</f>
        <v>0</v>
      </c>
      <c r="M343" s="15">
        <f>'[7]2025'!L343</f>
        <v>0</v>
      </c>
      <c r="N343" s="16" t="str">
        <f t="shared" si="20"/>
        <v/>
      </c>
      <c r="O343" s="17" t="str">
        <f t="shared" si="21"/>
        <v/>
      </c>
      <c r="P343" s="17" t="str">
        <f t="shared" si="21"/>
        <v/>
      </c>
      <c r="Q343" s="18" t="str">
        <f t="shared" si="22"/>
        <v/>
      </c>
      <c r="R343" s="18" t="e">
        <f t="shared" si="23"/>
        <v>#DIV/0!</v>
      </c>
      <c r="S343" s="36" t="s">
        <v>40</v>
      </c>
      <c r="T343" s="48" t="e">
        <f>SUM(I339:I345)/SUM(L339:L345)</f>
        <v>#DIV/0!</v>
      </c>
      <c r="U343" s="1738"/>
    </row>
    <row r="344" spans="1:21">
      <c r="A344" s="10" t="s">
        <v>15</v>
      </c>
      <c r="B344" s="19">
        <f>CHAMNORD!B344</f>
        <v>46361</v>
      </c>
      <c r="C344" s="75" t="str">
        <f>IF(H344=0,"",'[7]2025-2026'!C343)</f>
        <v/>
      </c>
      <c r="D344" s="68" t="str">
        <f>'[7]2025'!C344</f>
        <v/>
      </c>
      <c r="E344" s="68" t="str">
        <f>'[7]2025'!D344</f>
        <v/>
      </c>
      <c r="F344" s="20" t="str">
        <f>'[7]2025'!E344</f>
        <v/>
      </c>
      <c r="G344" s="73" t="str">
        <f>'[7]2025'!F344</f>
        <v/>
      </c>
      <c r="H344" s="42">
        <f>'[7]2025'!G344</f>
        <v>0</v>
      </c>
      <c r="I344" s="13">
        <f>'[7]2025'!H344</f>
        <v>0</v>
      </c>
      <c r="J344" s="14">
        <f>'[7]2025'!I344</f>
        <v>0</v>
      </c>
      <c r="K344" s="15">
        <f>'[7]2025'!J344</f>
        <v>0</v>
      </c>
      <c r="L344" s="15">
        <f>'[7]2025'!K344</f>
        <v>0</v>
      </c>
      <c r="M344" s="15">
        <f>'[7]2025'!L344</f>
        <v>0</v>
      </c>
      <c r="N344" s="16" t="str">
        <f t="shared" si="20"/>
        <v/>
      </c>
      <c r="O344" s="17" t="str">
        <f t="shared" si="21"/>
        <v/>
      </c>
      <c r="P344" s="17" t="str">
        <f t="shared" si="21"/>
        <v/>
      </c>
      <c r="Q344" s="18" t="str">
        <f t="shared" si="22"/>
        <v/>
      </c>
      <c r="R344" s="18" t="e">
        <f t="shared" si="23"/>
        <v>#DIV/0!</v>
      </c>
      <c r="S344" s="36">
        <f>SUM(J339:J345)</f>
        <v>0</v>
      </c>
      <c r="T344" s="30" t="s">
        <v>3</v>
      </c>
      <c r="U344" s="1738"/>
    </row>
    <row r="345" spans="1:21" ht="18" thickBot="1">
      <c r="A345" s="10" t="s">
        <v>16</v>
      </c>
      <c r="B345" s="19">
        <f>CHAMNORD!B345</f>
        <v>46362</v>
      </c>
      <c r="C345" s="75" t="str">
        <f>IF(H345=0,"",'[7]2025-2026'!C344)</f>
        <v/>
      </c>
      <c r="D345" s="68" t="str">
        <f>'[7]2025'!C345</f>
        <v/>
      </c>
      <c r="E345" s="68" t="str">
        <f>'[7]2025'!D345</f>
        <v/>
      </c>
      <c r="F345" s="20" t="str">
        <f>'[7]2025'!E345</f>
        <v/>
      </c>
      <c r="G345" s="73" t="str">
        <f>'[7]2025'!F345</f>
        <v/>
      </c>
      <c r="H345" s="42">
        <f>'[7]2025'!G345</f>
        <v>0</v>
      </c>
      <c r="I345" s="13">
        <f>'[7]2025'!H345</f>
        <v>0</v>
      </c>
      <c r="J345" s="14">
        <f>'[7]2025'!I345</f>
        <v>0</v>
      </c>
      <c r="K345" s="15">
        <f>'[7]2025'!J345</f>
        <v>0</v>
      </c>
      <c r="L345" s="15">
        <f>'[7]2025'!K345</f>
        <v>0</v>
      </c>
      <c r="M345" s="15">
        <f>'[7]2025'!L345</f>
        <v>0</v>
      </c>
      <c r="N345" s="16" t="str">
        <f t="shared" si="20"/>
        <v/>
      </c>
      <c r="O345" s="17" t="str">
        <f t="shared" si="21"/>
        <v/>
      </c>
      <c r="P345" s="17" t="str">
        <f t="shared" si="21"/>
        <v/>
      </c>
      <c r="Q345" s="18" t="str">
        <f t="shared" si="22"/>
        <v/>
      </c>
      <c r="R345" s="18" t="e">
        <f t="shared" si="23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1" ht="17" customHeight="1" thickTop="1">
      <c r="A346" s="10" t="s">
        <v>9</v>
      </c>
      <c r="B346" s="19">
        <f>CHAMNORD!B346</f>
        <v>46363</v>
      </c>
      <c r="C346" s="75" t="str">
        <f>IF(H346=0,"",'[7]2025-2026'!C345)</f>
        <v/>
      </c>
      <c r="D346" s="68" t="str">
        <f>'[7]2025'!C346</f>
        <v/>
      </c>
      <c r="E346" s="68" t="str">
        <f>'[7]2025'!D346</f>
        <v/>
      </c>
      <c r="F346" s="20" t="str">
        <f>'[7]2025'!E346</f>
        <v/>
      </c>
      <c r="G346" s="73" t="str">
        <f>'[7]2025'!F346</f>
        <v/>
      </c>
      <c r="H346" s="42">
        <f>'[7]2025'!G346</f>
        <v>0</v>
      </c>
      <c r="I346" s="13">
        <f>'[7]2025'!H346</f>
        <v>0</v>
      </c>
      <c r="J346" s="14">
        <f>'[7]2025'!I346</f>
        <v>0</v>
      </c>
      <c r="K346" s="15">
        <f>'[7]2025'!J346</f>
        <v>0</v>
      </c>
      <c r="L346" s="15">
        <f>'[7]2025'!K346</f>
        <v>0</v>
      </c>
      <c r="M346" s="15">
        <f>'[7]2025'!L346</f>
        <v>0</v>
      </c>
      <c r="N346" s="16" t="str">
        <f t="shared" si="20"/>
        <v/>
      </c>
      <c r="O346" s="17" t="str">
        <f t="shared" si="21"/>
        <v/>
      </c>
      <c r="P346" s="17" t="str">
        <f t="shared" si="21"/>
        <v/>
      </c>
      <c r="Q346" s="18" t="str">
        <f t="shared" si="22"/>
        <v/>
      </c>
      <c r="R346" s="18" t="e">
        <f t="shared" si="23"/>
        <v>#DIV/0!</v>
      </c>
      <c r="S346" s="33" t="s">
        <v>39</v>
      </c>
      <c r="T346" s="31" t="s">
        <v>42</v>
      </c>
      <c r="U346" s="1737" t="s">
        <v>132</v>
      </c>
    </row>
    <row r="347" spans="1:21">
      <c r="A347" s="10" t="s">
        <v>11</v>
      </c>
      <c r="B347" s="19">
        <f>CHAMNORD!B347</f>
        <v>46364</v>
      </c>
      <c r="C347" s="75" t="str">
        <f>IF(H347=0,"",'[7]2025-2026'!C346)</f>
        <v/>
      </c>
      <c r="D347" s="68" t="str">
        <f>'[7]2025'!C347</f>
        <v/>
      </c>
      <c r="E347" s="68" t="str">
        <f>'[7]2025'!D347</f>
        <v/>
      </c>
      <c r="F347" s="20" t="str">
        <f>'[7]2025'!E347</f>
        <v/>
      </c>
      <c r="G347" s="73" t="str">
        <f>'[7]2025'!F347</f>
        <v/>
      </c>
      <c r="H347" s="42">
        <f>'[7]2025'!G347</f>
        <v>0</v>
      </c>
      <c r="I347" s="13">
        <f>'[7]2025'!H347</f>
        <v>0</v>
      </c>
      <c r="J347" s="14">
        <f>'[7]2025'!I347</f>
        <v>0</v>
      </c>
      <c r="K347" s="15">
        <f>'[7]2025'!J347</f>
        <v>0</v>
      </c>
      <c r="L347" s="15">
        <f>'[7]2025'!K347</f>
        <v>0</v>
      </c>
      <c r="M347" s="15">
        <f>'[7]2025'!L347</f>
        <v>0</v>
      </c>
      <c r="N347" s="16" t="str">
        <f t="shared" si="20"/>
        <v/>
      </c>
      <c r="O347" s="17" t="str">
        <f t="shared" si="21"/>
        <v/>
      </c>
      <c r="P347" s="17" t="str">
        <f t="shared" si="21"/>
        <v/>
      </c>
      <c r="Q347" s="18" t="str">
        <f t="shared" si="22"/>
        <v/>
      </c>
      <c r="R347" s="18" t="e">
        <f t="shared" si="23"/>
        <v>#DIV/0!</v>
      </c>
      <c r="S347" s="34">
        <f>SUM(I346:I352)</f>
        <v>0</v>
      </c>
      <c r="T347" s="45" t="s">
        <v>41</v>
      </c>
      <c r="U347" s="1738"/>
    </row>
    <row r="348" spans="1:21">
      <c r="A348" s="10" t="s">
        <v>12</v>
      </c>
      <c r="B348" s="19">
        <f>CHAMNORD!B348</f>
        <v>46365</v>
      </c>
      <c r="C348" s="75" t="str">
        <f>IF(H348=0,"",'[7]2025-2026'!C347)</f>
        <v/>
      </c>
      <c r="D348" s="68" t="str">
        <f>'[7]2025'!C348</f>
        <v/>
      </c>
      <c r="E348" s="68" t="str">
        <f>'[7]2025'!D348</f>
        <v/>
      </c>
      <c r="F348" s="20" t="str">
        <f>'[7]2025'!E348</f>
        <v/>
      </c>
      <c r="G348" s="73" t="str">
        <f>'[7]2025'!F348</f>
        <v/>
      </c>
      <c r="H348" s="42">
        <f>'[7]2025'!G348</f>
        <v>0</v>
      </c>
      <c r="I348" s="13">
        <f>'[7]2025'!H348</f>
        <v>0</v>
      </c>
      <c r="J348" s="14">
        <f>'[7]2025'!I348</f>
        <v>0</v>
      </c>
      <c r="K348" s="15">
        <f>'[7]2025'!J348</f>
        <v>0</v>
      </c>
      <c r="L348" s="15">
        <f>'[7]2025'!K348</f>
        <v>0</v>
      </c>
      <c r="M348" s="15">
        <f>'[7]2025'!L348</f>
        <v>0</v>
      </c>
      <c r="N348" s="16" t="str">
        <f t="shared" si="20"/>
        <v/>
      </c>
      <c r="O348" s="17" t="str">
        <f t="shared" si="21"/>
        <v/>
      </c>
      <c r="P348" s="17" t="str">
        <f t="shared" si="21"/>
        <v/>
      </c>
      <c r="Q348" s="18" t="str">
        <f t="shared" si="22"/>
        <v/>
      </c>
      <c r="R348" s="18" t="e">
        <f t="shared" si="23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1">
      <c r="A349" s="10" t="s">
        <v>13</v>
      </c>
      <c r="B349" s="19">
        <f>CHAMNORD!B349</f>
        <v>46366</v>
      </c>
      <c r="C349" s="75" t="str">
        <f>IF(H349=0,"",'[7]2025-2026'!C348)</f>
        <v/>
      </c>
      <c r="D349" s="68" t="str">
        <f>'[7]2025'!C349</f>
        <v/>
      </c>
      <c r="E349" s="68" t="str">
        <f>'[7]2025'!D349</f>
        <v/>
      </c>
      <c r="F349" s="20" t="str">
        <f>'[7]2025'!E349</f>
        <v/>
      </c>
      <c r="G349" s="73" t="str">
        <f>'[7]2025'!F349</f>
        <v/>
      </c>
      <c r="H349" s="42">
        <f>'[7]2025'!G349</f>
        <v>0</v>
      </c>
      <c r="I349" s="13">
        <f>'[7]2025'!H349</f>
        <v>0</v>
      </c>
      <c r="J349" s="14">
        <f>'[7]2025'!I349</f>
        <v>0</v>
      </c>
      <c r="K349" s="15">
        <f>'[7]2025'!J349</f>
        <v>0</v>
      </c>
      <c r="L349" s="15">
        <f>'[7]2025'!K349</f>
        <v>0</v>
      </c>
      <c r="M349" s="15">
        <f>'[7]2025'!L349</f>
        <v>0</v>
      </c>
      <c r="N349" s="16" t="str">
        <f t="shared" si="20"/>
        <v/>
      </c>
      <c r="O349" s="17" t="str">
        <f t="shared" si="21"/>
        <v/>
      </c>
      <c r="P349" s="17" t="str">
        <f t="shared" si="21"/>
        <v/>
      </c>
      <c r="Q349" s="18" t="str">
        <f t="shared" si="22"/>
        <v/>
      </c>
      <c r="R349" s="18" t="e">
        <f t="shared" si="23"/>
        <v>#DIV/0!</v>
      </c>
      <c r="S349" s="34"/>
      <c r="T349" s="29" t="s">
        <v>8</v>
      </c>
      <c r="U349" s="1738"/>
    </row>
    <row r="350" spans="1:21">
      <c r="A350" s="10" t="s">
        <v>14</v>
      </c>
      <c r="B350" s="19">
        <f>CHAMNORD!B350</f>
        <v>46367</v>
      </c>
      <c r="C350" s="75" t="str">
        <f>IF(H350=0,"",'[7]2025-2026'!C349)</f>
        <v/>
      </c>
      <c r="D350" s="68" t="str">
        <f>'[7]2025'!C350</f>
        <v/>
      </c>
      <c r="E350" s="68" t="str">
        <f>'[7]2025'!D350</f>
        <v/>
      </c>
      <c r="F350" s="20" t="str">
        <f>'[7]2025'!E350</f>
        <v/>
      </c>
      <c r="G350" s="73" t="str">
        <f>'[7]2025'!F350</f>
        <v/>
      </c>
      <c r="H350" s="42">
        <f>'[7]2025'!G350</f>
        <v>0</v>
      </c>
      <c r="I350" s="13">
        <f>'[7]2025'!H350</f>
        <v>0</v>
      </c>
      <c r="J350" s="14">
        <f>'[7]2025'!I350</f>
        <v>0</v>
      </c>
      <c r="K350" s="15">
        <f>'[7]2025'!J350</f>
        <v>0</v>
      </c>
      <c r="L350" s="15">
        <f>'[7]2025'!K350</f>
        <v>0</v>
      </c>
      <c r="M350" s="15">
        <f>'[7]2025'!L350</f>
        <v>0</v>
      </c>
      <c r="N350" s="16" t="str">
        <f t="shared" si="20"/>
        <v/>
      </c>
      <c r="O350" s="17" t="str">
        <f t="shared" si="21"/>
        <v/>
      </c>
      <c r="P350" s="17" t="str">
        <f t="shared" si="21"/>
        <v/>
      </c>
      <c r="Q350" s="18" t="str">
        <f t="shared" si="22"/>
        <v/>
      </c>
      <c r="R350" s="18" t="e">
        <f t="shared" si="23"/>
        <v>#DIV/0!</v>
      </c>
      <c r="S350" s="36" t="s">
        <v>40</v>
      </c>
      <c r="T350" s="48" t="e">
        <f>SUM(I346:I352)/SUM(L346:L352)</f>
        <v>#DIV/0!</v>
      </c>
      <c r="U350" s="1738"/>
    </row>
    <row r="351" spans="1:21">
      <c r="A351" s="10" t="s">
        <v>15</v>
      </c>
      <c r="B351" s="19">
        <f>CHAMNORD!B351</f>
        <v>46368</v>
      </c>
      <c r="C351" s="75" t="str">
        <f>IF(H351=0,"",'[7]2025-2026'!C350)</f>
        <v/>
      </c>
      <c r="D351" s="68" t="str">
        <f>'[7]2025'!C351</f>
        <v/>
      </c>
      <c r="E351" s="68" t="str">
        <f>'[7]2025'!D351</f>
        <v/>
      </c>
      <c r="F351" s="20" t="str">
        <f>'[7]2025'!E351</f>
        <v/>
      </c>
      <c r="G351" s="73" t="str">
        <f>'[7]2025'!F351</f>
        <v/>
      </c>
      <c r="H351" s="42">
        <f>'[7]2025'!G351</f>
        <v>0</v>
      </c>
      <c r="I351" s="13">
        <f>'[7]2025'!H351</f>
        <v>0</v>
      </c>
      <c r="J351" s="14">
        <f>'[7]2025'!I351</f>
        <v>0</v>
      </c>
      <c r="K351" s="15">
        <f>'[7]2025'!J351</f>
        <v>0</v>
      </c>
      <c r="L351" s="15">
        <f>'[7]2025'!K351</f>
        <v>0</v>
      </c>
      <c r="M351" s="15">
        <f>'[7]2025'!L351</f>
        <v>0</v>
      </c>
      <c r="N351" s="16" t="str">
        <f t="shared" si="20"/>
        <v/>
      </c>
      <c r="O351" s="17" t="str">
        <f t="shared" si="21"/>
        <v/>
      </c>
      <c r="P351" s="17" t="str">
        <f t="shared" si="21"/>
        <v/>
      </c>
      <c r="Q351" s="18" t="str">
        <f t="shared" si="22"/>
        <v/>
      </c>
      <c r="R351" s="18" t="e">
        <f t="shared" si="23"/>
        <v>#DIV/0!</v>
      </c>
      <c r="S351" s="36">
        <f>SUM(J346:J352)</f>
        <v>0</v>
      </c>
      <c r="T351" s="30" t="s">
        <v>3</v>
      </c>
      <c r="U351" s="1738"/>
    </row>
    <row r="352" spans="1:21" ht="18" thickBot="1">
      <c r="A352" s="10" t="s">
        <v>16</v>
      </c>
      <c r="B352" s="19">
        <f>CHAMNORD!B352</f>
        <v>46369</v>
      </c>
      <c r="C352" s="75" t="str">
        <f>IF(H352=0,"",'[7]2025-2026'!C351)</f>
        <v/>
      </c>
      <c r="D352" s="68" t="str">
        <f>'[7]2025'!C352</f>
        <v/>
      </c>
      <c r="E352" s="68" t="str">
        <f>'[7]2025'!D352</f>
        <v/>
      </c>
      <c r="F352" s="20" t="str">
        <f>'[7]2025'!E352</f>
        <v/>
      </c>
      <c r="G352" s="73" t="str">
        <f>'[7]2025'!F352</f>
        <v/>
      </c>
      <c r="H352" s="42">
        <f>'[7]2025'!G352</f>
        <v>0</v>
      </c>
      <c r="I352" s="13">
        <f>'[7]2025'!H352</f>
        <v>0</v>
      </c>
      <c r="J352" s="14">
        <f>'[7]2025'!I352</f>
        <v>0</v>
      </c>
      <c r="K352" s="15">
        <f>'[7]2025'!J352</f>
        <v>0</v>
      </c>
      <c r="L352" s="15">
        <f>'[7]2025'!K352</f>
        <v>0</v>
      </c>
      <c r="M352" s="15">
        <f>'[7]2025'!L352</f>
        <v>0</v>
      </c>
      <c r="N352" s="16" t="str">
        <f t="shared" si="20"/>
        <v/>
      </c>
      <c r="O352" s="17" t="str">
        <f t="shared" si="21"/>
        <v/>
      </c>
      <c r="P352" s="17" t="str">
        <f t="shared" si="21"/>
        <v/>
      </c>
      <c r="Q352" s="18" t="str">
        <f t="shared" si="22"/>
        <v/>
      </c>
      <c r="R352" s="18" t="e">
        <f t="shared" si="23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19">
        <f>CHAMNORD!B353</f>
        <v>46370</v>
      </c>
      <c r="C353" s="75" t="str">
        <f>IF(H353=0,"",'[7]2025-2026'!C352)</f>
        <v/>
      </c>
      <c r="D353" s="68" t="str">
        <f>'[7]2025'!C353</f>
        <v/>
      </c>
      <c r="E353" s="68" t="str">
        <f>'[7]2025'!D353</f>
        <v/>
      </c>
      <c r="F353" s="20" t="str">
        <f>'[7]2025'!E353</f>
        <v/>
      </c>
      <c r="G353" s="73" t="str">
        <f>'[7]2025'!F353</f>
        <v/>
      </c>
      <c r="H353" s="42">
        <f>'[7]2025'!G353</f>
        <v>0</v>
      </c>
      <c r="I353" s="13">
        <f>'[7]2025'!H353</f>
        <v>0</v>
      </c>
      <c r="J353" s="14">
        <f>'[7]2025'!I353</f>
        <v>0</v>
      </c>
      <c r="K353" s="15">
        <f>'[7]2025'!J353</f>
        <v>0</v>
      </c>
      <c r="L353" s="15">
        <f>'[7]2025'!K353</f>
        <v>0</v>
      </c>
      <c r="M353" s="15">
        <f>'[7]2025'!L353</f>
        <v>0</v>
      </c>
      <c r="N353" s="16" t="str">
        <f t="shared" si="20"/>
        <v/>
      </c>
      <c r="O353" s="17" t="str">
        <f t="shared" si="21"/>
        <v/>
      </c>
      <c r="P353" s="17" t="str">
        <f t="shared" si="21"/>
        <v/>
      </c>
      <c r="Q353" s="18" t="str">
        <f t="shared" si="22"/>
        <v/>
      </c>
      <c r="R353" s="18" t="e">
        <f t="shared" si="23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19">
        <f>CHAMNORD!B354</f>
        <v>46371</v>
      </c>
      <c r="C354" s="75" t="str">
        <f>IF(H354=0,"",'[7]2025-2026'!C353)</f>
        <v/>
      </c>
      <c r="D354" s="68" t="str">
        <f>'[7]2025'!C354</f>
        <v/>
      </c>
      <c r="E354" s="68" t="str">
        <f>'[7]2025'!D354</f>
        <v/>
      </c>
      <c r="F354" s="20" t="str">
        <f>'[7]2025'!E354</f>
        <v/>
      </c>
      <c r="G354" s="73" t="str">
        <f>'[7]2025'!F354</f>
        <v/>
      </c>
      <c r="H354" s="42">
        <f>'[7]2025'!G354</f>
        <v>0</v>
      </c>
      <c r="I354" s="13">
        <f>'[7]2025'!H354</f>
        <v>0</v>
      </c>
      <c r="J354" s="14">
        <f>'[7]2025'!I354</f>
        <v>0</v>
      </c>
      <c r="K354" s="15">
        <f>'[7]2025'!J354</f>
        <v>0</v>
      </c>
      <c r="L354" s="15">
        <f>'[7]2025'!K354</f>
        <v>0</v>
      </c>
      <c r="M354" s="15">
        <f>'[7]2025'!L354</f>
        <v>0</v>
      </c>
      <c r="N354" s="16" t="str">
        <f t="shared" si="20"/>
        <v/>
      </c>
      <c r="O354" s="17" t="str">
        <f t="shared" si="21"/>
        <v/>
      </c>
      <c r="P354" s="17" t="str">
        <f t="shared" si="21"/>
        <v/>
      </c>
      <c r="Q354" s="18" t="str">
        <f t="shared" si="22"/>
        <v/>
      </c>
      <c r="R354" s="18" t="e">
        <f t="shared" si="23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19">
        <f>CHAMNORD!B355</f>
        <v>46372</v>
      </c>
      <c r="C355" s="75" t="str">
        <f>IF(H355=0,"",'[7]2025-2026'!C354)</f>
        <v/>
      </c>
      <c r="D355" s="68" t="str">
        <f>'[7]2025'!C355</f>
        <v/>
      </c>
      <c r="E355" s="68" t="str">
        <f>'[7]2025'!D355</f>
        <v/>
      </c>
      <c r="F355" s="20" t="str">
        <f>'[7]2025'!E355</f>
        <v/>
      </c>
      <c r="G355" s="73" t="str">
        <f>'[7]2025'!F355</f>
        <v/>
      </c>
      <c r="H355" s="42">
        <f>'[7]2025'!G355</f>
        <v>0</v>
      </c>
      <c r="I355" s="13">
        <f>'[7]2025'!H355</f>
        <v>0</v>
      </c>
      <c r="J355" s="14">
        <f>'[7]2025'!I355</f>
        <v>0</v>
      </c>
      <c r="K355" s="15">
        <f>'[7]2025'!J355</f>
        <v>0</v>
      </c>
      <c r="L355" s="15">
        <f>'[7]2025'!K355</f>
        <v>0</v>
      </c>
      <c r="M355" s="15">
        <f>'[7]2025'!L355</f>
        <v>0</v>
      </c>
      <c r="N355" s="16" t="str">
        <f t="shared" si="20"/>
        <v/>
      </c>
      <c r="O355" s="17" t="str">
        <f t="shared" si="21"/>
        <v/>
      </c>
      <c r="P355" s="17" t="str">
        <f t="shared" si="21"/>
        <v/>
      </c>
      <c r="Q355" s="18" t="str">
        <f t="shared" si="22"/>
        <v/>
      </c>
      <c r="R355" s="18" t="e">
        <f t="shared" si="23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19">
        <f>CHAMNORD!B356</f>
        <v>46373</v>
      </c>
      <c r="C356" s="75" t="str">
        <f>IF(H356=0,"",'[7]2025-2026'!C355)</f>
        <v/>
      </c>
      <c r="D356" s="68" t="str">
        <f>'[7]2025'!C356</f>
        <v/>
      </c>
      <c r="E356" s="68" t="str">
        <f>'[7]2025'!D356</f>
        <v/>
      </c>
      <c r="F356" s="20" t="str">
        <f>'[7]2025'!E356</f>
        <v/>
      </c>
      <c r="G356" s="73" t="str">
        <f>'[7]2025'!F356</f>
        <v/>
      </c>
      <c r="H356" s="42">
        <f>'[7]2025'!G356</f>
        <v>0</v>
      </c>
      <c r="I356" s="13">
        <f>'[7]2025'!H356</f>
        <v>0</v>
      </c>
      <c r="J356" s="14">
        <f>'[7]2025'!I356</f>
        <v>0</v>
      </c>
      <c r="K356" s="15">
        <f>'[7]2025'!J356</f>
        <v>0</v>
      </c>
      <c r="L356" s="15">
        <f>'[7]2025'!K356</f>
        <v>0</v>
      </c>
      <c r="M356" s="15">
        <f>'[7]2025'!L356</f>
        <v>0</v>
      </c>
      <c r="N356" s="16" t="str">
        <f t="shared" si="20"/>
        <v/>
      </c>
      <c r="O356" s="17" t="str">
        <f t="shared" si="21"/>
        <v/>
      </c>
      <c r="P356" s="17" t="str">
        <f t="shared" si="21"/>
        <v/>
      </c>
      <c r="Q356" s="18" t="str">
        <f t="shared" si="22"/>
        <v/>
      </c>
      <c r="R356" s="18" t="e">
        <f t="shared" si="23"/>
        <v>#DIV/0!</v>
      </c>
      <c r="S356" s="34"/>
      <c r="T356" s="29" t="s">
        <v>8</v>
      </c>
      <c r="U356" s="1738"/>
    </row>
    <row r="357" spans="1:21">
      <c r="A357" s="10" t="s">
        <v>14</v>
      </c>
      <c r="B357" s="19">
        <f>CHAMNORD!B357</f>
        <v>46374</v>
      </c>
      <c r="C357" s="75" t="str">
        <f>IF(H357=0,"",'[7]2025-2026'!C356)</f>
        <v/>
      </c>
      <c r="D357" s="68" t="str">
        <f>'[7]2025'!C357</f>
        <v/>
      </c>
      <c r="E357" s="68" t="str">
        <f>'[7]2025'!D357</f>
        <v/>
      </c>
      <c r="F357" s="20" t="str">
        <f>'[7]2025'!E357</f>
        <v/>
      </c>
      <c r="G357" s="73" t="str">
        <f>'[7]2025'!F357</f>
        <v/>
      </c>
      <c r="H357" s="42">
        <f>'[7]2025'!G357</f>
        <v>0</v>
      </c>
      <c r="I357" s="13">
        <f>'[7]2025'!H357</f>
        <v>0</v>
      </c>
      <c r="J357" s="14">
        <f>'[7]2025'!I357</f>
        <v>0</v>
      </c>
      <c r="K357" s="15">
        <f>'[7]2025'!J357</f>
        <v>0</v>
      </c>
      <c r="L357" s="15">
        <f>'[7]2025'!K357</f>
        <v>0</v>
      </c>
      <c r="M357" s="15">
        <f>'[7]2025'!L357</f>
        <v>0</v>
      </c>
      <c r="N357" s="16" t="str">
        <f t="shared" si="20"/>
        <v/>
      </c>
      <c r="O357" s="17" t="str">
        <f t="shared" si="21"/>
        <v/>
      </c>
      <c r="P357" s="17" t="str">
        <f t="shared" si="21"/>
        <v/>
      </c>
      <c r="Q357" s="18" t="str">
        <f t="shared" si="22"/>
        <v/>
      </c>
      <c r="R357" s="18" t="e">
        <f t="shared" si="23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19">
        <f>CHAMNORD!B358</f>
        <v>46375</v>
      </c>
      <c r="C358" s="75" t="str">
        <f>IF(H358=0,"",'[7]2025-2026'!C357)</f>
        <v/>
      </c>
      <c r="D358" s="68" t="str">
        <f>'[7]2025'!C358</f>
        <v/>
      </c>
      <c r="E358" s="68" t="str">
        <f>'[7]2025'!D358</f>
        <v/>
      </c>
      <c r="F358" s="20" t="str">
        <f>'[7]2025'!E358</f>
        <v/>
      </c>
      <c r="G358" s="73" t="str">
        <f>'[7]2025'!F358</f>
        <v/>
      </c>
      <c r="H358" s="42">
        <f>'[7]2025'!G358</f>
        <v>0</v>
      </c>
      <c r="I358" s="13">
        <f>'[7]2025'!H358</f>
        <v>0</v>
      </c>
      <c r="J358" s="14">
        <f>'[7]2025'!I358</f>
        <v>0</v>
      </c>
      <c r="K358" s="15">
        <f>'[7]2025'!J358</f>
        <v>0</v>
      </c>
      <c r="L358" s="15">
        <f>'[7]2025'!K358</f>
        <v>0</v>
      </c>
      <c r="M358" s="15">
        <f>'[7]2025'!L358</f>
        <v>0</v>
      </c>
      <c r="N358" s="16" t="str">
        <f t="shared" si="20"/>
        <v/>
      </c>
      <c r="O358" s="17" t="str">
        <f t="shared" si="21"/>
        <v/>
      </c>
      <c r="P358" s="17" t="str">
        <f t="shared" si="21"/>
        <v/>
      </c>
      <c r="Q358" s="18" t="str">
        <f t="shared" si="22"/>
        <v/>
      </c>
      <c r="R358" s="18" t="e">
        <f t="shared" si="23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19">
        <f>CHAMNORD!B359</f>
        <v>46376</v>
      </c>
      <c r="C359" s="75" t="str">
        <f>IF(H359=0,"",'[7]2025-2026'!C358)</f>
        <v/>
      </c>
      <c r="D359" s="68" t="str">
        <f>'[7]2025'!C359</f>
        <v/>
      </c>
      <c r="E359" s="68" t="str">
        <f>'[7]2025'!D359</f>
        <v/>
      </c>
      <c r="F359" s="20" t="str">
        <f>'[7]2025'!E359</f>
        <v/>
      </c>
      <c r="G359" s="73" t="str">
        <f>'[7]2025'!F359</f>
        <v/>
      </c>
      <c r="H359" s="42">
        <f>'[7]2025'!G359</f>
        <v>0</v>
      </c>
      <c r="I359" s="13">
        <f>'[7]2025'!H359</f>
        <v>0</v>
      </c>
      <c r="J359" s="14">
        <f>'[7]2025'!I359</f>
        <v>0</v>
      </c>
      <c r="K359" s="15">
        <f>'[7]2025'!J359</f>
        <v>0</v>
      </c>
      <c r="L359" s="15">
        <f>'[7]2025'!K359</f>
        <v>0</v>
      </c>
      <c r="M359" s="15">
        <f>'[7]2025'!L359</f>
        <v>0</v>
      </c>
      <c r="N359" s="16" t="str">
        <f t="shared" si="20"/>
        <v/>
      </c>
      <c r="O359" s="17" t="str">
        <f t="shared" si="21"/>
        <v/>
      </c>
      <c r="P359" s="17" t="str">
        <f t="shared" si="21"/>
        <v/>
      </c>
      <c r="Q359" s="18" t="str">
        <f t="shared" si="22"/>
        <v/>
      </c>
      <c r="R359" s="18" t="e">
        <f t="shared" si="23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19">
        <f>CHAMNORD!B360</f>
        <v>46377</v>
      </c>
      <c r="C360" s="75" t="str">
        <f>IF(H360=0,"",'[7]2025-2026'!C359)</f>
        <v/>
      </c>
      <c r="D360" s="68" t="str">
        <f>'[7]2025'!C360</f>
        <v/>
      </c>
      <c r="E360" s="68" t="str">
        <f>'[7]2025'!D360</f>
        <v/>
      </c>
      <c r="F360" s="20" t="str">
        <f>'[7]2025'!E360</f>
        <v/>
      </c>
      <c r="G360" s="73" t="str">
        <f>'[7]2025'!F360</f>
        <v/>
      </c>
      <c r="H360" s="42">
        <f>'[7]2025'!G360</f>
        <v>0</v>
      </c>
      <c r="I360" s="13">
        <f>'[7]2025'!H360</f>
        <v>0</v>
      </c>
      <c r="J360" s="14">
        <f>'[7]2025'!I360</f>
        <v>0</v>
      </c>
      <c r="K360" s="15">
        <f>'[7]2025'!J360</f>
        <v>0</v>
      </c>
      <c r="L360" s="15">
        <f>'[7]2025'!K360</f>
        <v>0</v>
      </c>
      <c r="M360" s="15">
        <f>'[7]2025'!L360</f>
        <v>0</v>
      </c>
      <c r="N360" s="16" t="str">
        <f t="shared" si="20"/>
        <v/>
      </c>
      <c r="O360" s="17" t="str">
        <f t="shared" si="21"/>
        <v/>
      </c>
      <c r="P360" s="17" t="str">
        <f t="shared" si="21"/>
        <v/>
      </c>
      <c r="Q360" s="18" t="str">
        <f t="shared" si="22"/>
        <v/>
      </c>
      <c r="R360" s="18" t="e">
        <f t="shared" si="23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19">
        <f>CHAMNORD!B361</f>
        <v>46378</v>
      </c>
      <c r="C361" s="75" t="str">
        <f>IF(H361=0,"",'[7]2025-2026'!C360)</f>
        <v/>
      </c>
      <c r="D361" s="68" t="str">
        <f>'[7]2025'!C361</f>
        <v/>
      </c>
      <c r="E361" s="68" t="str">
        <f>'[7]2025'!D361</f>
        <v/>
      </c>
      <c r="F361" s="20" t="str">
        <f>'[7]2025'!E361</f>
        <v/>
      </c>
      <c r="G361" s="73" t="str">
        <f>'[7]2025'!F361</f>
        <v/>
      </c>
      <c r="H361" s="42">
        <f>'[7]2025'!G361</f>
        <v>0</v>
      </c>
      <c r="I361" s="13">
        <f>'[7]2025'!H361</f>
        <v>0</v>
      </c>
      <c r="J361" s="14">
        <f>'[7]2025'!I361</f>
        <v>0</v>
      </c>
      <c r="K361" s="15">
        <f>'[7]2025'!J361</f>
        <v>0</v>
      </c>
      <c r="L361" s="15">
        <f>'[7]2025'!K361</f>
        <v>0</v>
      </c>
      <c r="M361" s="15">
        <f>'[7]2025'!L361</f>
        <v>0</v>
      </c>
      <c r="N361" s="16" t="str">
        <f t="shared" si="20"/>
        <v/>
      </c>
      <c r="O361" s="17" t="str">
        <f t="shared" si="21"/>
        <v/>
      </c>
      <c r="P361" s="17" t="str">
        <f t="shared" si="21"/>
        <v/>
      </c>
      <c r="Q361" s="18" t="str">
        <f t="shared" si="22"/>
        <v/>
      </c>
      <c r="R361" s="18" t="e">
        <f t="shared" si="23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19">
        <f>CHAMNORD!B362</f>
        <v>46379</v>
      </c>
      <c r="C362" s="75" t="str">
        <f>IF(H362=0,"",'[7]2025-2026'!C361)</f>
        <v/>
      </c>
      <c r="D362" s="68" t="str">
        <f>'[7]2025'!C362</f>
        <v/>
      </c>
      <c r="E362" s="68" t="str">
        <f>'[7]2025'!D362</f>
        <v/>
      </c>
      <c r="F362" s="20" t="str">
        <f>'[7]2025'!E362</f>
        <v/>
      </c>
      <c r="G362" s="73" t="str">
        <f>'[7]2025'!F362</f>
        <v/>
      </c>
      <c r="H362" s="42">
        <f>'[7]2025'!G362</f>
        <v>0</v>
      </c>
      <c r="I362" s="13">
        <f>'[7]2025'!H362</f>
        <v>0</v>
      </c>
      <c r="J362" s="14">
        <f>'[7]2025'!I362</f>
        <v>0</v>
      </c>
      <c r="K362" s="15">
        <f>'[7]2025'!J362</f>
        <v>0</v>
      </c>
      <c r="L362" s="15">
        <f>'[7]2025'!K362</f>
        <v>0</v>
      </c>
      <c r="M362" s="15">
        <f>'[7]2025'!L362</f>
        <v>0</v>
      </c>
      <c r="N362" s="16" t="str">
        <f t="shared" si="20"/>
        <v/>
      </c>
      <c r="O362" s="17" t="str">
        <f t="shared" si="21"/>
        <v/>
      </c>
      <c r="P362" s="17" t="str">
        <f t="shared" si="21"/>
        <v/>
      </c>
      <c r="Q362" s="18" t="str">
        <f t="shared" si="22"/>
        <v/>
      </c>
      <c r="R362" s="18" t="e">
        <f t="shared" si="23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19">
        <f>CHAMNORD!B363</f>
        <v>46380</v>
      </c>
      <c r="C363" s="75" t="str">
        <f>IF(H363=0,"",'[7]2025-2026'!C362)</f>
        <v/>
      </c>
      <c r="D363" s="68" t="str">
        <f>'[7]2025'!C363</f>
        <v/>
      </c>
      <c r="E363" s="68" t="str">
        <f>'[7]2025'!D363</f>
        <v/>
      </c>
      <c r="F363" s="20" t="str">
        <f>'[7]2025'!E363</f>
        <v/>
      </c>
      <c r="G363" s="73" t="str">
        <f>'[7]2025'!F363</f>
        <v/>
      </c>
      <c r="H363" s="42">
        <f>'[7]2025'!G363</f>
        <v>0</v>
      </c>
      <c r="I363" s="13">
        <f>'[7]2025'!H363</f>
        <v>0</v>
      </c>
      <c r="J363" s="14">
        <f>'[7]2025'!I363</f>
        <v>0</v>
      </c>
      <c r="K363" s="15">
        <f>'[7]2025'!J363</f>
        <v>0</v>
      </c>
      <c r="L363" s="15">
        <f>'[7]2025'!K363</f>
        <v>0</v>
      </c>
      <c r="M363" s="15">
        <f>'[7]2025'!L363</f>
        <v>0</v>
      </c>
      <c r="N363" s="16" t="str">
        <f t="shared" si="20"/>
        <v/>
      </c>
      <c r="O363" s="17" t="str">
        <f t="shared" si="21"/>
        <v/>
      </c>
      <c r="P363" s="17" t="str">
        <f t="shared" si="21"/>
        <v/>
      </c>
      <c r="Q363" s="18" t="str">
        <f t="shared" si="22"/>
        <v/>
      </c>
      <c r="R363" s="18" t="e">
        <f t="shared" si="23"/>
        <v>#DIV/0!</v>
      </c>
      <c r="S363" s="34"/>
      <c r="T363" s="29" t="s">
        <v>8</v>
      </c>
      <c r="U363" s="1738"/>
    </row>
    <row r="364" spans="1:21">
      <c r="A364" s="10" t="s">
        <v>14</v>
      </c>
      <c r="B364" s="19">
        <f>CHAMNORD!B364</f>
        <v>46381</v>
      </c>
      <c r="C364" s="75" t="str">
        <f>IF(H364=0,"",'[7]2025-2026'!C363)</f>
        <v/>
      </c>
      <c r="D364" s="68" t="str">
        <f>'[7]2025'!C364</f>
        <v/>
      </c>
      <c r="E364" s="68" t="str">
        <f>'[7]2025'!D364</f>
        <v/>
      </c>
      <c r="F364" s="20" t="str">
        <f>'[7]2025'!E364</f>
        <v/>
      </c>
      <c r="G364" s="73" t="str">
        <f>'[7]2025'!F364</f>
        <v/>
      </c>
      <c r="H364" s="42">
        <f>'[7]2025'!G364</f>
        <v>0</v>
      </c>
      <c r="I364" s="13">
        <f>'[7]2025'!H364</f>
        <v>0</v>
      </c>
      <c r="J364" s="14">
        <f>'[7]2025'!I364</f>
        <v>0</v>
      </c>
      <c r="K364" s="15">
        <f>'[7]2025'!J364</f>
        <v>0</v>
      </c>
      <c r="L364" s="15">
        <f>'[7]2025'!K364</f>
        <v>0</v>
      </c>
      <c r="M364" s="15">
        <f>'[7]2025'!L364</f>
        <v>0</v>
      </c>
      <c r="N364" s="16" t="str">
        <f t="shared" si="20"/>
        <v/>
      </c>
      <c r="O364" s="17" t="str">
        <f t="shared" si="21"/>
        <v/>
      </c>
      <c r="P364" s="17" t="str">
        <f t="shared" si="21"/>
        <v/>
      </c>
      <c r="Q364" s="18" t="str">
        <f t="shared" si="22"/>
        <v/>
      </c>
      <c r="R364" s="18" t="e">
        <f t="shared" si="23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19">
        <f>CHAMNORD!B365</f>
        <v>46382</v>
      </c>
      <c r="C365" s="75" t="str">
        <f>IF(H365=0,"",'[7]2025-2026'!C364)</f>
        <v/>
      </c>
      <c r="D365" s="68" t="str">
        <f>'[7]2025'!C365</f>
        <v/>
      </c>
      <c r="E365" s="68" t="str">
        <f>'[7]2025'!D365</f>
        <v/>
      </c>
      <c r="F365" s="20" t="str">
        <f>'[7]2025'!E365</f>
        <v/>
      </c>
      <c r="G365" s="73" t="str">
        <f>'[7]2025'!F365</f>
        <v/>
      </c>
      <c r="H365" s="42">
        <f>'[7]2025'!G365</f>
        <v>0</v>
      </c>
      <c r="I365" s="13">
        <f>'[7]2025'!H365</f>
        <v>0</v>
      </c>
      <c r="J365" s="14">
        <f>'[7]2025'!I365</f>
        <v>0</v>
      </c>
      <c r="K365" s="15">
        <f>'[7]2025'!J365</f>
        <v>0</v>
      </c>
      <c r="L365" s="15">
        <f>'[7]2025'!K365</f>
        <v>0</v>
      </c>
      <c r="M365" s="15">
        <f>'[7]2025'!L365</f>
        <v>0</v>
      </c>
      <c r="N365" s="16" t="str">
        <f t="shared" si="20"/>
        <v/>
      </c>
      <c r="O365" s="17" t="str">
        <f t="shared" si="21"/>
        <v/>
      </c>
      <c r="P365" s="17" t="str">
        <f t="shared" si="21"/>
        <v/>
      </c>
      <c r="Q365" s="18" t="str">
        <f t="shared" si="22"/>
        <v/>
      </c>
      <c r="R365" s="18" t="e">
        <f t="shared" si="23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19">
        <f>CHAMNORD!B366</f>
        <v>46383</v>
      </c>
      <c r="C366" s="75" t="str">
        <f>IF(H366=0,"",'[7]2025-2026'!C365)</f>
        <v/>
      </c>
      <c r="D366" s="68" t="str">
        <f>'[7]2025'!C366</f>
        <v/>
      </c>
      <c r="E366" s="68" t="str">
        <f>'[7]2025'!D366</f>
        <v/>
      </c>
      <c r="F366" s="20" t="str">
        <f>'[7]2025'!E366</f>
        <v/>
      </c>
      <c r="G366" s="73" t="str">
        <f>'[7]2025'!F366</f>
        <v/>
      </c>
      <c r="H366" s="42">
        <f>'[7]2025'!G366</f>
        <v>0</v>
      </c>
      <c r="I366" s="13">
        <f>'[7]2025'!H366</f>
        <v>0</v>
      </c>
      <c r="J366" s="14">
        <f>'[7]2025'!I366</f>
        <v>0</v>
      </c>
      <c r="K366" s="15">
        <f>'[7]2025'!J366</f>
        <v>0</v>
      </c>
      <c r="L366" s="15">
        <f>'[7]2025'!K366</f>
        <v>0</v>
      </c>
      <c r="M366" s="15">
        <f>'[7]2025'!L366</f>
        <v>0</v>
      </c>
      <c r="N366" s="16" t="str">
        <f t="shared" si="20"/>
        <v/>
      </c>
      <c r="O366" s="17" t="str">
        <f t="shared" si="21"/>
        <v/>
      </c>
      <c r="P366" s="17" t="str">
        <f t="shared" si="21"/>
        <v/>
      </c>
      <c r="Q366" s="18" t="str">
        <f t="shared" si="22"/>
        <v/>
      </c>
      <c r="R366" s="18" t="e">
        <f t="shared" si="23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19">
        <f>CHAMNORD!B367</f>
        <v>46384</v>
      </c>
      <c r="C367" s="75" t="str">
        <f>IF(H367=0,"",'[7]2025-2026'!C366)</f>
        <v/>
      </c>
      <c r="D367" s="68" t="str">
        <f>'[7]2025'!C367</f>
        <v/>
      </c>
      <c r="E367" s="68"/>
      <c r="F367" s="20"/>
      <c r="G367" s="73" t="str">
        <f>'[7]2025'!F367</f>
        <v/>
      </c>
      <c r="H367" s="42">
        <f>'[7]2025'!G367</f>
        <v>0</v>
      </c>
      <c r="I367" s="13">
        <f>'[7]2025'!H367</f>
        <v>0</v>
      </c>
      <c r="J367" s="14">
        <f>'[7]2025'!I367</f>
        <v>0</v>
      </c>
      <c r="K367" s="15">
        <f>'[7]2025'!J367</f>
        <v>0</v>
      </c>
      <c r="L367" s="15">
        <f>'[7]2025'!K367</f>
        <v>0</v>
      </c>
      <c r="M367" s="15">
        <f>'[7]2025'!L367</f>
        <v>0</v>
      </c>
      <c r="N367" s="16" t="str">
        <f t="shared" si="20"/>
        <v/>
      </c>
      <c r="O367" s="17" t="str">
        <f t="shared" si="21"/>
        <v/>
      </c>
      <c r="P367" s="17" t="str">
        <f t="shared" si="21"/>
        <v/>
      </c>
      <c r="Q367" s="18" t="str">
        <f t="shared" si="22"/>
        <v/>
      </c>
      <c r="R367" s="18" t="e">
        <f t="shared" si="23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19">
        <f>CHAMNORD!B368</f>
        <v>46385</v>
      </c>
      <c r="C368" s="75" t="str">
        <f>IF(H368=0,"",'[7]2025-2026'!C367)</f>
        <v/>
      </c>
      <c r="D368" s="68" t="str">
        <f>'[7]2025'!C368</f>
        <v/>
      </c>
      <c r="E368" s="68"/>
      <c r="F368" s="20"/>
      <c r="G368" s="73" t="str">
        <f>'[7]2025'!F368</f>
        <v/>
      </c>
      <c r="H368" s="42">
        <f>'[7]2025'!G368</f>
        <v>0</v>
      </c>
      <c r="I368" s="13">
        <f>'[7]2025'!H368</f>
        <v>0</v>
      </c>
      <c r="J368" s="14">
        <f>'[7]2025'!I368</f>
        <v>0</v>
      </c>
      <c r="K368" s="15">
        <f>'[7]2025'!J368</f>
        <v>0</v>
      </c>
      <c r="L368" s="15">
        <f>'[7]2025'!K368</f>
        <v>0</v>
      </c>
      <c r="M368" s="15">
        <f>'[7]2025'!L368</f>
        <v>0</v>
      </c>
      <c r="N368" s="17" t="str">
        <f t="shared" si="20"/>
        <v/>
      </c>
      <c r="O368" s="17" t="str">
        <f t="shared" si="21"/>
        <v/>
      </c>
      <c r="P368" s="17" t="str">
        <f t="shared" si="21"/>
        <v/>
      </c>
      <c r="Q368" s="18" t="str">
        <f t="shared" si="22"/>
        <v/>
      </c>
      <c r="R368" s="18" t="e">
        <f t="shared" si="23"/>
        <v>#DIV/0!</v>
      </c>
      <c r="S368" s="34">
        <f>SUM(I367:I373)</f>
        <v>0</v>
      </c>
      <c r="T368" s="45" t="s">
        <v>41</v>
      </c>
      <c r="U368" s="1738"/>
    </row>
    <row r="369" spans="1:26">
      <c r="A369" s="63" t="s">
        <v>12</v>
      </c>
      <c r="B369" s="64">
        <f>CHAMNORD!B369</f>
        <v>46386</v>
      </c>
      <c r="C369" s="75" t="str">
        <f>IF(H369=0,"",'[7]2025-2026'!C368)</f>
        <v/>
      </c>
      <c r="D369" s="68"/>
      <c r="E369" s="68"/>
      <c r="F369" s="20"/>
      <c r="G369" s="73"/>
      <c r="H369" s="42"/>
      <c r="I369" s="13"/>
      <c r="J369" s="14"/>
      <c r="K369" s="60"/>
      <c r="L369" s="60"/>
      <c r="M369" s="60"/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64">
        <f>CHAMNORD!B370</f>
        <v>46387</v>
      </c>
      <c r="C370" s="75" t="str">
        <f>IF(H370=0,"",'[7]2025-2026'!C369)</f>
        <v/>
      </c>
      <c r="D370" s="68"/>
      <c r="E370" s="68"/>
      <c r="F370" s="20"/>
      <c r="G370" s="73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64">
        <f>CHAMNORD!B371</f>
        <v>46388</v>
      </c>
      <c r="C371" s="75" t="str">
        <f>IF(H371=0,"",'[7]2025-2026'!C370)</f>
        <v/>
      </c>
      <c r="D371" s="68"/>
      <c r="E371" s="68"/>
      <c r="F371" s="20"/>
      <c r="G371" s="73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64">
        <f>CHAMNORD!B372</f>
        <v>46389</v>
      </c>
      <c r="C372" s="75" t="str">
        <f>IF(H372=0,"",'[7]2025-2026'!C371)</f>
        <v/>
      </c>
      <c r="D372" s="68"/>
      <c r="E372" s="68"/>
      <c r="F372" s="20"/>
      <c r="G372" s="73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64">
        <f>CHAMNORD!B373</f>
        <v>46390</v>
      </c>
      <c r="C373" s="75" t="str">
        <f>IF(H373=0,"",'[7]2025-2026'!C372)</f>
        <v/>
      </c>
      <c r="D373" s="71"/>
      <c r="E373" s="71"/>
      <c r="F373" s="21"/>
      <c r="G373" s="74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69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283670</v>
      </c>
      <c r="E377" s="104"/>
      <c r="F377" s="102">
        <v>95</v>
      </c>
      <c r="G377" s="105">
        <f>M377/F377</f>
        <v>3004.2631578947367</v>
      </c>
      <c r="H377" s="84">
        <f>SUM(D$6:D$36)</f>
        <v>277790</v>
      </c>
      <c r="I377" s="84">
        <f t="shared" ref="I377:Q377" si="24">SUM(E$6:E$36)</f>
        <v>274975</v>
      </c>
      <c r="J377" s="89">
        <f t="shared" si="24"/>
        <v>14174</v>
      </c>
      <c r="K377" s="84">
        <f t="shared" si="24"/>
        <v>285500</v>
      </c>
      <c r="L377" s="84">
        <f t="shared" si="24"/>
        <v>287700</v>
      </c>
      <c r="M377" s="84">
        <f t="shared" si="24"/>
        <v>285405</v>
      </c>
      <c r="N377" s="89">
        <f t="shared" si="24"/>
        <v>13629</v>
      </c>
      <c r="O377" s="89">
        <f t="shared" si="24"/>
        <v>3034</v>
      </c>
      <c r="P377" s="89">
        <f t="shared" si="24"/>
        <v>3454</v>
      </c>
      <c r="Q377" s="87">
        <f t="shared" si="24"/>
        <v>1334</v>
      </c>
      <c r="R377" s="87">
        <f>'[7]2025'!$G$387</f>
        <v>899</v>
      </c>
      <c r="S377" s="87">
        <f>'[7]2025'!$G$388</f>
        <v>32</v>
      </c>
      <c r="T377" s="87">
        <f>'[7]2025'!$G$389</f>
        <v>51.28</v>
      </c>
      <c r="U377" s="27"/>
      <c r="V377" s="1502">
        <f>(L377-D377)/D377</f>
        <v>1.4206648570522085E-2</v>
      </c>
      <c r="W377" s="1502">
        <f>(L377-H377)/H377</f>
        <v>3.5674430325065697E-2</v>
      </c>
      <c r="X377" s="1502">
        <f>(M377-I377)/I377</f>
        <v>3.7930720974634055E-2</v>
      </c>
      <c r="Y377" s="1502">
        <f>(N377-J377)/J377</f>
        <v>-3.8450684351629745E-2</v>
      </c>
    </row>
    <row r="378" spans="1:26" ht="17" customHeight="1">
      <c r="B378" s="98" t="s">
        <v>25</v>
      </c>
      <c r="C378" s="204"/>
      <c r="D378" s="84">
        <f>SUM(C$37:C$64)</f>
        <v>270443</v>
      </c>
      <c r="E378" s="104"/>
      <c r="F378" s="102">
        <v>95</v>
      </c>
      <c r="G378" s="105">
        <f t="shared" ref="G378:G388" si="25">M378/F378</f>
        <v>2792.8736842105263</v>
      </c>
      <c r="H378" s="83">
        <f>SUM(D$37:D$64)</f>
        <v>271405</v>
      </c>
      <c r="I378" s="83">
        <f t="shared" ref="I378:Q378" si="26">SUM(E$37:E$64)</f>
        <v>269286</v>
      </c>
      <c r="J378" s="89">
        <f t="shared" si="26"/>
        <v>13827</v>
      </c>
      <c r="K378" s="84">
        <f t="shared" si="26"/>
        <v>271600</v>
      </c>
      <c r="L378" s="88">
        <f t="shared" si="26"/>
        <v>267583</v>
      </c>
      <c r="M378" s="88">
        <f t="shared" si="26"/>
        <v>265323</v>
      </c>
      <c r="N378" s="93">
        <f t="shared" si="26"/>
        <v>12948</v>
      </c>
      <c r="O378" s="93">
        <f t="shared" si="26"/>
        <v>2728</v>
      </c>
      <c r="P378" s="93">
        <f t="shared" si="26"/>
        <v>3133</v>
      </c>
      <c r="Q378" s="87">
        <f t="shared" si="26"/>
        <v>1236</v>
      </c>
      <c r="R378" s="87">
        <f>'[7]2025'!$H$387</f>
        <v>888</v>
      </c>
      <c r="S378" s="87">
        <f>'[7]2025'!$H$388</f>
        <v>1</v>
      </c>
      <c r="T378" s="87">
        <f>'[7]2025'!$H$389</f>
        <v>42.480000000000004</v>
      </c>
      <c r="U378" s="27"/>
      <c r="V378" s="1502">
        <f t="shared" ref="V378:V388" si="27">(L378-D378)/D378</f>
        <v>-1.0575241363244751E-2</v>
      </c>
      <c r="W378" s="1502">
        <f t="shared" ref="W378:Y388" si="28">(L378-H378)/H378</f>
        <v>-1.4082275566035998E-2</v>
      </c>
      <c r="X378" s="1502">
        <f t="shared" si="28"/>
        <v>-1.4716695260800784E-2</v>
      </c>
      <c r="Y378" s="1502">
        <f t="shared" si="28"/>
        <v>-6.3571273595139949E-2</v>
      </c>
    </row>
    <row r="379" spans="1:26">
      <c r="B379" s="98" t="s">
        <v>17</v>
      </c>
      <c r="C379" s="204"/>
      <c r="D379" s="84">
        <f>SUM(C$65:C$95)</f>
        <v>295799</v>
      </c>
      <c r="E379" s="104"/>
      <c r="F379" s="102">
        <v>95</v>
      </c>
      <c r="G379" s="105">
        <f t="shared" si="25"/>
        <v>3048.2631578947367</v>
      </c>
      <c r="H379" s="83">
        <f>SUM(D$65:D$95)</f>
        <v>290546</v>
      </c>
      <c r="I379" s="83">
        <f t="shared" ref="I379:Q379" si="29">SUM(E$65:E$95)</f>
        <v>287429</v>
      </c>
      <c r="J379" s="90">
        <f t="shared" si="29"/>
        <v>14764</v>
      </c>
      <c r="K379" s="83">
        <f t="shared" si="29"/>
        <v>290000</v>
      </c>
      <c r="L379" s="83">
        <f t="shared" si="29"/>
        <v>292365</v>
      </c>
      <c r="M379" s="83">
        <f t="shared" si="29"/>
        <v>289585</v>
      </c>
      <c r="N379" s="90">
        <f t="shared" si="29"/>
        <v>13963</v>
      </c>
      <c r="O379" s="90">
        <f t="shared" si="29"/>
        <v>2633</v>
      </c>
      <c r="P379" s="90">
        <f t="shared" si="29"/>
        <v>3049</v>
      </c>
      <c r="Q379" s="83">
        <f t="shared" si="29"/>
        <v>1229</v>
      </c>
      <c r="R379" s="87">
        <f>'[7]2025'!$I$387</f>
        <v>984</v>
      </c>
      <c r="S379" s="87">
        <f>'[7]2025'!$I$388</f>
        <v>19</v>
      </c>
      <c r="T379" s="87">
        <f>'[7]2025'!$I$389</f>
        <v>59.260000000000005</v>
      </c>
      <c r="U379" s="27"/>
      <c r="V379" s="1502">
        <f t="shared" si="27"/>
        <v>-1.1609234649204358E-2</v>
      </c>
      <c r="W379" s="1502">
        <f t="shared" si="28"/>
        <v>6.2606265445058614E-3</v>
      </c>
      <c r="X379" s="1502">
        <f t="shared" si="28"/>
        <v>7.5009828514172195E-3</v>
      </c>
      <c r="Y379" s="1502">
        <f t="shared" si="28"/>
        <v>-5.4253589813058792E-2</v>
      </c>
    </row>
    <row r="380" spans="1:26">
      <c r="B380" s="98" t="s">
        <v>18</v>
      </c>
      <c r="C380" s="204"/>
      <c r="D380" s="84">
        <f>SUM(C$96:C$125)</f>
        <v>296430</v>
      </c>
      <c r="E380" s="104"/>
      <c r="F380" s="102">
        <v>95</v>
      </c>
      <c r="G380" s="105">
        <f t="shared" si="25"/>
        <v>2941.1789473684212</v>
      </c>
      <c r="H380" s="83">
        <f>SUM(D$96:D$125)</f>
        <v>302152</v>
      </c>
      <c r="I380" s="83">
        <f t="shared" ref="I380:Q380" si="30">SUM(E$96:E$125)</f>
        <v>299779</v>
      </c>
      <c r="J380" s="90">
        <f t="shared" si="30"/>
        <v>15375</v>
      </c>
      <c r="K380" s="83">
        <f t="shared" si="30"/>
        <v>306600</v>
      </c>
      <c r="L380" s="83">
        <f t="shared" si="30"/>
        <v>283216</v>
      </c>
      <c r="M380" s="83">
        <f t="shared" si="30"/>
        <v>279412</v>
      </c>
      <c r="N380" s="90">
        <f t="shared" si="30"/>
        <v>13672</v>
      </c>
      <c r="O380" s="90">
        <f t="shared" si="30"/>
        <v>2635</v>
      </c>
      <c r="P380" s="90">
        <f t="shared" si="30"/>
        <v>2987</v>
      </c>
      <c r="Q380" s="83">
        <f t="shared" si="30"/>
        <v>1371</v>
      </c>
      <c r="R380" s="87">
        <f>'[7]2025'!$J$387</f>
        <v>934</v>
      </c>
      <c r="S380" s="87">
        <f>'[7]2025'!$J$388</f>
        <v>-10</v>
      </c>
      <c r="T380" s="87">
        <f>'[7]2025'!$J$389</f>
        <v>25.990000000000002</v>
      </c>
      <c r="U380" s="27"/>
      <c r="V380" s="1502">
        <f t="shared" si="27"/>
        <v>-4.4577134568026179E-2</v>
      </c>
      <c r="W380" s="1502">
        <f t="shared" si="28"/>
        <v>-6.267044401493288E-2</v>
      </c>
      <c r="X380" s="1502">
        <f t="shared" si="28"/>
        <v>-6.79400491695549E-2</v>
      </c>
      <c r="Y380" s="1502">
        <f t="shared" si="28"/>
        <v>-0.11076422764227642</v>
      </c>
    </row>
    <row r="381" spans="1:26" ht="17" customHeight="1">
      <c r="B381" s="98" t="s">
        <v>19</v>
      </c>
      <c r="C381" s="204"/>
      <c r="D381" s="84">
        <f>SUM(C$126:C$156)</f>
        <v>312438</v>
      </c>
      <c r="E381" s="104"/>
      <c r="F381" s="102">
        <v>95</v>
      </c>
      <c r="G381" s="105">
        <f t="shared" si="25"/>
        <v>3096.4842105263156</v>
      </c>
      <c r="H381" s="84">
        <f>SUM(D$126:D$156)</f>
        <v>313562</v>
      </c>
      <c r="I381" s="84">
        <f t="shared" ref="I381:Q381" si="31">SUM(E$126:E$156)</f>
        <v>311344</v>
      </c>
      <c r="J381" s="89">
        <f t="shared" si="31"/>
        <v>15753</v>
      </c>
      <c r="K381" s="84">
        <f t="shared" si="31"/>
        <v>318300</v>
      </c>
      <c r="L381" s="84">
        <f t="shared" si="31"/>
        <v>297095</v>
      </c>
      <c r="M381" s="84">
        <f t="shared" si="31"/>
        <v>294166</v>
      </c>
      <c r="N381" s="89">
        <f t="shared" si="31"/>
        <v>14508</v>
      </c>
      <c r="O381" s="89">
        <f t="shared" si="31"/>
        <v>3107</v>
      </c>
      <c r="P381" s="89">
        <f t="shared" si="31"/>
        <v>3443</v>
      </c>
      <c r="Q381" s="87">
        <f t="shared" si="31"/>
        <v>1485</v>
      </c>
      <c r="R381" s="87">
        <f>'[7]2025'!$K$387</f>
        <v>917</v>
      </c>
      <c r="S381" s="87">
        <f>'[7]2025'!$K$388</f>
        <v>40</v>
      </c>
      <c r="T381" s="87">
        <f>'[7]2025'!$K$389</f>
        <v>2</v>
      </c>
      <c r="U381" s="27"/>
      <c r="V381" s="1502">
        <f t="shared" si="27"/>
        <v>-4.9107342896830733E-2</v>
      </c>
      <c r="W381" s="1502">
        <f t="shared" si="28"/>
        <v>-5.2515929863950352E-2</v>
      </c>
      <c r="X381" s="1502">
        <f t="shared" si="28"/>
        <v>-5.5173698545660108E-2</v>
      </c>
      <c r="Y381" s="1502">
        <f t="shared" si="28"/>
        <v>-7.90325652256713E-2</v>
      </c>
    </row>
    <row r="382" spans="1:26" ht="17" customHeight="1">
      <c r="B382" s="98" t="s">
        <v>20</v>
      </c>
      <c r="C382" s="204"/>
      <c r="D382" s="84">
        <f>SUM(C$157:C$186)</f>
        <v>77004</v>
      </c>
      <c r="E382" s="104"/>
      <c r="F382" s="102">
        <v>95</v>
      </c>
      <c r="G382" s="105">
        <f>M382/F382</f>
        <v>705.38947368421054</v>
      </c>
      <c r="H382" s="84">
        <f>SUM(D$157:D$186)</f>
        <v>76739</v>
      </c>
      <c r="I382" s="84">
        <f t="shared" ref="I382:Q382" si="32">SUM(E$157:E$186)</f>
        <v>76149</v>
      </c>
      <c r="J382" s="89">
        <f t="shared" si="32"/>
        <v>3867</v>
      </c>
      <c r="K382" s="84">
        <f t="shared" si="32"/>
        <v>76900</v>
      </c>
      <c r="L382" s="84">
        <f t="shared" si="32"/>
        <v>67855</v>
      </c>
      <c r="M382" s="84">
        <f t="shared" si="32"/>
        <v>67012</v>
      </c>
      <c r="N382" s="89">
        <f t="shared" si="32"/>
        <v>3373</v>
      </c>
      <c r="O382" s="89">
        <f t="shared" si="32"/>
        <v>637</v>
      </c>
      <c r="P382" s="89">
        <f t="shared" si="32"/>
        <v>723</v>
      </c>
      <c r="Q382" s="87">
        <f t="shared" si="32"/>
        <v>264</v>
      </c>
      <c r="R382" s="87">
        <f>'[7]2025'!$L$387</f>
        <v>229</v>
      </c>
      <c r="S382" s="87">
        <f>'[7]2025'!$L$388</f>
        <v>10</v>
      </c>
      <c r="T382" s="87">
        <f>'[7]2025'!$L$389</f>
        <v>9.1999999999999993</v>
      </c>
      <c r="U382" s="27"/>
      <c r="V382" s="1502">
        <f t="shared" si="27"/>
        <v>-0.11881200976572645</v>
      </c>
      <c r="W382" s="1502">
        <f t="shared" si="28"/>
        <v>-0.11576903530147643</v>
      </c>
      <c r="X382" s="1502">
        <f t="shared" si="28"/>
        <v>-0.11998844370904412</v>
      </c>
      <c r="Y382" s="1502">
        <f t="shared" si="28"/>
        <v>-0.12774760796483062</v>
      </c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95</v>
      </c>
      <c r="G383" s="105">
        <f t="shared" si="25"/>
        <v>0</v>
      </c>
      <c r="H383" s="84">
        <f>SUM(D$187:D$217)</f>
        <v>0</v>
      </c>
      <c r="I383" s="84">
        <f t="shared" ref="I383:Q383" si="33">SUM(E$187:E$217)</f>
        <v>0</v>
      </c>
      <c r="J383" s="89">
        <f t="shared" si="33"/>
        <v>0</v>
      </c>
      <c r="K383" s="84">
        <f t="shared" si="33"/>
        <v>0</v>
      </c>
      <c r="L383" s="84">
        <f t="shared" si="33"/>
        <v>0</v>
      </c>
      <c r="M383" s="84">
        <f t="shared" si="33"/>
        <v>0</v>
      </c>
      <c r="N383" s="89">
        <f t="shared" si="33"/>
        <v>0</v>
      </c>
      <c r="O383" s="89">
        <f t="shared" si="33"/>
        <v>0</v>
      </c>
      <c r="P383" s="89">
        <f t="shared" si="33"/>
        <v>0</v>
      </c>
      <c r="Q383" s="87">
        <f t="shared" si="33"/>
        <v>0</v>
      </c>
      <c r="R383" s="87">
        <f>'[7]2025'!$M$387</f>
        <v>0</v>
      </c>
      <c r="S383" s="87">
        <f>'[7]2025'!$M$388</f>
        <v>0</v>
      </c>
      <c r="T383" s="87">
        <f>'[7]2025'!$M$389</f>
        <v>0</v>
      </c>
      <c r="U383" s="27"/>
      <c r="V383" s="1502" t="e">
        <f t="shared" si="27"/>
        <v>#DIV/0!</v>
      </c>
      <c r="W383" s="1502" t="e">
        <f t="shared" si="28"/>
        <v>#DIV/0!</v>
      </c>
      <c r="X383" s="1502" t="e">
        <f t="shared" si="28"/>
        <v>#DIV/0!</v>
      </c>
      <c r="Y383" s="1502" t="e">
        <f t="shared" si="28"/>
        <v>#DIV/0!</v>
      </c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95</v>
      </c>
      <c r="G384" s="105">
        <f t="shared" si="25"/>
        <v>0</v>
      </c>
      <c r="H384" s="84">
        <f>SUM(D$218:D$248)</f>
        <v>0</v>
      </c>
      <c r="I384" s="84">
        <f t="shared" ref="I384:Q384" si="34">SUM(E$218:E$248)</f>
        <v>0</v>
      </c>
      <c r="J384" s="89">
        <f t="shared" si="34"/>
        <v>0</v>
      </c>
      <c r="K384" s="84">
        <f t="shared" si="34"/>
        <v>0</v>
      </c>
      <c r="L384" s="84">
        <f t="shared" si="34"/>
        <v>0</v>
      </c>
      <c r="M384" s="84">
        <f t="shared" si="34"/>
        <v>0</v>
      </c>
      <c r="N384" s="89">
        <f t="shared" si="34"/>
        <v>0</v>
      </c>
      <c r="O384" s="89">
        <f t="shared" si="34"/>
        <v>0</v>
      </c>
      <c r="P384" s="89">
        <f t="shared" si="34"/>
        <v>0</v>
      </c>
      <c r="Q384" s="84">
        <f t="shared" si="34"/>
        <v>0</v>
      </c>
      <c r="R384" s="87">
        <f>'[7]2025'!$N$387</f>
        <v>0</v>
      </c>
      <c r="S384" s="87">
        <f>'[7]2025'!$N$388</f>
        <v>0</v>
      </c>
      <c r="T384" s="87">
        <f>'[7]2025'!$N$389</f>
        <v>0</v>
      </c>
      <c r="U384" s="27"/>
      <c r="V384" s="1502" t="e">
        <f t="shared" si="27"/>
        <v>#DIV/0!</v>
      </c>
      <c r="W384" s="1502" t="e">
        <f t="shared" si="28"/>
        <v>#DIV/0!</v>
      </c>
      <c r="X384" s="1502" t="e">
        <f t="shared" si="28"/>
        <v>#DIV/0!</v>
      </c>
      <c r="Y384" s="1502" t="e">
        <f t="shared" si="28"/>
        <v>#DIV/0!</v>
      </c>
    </row>
    <row r="385" spans="2:25" ht="17" customHeight="1">
      <c r="B385" s="98" t="s">
        <v>22</v>
      </c>
      <c r="C385" s="204"/>
      <c r="D385" s="84">
        <f>SUM(C$249:C$278)</f>
        <v>0</v>
      </c>
      <c r="E385" s="104"/>
      <c r="F385" s="102">
        <v>95</v>
      </c>
      <c r="G385" s="105">
        <f t="shared" si="25"/>
        <v>0</v>
      </c>
      <c r="H385" s="85">
        <f>SUM(D$249:D$278)</f>
        <v>0</v>
      </c>
      <c r="I385" s="85">
        <f t="shared" ref="I385:Q385" si="35">SUM(E$249:E$278)</f>
        <v>0</v>
      </c>
      <c r="J385" s="91">
        <f t="shared" si="35"/>
        <v>0</v>
      </c>
      <c r="K385" s="85">
        <f t="shared" si="35"/>
        <v>0</v>
      </c>
      <c r="L385" s="85">
        <f t="shared" si="35"/>
        <v>0</v>
      </c>
      <c r="M385" s="85">
        <f t="shared" si="35"/>
        <v>0</v>
      </c>
      <c r="N385" s="91">
        <f t="shared" si="35"/>
        <v>0</v>
      </c>
      <c r="O385" s="91">
        <f t="shared" si="35"/>
        <v>0</v>
      </c>
      <c r="P385" s="91">
        <f t="shared" si="35"/>
        <v>0</v>
      </c>
      <c r="Q385" s="85">
        <f t="shared" si="35"/>
        <v>0</v>
      </c>
      <c r="R385" s="87">
        <f>'[7]2025'!$O$387</f>
        <v>0</v>
      </c>
      <c r="S385" s="87">
        <f>'[7]2025'!$O$388</f>
        <v>0</v>
      </c>
      <c r="T385" s="87">
        <f>'[7]2025'!$O$389</f>
        <v>0</v>
      </c>
      <c r="U385" s="27"/>
      <c r="V385" s="1502" t="e">
        <f t="shared" si="27"/>
        <v>#DIV/0!</v>
      </c>
      <c r="W385" s="1502" t="e">
        <f t="shared" si="28"/>
        <v>#DIV/0!</v>
      </c>
      <c r="X385" s="1502" t="e">
        <f t="shared" si="28"/>
        <v>#DIV/0!</v>
      </c>
      <c r="Y385" s="1502" t="e">
        <f t="shared" si="28"/>
        <v>#DIV/0!</v>
      </c>
    </row>
    <row r="386" spans="2:25">
      <c r="B386" s="98" t="s">
        <v>23</v>
      </c>
      <c r="C386" s="204"/>
      <c r="D386" s="84">
        <f>SUM(C$279:C$309)</f>
        <v>0</v>
      </c>
      <c r="E386" s="104"/>
      <c r="F386" s="102">
        <v>95</v>
      </c>
      <c r="G386" s="105">
        <f t="shared" si="25"/>
        <v>0</v>
      </c>
      <c r="H386" s="84">
        <f>SUM(D$279:D$309)</f>
        <v>0</v>
      </c>
      <c r="I386" s="84">
        <f t="shared" ref="I386:Q386" si="36">SUM(E$279:E$309)</f>
        <v>0</v>
      </c>
      <c r="J386" s="89">
        <f t="shared" si="36"/>
        <v>0</v>
      </c>
      <c r="K386" s="84">
        <f t="shared" si="36"/>
        <v>0</v>
      </c>
      <c r="L386" s="84">
        <f t="shared" si="36"/>
        <v>0</v>
      </c>
      <c r="M386" s="84">
        <f t="shared" si="36"/>
        <v>0</v>
      </c>
      <c r="N386" s="89">
        <f t="shared" si="36"/>
        <v>0</v>
      </c>
      <c r="O386" s="89">
        <f t="shared" si="36"/>
        <v>0</v>
      </c>
      <c r="P386" s="89">
        <f t="shared" si="36"/>
        <v>0</v>
      </c>
      <c r="Q386" s="84">
        <f t="shared" si="36"/>
        <v>0</v>
      </c>
      <c r="R386" s="87">
        <f>'[7]2025'!$P$387</f>
        <v>0</v>
      </c>
      <c r="S386" s="87">
        <f>'[7]2025'!$P$388</f>
        <v>0</v>
      </c>
      <c r="T386" s="87">
        <f>'[7]2025'!$P$389</f>
        <v>0</v>
      </c>
      <c r="U386" s="27"/>
      <c r="V386" s="1502" t="e">
        <f t="shared" si="27"/>
        <v>#DIV/0!</v>
      </c>
      <c r="W386" s="1502" t="e">
        <f t="shared" si="28"/>
        <v>#DIV/0!</v>
      </c>
      <c r="X386" s="1502" t="e">
        <f t="shared" si="28"/>
        <v>#DIV/0!</v>
      </c>
      <c r="Y386" s="1502" t="e">
        <f t="shared" si="28"/>
        <v>#DIV/0!</v>
      </c>
    </row>
    <row r="387" spans="2:25">
      <c r="B387" s="98" t="s">
        <v>24</v>
      </c>
      <c r="C387" s="204"/>
      <c r="D387" s="84">
        <f>SUM(C$310:C$339)</f>
        <v>0</v>
      </c>
      <c r="E387" s="104"/>
      <c r="F387" s="102">
        <v>95</v>
      </c>
      <c r="G387" s="105">
        <f t="shared" si="25"/>
        <v>0</v>
      </c>
      <c r="H387" s="86">
        <f>SUM(D$310:D$339)</f>
        <v>0</v>
      </c>
      <c r="I387" s="86">
        <f t="shared" ref="I387:Q387" si="37">SUM(E$310:E$339)</f>
        <v>0</v>
      </c>
      <c r="J387" s="92">
        <f t="shared" si="37"/>
        <v>0</v>
      </c>
      <c r="K387" s="86">
        <f t="shared" si="37"/>
        <v>0</v>
      </c>
      <c r="L387" s="86">
        <f t="shared" si="37"/>
        <v>0</v>
      </c>
      <c r="M387" s="86">
        <f t="shared" si="37"/>
        <v>0</v>
      </c>
      <c r="N387" s="92">
        <f t="shared" si="37"/>
        <v>0</v>
      </c>
      <c r="O387" s="92">
        <f t="shared" si="37"/>
        <v>0</v>
      </c>
      <c r="P387" s="92">
        <f t="shared" si="37"/>
        <v>0</v>
      </c>
      <c r="Q387" s="86">
        <f t="shared" si="37"/>
        <v>0</v>
      </c>
      <c r="R387" s="87">
        <f>'[7]2025'!$Q$387</f>
        <v>0</v>
      </c>
      <c r="S387" s="87">
        <f>'[7]2025'!$Q$388</f>
        <v>0</v>
      </c>
      <c r="T387" s="87">
        <f>'[7]2025'!$Q$389</f>
        <v>0</v>
      </c>
      <c r="V387" s="1502" t="e">
        <f t="shared" si="27"/>
        <v>#DIV/0!</v>
      </c>
      <c r="W387" s="1502" t="e">
        <f t="shared" si="28"/>
        <v>#DIV/0!</v>
      </c>
      <c r="X387" s="1502" t="e">
        <f t="shared" si="28"/>
        <v>#DIV/0!</v>
      </c>
      <c r="Y387" s="1502" t="e">
        <f t="shared" si="28"/>
        <v>#DIV/0!</v>
      </c>
    </row>
    <row r="388" spans="2:25" ht="17" customHeight="1">
      <c r="B388" s="98" t="s">
        <v>27</v>
      </c>
      <c r="C388" s="204"/>
      <c r="D388" s="84">
        <f>SUM(C$340:C$370)</f>
        <v>0</v>
      </c>
      <c r="E388" s="104"/>
      <c r="F388" s="102">
        <v>95</v>
      </c>
      <c r="G388" s="105">
        <f t="shared" si="25"/>
        <v>0</v>
      </c>
      <c r="H388" s="84">
        <f>SUM(D$340:D$370)</f>
        <v>0</v>
      </c>
      <c r="I388" s="84">
        <f t="shared" ref="I388:Q388" si="38">SUM(E$340:E$370)</f>
        <v>0</v>
      </c>
      <c r="J388" s="89">
        <f t="shared" si="38"/>
        <v>0</v>
      </c>
      <c r="K388" s="84">
        <f t="shared" si="38"/>
        <v>0</v>
      </c>
      <c r="L388" s="84">
        <f t="shared" si="38"/>
        <v>0</v>
      </c>
      <c r="M388" s="84">
        <f t="shared" si="38"/>
        <v>0</v>
      </c>
      <c r="N388" s="89">
        <f t="shared" si="38"/>
        <v>0</v>
      </c>
      <c r="O388" s="89">
        <f t="shared" si="38"/>
        <v>0</v>
      </c>
      <c r="P388" s="89">
        <f t="shared" si="38"/>
        <v>0</v>
      </c>
      <c r="Q388" s="84">
        <f t="shared" si="38"/>
        <v>0</v>
      </c>
      <c r="R388" s="87">
        <f>'[7]2025'!$R$387</f>
        <v>0</v>
      </c>
      <c r="S388" s="87">
        <f>'[7]2025'!$R$388</f>
        <v>0</v>
      </c>
      <c r="T388" s="87">
        <f>'[7]2025'!$R$389</f>
        <v>0</v>
      </c>
      <c r="V388" s="1502" t="e">
        <f t="shared" si="27"/>
        <v>#DIV/0!</v>
      </c>
      <c r="W388" s="1502" t="e">
        <f t="shared" si="28"/>
        <v>#DIV/0!</v>
      </c>
      <c r="X388" s="1502" t="e">
        <f t="shared" si="28"/>
        <v>#DIV/0!</v>
      </c>
      <c r="Y388" s="1502" t="e">
        <f t="shared" si="28"/>
        <v>#DIV/0!</v>
      </c>
    </row>
    <row r="389" spans="2:25" ht="18" customHeight="1" thickBot="1">
      <c r="B389" s="99" t="s">
        <v>45</v>
      </c>
      <c r="C389" s="205"/>
      <c r="D389" s="96">
        <f>SUM(D377:D388)</f>
        <v>1535784</v>
      </c>
      <c r="E389" s="106"/>
      <c r="F389" s="100">
        <f>AVERAGE(F377:F388)</f>
        <v>95</v>
      </c>
      <c r="G389" s="106">
        <f>SUM(G377:G388)</f>
        <v>15588.452631578946</v>
      </c>
      <c r="H389" s="96">
        <f>SUM(H377:H388)</f>
        <v>1532194</v>
      </c>
      <c r="I389" s="96">
        <f t="shared" ref="I389:T389" si="39">SUM(I377:I388)</f>
        <v>1518962</v>
      </c>
      <c r="J389" s="97">
        <f t="shared" si="39"/>
        <v>77760</v>
      </c>
      <c r="K389" s="96">
        <f t="shared" si="39"/>
        <v>1548900</v>
      </c>
      <c r="L389" s="96">
        <f t="shared" si="39"/>
        <v>1495814</v>
      </c>
      <c r="M389" s="96">
        <f t="shared" si="39"/>
        <v>1480903</v>
      </c>
      <c r="N389" s="97">
        <f t="shared" si="39"/>
        <v>72093</v>
      </c>
      <c r="O389" s="97">
        <f t="shared" si="39"/>
        <v>14774</v>
      </c>
      <c r="P389" s="97">
        <f t="shared" si="39"/>
        <v>16789</v>
      </c>
      <c r="Q389" s="96">
        <f t="shared" si="39"/>
        <v>6919</v>
      </c>
      <c r="R389" s="96">
        <f t="shared" si="39"/>
        <v>4851</v>
      </c>
      <c r="S389" s="96">
        <f t="shared" si="39"/>
        <v>92</v>
      </c>
      <c r="T389" s="96">
        <f t="shared" si="39"/>
        <v>190.21</v>
      </c>
      <c r="V389" s="1502">
        <f>(L389-D389)/D389</f>
        <v>-2.6025795294129905E-2</v>
      </c>
      <c r="W389" s="1502">
        <f>(L389-H389)/H389</f>
        <v>-2.3743729579935702E-2</v>
      </c>
      <c r="X389" s="1502">
        <f>(M389-I389)/I389</f>
        <v>-2.5055926349704601E-2</v>
      </c>
      <c r="Y389" s="1502">
        <f>(N389-J389)/J389</f>
        <v>-7.2878086419753088E-2</v>
      </c>
    </row>
    <row r="390" spans="2:25">
      <c r="T390" s="28"/>
      <c r="U390" s="38"/>
    </row>
  </sheetData>
  <mergeCells count="55">
    <mergeCell ref="U360:U366"/>
    <mergeCell ref="U367:U373"/>
    <mergeCell ref="U325:U331"/>
    <mergeCell ref="U332:U338"/>
    <mergeCell ref="U339:U345"/>
    <mergeCell ref="U346:U352"/>
    <mergeCell ref="U353:U359"/>
    <mergeCell ref="U318:U324"/>
    <mergeCell ref="U241:U247"/>
    <mergeCell ref="U248:U254"/>
    <mergeCell ref="U255:U261"/>
    <mergeCell ref="U262:U268"/>
    <mergeCell ref="U269:U275"/>
    <mergeCell ref="U276:U282"/>
    <mergeCell ref="U283:U289"/>
    <mergeCell ref="U290:U296"/>
    <mergeCell ref="U297:U303"/>
    <mergeCell ref="U304:U310"/>
    <mergeCell ref="U311:U317"/>
    <mergeCell ref="U234:U240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13:U219"/>
    <mergeCell ref="U220:U226"/>
    <mergeCell ref="U227:U233"/>
    <mergeCell ref="U150:U156"/>
    <mergeCell ref="U73:U79"/>
    <mergeCell ref="U80:U86"/>
    <mergeCell ref="U87:U93"/>
    <mergeCell ref="U94:U100"/>
    <mergeCell ref="U101:U107"/>
    <mergeCell ref="U108:U114"/>
    <mergeCell ref="U115:U121"/>
    <mergeCell ref="U122:U128"/>
    <mergeCell ref="U129:U135"/>
    <mergeCell ref="U136:U142"/>
    <mergeCell ref="U143:U149"/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</mergeCells>
  <conditionalFormatting sqref="N3:N367">
    <cfRule type="cellIs" dxfId="339" priority="1" operator="lessThan">
      <formula>0.006</formula>
    </cfRule>
    <cfRule type="cellIs" dxfId="338" priority="2" operator="greaterThan">
      <formula>0.006</formula>
    </cfRule>
  </conditionalFormatting>
  <conditionalFormatting sqref="O3:P373">
    <cfRule type="cellIs" dxfId="337" priority="3" operator="lessThan">
      <formula>0</formula>
    </cfRule>
    <cfRule type="cellIs" dxfId="336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6D845-D4E4-8241-B270-227011DFE0F9}">
  <sheetPr codeName="Feuil11"/>
  <dimension ref="A1:Z390"/>
  <sheetViews>
    <sheetView showGridLines="0" topLeftCell="A99" workbookViewId="0">
      <selection activeCell="V376" sqref="V376:Y389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5" width="10.83203125" style="70"/>
    <col min="6" max="6" width="10.83203125" style="38"/>
    <col min="7" max="7" width="10.83203125" style="70"/>
    <col min="8" max="8" width="10.83203125" style="44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16384" width="10.83203125" style="38"/>
  </cols>
  <sheetData>
    <row r="1" spans="1:21" ht="16" customHeight="1">
      <c r="A1" s="1740"/>
      <c r="B1" s="1"/>
      <c r="C1" s="206"/>
      <c r="D1" s="1741" t="s">
        <v>153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1" s="39" customFormat="1" ht="37" customHeight="1" thickBot="1">
      <c r="A2" s="1740"/>
      <c r="B2" s="2"/>
      <c r="C2" s="203"/>
      <c r="D2" s="5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1" ht="17" customHeight="1" thickTop="1">
      <c r="A3" s="10" t="s">
        <v>9</v>
      </c>
      <c r="B3" s="11"/>
      <c r="C3" s="207"/>
      <c r="D3" s="68"/>
      <c r="E3" s="68"/>
      <c r="F3" s="20"/>
      <c r="G3" s="73"/>
      <c r="H3" s="42"/>
      <c r="I3" s="13"/>
      <c r="J3" s="14"/>
      <c r="K3" s="15"/>
      <c r="L3" s="15"/>
      <c r="M3" s="15"/>
      <c r="N3" s="16"/>
      <c r="O3" s="17" t="str">
        <f>IF(I3=0,"",(I3-E3)/E3)</f>
        <v/>
      </c>
      <c r="P3" s="17" t="str">
        <f>IF(J3=0,"",(J3-F3)/F3)</f>
        <v/>
      </c>
      <c r="Q3" s="18" t="str">
        <f>IF(I3=0,"",I3/K3)</f>
        <v/>
      </c>
      <c r="R3" s="18" t="e">
        <f>I3/L3</f>
        <v>#DIV/0!</v>
      </c>
      <c r="S3" s="33" t="s">
        <v>39</v>
      </c>
      <c r="T3" s="31" t="s">
        <v>42</v>
      </c>
      <c r="U3" s="1737" t="s">
        <v>83</v>
      </c>
    </row>
    <row r="4" spans="1:21">
      <c r="A4" s="10" t="s">
        <v>11</v>
      </c>
      <c r="B4" s="11"/>
      <c r="C4" s="207"/>
      <c r="D4" s="68"/>
      <c r="E4" s="68"/>
      <c r="F4" s="20"/>
      <c r="G4" s="73"/>
      <c r="H4" s="42"/>
      <c r="I4" s="13"/>
      <c r="J4" s="14"/>
      <c r="K4" s="15"/>
      <c r="L4" s="15"/>
      <c r="M4" s="15"/>
      <c r="N4" s="16"/>
      <c r="O4" s="17" t="str">
        <f t="shared" ref="O4:P67" si="0">IF(I4=0,"",(I4-E4)/E4)</f>
        <v/>
      </c>
      <c r="P4" s="17" t="str">
        <f t="shared" si="0"/>
        <v/>
      </c>
      <c r="Q4" s="18" t="str">
        <f t="shared" ref="Q4:Q67" si="1">IF(I4=0,"",I4/K4)</f>
        <v/>
      </c>
      <c r="R4" s="18" t="e">
        <f t="shared" ref="R4:R67" si="2">I4/L4</f>
        <v>#DIV/0!</v>
      </c>
      <c r="S4" s="34">
        <f>SUM(I3:I9)</f>
        <v>52115.48</v>
      </c>
      <c r="T4" s="45" t="s">
        <v>41</v>
      </c>
      <c r="U4" s="1738"/>
    </row>
    <row r="5" spans="1:21">
      <c r="A5" s="10" t="s">
        <v>12</v>
      </c>
      <c r="B5" s="11"/>
      <c r="C5" s="75"/>
      <c r="D5" s="68"/>
      <c r="E5" s="68"/>
      <c r="F5" s="20"/>
      <c r="G5" s="73"/>
      <c r="H5" s="42"/>
      <c r="I5" s="13"/>
      <c r="J5" s="14"/>
      <c r="K5" s="15"/>
      <c r="L5" s="15"/>
      <c r="M5" s="15"/>
      <c r="N5" s="16"/>
      <c r="O5" s="17" t="str">
        <f t="shared" si="0"/>
        <v/>
      </c>
      <c r="P5" s="17" t="str">
        <f t="shared" si="0"/>
        <v/>
      </c>
      <c r="Q5" s="18" t="str">
        <f t="shared" si="1"/>
        <v/>
      </c>
      <c r="R5" s="18" t="e">
        <f t="shared" si="2"/>
        <v>#DIV/0!</v>
      </c>
      <c r="S5" s="35">
        <f>(S4-SUM(E3:E9))/SUM(E3:E9)</f>
        <v>0.22623908653735297</v>
      </c>
      <c r="T5" s="48">
        <f>SUM(I3:I9)/SUM(K3:K9)</f>
        <v>119.96565535656738</v>
      </c>
      <c r="U5" s="1738"/>
    </row>
    <row r="6" spans="1:21">
      <c r="A6" s="10" t="s">
        <v>13</v>
      </c>
      <c r="B6" s="11">
        <f>CHAMNORD!B6</f>
        <v>46023</v>
      </c>
      <c r="C6" s="75">
        <f>IF(H6=0,"",'[8]2025-2026'!C5)</f>
        <v>15335.08</v>
      </c>
      <c r="D6" s="1507">
        <f>IF(I6=0,"",'[8]2025-2026'!C6)</f>
        <v>9582.7800000000007</v>
      </c>
      <c r="E6" s="1507">
        <f>IF(J6=0,"",'[8]2025-2026'!D6)</f>
        <v>9399.57</v>
      </c>
      <c r="F6" s="20">
        <f>'[8]2025'!E6</f>
        <v>449</v>
      </c>
      <c r="G6" s="73">
        <f>'[8]2025'!F6</f>
        <v>16300</v>
      </c>
      <c r="H6" s="42">
        <f>'[8]2025'!G6</f>
        <v>16210.24</v>
      </c>
      <c r="I6" s="13">
        <f>'[8]2025'!H6</f>
        <v>16127.02</v>
      </c>
      <c r="J6" s="14">
        <f>'[8]2025'!I6</f>
        <v>706</v>
      </c>
      <c r="K6" s="15">
        <f>'[8]2025'!J6</f>
        <v>115.22</v>
      </c>
      <c r="L6" s="15">
        <f>'[8]2025'!K6</f>
        <v>132.43</v>
      </c>
      <c r="M6" s="15">
        <f>'[8]2025'!L6</f>
        <v>34.549999999999997</v>
      </c>
      <c r="N6" s="16">
        <f t="shared" ref="N6:N67" si="3">IF(M6=0,"",M6/I6)</f>
        <v>2.1423672817420698E-3</v>
      </c>
      <c r="O6" s="17">
        <f t="shared" si="0"/>
        <v>0.71571891054590808</v>
      </c>
      <c r="P6" s="17">
        <f t="shared" si="0"/>
        <v>0.57238307349665929</v>
      </c>
      <c r="Q6" s="18">
        <f t="shared" si="1"/>
        <v>139.96719319562575</v>
      </c>
      <c r="R6" s="18">
        <f t="shared" si="2"/>
        <v>121.77769387600996</v>
      </c>
      <c r="S6" s="34"/>
      <c r="T6" s="29" t="s">
        <v>8</v>
      </c>
      <c r="U6" s="1738"/>
    </row>
    <row r="7" spans="1:21">
      <c r="A7" s="10" t="s">
        <v>14</v>
      </c>
      <c r="B7" s="11">
        <f>CHAMNORD!B7</f>
        <v>46024</v>
      </c>
      <c r="C7" s="75">
        <f>IF(H7=0,"",'[8]2025-2026'!C6)</f>
        <v>9582.7800000000007</v>
      </c>
      <c r="D7" s="68">
        <f>'[8]2025'!C7</f>
        <v>11435.78</v>
      </c>
      <c r="E7" s="68">
        <f>'[8]2025'!D7</f>
        <v>11271.96</v>
      </c>
      <c r="F7" s="20">
        <f>'[8]2025'!E7</f>
        <v>542</v>
      </c>
      <c r="G7" s="73">
        <f>'[8]2025'!F7</f>
        <v>11400</v>
      </c>
      <c r="H7" s="42">
        <f>'[8]2025'!G7</f>
        <v>14022.72</v>
      </c>
      <c r="I7" s="13">
        <f>'[8]2025'!H7</f>
        <v>13890.71</v>
      </c>
      <c r="J7" s="14">
        <f>'[8]2025'!I7</f>
        <v>602</v>
      </c>
      <c r="K7" s="15">
        <f>'[8]2025'!J7</f>
        <v>104.51</v>
      </c>
      <c r="L7" s="15">
        <f>'[8]2025'!K7</f>
        <v>113.04</v>
      </c>
      <c r="M7" s="15">
        <f>'[8]2025'!L7</f>
        <v>30.06</v>
      </c>
      <c r="N7" s="16">
        <f t="shared" si="3"/>
        <v>2.1640362515666948E-3</v>
      </c>
      <c r="O7" s="17">
        <f t="shared" si="0"/>
        <v>0.23232428078169193</v>
      </c>
      <c r="P7" s="17">
        <f t="shared" si="0"/>
        <v>0.11070110701107011</v>
      </c>
      <c r="Q7" s="18">
        <f t="shared" si="1"/>
        <v>132.91273562338532</v>
      </c>
      <c r="R7" s="18">
        <f t="shared" si="2"/>
        <v>122.88313871196036</v>
      </c>
      <c r="S7" s="36" t="s">
        <v>40</v>
      </c>
      <c r="T7" s="48">
        <f>SUM(I3:I9)/SUM(L3:L9)</f>
        <v>109.43572298517492</v>
      </c>
      <c r="U7" s="1738"/>
    </row>
    <row r="8" spans="1:21">
      <c r="A8" s="10" t="s">
        <v>15</v>
      </c>
      <c r="B8" s="11">
        <f>CHAMNORD!B8</f>
        <v>46025</v>
      </c>
      <c r="C8" s="75">
        <f>IF(H8=0,"",'[8]2025-2026'!C7)</f>
        <v>11435.78</v>
      </c>
      <c r="D8" s="68">
        <f>'[8]2025'!C8</f>
        <v>12307.55</v>
      </c>
      <c r="E8" s="68">
        <f>'[8]2025'!D8</f>
        <v>12088.62</v>
      </c>
      <c r="F8" s="20">
        <f>'[8]2025'!E8</f>
        <v>531</v>
      </c>
      <c r="G8" s="73">
        <f>'[8]2025'!F8</f>
        <v>12200</v>
      </c>
      <c r="H8" s="42">
        <f>'[8]2025'!G8</f>
        <v>12303.98</v>
      </c>
      <c r="I8" s="13">
        <f>'[8]2025'!H8</f>
        <v>12176.63</v>
      </c>
      <c r="J8" s="14">
        <f>'[8]2025'!I8</f>
        <v>504</v>
      </c>
      <c r="K8" s="15">
        <f>'[8]2025'!J8</f>
        <v>103.48</v>
      </c>
      <c r="L8" s="15">
        <f>'[8]2025'!K8</f>
        <v>111.53</v>
      </c>
      <c r="M8" s="15">
        <f>'[8]2025'!L8</f>
        <v>19.38</v>
      </c>
      <c r="N8" s="16">
        <f t="shared" si="3"/>
        <v>1.5915733663583438E-3</v>
      </c>
      <c r="O8" s="17">
        <f t="shared" si="0"/>
        <v>7.2804009059759004E-3</v>
      </c>
      <c r="P8" s="17">
        <f t="shared" si="0"/>
        <v>-5.0847457627118647E-2</v>
      </c>
      <c r="Q8" s="18">
        <f t="shared" si="1"/>
        <v>117.67133745651333</v>
      </c>
      <c r="R8" s="18">
        <f t="shared" si="2"/>
        <v>109.17806868107235</v>
      </c>
      <c r="S8" s="36">
        <f>SUM(J3:J9)</f>
        <v>2244</v>
      </c>
      <c r="T8" s="30" t="s">
        <v>3</v>
      </c>
      <c r="U8" s="1738"/>
    </row>
    <row r="9" spans="1:21" ht="18" thickBot="1">
      <c r="A9" s="10" t="s">
        <v>16</v>
      </c>
      <c r="B9" s="11">
        <f>CHAMNORD!B9</f>
        <v>46026</v>
      </c>
      <c r="C9" s="75">
        <f>IF(H9=0,"",'[8]2025-2026'!C8)</f>
        <v>12307.55</v>
      </c>
      <c r="D9" s="68">
        <f>'[8]2025'!C9</f>
        <v>9879.16</v>
      </c>
      <c r="E9" s="68">
        <f>'[8]2025'!D9</f>
        <v>9740.11</v>
      </c>
      <c r="F9" s="20">
        <f>'[8]2025'!E9</f>
        <v>433</v>
      </c>
      <c r="G9" s="73">
        <f>'[8]2025'!F9</f>
        <v>9800</v>
      </c>
      <c r="H9" s="42">
        <f>'[8]2025'!G9</f>
        <v>9984.2199999999993</v>
      </c>
      <c r="I9" s="13">
        <f>'[8]2025'!H9</f>
        <v>9921.1200000000008</v>
      </c>
      <c r="J9" s="14">
        <f>'[8]2025'!I9</f>
        <v>432</v>
      </c>
      <c r="K9" s="15">
        <f>'[8]2025'!J9</f>
        <v>111.21</v>
      </c>
      <c r="L9" s="15">
        <f>'[8]2025'!K9</f>
        <v>119.22</v>
      </c>
      <c r="M9" s="15">
        <f>'[8]2025'!L9</f>
        <v>21.75</v>
      </c>
      <c r="N9" s="16">
        <f t="shared" si="3"/>
        <v>2.1922928056509745E-3</v>
      </c>
      <c r="O9" s="17">
        <f t="shared" si="0"/>
        <v>1.8583979031037659E-2</v>
      </c>
      <c r="P9" s="17">
        <f t="shared" si="0"/>
        <v>-2.3094688221709007E-3</v>
      </c>
      <c r="Q9" s="18">
        <f t="shared" si="1"/>
        <v>89.210682492581611</v>
      </c>
      <c r="R9" s="18">
        <f t="shared" si="2"/>
        <v>83.216909914443889</v>
      </c>
      <c r="S9" s="37">
        <f>(S8-SUM(F3:F9))/SUM(F3:F9)</f>
        <v>0.14782608695652175</v>
      </c>
      <c r="T9" s="47">
        <f>SUM(M3:M9)/SUM(I3:I9)</f>
        <v>2.0289556960810876E-3</v>
      </c>
      <c r="U9" s="1739"/>
    </row>
    <row r="10" spans="1:21" ht="17" customHeight="1" thickTop="1">
      <c r="A10" s="10" t="s">
        <v>9</v>
      </c>
      <c r="B10" s="19">
        <f>CHAMNORD!B10</f>
        <v>46027</v>
      </c>
      <c r="C10" s="75">
        <f>IF(H10=0,"",'[8]2025-2026'!C9)</f>
        <v>9879.16</v>
      </c>
      <c r="D10" s="68">
        <f>'[8]2025'!C10</f>
        <v>5302.21</v>
      </c>
      <c r="E10" s="68">
        <f>'[8]2025'!D10</f>
        <v>5232.0200000000004</v>
      </c>
      <c r="F10" s="20">
        <f>'[8]2025'!E10</f>
        <v>306</v>
      </c>
      <c r="G10" s="73">
        <f>'[8]2025'!F10</f>
        <v>5300</v>
      </c>
      <c r="H10" s="42">
        <f>'[8]2025'!G10</f>
        <v>5993.22</v>
      </c>
      <c r="I10" s="13">
        <f>'[8]2025'!H10</f>
        <v>5955.46</v>
      </c>
      <c r="J10" s="14">
        <f>'[8]2025'!I10</f>
        <v>320</v>
      </c>
      <c r="K10" s="15">
        <f>'[8]2025'!J10</f>
        <v>71.739999999999995</v>
      </c>
      <c r="L10" s="15">
        <f>'[8]2025'!K10</f>
        <v>88.5</v>
      </c>
      <c r="M10" s="15">
        <f>'[8]2025'!L10</f>
        <v>29.24</v>
      </c>
      <c r="N10" s="16">
        <f t="shared" si="3"/>
        <v>4.9097802688625224E-3</v>
      </c>
      <c r="O10" s="17">
        <f t="shared" si="0"/>
        <v>0.13827164269249725</v>
      </c>
      <c r="P10" s="17">
        <f t="shared" si="0"/>
        <v>4.5751633986928102E-2</v>
      </c>
      <c r="Q10" s="18">
        <f t="shared" si="1"/>
        <v>83.014496793978267</v>
      </c>
      <c r="R10" s="18">
        <f t="shared" si="2"/>
        <v>67.293333333333337</v>
      </c>
      <c r="S10" s="33" t="s">
        <v>39</v>
      </c>
      <c r="T10" s="31" t="s">
        <v>42</v>
      </c>
      <c r="U10" s="1737" t="s">
        <v>84</v>
      </c>
    </row>
    <row r="11" spans="1:21">
      <c r="A11" s="10" t="s">
        <v>11</v>
      </c>
      <c r="B11" s="19">
        <f>CHAMNORD!B11</f>
        <v>46028</v>
      </c>
      <c r="C11" s="75">
        <f>IF(H11=0,"",'[8]2025-2026'!C10)</f>
        <v>5302.21</v>
      </c>
      <c r="D11" s="68">
        <f>'[8]2025'!C11</f>
        <v>6769.74</v>
      </c>
      <c r="E11" s="68">
        <f>'[8]2025'!D11</f>
        <v>6707.3</v>
      </c>
      <c r="F11" s="20">
        <f>'[8]2025'!E11</f>
        <v>350</v>
      </c>
      <c r="G11" s="73">
        <f>'[8]2025'!F11</f>
        <v>6800</v>
      </c>
      <c r="H11" s="42">
        <f>'[8]2025'!G11</f>
        <v>5952.81</v>
      </c>
      <c r="I11" s="13">
        <f>'[8]2025'!H11</f>
        <v>5918.98</v>
      </c>
      <c r="J11" s="14">
        <f>'[8]2025'!I11</f>
        <v>303</v>
      </c>
      <c r="K11" s="15">
        <f>'[8]2025'!J11</f>
        <v>73.680000000000007</v>
      </c>
      <c r="L11" s="15">
        <f>'[8]2025'!K11</f>
        <v>90.19</v>
      </c>
      <c r="M11" s="15">
        <f>'[8]2025'!L11</f>
        <v>13.78</v>
      </c>
      <c r="N11" s="16">
        <f t="shared" si="3"/>
        <v>2.3281038287002154E-3</v>
      </c>
      <c r="O11" s="17">
        <f t="shared" si="0"/>
        <v>-0.11753164462600459</v>
      </c>
      <c r="P11" s="17">
        <f t="shared" si="0"/>
        <v>-0.13428571428571429</v>
      </c>
      <c r="Q11" s="18">
        <f t="shared" si="1"/>
        <v>80.333604777415843</v>
      </c>
      <c r="R11" s="18">
        <f t="shared" si="2"/>
        <v>65.627896662601174</v>
      </c>
      <c r="S11" s="34">
        <f>SUM(I10:I16)</f>
        <v>57989.27</v>
      </c>
      <c r="T11" s="45" t="s">
        <v>41</v>
      </c>
      <c r="U11" s="1738"/>
    </row>
    <row r="12" spans="1:21">
      <c r="A12" s="10" t="s">
        <v>12</v>
      </c>
      <c r="B12" s="19">
        <f>CHAMNORD!B12</f>
        <v>46029</v>
      </c>
      <c r="C12" s="75">
        <f>IF(H12=0,"",'[8]2025-2026'!C11)</f>
        <v>6769.74</v>
      </c>
      <c r="D12" s="68">
        <f>'[8]2025'!C12</f>
        <v>8281.4500000000007</v>
      </c>
      <c r="E12" s="68">
        <f>'[8]2025'!D12</f>
        <v>8160.18</v>
      </c>
      <c r="F12" s="20">
        <f>'[8]2025'!E12</f>
        <v>434</v>
      </c>
      <c r="G12" s="73">
        <f>'[8]2025'!F12</f>
        <v>8200</v>
      </c>
      <c r="H12" s="42">
        <f>'[8]2025'!G12</f>
        <v>7748.91</v>
      </c>
      <c r="I12" s="13">
        <f>'[8]2025'!H12</f>
        <v>7693.02</v>
      </c>
      <c r="J12" s="14">
        <f>'[8]2025'!I12</f>
        <v>429</v>
      </c>
      <c r="K12" s="15">
        <f>'[8]2025'!J12</f>
        <v>83.11</v>
      </c>
      <c r="L12" s="15">
        <f>'[8]2025'!K12</f>
        <v>100.52</v>
      </c>
      <c r="M12" s="15">
        <f>'[8]2025'!L12</f>
        <v>31.82</v>
      </c>
      <c r="N12" s="16">
        <f t="shared" si="3"/>
        <v>4.136216986307068E-3</v>
      </c>
      <c r="O12" s="17">
        <f t="shared" si="0"/>
        <v>-5.724873716020968E-2</v>
      </c>
      <c r="P12" s="17">
        <f t="shared" si="0"/>
        <v>-1.1520737327188941E-2</v>
      </c>
      <c r="Q12" s="18">
        <f t="shared" si="1"/>
        <v>92.564312357117075</v>
      </c>
      <c r="R12" s="18">
        <f t="shared" si="2"/>
        <v>76.53223239156388</v>
      </c>
      <c r="S12" s="35">
        <f>(S11-SUM(E10:E16))/SUM(E10:E16)</f>
        <v>-2.7973722944383283E-2</v>
      </c>
      <c r="T12" s="48">
        <f>SUM(I10:I16)/SUM(K10:K16)</f>
        <v>93.776108541673423</v>
      </c>
      <c r="U12" s="1738"/>
    </row>
    <row r="13" spans="1:21">
      <c r="A13" s="10" t="s">
        <v>13</v>
      </c>
      <c r="B13" s="19">
        <f>CHAMNORD!B13</f>
        <v>46030</v>
      </c>
      <c r="C13" s="75">
        <f>IF(H13=0,"",'[8]2025-2026'!C12)</f>
        <v>8281.4500000000007</v>
      </c>
      <c r="D13" s="68">
        <f>'[8]2025'!C13</f>
        <v>6429.94</v>
      </c>
      <c r="E13" s="68">
        <f>'[8]2025'!D13</f>
        <v>6385.47</v>
      </c>
      <c r="F13" s="20">
        <f>'[8]2025'!E13</f>
        <v>336</v>
      </c>
      <c r="G13" s="73">
        <f>'[8]2025'!F13</f>
        <v>6400</v>
      </c>
      <c r="H13" s="42">
        <f>'[8]2025'!G13</f>
        <v>5521.53</v>
      </c>
      <c r="I13" s="13">
        <f>'[8]2025'!H13</f>
        <v>5494.23</v>
      </c>
      <c r="J13" s="14">
        <f>'[8]2025'!I13</f>
        <v>301</v>
      </c>
      <c r="K13" s="15">
        <f>'[8]2025'!J13</f>
        <v>68.599999999999994</v>
      </c>
      <c r="L13" s="15">
        <f>'[8]2025'!K13</f>
        <v>76.069999999999993</v>
      </c>
      <c r="M13" s="15">
        <f>'[8]2025'!L13</f>
        <v>35.4</v>
      </c>
      <c r="N13" s="16">
        <f t="shared" si="3"/>
        <v>6.4431230581901379E-3</v>
      </c>
      <c r="O13" s="17">
        <f t="shared" si="0"/>
        <v>-0.13957312460946503</v>
      </c>
      <c r="P13" s="17">
        <f t="shared" si="0"/>
        <v>-0.10416666666666667</v>
      </c>
      <c r="Q13" s="18">
        <f t="shared" si="1"/>
        <v>80.090816326530614</v>
      </c>
      <c r="R13" s="18">
        <f t="shared" si="2"/>
        <v>72.225976074668068</v>
      </c>
      <c r="S13" s="34"/>
      <c r="T13" s="29" t="s">
        <v>8</v>
      </c>
      <c r="U13" s="1738"/>
    </row>
    <row r="14" spans="1:21">
      <c r="A14" s="10" t="s">
        <v>14</v>
      </c>
      <c r="B14" s="19">
        <f>CHAMNORD!B14</f>
        <v>46031</v>
      </c>
      <c r="C14" s="75">
        <f>IF(H14=0,"",'[8]2025-2026'!C13)</f>
        <v>6429.94</v>
      </c>
      <c r="D14" s="68">
        <f>'[8]2025'!C14</f>
        <v>10864.07</v>
      </c>
      <c r="E14" s="68">
        <f>'[8]2025'!D14</f>
        <v>10783.67</v>
      </c>
      <c r="F14" s="20">
        <f>'[8]2025'!E14</f>
        <v>550</v>
      </c>
      <c r="G14" s="73">
        <f>'[8]2025'!F14</f>
        <v>10900</v>
      </c>
      <c r="H14" s="42">
        <f>'[8]2025'!G14</f>
        <v>11012.5</v>
      </c>
      <c r="I14" s="13">
        <f>'[8]2025'!H14</f>
        <v>10944.87</v>
      </c>
      <c r="J14" s="14">
        <f>'[8]2025'!I14</f>
        <v>529</v>
      </c>
      <c r="K14" s="15">
        <f>'[8]2025'!J14</f>
        <v>104.4</v>
      </c>
      <c r="L14" s="15">
        <f>'[8]2025'!K14</f>
        <v>120.43</v>
      </c>
      <c r="M14" s="15">
        <f>'[8]2025'!L14</f>
        <v>23.4</v>
      </c>
      <c r="N14" s="16">
        <f t="shared" si="3"/>
        <v>2.1379879340732229E-3</v>
      </c>
      <c r="O14" s="17">
        <f t="shared" si="0"/>
        <v>1.4948528654901413E-2</v>
      </c>
      <c r="P14" s="17">
        <f t="shared" si="0"/>
        <v>-3.8181818181818185E-2</v>
      </c>
      <c r="Q14" s="18">
        <f t="shared" si="1"/>
        <v>104.83591954022988</v>
      </c>
      <c r="R14" s="18">
        <f t="shared" si="2"/>
        <v>90.881590965706224</v>
      </c>
      <c r="S14" s="36" t="s">
        <v>40</v>
      </c>
      <c r="T14" s="48">
        <f>SUM(I10:I16)/SUM(L10:L16)</f>
        <v>81.775231621846501</v>
      </c>
      <c r="U14" s="1738"/>
    </row>
    <row r="15" spans="1:21">
      <c r="A15" s="10" t="s">
        <v>15</v>
      </c>
      <c r="B15" s="19">
        <f>CHAMNORD!B15</f>
        <v>46032</v>
      </c>
      <c r="C15" s="75">
        <f>IF(H15=0,"",'[8]2025-2026'!C14)</f>
        <v>10864.07</v>
      </c>
      <c r="D15" s="68">
        <f>'[8]2025'!C15</f>
        <v>11945.13</v>
      </c>
      <c r="E15" s="68">
        <f>'[8]2025'!D15</f>
        <v>11822.35</v>
      </c>
      <c r="F15" s="20">
        <f>'[8]2025'!E15</f>
        <v>566</v>
      </c>
      <c r="G15" s="73">
        <f>'[8]2025'!F15</f>
        <v>11900</v>
      </c>
      <c r="H15" s="42">
        <f>'[8]2025'!G15</f>
        <v>12010.72</v>
      </c>
      <c r="I15" s="13">
        <f>'[8]2025'!H15</f>
        <v>11925.46</v>
      </c>
      <c r="J15" s="14">
        <f>'[8]2025'!I15</f>
        <v>525</v>
      </c>
      <c r="K15" s="15">
        <f>'[8]2025'!J15</f>
        <v>113.05</v>
      </c>
      <c r="L15" s="15">
        <f>'[8]2025'!K15</f>
        <v>121.37</v>
      </c>
      <c r="M15" s="15">
        <f>'[8]2025'!L15</f>
        <v>25.87</v>
      </c>
      <c r="N15" s="16">
        <f t="shared" si="3"/>
        <v>2.1693083537238818E-3</v>
      </c>
      <c r="O15" s="17">
        <f t="shared" si="0"/>
        <v>8.7216162607264003E-3</v>
      </c>
      <c r="P15" s="17">
        <f t="shared" si="0"/>
        <v>-7.2438162544169613E-2</v>
      </c>
      <c r="Q15" s="18">
        <f t="shared" si="1"/>
        <v>105.48836797877046</v>
      </c>
      <c r="R15" s="18">
        <f t="shared" si="2"/>
        <v>98.257065172612656</v>
      </c>
      <c r="S15" s="36">
        <f>SUM(J10:J16)</f>
        <v>2843</v>
      </c>
      <c r="T15" s="30" t="s">
        <v>3</v>
      </c>
      <c r="U15" s="1738"/>
    </row>
    <row r="16" spans="1:21" ht="18" thickBot="1">
      <c r="A16" s="10" t="s">
        <v>16</v>
      </c>
      <c r="B16" s="19">
        <f>CHAMNORD!B16</f>
        <v>46033</v>
      </c>
      <c r="C16" s="75">
        <f>IF(H16=0,"",'[8]2025-2026'!C15)</f>
        <v>11945.13</v>
      </c>
      <c r="D16" s="68">
        <f>'[8]2025'!C16</f>
        <v>10635.44</v>
      </c>
      <c r="E16" s="68">
        <f>'[8]2025'!D16</f>
        <v>10567.14</v>
      </c>
      <c r="F16" s="20">
        <f>'[8]2025'!E16</f>
        <v>496</v>
      </c>
      <c r="G16" s="73">
        <f>'[8]2025'!F16</f>
        <v>10700</v>
      </c>
      <c r="H16" s="42">
        <f>'[8]2025'!G16</f>
        <v>10141.23</v>
      </c>
      <c r="I16" s="13">
        <f>'[8]2025'!H16</f>
        <v>10057.25</v>
      </c>
      <c r="J16" s="14">
        <f>'[8]2025'!I16</f>
        <v>436</v>
      </c>
      <c r="K16" s="15">
        <f>'[8]2025'!J16</f>
        <v>103.8</v>
      </c>
      <c r="L16" s="15">
        <f>'[8]2025'!K16</f>
        <v>112.05</v>
      </c>
      <c r="M16" s="15">
        <f>'[8]2025'!L16</f>
        <v>65.069999999999993</v>
      </c>
      <c r="N16" s="16">
        <f t="shared" si="3"/>
        <v>6.469959481965745E-3</v>
      </c>
      <c r="O16" s="17">
        <f t="shared" si="0"/>
        <v>-4.8252412667949836E-2</v>
      </c>
      <c r="P16" s="17">
        <f t="shared" si="0"/>
        <v>-0.12096774193548387</v>
      </c>
      <c r="Q16" s="18">
        <f t="shared" si="1"/>
        <v>96.890655105973025</v>
      </c>
      <c r="R16" s="18">
        <f t="shared" si="2"/>
        <v>89.756804997768853</v>
      </c>
      <c r="S16" s="37">
        <f>(S15-SUM(F10:F16))/SUM(F10:F16)</f>
        <v>-6.4186965108624094E-2</v>
      </c>
      <c r="T16" s="47">
        <f>SUM(M10:M16)/SUM(I10:I16)</f>
        <v>3.8727854308219438E-3</v>
      </c>
      <c r="U16" s="1739"/>
    </row>
    <row r="17" spans="1:21" ht="17" customHeight="1" thickTop="1">
      <c r="A17" s="10" t="s">
        <v>9</v>
      </c>
      <c r="B17" s="19">
        <f>CHAMNORD!B17</f>
        <v>46034</v>
      </c>
      <c r="C17" s="75">
        <f>IF(H17=0,"",'[8]2025-2026'!C16)</f>
        <v>10635.44</v>
      </c>
      <c r="D17" s="68">
        <f>'[8]2025'!C17</f>
        <v>6029.71</v>
      </c>
      <c r="E17" s="68">
        <f>'[8]2025'!D17</f>
        <v>5989.37</v>
      </c>
      <c r="F17" s="20">
        <f>'[8]2025'!E17</f>
        <v>342</v>
      </c>
      <c r="G17" s="73">
        <f>'[8]2025'!F17</f>
        <v>6000</v>
      </c>
      <c r="H17" s="42">
        <f>'[8]2025'!G17</f>
        <v>5523.31</v>
      </c>
      <c r="I17" s="13">
        <f>'[8]2025'!H17</f>
        <v>5492.78</v>
      </c>
      <c r="J17" s="14">
        <f>'[8]2025'!I17</f>
        <v>300</v>
      </c>
      <c r="K17" s="15">
        <f>'[8]2025'!J17</f>
        <v>68.92</v>
      </c>
      <c r="L17" s="15">
        <f>'[8]2025'!K17</f>
        <v>78.19</v>
      </c>
      <c r="M17" s="15">
        <f>'[8]2025'!L17</f>
        <v>53.14</v>
      </c>
      <c r="N17" s="16">
        <f t="shared" si="3"/>
        <v>9.6745181856910355E-3</v>
      </c>
      <c r="O17" s="17">
        <f t="shared" si="0"/>
        <v>-8.2911892235744356E-2</v>
      </c>
      <c r="P17" s="17">
        <f t="shared" si="0"/>
        <v>-0.12280701754385964</v>
      </c>
      <c r="Q17" s="18">
        <f t="shared" si="1"/>
        <v>79.697910621009868</v>
      </c>
      <c r="R17" s="18">
        <f t="shared" si="2"/>
        <v>70.249136718250412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19">
        <f>CHAMNORD!B18</f>
        <v>46035</v>
      </c>
      <c r="C18" s="75">
        <f>IF(H18=0,"",'[8]2025-2026'!C17)</f>
        <v>6029.71</v>
      </c>
      <c r="D18" s="68">
        <f>'[8]2025'!C18</f>
        <v>6169.68</v>
      </c>
      <c r="E18" s="68">
        <f>'[8]2025'!D18</f>
        <v>6126.71</v>
      </c>
      <c r="F18" s="20">
        <f>'[8]2025'!E18</f>
        <v>348</v>
      </c>
      <c r="G18" s="73">
        <f>'[8]2025'!F18</f>
        <v>6200</v>
      </c>
      <c r="H18" s="42">
        <f>'[8]2025'!G18</f>
        <v>7211.01</v>
      </c>
      <c r="I18" s="13">
        <f>'[8]2025'!H18</f>
        <v>7167.45</v>
      </c>
      <c r="J18" s="14">
        <f>'[8]2025'!I18</f>
        <v>337</v>
      </c>
      <c r="K18" s="15">
        <f>'[8]2025'!J18</f>
        <v>76.81</v>
      </c>
      <c r="L18" s="15">
        <f>'[8]2025'!K18</f>
        <v>93.46</v>
      </c>
      <c r="M18" s="15">
        <f>'[8]2025'!L18</f>
        <v>48.36</v>
      </c>
      <c r="N18" s="16">
        <f t="shared" si="3"/>
        <v>6.7471694954272443E-3</v>
      </c>
      <c r="O18" s="17">
        <f t="shared" si="0"/>
        <v>0.16986930995591432</v>
      </c>
      <c r="P18" s="17">
        <f t="shared" si="0"/>
        <v>-3.1609195402298854E-2</v>
      </c>
      <c r="Q18" s="18">
        <f t="shared" si="1"/>
        <v>93.314021611769292</v>
      </c>
      <c r="R18" s="18">
        <f t="shared" si="2"/>
        <v>76.690027819387979</v>
      </c>
      <c r="S18" s="34">
        <f>SUM(I17:I23)</f>
        <v>62167.16</v>
      </c>
      <c r="T18" s="45" t="s">
        <v>41</v>
      </c>
      <c r="U18" s="1738"/>
    </row>
    <row r="19" spans="1:21">
      <c r="A19" s="10" t="s">
        <v>12</v>
      </c>
      <c r="B19" s="19">
        <f>CHAMNORD!B19</f>
        <v>46036</v>
      </c>
      <c r="C19" s="75">
        <f>IF(H19=0,"",'[8]2025-2026'!C18)</f>
        <v>6169.68</v>
      </c>
      <c r="D19" s="68">
        <f>'[8]2025'!C19</f>
        <v>8195.2999999999993</v>
      </c>
      <c r="E19" s="68">
        <f>'[8]2025'!D19</f>
        <v>8112.69</v>
      </c>
      <c r="F19" s="20">
        <f>'[8]2025'!E19</f>
        <v>435</v>
      </c>
      <c r="G19" s="73">
        <f>'[8]2025'!F19</f>
        <v>8200</v>
      </c>
      <c r="H19" s="42">
        <f>'[8]2025'!G19</f>
        <v>7437.99</v>
      </c>
      <c r="I19" s="13">
        <f>'[8]2025'!H19</f>
        <v>7367.69</v>
      </c>
      <c r="J19" s="14">
        <f>'[8]2025'!I19</f>
        <v>380</v>
      </c>
      <c r="K19" s="15">
        <f>'[8]2025'!J19</f>
        <v>75.069999999999993</v>
      </c>
      <c r="L19" s="15">
        <f>'[8]2025'!K19</f>
        <v>83.53</v>
      </c>
      <c r="M19" s="15">
        <f>'[8]2025'!L19</f>
        <v>12.83</v>
      </c>
      <c r="N19" s="16">
        <f t="shared" si="3"/>
        <v>1.7413870561872175E-3</v>
      </c>
      <c r="O19" s="17">
        <f t="shared" si="0"/>
        <v>-9.1831439386935776E-2</v>
      </c>
      <c r="P19" s="17">
        <f t="shared" si="0"/>
        <v>-0.12643678160919541</v>
      </c>
      <c r="Q19" s="18">
        <f t="shared" si="1"/>
        <v>98.144265352337825</v>
      </c>
      <c r="R19" s="18">
        <f t="shared" si="2"/>
        <v>88.204118280857173</v>
      </c>
      <c r="S19" s="35">
        <f>(S18-SUM(E17:E23))/SUM(E17:E23)</f>
        <v>2.1001030737525895E-2</v>
      </c>
      <c r="T19" s="48">
        <f>SUM(I17:I23)/SUM(K17:K23)</f>
        <v>96.135774595614379</v>
      </c>
      <c r="U19" s="1738"/>
    </row>
    <row r="20" spans="1:21">
      <c r="A20" s="10" t="s">
        <v>13</v>
      </c>
      <c r="B20" s="19">
        <f>CHAMNORD!B20</f>
        <v>46037</v>
      </c>
      <c r="C20" s="75">
        <f>IF(H20=0,"",'[8]2025-2026'!C19)</f>
        <v>8195.2999999999993</v>
      </c>
      <c r="D20" s="68">
        <f>'[8]2025'!C20</f>
        <v>7224.17</v>
      </c>
      <c r="E20" s="68">
        <f>'[8]2025'!D20</f>
        <v>7185.79</v>
      </c>
      <c r="F20" s="20">
        <f>'[8]2025'!E20</f>
        <v>408</v>
      </c>
      <c r="G20" s="73">
        <f>'[8]2025'!F20</f>
        <v>7300</v>
      </c>
      <c r="H20" s="42">
        <f>'[8]2025'!G20</f>
        <v>7450.57</v>
      </c>
      <c r="I20" s="13">
        <f>'[8]2025'!H20</f>
        <v>7400.46</v>
      </c>
      <c r="J20" s="14">
        <f>'[8]2025'!I20</f>
        <v>384</v>
      </c>
      <c r="K20" s="15">
        <f>'[8]2025'!J20</f>
        <v>71.22</v>
      </c>
      <c r="L20" s="15">
        <f>'[8]2025'!K20</f>
        <v>88.39</v>
      </c>
      <c r="M20" s="15">
        <f>'[8]2025'!L20</f>
        <v>27.15</v>
      </c>
      <c r="N20" s="16">
        <f t="shared" si="3"/>
        <v>3.6686908651624357E-3</v>
      </c>
      <c r="O20" s="17">
        <f t="shared" si="0"/>
        <v>2.9874237905644346E-2</v>
      </c>
      <c r="P20" s="17">
        <f t="shared" si="0"/>
        <v>-5.8823529411764705E-2</v>
      </c>
      <c r="Q20" s="18">
        <f t="shared" si="1"/>
        <v>103.90985678180287</v>
      </c>
      <c r="R20" s="18">
        <f t="shared" si="2"/>
        <v>83.725082022853258</v>
      </c>
      <c r="S20" s="34"/>
      <c r="T20" s="29" t="s">
        <v>8</v>
      </c>
      <c r="U20" s="1738"/>
    </row>
    <row r="21" spans="1:21">
      <c r="A21" s="10" t="s">
        <v>14</v>
      </c>
      <c r="B21" s="19">
        <f>CHAMNORD!B21</f>
        <v>46038</v>
      </c>
      <c r="C21" s="75">
        <f>IF(H21=0,"",'[8]2025-2026'!C20)</f>
        <v>7224.17</v>
      </c>
      <c r="D21" s="68">
        <f>'[8]2025'!C21</f>
        <v>10323.469999999999</v>
      </c>
      <c r="E21" s="68">
        <f>'[8]2025'!D21</f>
        <v>10242.83</v>
      </c>
      <c r="F21" s="20">
        <f>'[8]2025'!E21</f>
        <v>568</v>
      </c>
      <c r="G21" s="73">
        <f>'[8]2025'!F21</f>
        <v>10300</v>
      </c>
      <c r="H21" s="42">
        <f>'[8]2025'!G21</f>
        <v>12146.8</v>
      </c>
      <c r="I21" s="13">
        <f>'[8]2025'!H21</f>
        <v>12082.4</v>
      </c>
      <c r="J21" s="14">
        <f>'[8]2025'!I21</f>
        <v>584</v>
      </c>
      <c r="K21" s="15">
        <f>'[8]2025'!J21</f>
        <v>122.55</v>
      </c>
      <c r="L21" s="15">
        <f>'[8]2025'!K21</f>
        <v>131.57</v>
      </c>
      <c r="M21" s="15">
        <f>'[8]2025'!L21</f>
        <v>28.08</v>
      </c>
      <c r="N21" s="16">
        <f t="shared" si="3"/>
        <v>2.3240415811428194E-3</v>
      </c>
      <c r="O21" s="17">
        <f t="shared" si="0"/>
        <v>0.17959587340608013</v>
      </c>
      <c r="P21" s="17">
        <f t="shared" si="0"/>
        <v>2.8169014084507043E-2</v>
      </c>
      <c r="Q21" s="18">
        <f t="shared" si="1"/>
        <v>98.591595267237864</v>
      </c>
      <c r="R21" s="18">
        <f t="shared" si="2"/>
        <v>91.832484608953408</v>
      </c>
      <c r="S21" s="36" t="s">
        <v>40</v>
      </c>
      <c r="T21" s="48">
        <f>SUM(I17:I23)/SUM(L17:L23)</f>
        <v>84.038066914498145</v>
      </c>
      <c r="U21" s="1738"/>
    </row>
    <row r="22" spans="1:21">
      <c r="A22" s="10" t="s">
        <v>15</v>
      </c>
      <c r="B22" s="19">
        <f>CHAMNORD!B22</f>
        <v>46039</v>
      </c>
      <c r="C22" s="75">
        <f>IF(H22=0,"",'[8]2025-2026'!C21)</f>
        <v>10323.469999999999</v>
      </c>
      <c r="D22" s="68">
        <f>'[8]2025'!C22</f>
        <v>12320.46</v>
      </c>
      <c r="E22" s="68">
        <f>'[8]2025'!D22</f>
        <v>12190.96</v>
      </c>
      <c r="F22" s="20">
        <f>'[8]2025'!E22</f>
        <v>572</v>
      </c>
      <c r="G22" s="73">
        <f>'[8]2025'!F22</f>
        <v>12300</v>
      </c>
      <c r="H22" s="42">
        <f>'[8]2025'!G22</f>
        <v>11842.37</v>
      </c>
      <c r="I22" s="13">
        <f>'[8]2025'!H22</f>
        <v>11750.58</v>
      </c>
      <c r="J22" s="14">
        <f>'[8]2025'!I22</f>
        <v>562</v>
      </c>
      <c r="K22" s="15">
        <f>'[8]2025'!J22</f>
        <v>127.01</v>
      </c>
      <c r="L22" s="15">
        <f>'[8]2025'!K22</f>
        <v>143.27000000000001</v>
      </c>
      <c r="M22" s="15">
        <f>'[8]2025'!L22</f>
        <v>39.64</v>
      </c>
      <c r="N22" s="16">
        <f t="shared" si="3"/>
        <v>3.3734505020177729E-3</v>
      </c>
      <c r="O22" s="17">
        <f t="shared" si="0"/>
        <v>-3.6123488224061043E-2</v>
      </c>
      <c r="P22" s="17">
        <f t="shared" si="0"/>
        <v>-1.7482517482517484E-2</v>
      </c>
      <c r="Q22" s="18">
        <f t="shared" si="1"/>
        <v>92.516967167939526</v>
      </c>
      <c r="R22" s="18">
        <f t="shared" si="2"/>
        <v>82.017030781042777</v>
      </c>
      <c r="S22" s="36">
        <f>SUM(J17:J23)</f>
        <v>3047</v>
      </c>
      <c r="T22" s="30" t="s">
        <v>3</v>
      </c>
      <c r="U22" s="1738"/>
    </row>
    <row r="23" spans="1:21" ht="18" thickBot="1">
      <c r="A23" s="10" t="s">
        <v>16</v>
      </c>
      <c r="B23" s="19">
        <f>CHAMNORD!B23</f>
        <v>46040</v>
      </c>
      <c r="C23" s="75">
        <f>IF(H23=0,"",'[8]2025-2026'!C22)</f>
        <v>12320.46</v>
      </c>
      <c r="D23" s="68">
        <f>'[8]2025'!C23</f>
        <v>11132.38</v>
      </c>
      <c r="E23" s="68">
        <f>'[8]2025'!D23</f>
        <v>11040.09</v>
      </c>
      <c r="F23" s="20">
        <f>'[8]2025'!E23</f>
        <v>513</v>
      </c>
      <c r="G23" s="73">
        <f>'[8]2025'!F23</f>
        <v>11100</v>
      </c>
      <c r="H23" s="42">
        <f>'[8]2025'!G23</f>
        <v>10991.71</v>
      </c>
      <c r="I23" s="13">
        <f>'[8]2025'!H23</f>
        <v>10905.8</v>
      </c>
      <c r="J23" s="14">
        <f>'[8]2025'!I23</f>
        <v>500</v>
      </c>
      <c r="K23" s="15">
        <f>'[8]2025'!J23</f>
        <v>105.08</v>
      </c>
      <c r="L23" s="15">
        <f>'[8]2025'!K23</f>
        <v>121.34</v>
      </c>
      <c r="M23" s="15">
        <f>'[8]2025'!L23</f>
        <v>22.37</v>
      </c>
      <c r="N23" s="16">
        <f t="shared" si="3"/>
        <v>2.0512021126373125E-3</v>
      </c>
      <c r="O23" s="17">
        <f t="shared" si="0"/>
        <v>-1.2163850113540819E-2</v>
      </c>
      <c r="P23" s="17">
        <f t="shared" si="0"/>
        <v>-2.5341130604288498E-2</v>
      </c>
      <c r="Q23" s="18">
        <f t="shared" si="1"/>
        <v>103.78568709554625</v>
      </c>
      <c r="R23" s="18">
        <f t="shared" si="2"/>
        <v>89.878028679742869</v>
      </c>
      <c r="S23" s="37">
        <f>(S22-SUM(F17:F23))/SUM(F17:F23)</f>
        <v>-4.362837413684871E-2</v>
      </c>
      <c r="T23" s="47">
        <f>SUM(M17:M23)/SUM(I17:I23)</f>
        <v>3.7249570351935006E-3</v>
      </c>
      <c r="U23" s="1739"/>
    </row>
    <row r="24" spans="1:21" ht="17" customHeight="1" thickTop="1">
      <c r="A24" s="10" t="s">
        <v>9</v>
      </c>
      <c r="B24" s="19">
        <f>CHAMNORD!B24</f>
        <v>46041</v>
      </c>
      <c r="C24" s="75">
        <f>IF(H24=0,"",'[8]2025-2026'!C23)</f>
        <v>11132.38</v>
      </c>
      <c r="D24" s="68">
        <f>'[8]2025'!C24</f>
        <v>5789.86</v>
      </c>
      <c r="E24" s="68">
        <f>'[8]2025'!D24</f>
        <v>5763.24</v>
      </c>
      <c r="F24" s="20">
        <f>'[8]2025'!E24</f>
        <v>321</v>
      </c>
      <c r="G24" s="73">
        <f>'[8]2025'!F24</f>
        <v>5800</v>
      </c>
      <c r="H24" s="42">
        <f>'[8]2025'!G24</f>
        <v>5808.23</v>
      </c>
      <c r="I24" s="13">
        <f>'[8]2025'!H24</f>
        <v>5776.33</v>
      </c>
      <c r="J24" s="14">
        <f>'[8]2025'!I24</f>
        <v>341</v>
      </c>
      <c r="K24" s="15">
        <f>'[8]2025'!J24</f>
        <v>80.44</v>
      </c>
      <c r="L24" s="15">
        <f>'[8]2025'!K24</f>
        <v>89.03</v>
      </c>
      <c r="M24" s="15">
        <f>'[8]2025'!L24</f>
        <v>39.24</v>
      </c>
      <c r="N24" s="16">
        <f t="shared" si="3"/>
        <v>6.793240690888506E-3</v>
      </c>
      <c r="O24" s="17">
        <f t="shared" si="0"/>
        <v>2.2712918427829046E-3</v>
      </c>
      <c r="P24" s="17">
        <f t="shared" si="0"/>
        <v>6.2305295950155763E-2</v>
      </c>
      <c r="Q24" s="18">
        <f t="shared" si="1"/>
        <v>71.809174540029844</v>
      </c>
      <c r="R24" s="18">
        <f t="shared" si="2"/>
        <v>64.880714365944058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19">
        <f>CHAMNORD!B25</f>
        <v>46042</v>
      </c>
      <c r="C25" s="75">
        <f>IF(H25=0,"",'[8]2025-2026'!C24)</f>
        <v>5789.86</v>
      </c>
      <c r="D25" s="68">
        <f>'[8]2025'!C25</f>
        <v>5843.16</v>
      </c>
      <c r="E25" s="68">
        <f>'[8]2025'!D25</f>
        <v>5704.15</v>
      </c>
      <c r="F25" s="20">
        <f>'[8]2025'!E25</f>
        <v>311</v>
      </c>
      <c r="G25" s="73">
        <f>'[8]2025'!F25</f>
        <v>6000</v>
      </c>
      <c r="H25" s="42">
        <f>'[8]2025'!G25</f>
        <v>5782.99</v>
      </c>
      <c r="I25" s="13">
        <f>'[8]2025'!H25</f>
        <v>5730.4</v>
      </c>
      <c r="J25" s="14">
        <f>'[8]2025'!I25</f>
        <v>320</v>
      </c>
      <c r="K25" s="15">
        <f>'[8]2025'!J25</f>
        <v>79.97</v>
      </c>
      <c r="L25" s="15">
        <f>'[8]2025'!K25</f>
        <v>88.48</v>
      </c>
      <c r="M25" s="15">
        <f>'[8]2025'!L25</f>
        <v>25.6</v>
      </c>
      <c r="N25" s="16">
        <f t="shared" si="3"/>
        <v>4.4674019265670811E-3</v>
      </c>
      <c r="O25" s="17">
        <f t="shared" si="0"/>
        <v>4.6019126425497232E-3</v>
      </c>
      <c r="P25" s="17">
        <f t="shared" si="0"/>
        <v>2.8938906752411574E-2</v>
      </c>
      <c r="Q25" s="18">
        <f t="shared" si="1"/>
        <v>71.65687132674752</v>
      </c>
      <c r="R25" s="18">
        <f t="shared" si="2"/>
        <v>64.764918625678106</v>
      </c>
      <c r="S25" s="34">
        <f>SUM(I24:I30)</f>
        <v>60794.28</v>
      </c>
      <c r="T25" s="45" t="s">
        <v>41</v>
      </c>
      <c r="U25" s="1738"/>
    </row>
    <row r="26" spans="1:21">
      <c r="A26" s="10" t="s">
        <v>12</v>
      </c>
      <c r="B26" s="19">
        <f>CHAMNORD!B26</f>
        <v>46043</v>
      </c>
      <c r="C26" s="75">
        <f>IF(H26=0,"",'[8]2025-2026'!C25)</f>
        <v>5843.16</v>
      </c>
      <c r="D26" s="68">
        <f>'[8]2025'!C26</f>
        <v>7717.26</v>
      </c>
      <c r="E26" s="68">
        <f>'[8]2025'!D26</f>
        <v>7454.77</v>
      </c>
      <c r="F26" s="20">
        <f>'[8]2025'!E26</f>
        <v>401</v>
      </c>
      <c r="G26" s="73">
        <f>'[8]2025'!F26</f>
        <v>7500</v>
      </c>
      <c r="H26" s="42">
        <f>'[8]2025'!G26</f>
        <v>8066.29</v>
      </c>
      <c r="I26" s="13">
        <f>'[8]2025'!H26</f>
        <v>8001.22</v>
      </c>
      <c r="J26" s="14">
        <f>'[8]2025'!I26</f>
        <v>412</v>
      </c>
      <c r="K26" s="15">
        <f>'[8]2025'!J26</f>
        <v>71.42</v>
      </c>
      <c r="L26" s="15">
        <f>'[8]2025'!K26</f>
        <v>89.33</v>
      </c>
      <c r="M26" s="15">
        <f>'[8]2025'!L26</f>
        <v>32.15</v>
      </c>
      <c r="N26" s="16">
        <f t="shared" si="3"/>
        <v>4.0181372340718034E-3</v>
      </c>
      <c r="O26" s="17">
        <f t="shared" si="0"/>
        <v>7.3302060291598511E-2</v>
      </c>
      <c r="P26" s="17">
        <f t="shared" si="0"/>
        <v>2.7431421446384038E-2</v>
      </c>
      <c r="Q26" s="18">
        <f t="shared" si="1"/>
        <v>112.03052366283954</v>
      </c>
      <c r="R26" s="18">
        <f t="shared" si="2"/>
        <v>89.56923765812158</v>
      </c>
      <c r="S26" s="35">
        <f>(S25-SUM(E24:E30))/SUM(E24:E30)</f>
        <v>-2.7642502162419435E-2</v>
      </c>
      <c r="T26" s="48">
        <f>SUM(I24:I30)/SUM(K24:K30)</f>
        <v>89.774332166747897</v>
      </c>
      <c r="U26" s="1738"/>
    </row>
    <row r="27" spans="1:21">
      <c r="A27" s="10" t="s">
        <v>13</v>
      </c>
      <c r="B27" s="19">
        <f>CHAMNORD!B27</f>
        <v>46044</v>
      </c>
      <c r="C27" s="75">
        <f>IF(H27=0,"",'[8]2025-2026'!C26)</f>
        <v>7717.26</v>
      </c>
      <c r="D27" s="68">
        <f>'[8]2025'!C27</f>
        <v>6640.46</v>
      </c>
      <c r="E27" s="68">
        <f>'[8]2025'!D27</f>
        <v>6612.5</v>
      </c>
      <c r="F27" s="20">
        <f>'[8]2025'!E27</f>
        <v>389</v>
      </c>
      <c r="G27" s="73">
        <f>'[8]2025'!F27</f>
        <v>6700</v>
      </c>
      <c r="H27" s="42">
        <f>'[8]2025'!G27</f>
        <v>6823.99</v>
      </c>
      <c r="I27" s="13">
        <f>'[8]2025'!H27</f>
        <v>6786.92</v>
      </c>
      <c r="J27" s="14">
        <f>'[8]2025'!I27</f>
        <v>359</v>
      </c>
      <c r="K27" s="15">
        <f>'[8]2025'!J27</f>
        <v>79.44</v>
      </c>
      <c r="L27" s="15">
        <f>'[8]2025'!K27</f>
        <v>95.12</v>
      </c>
      <c r="M27" s="15">
        <f>'[8]2025'!L27</f>
        <v>30.32</v>
      </c>
      <c r="N27" s="16">
        <f t="shared" si="3"/>
        <v>4.4674167368998017E-3</v>
      </c>
      <c r="O27" s="17">
        <f t="shared" si="0"/>
        <v>2.6377315689981109E-2</v>
      </c>
      <c r="P27" s="17">
        <f t="shared" si="0"/>
        <v>-7.7120822622107968E-2</v>
      </c>
      <c r="Q27" s="18">
        <f t="shared" si="1"/>
        <v>85.434541792547833</v>
      </c>
      <c r="R27" s="18">
        <f t="shared" si="2"/>
        <v>71.351135407905801</v>
      </c>
      <c r="S27" s="34"/>
      <c r="T27" s="29" t="s">
        <v>8</v>
      </c>
      <c r="U27" s="1738"/>
    </row>
    <row r="28" spans="1:21">
      <c r="A28" s="10" t="s">
        <v>14</v>
      </c>
      <c r="B28" s="19">
        <f>CHAMNORD!B28</f>
        <v>46045</v>
      </c>
      <c r="C28" s="75">
        <f>IF(H28=0,"",'[8]2025-2026'!C27)</f>
        <v>6640.46</v>
      </c>
      <c r="D28" s="68">
        <f>'[8]2025'!C28</f>
        <v>11496.11</v>
      </c>
      <c r="E28" s="68">
        <f>'[8]2025'!D28</f>
        <v>11421.88</v>
      </c>
      <c r="F28" s="20">
        <f>'[8]2025'!E28</f>
        <v>589</v>
      </c>
      <c r="G28" s="73">
        <f>'[8]2025'!F28</f>
        <v>11500</v>
      </c>
      <c r="H28" s="42">
        <f>'[8]2025'!G28</f>
        <v>10433.33</v>
      </c>
      <c r="I28" s="13">
        <f>'[8]2025'!H28</f>
        <v>10363.74</v>
      </c>
      <c r="J28" s="14">
        <f>'[8]2025'!I28</f>
        <v>480</v>
      </c>
      <c r="K28" s="15">
        <f>'[8]2025'!J28</f>
        <v>127.41</v>
      </c>
      <c r="L28" s="15">
        <f>'[8]2025'!K28</f>
        <v>142.69</v>
      </c>
      <c r="M28" s="15">
        <f>'[8]2025'!L28</f>
        <v>18.559999999999999</v>
      </c>
      <c r="N28" s="16">
        <f t="shared" si="3"/>
        <v>1.7908592843896122E-3</v>
      </c>
      <c r="O28" s="17">
        <f t="shared" si="0"/>
        <v>-9.2641491593327852E-2</v>
      </c>
      <c r="P28" s="17">
        <f t="shared" si="0"/>
        <v>-0.18505942275042445</v>
      </c>
      <c r="Q28" s="18">
        <f t="shared" si="1"/>
        <v>81.34165293148105</v>
      </c>
      <c r="R28" s="18">
        <f t="shared" si="2"/>
        <v>72.631158455392807</v>
      </c>
      <c r="S28" s="36" t="s">
        <v>40</v>
      </c>
      <c r="T28" s="48">
        <f>SUM(I24:I30)/SUM(L24:L30)</f>
        <v>78.528333570146089</v>
      </c>
      <c r="U28" s="1738"/>
    </row>
    <row r="29" spans="1:21">
      <c r="A29" s="10" t="s">
        <v>15</v>
      </c>
      <c r="B29" s="19">
        <f>CHAMNORD!B29</f>
        <v>46046</v>
      </c>
      <c r="C29" s="75">
        <f>IF(H29=0,"",'[8]2025-2026'!C28)</f>
        <v>11496.11</v>
      </c>
      <c r="D29" s="68">
        <f>'[8]2025'!C29</f>
        <v>14702.26</v>
      </c>
      <c r="E29" s="68">
        <f>'[8]2025'!D29</f>
        <v>14576.02</v>
      </c>
      <c r="F29" s="20">
        <f>'[8]2025'!E29</f>
        <v>703</v>
      </c>
      <c r="G29" s="73">
        <f>'[8]2025'!F29</f>
        <v>14700</v>
      </c>
      <c r="H29" s="42">
        <f>'[8]2025'!G29</f>
        <v>14584</v>
      </c>
      <c r="I29" s="13">
        <f>'[8]2025'!H29</f>
        <v>14477.94</v>
      </c>
      <c r="J29" s="14">
        <f>'[8]2025'!I29</f>
        <v>643</v>
      </c>
      <c r="K29" s="15">
        <f>'[8]2025'!J29</f>
        <v>124.09</v>
      </c>
      <c r="L29" s="15">
        <f>'[8]2025'!K29</f>
        <v>139.78</v>
      </c>
      <c r="M29" s="15">
        <f>'[8]2025'!L29</f>
        <v>29.03</v>
      </c>
      <c r="N29" s="16">
        <f t="shared" si="3"/>
        <v>2.0051195128588735E-3</v>
      </c>
      <c r="O29" s="17">
        <f t="shared" si="0"/>
        <v>-6.7288601415201078E-3</v>
      </c>
      <c r="P29" s="17">
        <f t="shared" si="0"/>
        <v>-8.5348506401137975E-2</v>
      </c>
      <c r="Q29" s="18">
        <f t="shared" si="1"/>
        <v>116.6728987025546</v>
      </c>
      <c r="R29" s="18">
        <f t="shared" si="2"/>
        <v>103.57662040349121</v>
      </c>
      <c r="S29" s="36">
        <f>SUM(J24:J30)</f>
        <v>2996</v>
      </c>
      <c r="T29" s="30" t="s">
        <v>3</v>
      </c>
      <c r="U29" s="1738"/>
    </row>
    <row r="30" spans="1:21" ht="18" thickBot="1">
      <c r="A30" s="10" t="s">
        <v>16</v>
      </c>
      <c r="B30" s="19">
        <f>CHAMNORD!B30</f>
        <v>46047</v>
      </c>
      <c r="C30" s="75">
        <f>IF(H30=0,"",'[8]2025-2026'!C29)</f>
        <v>14702.26</v>
      </c>
      <c r="D30" s="68">
        <f>'[8]2025'!C30</f>
        <v>11386.37</v>
      </c>
      <c r="E30" s="68">
        <f>'[8]2025'!D30</f>
        <v>10990</v>
      </c>
      <c r="F30" s="20">
        <f>'[8]2025'!E30</f>
        <v>522</v>
      </c>
      <c r="G30" s="73">
        <f>'[8]2025'!F30</f>
        <v>11100</v>
      </c>
      <c r="H30" s="42">
        <f>'[8]2025'!G30</f>
        <v>9721.49</v>
      </c>
      <c r="I30" s="13">
        <f>'[8]2025'!H30</f>
        <v>9657.73</v>
      </c>
      <c r="J30" s="14">
        <f>'[8]2025'!I30</f>
        <v>441</v>
      </c>
      <c r="K30" s="15">
        <f>'[8]2025'!J30</f>
        <v>114.42</v>
      </c>
      <c r="L30" s="15">
        <f>'[8]2025'!K30</f>
        <v>129.74</v>
      </c>
      <c r="M30" s="15">
        <f>'[8]2025'!L30</f>
        <v>12.02</v>
      </c>
      <c r="N30" s="16">
        <f t="shared" si="3"/>
        <v>1.2445988860736426E-3</v>
      </c>
      <c r="O30" s="17">
        <f t="shared" si="0"/>
        <v>-0.12122565969062789</v>
      </c>
      <c r="P30" s="17">
        <f t="shared" si="0"/>
        <v>-0.15517241379310345</v>
      </c>
      <c r="Q30" s="18">
        <f t="shared" si="1"/>
        <v>84.405960496416711</v>
      </c>
      <c r="R30" s="18">
        <f t="shared" si="2"/>
        <v>74.439108987205174</v>
      </c>
      <c r="S30" s="37">
        <f>(S29-SUM(F24:F30))/SUM(F24:F30)</f>
        <v>-7.4165636588380712E-2</v>
      </c>
      <c r="T30" s="47">
        <f>SUM(M24:M30)/SUM(I24:I30)</f>
        <v>3.0746313633453677E-3</v>
      </c>
      <c r="U30" s="1739"/>
    </row>
    <row r="31" spans="1:21" ht="17" customHeight="1" thickTop="1">
      <c r="A31" s="10" t="s">
        <v>9</v>
      </c>
      <c r="B31" s="19">
        <f>CHAMNORD!B31</f>
        <v>46048</v>
      </c>
      <c r="C31" s="75">
        <f>IF(H31=0,"",'[8]2025-2026'!C30)</f>
        <v>11386.37</v>
      </c>
      <c r="D31" s="68">
        <f>'[8]2025'!C31</f>
        <v>5463.7</v>
      </c>
      <c r="E31" s="68">
        <f>'[8]2025'!D31</f>
        <v>5437.68</v>
      </c>
      <c r="F31" s="20">
        <f>'[8]2025'!E31</f>
        <v>313</v>
      </c>
      <c r="G31" s="73">
        <f>'[8]2025'!F31</f>
        <v>5500</v>
      </c>
      <c r="H31" s="42">
        <f>'[8]2025'!G31</f>
        <v>5584.21</v>
      </c>
      <c r="I31" s="13">
        <f>'[8]2025'!H31</f>
        <v>5556.91</v>
      </c>
      <c r="J31" s="14">
        <f>'[8]2025'!I31</f>
        <v>292</v>
      </c>
      <c r="K31" s="15">
        <f>'[8]2025'!J31</f>
        <v>69.67</v>
      </c>
      <c r="L31" s="15">
        <f>'[8]2025'!K31</f>
        <v>86.03</v>
      </c>
      <c r="M31" s="15">
        <f>'[8]2025'!L31</f>
        <v>23.07</v>
      </c>
      <c r="N31" s="16">
        <f t="shared" si="3"/>
        <v>4.151587842883905E-3</v>
      </c>
      <c r="O31" s="17">
        <f t="shared" si="0"/>
        <v>2.1926630474761215E-2</v>
      </c>
      <c r="P31" s="17">
        <f t="shared" si="0"/>
        <v>-6.7092651757188496E-2</v>
      </c>
      <c r="Q31" s="18">
        <f t="shared" si="1"/>
        <v>79.760442084110807</v>
      </c>
      <c r="R31" s="18">
        <f t="shared" si="2"/>
        <v>64.592700220853189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19">
        <f>CHAMNORD!B32</f>
        <v>46049</v>
      </c>
      <c r="C32" s="75">
        <f>IF(H32=0,"",'[8]2025-2026'!C31)</f>
        <v>5463.7</v>
      </c>
      <c r="D32" s="68">
        <f>'[8]2025'!C32</f>
        <v>6025.45</v>
      </c>
      <c r="E32" s="68">
        <f>'[8]2025'!D32</f>
        <v>5989.03</v>
      </c>
      <c r="F32" s="20">
        <f>'[8]2025'!E32</f>
        <v>339</v>
      </c>
      <c r="G32" s="73">
        <f>'[8]2025'!F32</f>
        <v>6000</v>
      </c>
      <c r="H32" s="42">
        <f>'[8]2025'!G32</f>
        <v>5689.15</v>
      </c>
      <c r="I32" s="13">
        <f>'[8]2025'!H32</f>
        <v>5663.12</v>
      </c>
      <c r="J32" s="14">
        <f>'[8]2025'!I32</f>
        <v>304</v>
      </c>
      <c r="K32" s="15">
        <f>'[8]2025'!J32</f>
        <v>75.819999999999993</v>
      </c>
      <c r="L32" s="15">
        <f>'[8]2025'!K32</f>
        <v>84.33</v>
      </c>
      <c r="M32" s="15">
        <f>'[8]2025'!L32</f>
        <v>32.409999999999997</v>
      </c>
      <c r="N32" s="16">
        <f t="shared" si="3"/>
        <v>5.7229936854596049E-3</v>
      </c>
      <c r="O32" s="17">
        <f t="shared" si="0"/>
        <v>-5.4417827260841885E-2</v>
      </c>
      <c r="P32" s="17">
        <f t="shared" si="0"/>
        <v>-0.10324483775811209</v>
      </c>
      <c r="Q32" s="18">
        <f t="shared" si="1"/>
        <v>74.691638090213672</v>
      </c>
      <c r="R32" s="18">
        <f t="shared" si="2"/>
        <v>67.15427487252461</v>
      </c>
      <c r="S32" s="34">
        <f>SUM(I31:I37)</f>
        <v>64756.679999999993</v>
      </c>
      <c r="T32" s="45" t="s">
        <v>41</v>
      </c>
      <c r="U32" s="1738"/>
    </row>
    <row r="33" spans="1:21">
      <c r="A33" s="10" t="s">
        <v>12</v>
      </c>
      <c r="B33" s="19">
        <f>CHAMNORD!B33</f>
        <v>46050</v>
      </c>
      <c r="C33" s="75">
        <f>IF(H33=0,"",'[8]2025-2026'!C32)</f>
        <v>6025.45</v>
      </c>
      <c r="D33" s="68">
        <f>'[8]2025'!C33</f>
        <v>7717.07</v>
      </c>
      <c r="E33" s="68">
        <f>'[8]2025'!D33</f>
        <v>7643.56</v>
      </c>
      <c r="F33" s="20">
        <f>'[8]2025'!E33</f>
        <v>420</v>
      </c>
      <c r="G33" s="73">
        <f>'[8]2025'!F33</f>
        <v>7700</v>
      </c>
      <c r="H33" s="42">
        <f>'[8]2025'!G33</f>
        <v>7925.24</v>
      </c>
      <c r="I33" s="13">
        <f>'[8]2025'!H33</f>
        <v>7858.8</v>
      </c>
      <c r="J33" s="14">
        <f>'[8]2025'!I33</f>
        <v>394</v>
      </c>
      <c r="K33" s="15">
        <f>'[8]2025'!J33</f>
        <v>79.31</v>
      </c>
      <c r="L33" s="15">
        <f>'[8]2025'!K33</f>
        <v>88.53</v>
      </c>
      <c r="M33" s="15">
        <f>'[8]2025'!L33</f>
        <v>25.46</v>
      </c>
      <c r="N33" s="16">
        <f t="shared" si="3"/>
        <v>3.2396803583244261E-3</v>
      </c>
      <c r="O33" s="17">
        <f t="shared" si="0"/>
        <v>2.8159653355242814E-2</v>
      </c>
      <c r="P33" s="17">
        <f t="shared" si="0"/>
        <v>-6.1904761904761907E-2</v>
      </c>
      <c r="Q33" s="18">
        <f t="shared" si="1"/>
        <v>99.089648215861814</v>
      </c>
      <c r="R33" s="18">
        <f t="shared" si="2"/>
        <v>88.769908505591332</v>
      </c>
      <c r="S33" s="35">
        <f>(S32-SUM(E31:E37))/SUM(E31:E37)</f>
        <v>4.2423505562385585E-3</v>
      </c>
      <c r="T33" s="48">
        <f>SUM(I31:I37)/SUM(K31:K37)</f>
        <v>98.111722194445704</v>
      </c>
      <c r="U33" s="1738"/>
    </row>
    <row r="34" spans="1:21">
      <c r="A34" s="10" t="s">
        <v>13</v>
      </c>
      <c r="B34" s="19">
        <f>CHAMNORD!B34</f>
        <v>46051</v>
      </c>
      <c r="C34" s="75">
        <f>IF(H34=0,"",'[8]2025-2026'!C33)</f>
        <v>7717.07</v>
      </c>
      <c r="D34" s="68">
        <f>'[8]2025'!C34</f>
        <v>6808.7</v>
      </c>
      <c r="E34" s="68">
        <f>'[8]2025'!D34</f>
        <v>6573.58</v>
      </c>
      <c r="F34" s="20">
        <f>'[8]2025'!E34</f>
        <v>376</v>
      </c>
      <c r="G34" s="73">
        <f>'[8]2025'!F34</f>
        <v>6600</v>
      </c>
      <c r="H34" s="42">
        <f>'[8]2025'!G34</f>
        <v>6686.6</v>
      </c>
      <c r="I34" s="13">
        <f>'[8]2025'!H34</f>
        <v>6657.34</v>
      </c>
      <c r="J34" s="14">
        <f>'[8]2025'!I34</f>
        <v>334</v>
      </c>
      <c r="K34" s="15">
        <f>'[8]2025'!J34</f>
        <v>68.709999999999994</v>
      </c>
      <c r="L34" s="15">
        <f>'[8]2025'!K34</f>
        <v>83.41</v>
      </c>
      <c r="M34" s="15">
        <f>'[8]2025'!L34</f>
        <v>22.09</v>
      </c>
      <c r="N34" s="16">
        <f t="shared" si="3"/>
        <v>3.3181420807709984E-3</v>
      </c>
      <c r="O34" s="17">
        <f t="shared" si="0"/>
        <v>1.2741915364230787E-2</v>
      </c>
      <c r="P34" s="17">
        <f t="shared" si="0"/>
        <v>-0.11170212765957446</v>
      </c>
      <c r="Q34" s="18">
        <f t="shared" si="1"/>
        <v>96.890408965216139</v>
      </c>
      <c r="R34" s="18">
        <f t="shared" si="2"/>
        <v>79.814650521520207</v>
      </c>
      <c r="S34" s="34"/>
      <c r="T34" s="29" t="s">
        <v>8</v>
      </c>
      <c r="U34" s="1738"/>
    </row>
    <row r="35" spans="1:21">
      <c r="A35" s="10" t="s">
        <v>14</v>
      </c>
      <c r="B35" s="19">
        <f>CHAMNORD!B35</f>
        <v>46052</v>
      </c>
      <c r="C35" s="75">
        <f>IF(H35=0,"",'[8]2025-2026'!C34)</f>
        <v>6808.7</v>
      </c>
      <c r="D35" s="68">
        <f>'[8]2025'!C35</f>
        <v>11683.98</v>
      </c>
      <c r="E35" s="68">
        <f>'[8]2025'!D35</f>
        <v>11413.74</v>
      </c>
      <c r="F35" s="20">
        <f>'[8]2025'!E35</f>
        <v>589</v>
      </c>
      <c r="G35" s="73">
        <f>'[8]2025'!F35</f>
        <v>11500</v>
      </c>
      <c r="H35" s="42">
        <f>'[8]2025'!G35</f>
        <v>12213.52</v>
      </c>
      <c r="I35" s="13">
        <f>'[8]2025'!H35</f>
        <v>12129.56</v>
      </c>
      <c r="J35" s="14">
        <f>'[8]2025'!I35</f>
        <v>579</v>
      </c>
      <c r="K35" s="15">
        <f>'[8]2025'!J35</f>
        <v>115.82</v>
      </c>
      <c r="L35" s="15">
        <f>'[8]2025'!K35</f>
        <v>132.38</v>
      </c>
      <c r="M35" s="15">
        <f>'[8]2025'!L35</f>
        <v>25.96</v>
      </c>
      <c r="N35" s="16">
        <f t="shared" si="3"/>
        <v>2.1402260263356627E-3</v>
      </c>
      <c r="O35" s="17">
        <f t="shared" si="0"/>
        <v>6.2715639220798772E-2</v>
      </c>
      <c r="P35" s="17">
        <f t="shared" si="0"/>
        <v>-1.6977928692699491E-2</v>
      </c>
      <c r="Q35" s="18">
        <f t="shared" si="1"/>
        <v>104.72768088413055</v>
      </c>
      <c r="R35" s="18">
        <f t="shared" si="2"/>
        <v>91.626831847711131</v>
      </c>
      <c r="S35" s="36" t="s">
        <v>40</v>
      </c>
      <c r="T35" s="48">
        <f>SUM(I31:I37)/SUM(L31:L37)</f>
        <v>86.352602312277469</v>
      </c>
      <c r="U35" s="1738"/>
    </row>
    <row r="36" spans="1:21">
      <c r="A36" s="10" t="s">
        <v>15</v>
      </c>
      <c r="B36" s="19">
        <f>CHAMNORD!B36</f>
        <v>46053</v>
      </c>
      <c r="C36" s="75">
        <f>IF(H36=0,"",'[8]2025-2026'!C35)</f>
        <v>11683.98</v>
      </c>
      <c r="D36" s="68">
        <f>'[8]2025'!C36</f>
        <v>17098.43</v>
      </c>
      <c r="E36" s="68">
        <f>'[8]2025'!D36</f>
        <v>16961.29</v>
      </c>
      <c r="F36" s="20">
        <f>'[8]2025'!E36</f>
        <v>873</v>
      </c>
      <c r="G36" s="73">
        <f>'[8]2025'!F36</f>
        <v>17100</v>
      </c>
      <c r="H36" s="42">
        <f>'[8]2025'!G36</f>
        <v>16216.42</v>
      </c>
      <c r="I36" s="13">
        <f>'[8]2025'!H36</f>
        <v>16097.97</v>
      </c>
      <c r="J36" s="14">
        <f>'[8]2025'!I36</f>
        <v>763</v>
      </c>
      <c r="K36" s="15">
        <f>'[8]2025'!J36</f>
        <v>141.07</v>
      </c>
      <c r="L36" s="15">
        <f>'[8]2025'!K36</f>
        <v>158.15</v>
      </c>
      <c r="M36" s="15">
        <f>'[8]2025'!L36</f>
        <v>21.13</v>
      </c>
      <c r="N36" s="16">
        <f t="shared" si="3"/>
        <v>1.3125878604569397E-3</v>
      </c>
      <c r="O36" s="17">
        <f t="shared" si="0"/>
        <v>-5.089943040888998E-2</v>
      </c>
      <c r="P36" s="17">
        <f t="shared" si="0"/>
        <v>-0.12600229095074456</v>
      </c>
      <c r="Q36" s="18">
        <f t="shared" si="1"/>
        <v>114.11334798327071</v>
      </c>
      <c r="R36" s="18">
        <f t="shared" si="2"/>
        <v>101.78925071134998</v>
      </c>
      <c r="S36" s="36">
        <f>SUM(J31:J37)</f>
        <v>3120</v>
      </c>
      <c r="T36" s="30" t="s">
        <v>3</v>
      </c>
      <c r="U36" s="1738"/>
    </row>
    <row r="37" spans="1:21" ht="18" thickBot="1">
      <c r="A37" s="10" t="s">
        <v>16</v>
      </c>
      <c r="B37" s="19">
        <f>CHAMNORD!B37</f>
        <v>46054</v>
      </c>
      <c r="C37" s="75">
        <f>IF(H37=0,"",'[8]2025-2026'!C36)</f>
        <v>17098.43</v>
      </c>
      <c r="D37" s="68">
        <f>'[8]2025'!C37</f>
        <v>10544.19</v>
      </c>
      <c r="E37" s="68">
        <f>'[8]2025'!D37</f>
        <v>10464.24</v>
      </c>
      <c r="F37" s="20">
        <f>'[8]2025'!E37</f>
        <v>510</v>
      </c>
      <c r="G37" s="73">
        <f>'[8]2025'!F37</f>
        <v>10600</v>
      </c>
      <c r="H37" s="42">
        <f>'[8]2025'!G37</f>
        <v>10878.2</v>
      </c>
      <c r="I37" s="13">
        <f>'[8]2025'!H37</f>
        <v>10792.98</v>
      </c>
      <c r="J37" s="14">
        <f>'[8]2025'!I37</f>
        <v>454</v>
      </c>
      <c r="K37" s="15">
        <f>'[8]2025'!J37</f>
        <v>109.63</v>
      </c>
      <c r="L37" s="15">
        <f>'[8]2025'!K37</f>
        <v>117.08</v>
      </c>
      <c r="M37" s="15">
        <f>'[8]2025'!L37</f>
        <v>25.39</v>
      </c>
      <c r="N37" s="16">
        <f t="shared" si="3"/>
        <v>2.3524550216900246E-3</v>
      </c>
      <c r="O37" s="17">
        <f t="shared" si="0"/>
        <v>3.1415563863214126E-2</v>
      </c>
      <c r="P37" s="17">
        <f t="shared" si="0"/>
        <v>-0.10980392156862745</v>
      </c>
      <c r="Q37" s="18">
        <f t="shared" si="1"/>
        <v>98.449147131259693</v>
      </c>
      <c r="R37" s="18">
        <f t="shared" si="2"/>
        <v>92.184660061496416</v>
      </c>
      <c r="S37" s="37">
        <f>(S36-SUM(F31:F37))/SUM(F31:F37)</f>
        <v>-8.771929824561403E-2</v>
      </c>
      <c r="T37" s="47">
        <f>SUM(M31:M37)/SUM(I31:I37)</f>
        <v>2.7102995397540455E-3</v>
      </c>
      <c r="U37" s="1739"/>
    </row>
    <row r="38" spans="1:21" ht="17" customHeight="1" thickTop="1">
      <c r="A38" s="10" t="s">
        <v>9</v>
      </c>
      <c r="B38" s="19">
        <f>CHAMNORD!B38</f>
        <v>46055</v>
      </c>
      <c r="C38" s="75">
        <f>IF(H38=0,"",'[8]2025-2026'!C37)</f>
        <v>10544.19</v>
      </c>
      <c r="D38" s="68">
        <f>'[8]2025'!C38</f>
        <v>6278.28</v>
      </c>
      <c r="E38" s="68">
        <f>'[8]2025'!D38</f>
        <v>6250.96</v>
      </c>
      <c r="F38" s="20">
        <f>'[8]2025'!E38</f>
        <v>338</v>
      </c>
      <c r="G38" s="73">
        <f>'[8]2025'!F38</f>
        <v>6300</v>
      </c>
      <c r="H38" s="42">
        <f>'[8]2025'!G38</f>
        <v>6599.28</v>
      </c>
      <c r="I38" s="13">
        <f>'[8]2025'!H38</f>
        <v>6557.62</v>
      </c>
      <c r="J38" s="14">
        <f>'[8]2025'!I38</f>
        <v>347</v>
      </c>
      <c r="K38" s="15">
        <f>'[8]2025'!J38</f>
        <v>64.48</v>
      </c>
      <c r="L38" s="15">
        <f>'[8]2025'!K38</f>
        <v>81.09</v>
      </c>
      <c r="M38" s="15">
        <f>'[8]2025'!L38</f>
        <v>37.07</v>
      </c>
      <c r="N38" s="16">
        <f t="shared" si="3"/>
        <v>5.6529655576260905E-3</v>
      </c>
      <c r="O38" s="17">
        <f t="shared" si="0"/>
        <v>4.9058064681264932E-2</v>
      </c>
      <c r="P38" s="17">
        <f t="shared" si="0"/>
        <v>2.6627218934911243E-2</v>
      </c>
      <c r="Q38" s="18">
        <f t="shared" si="1"/>
        <v>101.70006203473945</v>
      </c>
      <c r="R38" s="18">
        <f t="shared" si="2"/>
        <v>80.868417807374513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19">
        <f>CHAMNORD!B39</f>
        <v>46056</v>
      </c>
      <c r="C39" s="75">
        <f>IF(H39=0,"",'[8]2025-2026'!C38)</f>
        <v>6278.28</v>
      </c>
      <c r="D39" s="68">
        <f>'[8]2025'!C39</f>
        <v>7074.4</v>
      </c>
      <c r="E39" s="68">
        <f>'[8]2025'!D39</f>
        <v>7026.23</v>
      </c>
      <c r="F39" s="20">
        <f>'[8]2025'!E39</f>
        <v>390</v>
      </c>
      <c r="G39" s="73">
        <f>'[8]2025'!F39</f>
        <v>7100</v>
      </c>
      <c r="H39" s="42">
        <f>'[8]2025'!G39</f>
        <v>5679.84</v>
      </c>
      <c r="I39" s="13">
        <f>'[8]2025'!H39</f>
        <v>5647.3</v>
      </c>
      <c r="J39" s="14">
        <f>'[8]2025'!I39</f>
        <v>311</v>
      </c>
      <c r="K39" s="15">
        <f>'[8]2025'!J39</f>
        <v>71.59</v>
      </c>
      <c r="L39" s="15">
        <f>'[8]2025'!K39</f>
        <v>88.31</v>
      </c>
      <c r="M39" s="15">
        <f>'[8]2025'!L39</f>
        <v>23.18</v>
      </c>
      <c r="N39" s="16">
        <f t="shared" si="3"/>
        <v>4.1046163653427302E-3</v>
      </c>
      <c r="O39" s="17">
        <f t="shared" si="0"/>
        <v>-0.19625460595511382</v>
      </c>
      <c r="P39" s="17">
        <f t="shared" si="0"/>
        <v>-0.20256410256410257</v>
      </c>
      <c r="Q39" s="18">
        <f t="shared" si="1"/>
        <v>78.883922335521717</v>
      </c>
      <c r="R39" s="18">
        <f t="shared" si="2"/>
        <v>63.948590193636058</v>
      </c>
      <c r="S39" s="34">
        <f>SUM(I38:I44)</f>
        <v>68826.58</v>
      </c>
      <c r="T39" s="45" t="s">
        <v>41</v>
      </c>
      <c r="U39" s="1738"/>
    </row>
    <row r="40" spans="1:21">
      <c r="A40" s="10" t="s">
        <v>12</v>
      </c>
      <c r="B40" s="19">
        <f>CHAMNORD!B40</f>
        <v>46057</v>
      </c>
      <c r="C40" s="75">
        <f>IF(H40=0,"",'[8]2025-2026'!C39)</f>
        <v>7074.4</v>
      </c>
      <c r="D40" s="68">
        <f>'[8]2025'!C40</f>
        <v>8531.3700000000008</v>
      </c>
      <c r="E40" s="68">
        <f>'[8]2025'!D40</f>
        <v>8462.4</v>
      </c>
      <c r="F40" s="20">
        <f>'[8]2025'!E40</f>
        <v>450</v>
      </c>
      <c r="G40" s="73">
        <f>'[8]2025'!F40</f>
        <v>8500</v>
      </c>
      <c r="H40" s="42">
        <f>'[8]2025'!G40</f>
        <v>8400.25</v>
      </c>
      <c r="I40" s="13">
        <f>'[8]2025'!H40</f>
        <v>8337.15</v>
      </c>
      <c r="J40" s="14">
        <f>'[8]2025'!I40</f>
        <v>439</v>
      </c>
      <c r="K40" s="15">
        <f>'[8]2025'!J40</f>
        <v>81.52</v>
      </c>
      <c r="L40" s="15">
        <f>'[8]2025'!K40</f>
        <v>97.39</v>
      </c>
      <c r="M40" s="15">
        <f>'[8]2025'!L40</f>
        <v>26.71</v>
      </c>
      <c r="N40" s="16">
        <f t="shared" si="3"/>
        <v>3.2037326904277843E-3</v>
      </c>
      <c r="O40" s="17">
        <f t="shared" si="0"/>
        <v>-1.4800765740215542E-2</v>
      </c>
      <c r="P40" s="17">
        <f t="shared" si="0"/>
        <v>-2.4444444444444446E-2</v>
      </c>
      <c r="Q40" s="18">
        <f t="shared" si="1"/>
        <v>102.27122178606477</v>
      </c>
      <c r="R40" s="18">
        <f t="shared" si="2"/>
        <v>85.605811684977922</v>
      </c>
      <c r="S40" s="35">
        <f>(S39-SUM(E38:E44))/SUM(E38:E44)</f>
        <v>1.5841899221350837E-2</v>
      </c>
      <c r="T40" s="48">
        <f>SUM(I38:I44)/SUM(K38:K44)</f>
        <v>105.24102815027753</v>
      </c>
      <c r="U40" s="1738"/>
    </row>
    <row r="41" spans="1:21">
      <c r="A41" s="10" t="s">
        <v>13</v>
      </c>
      <c r="B41" s="19">
        <f>CHAMNORD!B41</f>
        <v>46058</v>
      </c>
      <c r="C41" s="75">
        <f>IF(H41=0,"",'[8]2025-2026'!C40)</f>
        <v>8531.3700000000008</v>
      </c>
      <c r="D41" s="68">
        <f>'[8]2025'!C41</f>
        <v>6934.39</v>
      </c>
      <c r="E41" s="68">
        <f>'[8]2025'!D41</f>
        <v>6892.12</v>
      </c>
      <c r="F41" s="20">
        <f>'[8]2025'!E41</f>
        <v>408</v>
      </c>
      <c r="G41" s="73">
        <f>'[8]2025'!F41</f>
        <v>7000</v>
      </c>
      <c r="H41" s="42">
        <f>'[8]2025'!G41</f>
        <v>7558.08</v>
      </c>
      <c r="I41" s="13">
        <f>'[8]2025'!H41</f>
        <v>7521.65</v>
      </c>
      <c r="J41" s="14">
        <f>'[8]2025'!I41</f>
        <v>368</v>
      </c>
      <c r="K41" s="15">
        <f>'[8]2025'!J41</f>
        <v>80.08</v>
      </c>
      <c r="L41" s="15">
        <f>'[8]2025'!K41</f>
        <v>88.1</v>
      </c>
      <c r="M41" s="15">
        <f>'[8]2025'!L41</f>
        <v>16.12</v>
      </c>
      <c r="N41" s="16">
        <f t="shared" si="3"/>
        <v>2.1431467829532086E-3</v>
      </c>
      <c r="O41" s="17">
        <f t="shared" si="0"/>
        <v>9.134054543449617E-2</v>
      </c>
      <c r="P41" s="17">
        <f t="shared" si="0"/>
        <v>-9.8039215686274508E-2</v>
      </c>
      <c r="Q41" s="18">
        <f t="shared" si="1"/>
        <v>93.926698301698295</v>
      </c>
      <c r="R41" s="18">
        <f t="shared" si="2"/>
        <v>85.376276958002265</v>
      </c>
      <c r="S41" s="34"/>
      <c r="T41" s="29" t="s">
        <v>8</v>
      </c>
      <c r="U41" s="1738"/>
    </row>
    <row r="42" spans="1:21">
      <c r="A42" s="10" t="s">
        <v>14</v>
      </c>
      <c r="B42" s="19">
        <f>CHAMNORD!B42</f>
        <v>46059</v>
      </c>
      <c r="C42" s="75">
        <f>IF(H42=0,"",'[8]2025-2026'!C41)</f>
        <v>6934.39</v>
      </c>
      <c r="D42" s="68">
        <f>'[8]2025'!C42</f>
        <v>11215.39</v>
      </c>
      <c r="E42" s="68">
        <f>'[8]2025'!D42</f>
        <v>11146.42</v>
      </c>
      <c r="F42" s="20">
        <f>'[8]2025'!E42</f>
        <v>577</v>
      </c>
      <c r="G42" s="73">
        <f>'[8]2025'!F42</f>
        <v>11300</v>
      </c>
      <c r="H42" s="42">
        <f>'[8]2025'!G42</f>
        <v>12225.59</v>
      </c>
      <c r="I42" s="13">
        <f>'[8]2025'!H42</f>
        <v>12140.32</v>
      </c>
      <c r="J42" s="14">
        <f>'[8]2025'!I42</f>
        <v>586</v>
      </c>
      <c r="K42" s="15">
        <f>'[8]2025'!J42</f>
        <v>109.43</v>
      </c>
      <c r="L42" s="15">
        <f>'[8]2025'!K42</f>
        <v>126.18</v>
      </c>
      <c r="M42" s="15">
        <f>'[8]2025'!L42</f>
        <v>25.3</v>
      </c>
      <c r="N42" s="16">
        <f t="shared" si="3"/>
        <v>2.0839648378296453E-3</v>
      </c>
      <c r="O42" s="17">
        <f t="shared" si="0"/>
        <v>8.9167643063871593E-2</v>
      </c>
      <c r="P42" s="17">
        <f t="shared" si="0"/>
        <v>1.5597920277296361E-2</v>
      </c>
      <c r="Q42" s="18">
        <f t="shared" si="1"/>
        <v>110.94142374120442</v>
      </c>
      <c r="R42" s="18">
        <f t="shared" si="2"/>
        <v>96.214297035980337</v>
      </c>
      <c r="S42" s="36" t="s">
        <v>40</v>
      </c>
      <c r="T42" s="48">
        <f>SUM(I38:I44)/SUM(L38:L44)</f>
        <v>90.429215225131728</v>
      </c>
      <c r="U42" s="1738"/>
    </row>
    <row r="43" spans="1:21">
      <c r="A43" s="10" t="s">
        <v>15</v>
      </c>
      <c r="B43" s="19">
        <f>CHAMNORD!B43</f>
        <v>46060</v>
      </c>
      <c r="C43" s="75">
        <f>IF(H43=0,"",'[8]2025-2026'!C42)</f>
        <v>11215.39</v>
      </c>
      <c r="D43" s="68">
        <f>'[8]2025'!C43</f>
        <v>16556.04</v>
      </c>
      <c r="E43" s="68">
        <f>'[8]2025'!D43</f>
        <v>16447.48</v>
      </c>
      <c r="F43" s="20">
        <f>'[8]2025'!E43</f>
        <v>737</v>
      </c>
      <c r="G43" s="73">
        <f>'[8]2025'!F43</f>
        <v>16600</v>
      </c>
      <c r="H43" s="42">
        <f>'[8]2025'!G43</f>
        <v>14911.68</v>
      </c>
      <c r="I43" s="13">
        <f>'[8]2025'!H43</f>
        <v>14765.24</v>
      </c>
      <c r="J43" s="14">
        <f>'[8]2025'!I43</f>
        <v>674</v>
      </c>
      <c r="K43" s="15">
        <f>'[8]2025'!J43</f>
        <v>140.33000000000001</v>
      </c>
      <c r="L43" s="15">
        <f>'[8]2025'!K43</f>
        <v>157.5</v>
      </c>
      <c r="M43" s="15">
        <f>'[8]2025'!L43</f>
        <v>39.83</v>
      </c>
      <c r="N43" s="16">
        <f t="shared" si="3"/>
        <v>2.6975518176473932E-3</v>
      </c>
      <c r="O43" s="17">
        <f t="shared" si="0"/>
        <v>-0.10227949813588463</v>
      </c>
      <c r="P43" s="17">
        <f t="shared" si="0"/>
        <v>-8.5481682496607869E-2</v>
      </c>
      <c r="Q43" s="18">
        <f t="shared" si="1"/>
        <v>105.21798617544358</v>
      </c>
      <c r="R43" s="18">
        <f t="shared" si="2"/>
        <v>93.74755555555555</v>
      </c>
      <c r="S43" s="36">
        <f>SUM(J38:J44)</f>
        <v>3389</v>
      </c>
      <c r="T43" s="30" t="s">
        <v>3</v>
      </c>
      <c r="U43" s="1738"/>
    </row>
    <row r="44" spans="1:21" ht="18" thickBot="1">
      <c r="A44" s="10" t="s">
        <v>16</v>
      </c>
      <c r="B44" s="19">
        <f>CHAMNORD!B44</f>
        <v>46061</v>
      </c>
      <c r="C44" s="75">
        <f>IF(H44=0,"",'[8]2025-2026'!C43)</f>
        <v>16556.04</v>
      </c>
      <c r="D44" s="68">
        <f>'[8]2025'!C44</f>
        <v>11527.63</v>
      </c>
      <c r="E44" s="68">
        <f>'[8]2025'!D44</f>
        <v>11527.63</v>
      </c>
      <c r="F44" s="20">
        <f>'[8]2025'!E44</f>
        <v>553</v>
      </c>
      <c r="G44" s="73">
        <f>'[8]2025'!F44</f>
        <v>11600</v>
      </c>
      <c r="H44" s="42">
        <f>'[8]2025'!G44</f>
        <v>13950.32</v>
      </c>
      <c r="I44" s="13">
        <f>'[8]2025'!H44</f>
        <v>13857.3</v>
      </c>
      <c r="J44" s="14">
        <f>'[8]2025'!I44</f>
        <v>664</v>
      </c>
      <c r="K44" s="15">
        <f>'[8]2025'!J44</f>
        <v>106.56</v>
      </c>
      <c r="L44" s="15">
        <f>'[8]2025'!K44</f>
        <v>122.54</v>
      </c>
      <c r="M44" s="15">
        <f>'[8]2025'!L44</f>
        <v>15.16</v>
      </c>
      <c r="N44" s="16">
        <f t="shared" si="3"/>
        <v>1.0940082122780051E-3</v>
      </c>
      <c r="O44" s="17">
        <f t="shared" si="0"/>
        <v>0.20209444612639374</v>
      </c>
      <c r="P44" s="17">
        <f t="shared" si="0"/>
        <v>0.2007233273056058</v>
      </c>
      <c r="Q44" s="18">
        <f t="shared" si="1"/>
        <v>130.04222972972971</v>
      </c>
      <c r="R44" s="18">
        <f t="shared" si="2"/>
        <v>113.08389097437571</v>
      </c>
      <c r="S44" s="37">
        <f>(S43-SUM(F38:F44))/SUM(F38:F44)</f>
        <v>-1.853460758760498E-2</v>
      </c>
      <c r="T44" s="47">
        <f>SUM(M38:M44)/SUM(I38:I44)</f>
        <v>2.6642323358214231E-3</v>
      </c>
      <c r="U44" s="1739"/>
    </row>
    <row r="45" spans="1:21" ht="17" customHeight="1" thickTop="1">
      <c r="A45" s="10" t="s">
        <v>9</v>
      </c>
      <c r="B45" s="19">
        <f>CHAMNORD!B45</f>
        <v>46062</v>
      </c>
      <c r="C45" s="75">
        <f>IF(H45=0,"",'[8]2025-2026'!C44)</f>
        <v>11527.63</v>
      </c>
      <c r="D45" s="68">
        <f>'[8]2025'!C45</f>
        <v>5843.91</v>
      </c>
      <c r="E45" s="68">
        <f>'[8]2025'!D45</f>
        <v>5815.27</v>
      </c>
      <c r="F45" s="20">
        <f>'[8]2025'!E45</f>
        <v>328</v>
      </c>
      <c r="G45" s="73">
        <f>'[8]2025'!F45</f>
        <v>5900</v>
      </c>
      <c r="H45" s="42">
        <f>'[8]2025'!G45</f>
        <v>6620.01</v>
      </c>
      <c r="I45" s="13">
        <f>'[8]2025'!H45</f>
        <v>6557.55</v>
      </c>
      <c r="J45" s="14">
        <f>'[8]2025'!I45</f>
        <v>352</v>
      </c>
      <c r="K45" s="15">
        <f>'[8]2025'!J45</f>
        <v>69.86</v>
      </c>
      <c r="L45" s="15">
        <f>'[8]2025'!K45</f>
        <v>86.48</v>
      </c>
      <c r="M45" s="15">
        <f>'[8]2025'!L45</f>
        <v>15.7</v>
      </c>
      <c r="N45" s="16">
        <f t="shared" si="3"/>
        <v>2.3941868533217435E-3</v>
      </c>
      <c r="O45" s="17">
        <f t="shared" si="0"/>
        <v>0.12764325646100691</v>
      </c>
      <c r="P45" s="17">
        <f t="shared" si="0"/>
        <v>7.3170731707317069E-2</v>
      </c>
      <c r="Q45" s="18">
        <f t="shared" si="1"/>
        <v>93.867019753793301</v>
      </c>
      <c r="R45" s="18">
        <f t="shared" si="2"/>
        <v>75.827358926919516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19">
        <f>CHAMNORD!B46</f>
        <v>46063</v>
      </c>
      <c r="C46" s="75">
        <f>IF(H46=0,"",'[8]2025-2026'!C45)</f>
        <v>5843.91</v>
      </c>
      <c r="D46" s="68">
        <f>'[8]2025'!C46</f>
        <v>6436.8</v>
      </c>
      <c r="E46" s="68">
        <f>'[8]2025'!D46</f>
        <v>6386.73</v>
      </c>
      <c r="F46" s="20">
        <f>'[8]2025'!E46</f>
        <v>356</v>
      </c>
      <c r="G46" s="73">
        <f>'[8]2025'!F46</f>
        <v>6400</v>
      </c>
      <c r="H46" s="42">
        <f>'[8]2025'!G46</f>
        <v>7159.11</v>
      </c>
      <c r="I46" s="13">
        <f>'[8]2025'!H46</f>
        <v>7106.43</v>
      </c>
      <c r="J46" s="14">
        <f>'[8]2025'!I46</f>
        <v>378</v>
      </c>
      <c r="K46" s="15">
        <f>'[8]2025'!J46</f>
        <v>83.18</v>
      </c>
      <c r="L46" s="15">
        <f>'[8]2025'!K46</f>
        <v>91.59</v>
      </c>
      <c r="M46" s="15">
        <f>'[8]2025'!L46</f>
        <v>30.23</v>
      </c>
      <c r="N46" s="16">
        <f t="shared" si="3"/>
        <v>4.2538940086653916E-3</v>
      </c>
      <c r="O46" s="17">
        <f t="shared" si="0"/>
        <v>0.11268677398293035</v>
      </c>
      <c r="P46" s="17">
        <f t="shared" si="0"/>
        <v>6.1797752808988762E-2</v>
      </c>
      <c r="Q46" s="18">
        <f t="shared" si="1"/>
        <v>85.43435922096657</v>
      </c>
      <c r="R46" s="18">
        <f t="shared" si="2"/>
        <v>77.589584015722238</v>
      </c>
      <c r="S46" s="34">
        <f>SUM(I45:I51)</f>
        <v>70090.709999999992</v>
      </c>
      <c r="T46" s="45" t="s">
        <v>41</v>
      </c>
      <c r="U46" s="1738"/>
    </row>
    <row r="47" spans="1:21">
      <c r="A47" s="10" t="s">
        <v>12</v>
      </c>
      <c r="B47" s="19">
        <f>CHAMNORD!B47</f>
        <v>46064</v>
      </c>
      <c r="C47" s="75">
        <f>IF(H47=0,"",'[8]2025-2026'!C46)</f>
        <v>6436.8</v>
      </c>
      <c r="D47" s="68">
        <f>'[8]2025'!C47</f>
        <v>8841.94</v>
      </c>
      <c r="E47" s="68">
        <f>'[8]2025'!D47</f>
        <v>8778.17</v>
      </c>
      <c r="F47" s="20">
        <f>'[8]2025'!E47</f>
        <v>480</v>
      </c>
      <c r="G47" s="73">
        <f>'[8]2025'!F47</f>
        <v>8900</v>
      </c>
      <c r="H47" s="42">
        <f>'[8]2025'!G47</f>
        <v>7217.89</v>
      </c>
      <c r="I47" s="13">
        <f>'[8]2025'!H47</f>
        <v>7169.78</v>
      </c>
      <c r="J47" s="14">
        <f>'[8]2025'!I47</f>
        <v>342</v>
      </c>
      <c r="K47" s="15">
        <f>'[8]2025'!J47</f>
        <v>87.19</v>
      </c>
      <c r="L47" s="15">
        <f>'[8]2025'!K47</f>
        <v>96.32</v>
      </c>
      <c r="M47" s="15">
        <f>'[8]2025'!L47</f>
        <v>28.13</v>
      </c>
      <c r="N47" s="16">
        <f t="shared" si="3"/>
        <v>3.9234118759571427E-3</v>
      </c>
      <c r="O47" s="17">
        <f t="shared" si="0"/>
        <v>-0.18322611660516944</v>
      </c>
      <c r="P47" s="17">
        <f t="shared" si="0"/>
        <v>-0.28749999999999998</v>
      </c>
      <c r="Q47" s="18">
        <f t="shared" si="1"/>
        <v>82.231677944718427</v>
      </c>
      <c r="R47" s="18">
        <f t="shared" si="2"/>
        <v>74.437084717607974</v>
      </c>
      <c r="S47" s="35">
        <f>(S46-SUM(E45:E51))/SUM(E45:E51)</f>
        <v>1.1662799418267292E-2</v>
      </c>
      <c r="T47" s="48">
        <f>SUM(I45:I51)/SUM(K45:K51)</f>
        <v>99.051341115287855</v>
      </c>
      <c r="U47" s="1738"/>
    </row>
    <row r="48" spans="1:21">
      <c r="A48" s="10" t="s">
        <v>13</v>
      </c>
      <c r="B48" s="19">
        <f>CHAMNORD!B48</f>
        <v>46065</v>
      </c>
      <c r="C48" s="75">
        <f>IF(H48=0,"",'[8]2025-2026'!C47)</f>
        <v>8841.94</v>
      </c>
      <c r="D48" s="68">
        <f>'[8]2025'!C48</f>
        <v>7328.86</v>
      </c>
      <c r="E48" s="68">
        <f>'[8]2025'!D48</f>
        <v>7296.34</v>
      </c>
      <c r="F48" s="20">
        <f>'[8]2025'!E48</f>
        <v>405</v>
      </c>
      <c r="G48" s="73">
        <f>'[8]2025'!F48</f>
        <v>7400</v>
      </c>
      <c r="H48" s="42">
        <f>'[8]2025'!G48</f>
        <v>7955.92</v>
      </c>
      <c r="I48" s="13">
        <f>'[8]2025'!H48</f>
        <v>7892.14</v>
      </c>
      <c r="J48" s="14">
        <f>'[8]2025'!I48</f>
        <v>403</v>
      </c>
      <c r="K48" s="15">
        <f>'[8]2025'!J48</f>
        <v>86.07</v>
      </c>
      <c r="L48" s="15">
        <f>'[8]2025'!K48</f>
        <v>101.11</v>
      </c>
      <c r="M48" s="15">
        <f>'[8]2025'!L48</f>
        <v>56.65</v>
      </c>
      <c r="N48" s="16">
        <f t="shared" si="3"/>
        <v>7.1780277592642799E-3</v>
      </c>
      <c r="O48" s="17">
        <f t="shared" si="0"/>
        <v>8.1657378905040087E-2</v>
      </c>
      <c r="P48" s="17">
        <f t="shared" si="0"/>
        <v>-4.9382716049382715E-3</v>
      </c>
      <c r="Q48" s="18">
        <f t="shared" si="1"/>
        <v>91.694434762402707</v>
      </c>
      <c r="R48" s="18">
        <f t="shared" si="2"/>
        <v>78.0549896152705</v>
      </c>
      <c r="S48" s="34"/>
      <c r="T48" s="29" t="s">
        <v>8</v>
      </c>
      <c r="U48" s="1738"/>
    </row>
    <row r="49" spans="1:21">
      <c r="A49" s="10" t="s">
        <v>14</v>
      </c>
      <c r="B49" s="19">
        <f>CHAMNORD!B49</f>
        <v>46066</v>
      </c>
      <c r="C49" s="75">
        <f>IF(H49=0,"",'[8]2025-2026'!C48)</f>
        <v>7328.86</v>
      </c>
      <c r="D49" s="68">
        <f>'[8]2025'!C49</f>
        <v>11499.25</v>
      </c>
      <c r="E49" s="68">
        <f>'[8]2025'!D49</f>
        <v>11411.43</v>
      </c>
      <c r="F49" s="20">
        <f>'[8]2025'!E49</f>
        <v>541</v>
      </c>
      <c r="G49" s="73">
        <f>'[8]2025'!F49</f>
        <v>11500</v>
      </c>
      <c r="H49" s="42">
        <f>'[8]2025'!G49</f>
        <v>14114.37</v>
      </c>
      <c r="I49" s="13">
        <f>'[8]2025'!H49</f>
        <v>13979.58</v>
      </c>
      <c r="J49" s="14">
        <f>'[8]2025'!I49</f>
        <v>607</v>
      </c>
      <c r="K49" s="15">
        <f>'[8]2025'!J49</f>
        <v>115.66</v>
      </c>
      <c r="L49" s="15">
        <f>'[8]2025'!K49</f>
        <v>132.16</v>
      </c>
      <c r="M49" s="15">
        <f>'[8]2025'!L49</f>
        <v>32.4</v>
      </c>
      <c r="N49" s="16">
        <f t="shared" si="3"/>
        <v>2.3176661959801365E-3</v>
      </c>
      <c r="O49" s="17">
        <f t="shared" si="0"/>
        <v>0.22505067287798283</v>
      </c>
      <c r="P49" s="17">
        <f t="shared" si="0"/>
        <v>0.12199630314232902</v>
      </c>
      <c r="Q49" s="18">
        <f t="shared" si="1"/>
        <v>120.86788863911465</v>
      </c>
      <c r="R49" s="18">
        <f t="shared" si="2"/>
        <v>105.77769370460048</v>
      </c>
      <c r="S49" s="36" t="s">
        <v>40</v>
      </c>
      <c r="T49" s="48">
        <f>SUM(I45:I51)/SUM(L45:L51)</f>
        <v>88.634904777561388</v>
      </c>
      <c r="U49" s="1738"/>
    </row>
    <row r="50" spans="1:21">
      <c r="A50" s="10" t="s">
        <v>15</v>
      </c>
      <c r="B50" s="19">
        <f>CHAMNORD!B50</f>
        <v>46067</v>
      </c>
      <c r="C50" s="75">
        <f>IF(H50=0,"",'[8]2025-2026'!C49)</f>
        <v>11499.25</v>
      </c>
      <c r="D50" s="68">
        <f>'[8]2025'!C50</f>
        <v>17397.169999999998</v>
      </c>
      <c r="E50" s="68">
        <f>'[8]2025'!D50</f>
        <v>17198.12</v>
      </c>
      <c r="F50" s="20">
        <f>'[8]2025'!E50</f>
        <v>723</v>
      </c>
      <c r="G50" s="73">
        <f>'[8]2025'!F50</f>
        <v>17300</v>
      </c>
      <c r="H50" s="42">
        <f>'[8]2025'!G50</f>
        <v>16510.349999999999</v>
      </c>
      <c r="I50" s="13">
        <f>'[8]2025'!H50</f>
        <v>16315.11</v>
      </c>
      <c r="J50" s="14">
        <f>'[8]2025'!I50</f>
        <v>706</v>
      </c>
      <c r="K50" s="15">
        <f>'[8]2025'!J50</f>
        <v>150.63999999999999</v>
      </c>
      <c r="L50" s="15">
        <f>'[8]2025'!K50</f>
        <v>168.1</v>
      </c>
      <c r="M50" s="15">
        <f>'[8]2025'!L50</f>
        <v>32.4</v>
      </c>
      <c r="N50" s="16">
        <f t="shared" si="3"/>
        <v>1.9858891542870382E-3</v>
      </c>
      <c r="O50" s="17">
        <f t="shared" si="0"/>
        <v>-5.1343402650987344E-2</v>
      </c>
      <c r="P50" s="17">
        <f t="shared" si="0"/>
        <v>-2.351313969571231E-2</v>
      </c>
      <c r="Q50" s="18">
        <f t="shared" si="1"/>
        <v>108.30529739776954</v>
      </c>
      <c r="R50" s="18">
        <f t="shared" si="2"/>
        <v>97.055978584176088</v>
      </c>
      <c r="S50" s="36">
        <f>SUM(J45:J51)</f>
        <v>3329</v>
      </c>
      <c r="T50" s="30" t="s">
        <v>3</v>
      </c>
      <c r="U50" s="1738"/>
    </row>
    <row r="51" spans="1:21" ht="18" thickBot="1">
      <c r="A51" s="10" t="s">
        <v>16</v>
      </c>
      <c r="B51" s="19">
        <f>CHAMNORD!B51</f>
        <v>46068</v>
      </c>
      <c r="C51" s="75">
        <f>IF(H51=0,"",'[8]2025-2026'!C50)</f>
        <v>17397.169999999998</v>
      </c>
      <c r="D51" s="68">
        <f>'[8]2025'!C51</f>
        <v>12504.61</v>
      </c>
      <c r="E51" s="68">
        <f>'[8]2025'!D51</f>
        <v>12396.62</v>
      </c>
      <c r="F51" s="20">
        <f>'[8]2025'!E51</f>
        <v>591</v>
      </c>
      <c r="G51" s="73">
        <f>'[8]2025'!F51</f>
        <v>12500</v>
      </c>
      <c r="H51" s="42">
        <f>'[8]2025'!G51</f>
        <v>11152.78</v>
      </c>
      <c r="I51" s="13">
        <f>'[8]2025'!H51</f>
        <v>11070.12</v>
      </c>
      <c r="J51" s="14">
        <f>'[8]2025'!I51</f>
        <v>541</v>
      </c>
      <c r="K51" s="15">
        <f>'[8]2025'!J51</f>
        <v>115.02</v>
      </c>
      <c r="L51" s="15">
        <f>'[8]2025'!K51</f>
        <v>115.02</v>
      </c>
      <c r="M51" s="15">
        <f>'[8]2025'!L51</f>
        <v>23.44</v>
      </c>
      <c r="N51" s="16">
        <f t="shared" si="3"/>
        <v>2.1174115547076275E-3</v>
      </c>
      <c r="O51" s="17">
        <f t="shared" si="0"/>
        <v>-0.10700497393644395</v>
      </c>
      <c r="P51" s="17">
        <f t="shared" si="0"/>
        <v>-8.4602368866328256E-2</v>
      </c>
      <c r="Q51" s="18">
        <f t="shared" si="1"/>
        <v>96.245174752217011</v>
      </c>
      <c r="R51" s="18">
        <f t="shared" si="2"/>
        <v>96.245174752217011</v>
      </c>
      <c r="S51" s="37">
        <f>(S50-SUM(F45:F51))/SUM(F45:F51)</f>
        <v>-2.7745327102803738E-2</v>
      </c>
      <c r="T51" s="47">
        <f>SUM(M45:M51)/SUM(I45:I51)</f>
        <v>3.1238091324798968E-3</v>
      </c>
      <c r="U51" s="1739"/>
    </row>
    <row r="52" spans="1:21" ht="17" customHeight="1" thickTop="1">
      <c r="A52" s="10" t="s">
        <v>9</v>
      </c>
      <c r="B52" s="19">
        <f>CHAMNORD!B52</f>
        <v>46069</v>
      </c>
      <c r="C52" s="75">
        <f>IF(H52=0,"",'[8]2025-2026'!C51)</f>
        <v>12504.61</v>
      </c>
      <c r="D52" s="68">
        <f>'[8]2025'!C52</f>
        <v>5489.1</v>
      </c>
      <c r="E52" s="68">
        <f>'[8]2025'!D52</f>
        <v>5451.38</v>
      </c>
      <c r="F52" s="20">
        <f>'[8]2025'!E52</f>
        <v>303</v>
      </c>
      <c r="G52" s="73">
        <f>'[8]2025'!F52</f>
        <v>5500</v>
      </c>
      <c r="H52" s="42">
        <f>'[8]2025'!G52</f>
        <v>6917.77</v>
      </c>
      <c r="I52" s="13">
        <f>'[8]2025'!H52</f>
        <v>6872.89</v>
      </c>
      <c r="J52" s="14">
        <f>'[8]2025'!I52</f>
        <v>335</v>
      </c>
      <c r="K52" s="15">
        <f>'[8]2025'!J52</f>
        <v>86.77</v>
      </c>
      <c r="L52" s="15">
        <f>'[8]2025'!K52</f>
        <v>95.07</v>
      </c>
      <c r="M52" s="15">
        <f>'[8]2025'!L52</f>
        <v>48.89</v>
      </c>
      <c r="N52" s="16">
        <f t="shared" si="3"/>
        <v>7.1134559115597655E-3</v>
      </c>
      <c r="O52" s="17">
        <f t="shared" si="0"/>
        <v>0.26076149525441267</v>
      </c>
      <c r="P52" s="17">
        <f t="shared" si="0"/>
        <v>0.10561056105610561</v>
      </c>
      <c r="Q52" s="18">
        <f t="shared" si="1"/>
        <v>79.208136452691036</v>
      </c>
      <c r="R52" s="18">
        <f t="shared" si="2"/>
        <v>72.292942042705377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19">
        <f>CHAMNORD!B53</f>
        <v>46070</v>
      </c>
      <c r="C53" s="75">
        <f>IF(H53=0,"",'[8]2025-2026'!C52)</f>
        <v>5489.1</v>
      </c>
      <c r="D53" s="68">
        <f>'[8]2025'!C53</f>
        <v>6607.48</v>
      </c>
      <c r="E53" s="68">
        <f>'[8]2025'!D53</f>
        <v>6568.45</v>
      </c>
      <c r="F53" s="20">
        <f>'[8]2025'!E53</f>
        <v>363</v>
      </c>
      <c r="G53" s="73">
        <f>'[8]2025'!F53</f>
        <v>6600</v>
      </c>
      <c r="H53" s="42">
        <f>'[8]2025'!G53</f>
        <v>7551.49</v>
      </c>
      <c r="I53" s="13">
        <f>'[8]2025'!H53</f>
        <v>7484.5</v>
      </c>
      <c r="J53" s="14">
        <f>'[8]2025'!I53</f>
        <v>376</v>
      </c>
      <c r="K53" s="15">
        <f>'[8]2025'!J53</f>
        <v>88.59</v>
      </c>
      <c r="L53" s="15">
        <f>'[8]2025'!K53</f>
        <v>105.14</v>
      </c>
      <c r="M53" s="15">
        <f>'[8]2025'!L53</f>
        <v>16.84</v>
      </c>
      <c r="N53" s="16">
        <f t="shared" si="3"/>
        <v>2.2499832988175563E-3</v>
      </c>
      <c r="O53" s="17">
        <f t="shared" si="0"/>
        <v>0.13946212576787526</v>
      </c>
      <c r="P53" s="17">
        <f t="shared" si="0"/>
        <v>3.5812672176308541E-2</v>
      </c>
      <c r="Q53" s="18">
        <f t="shared" si="1"/>
        <v>84.484704819957102</v>
      </c>
      <c r="R53" s="18">
        <f t="shared" si="2"/>
        <v>71.186037664066959</v>
      </c>
      <c r="S53" s="34">
        <f>SUM(I52:I58)</f>
        <v>69923.72</v>
      </c>
      <c r="T53" s="45" t="s">
        <v>41</v>
      </c>
      <c r="U53" s="1738"/>
    </row>
    <row r="54" spans="1:21">
      <c r="A54" s="10" t="s">
        <v>12</v>
      </c>
      <c r="B54" s="19">
        <f>CHAMNORD!B54</f>
        <v>46071</v>
      </c>
      <c r="C54" s="75">
        <f>IF(H54=0,"",'[8]2025-2026'!C53)</f>
        <v>6607.48</v>
      </c>
      <c r="D54" s="68">
        <f>'[8]2025'!C54</f>
        <v>7472.61</v>
      </c>
      <c r="E54" s="68">
        <f>'[8]2025'!D54</f>
        <v>7418.6</v>
      </c>
      <c r="F54" s="20">
        <f>'[8]2025'!E54</f>
        <v>420</v>
      </c>
      <c r="G54" s="73">
        <f>'[8]2025'!F54</f>
        <v>7500</v>
      </c>
      <c r="H54" s="42">
        <f>'[8]2025'!G54</f>
        <v>6983.62</v>
      </c>
      <c r="I54" s="13">
        <f>'[8]2025'!H54</f>
        <v>6926.39</v>
      </c>
      <c r="J54" s="14">
        <f>'[8]2025'!I54</f>
        <v>368</v>
      </c>
      <c r="K54" s="15">
        <f>'[8]2025'!J54</f>
        <v>79.900000000000006</v>
      </c>
      <c r="L54" s="15">
        <f>'[8]2025'!K54</f>
        <v>95.44</v>
      </c>
      <c r="M54" s="15">
        <f>'[8]2025'!L54</f>
        <v>26.9</v>
      </c>
      <c r="N54" s="16">
        <f t="shared" si="3"/>
        <v>3.8836969907845207E-3</v>
      </c>
      <c r="O54" s="17">
        <f t="shared" si="0"/>
        <v>-6.6348098023885915E-2</v>
      </c>
      <c r="P54" s="17">
        <f t="shared" si="0"/>
        <v>-0.12380952380952381</v>
      </c>
      <c r="Q54" s="18">
        <f t="shared" si="1"/>
        <v>86.688235294117646</v>
      </c>
      <c r="R54" s="18">
        <f t="shared" si="2"/>
        <v>72.573239731768652</v>
      </c>
      <c r="S54" s="35">
        <f>(S53-SUM(E52:E58))/SUM(E52:E58)</f>
        <v>2.8686649469839728E-2</v>
      </c>
      <c r="T54" s="48">
        <f>SUM(I52:I58)/SUM(K52:K58)</f>
        <v>102.66744974819034</v>
      </c>
      <c r="U54" s="1738"/>
    </row>
    <row r="55" spans="1:21">
      <c r="A55" s="10" t="s">
        <v>13</v>
      </c>
      <c r="B55" s="19">
        <f>CHAMNORD!B55</f>
        <v>46072</v>
      </c>
      <c r="C55" s="75">
        <f>IF(H55=0,"",'[8]2025-2026'!C54)</f>
        <v>7472.61</v>
      </c>
      <c r="D55" s="68">
        <f>'[8]2025'!C55</f>
        <v>7091.17</v>
      </c>
      <c r="E55" s="68">
        <f>'[8]2025'!D55</f>
        <v>7059.31</v>
      </c>
      <c r="F55" s="20">
        <f>'[8]2025'!E55</f>
        <v>374</v>
      </c>
      <c r="G55" s="73">
        <f>'[8]2025'!F55</f>
        <v>7100</v>
      </c>
      <c r="H55" s="42">
        <f>'[8]2025'!G55</f>
        <v>7028.36</v>
      </c>
      <c r="I55" s="13">
        <f>'[8]2025'!H55</f>
        <v>6972.34</v>
      </c>
      <c r="J55" s="14">
        <f>'[8]2025'!I55</f>
        <v>369</v>
      </c>
      <c r="K55" s="15">
        <f>'[8]2025'!J55</f>
        <v>78.84</v>
      </c>
      <c r="L55" s="15">
        <f>'[8]2025'!K55</f>
        <v>95.52</v>
      </c>
      <c r="M55" s="15">
        <f>'[8]2025'!L55</f>
        <v>32.270000000000003</v>
      </c>
      <c r="N55" s="16">
        <f t="shared" si="3"/>
        <v>4.6282883508262651E-3</v>
      </c>
      <c r="O55" s="17">
        <f t="shared" si="0"/>
        <v>-1.2319900953492658E-2</v>
      </c>
      <c r="P55" s="17">
        <f t="shared" si="0"/>
        <v>-1.3368983957219251E-2</v>
      </c>
      <c r="Q55" s="18">
        <f t="shared" si="1"/>
        <v>88.43658041603247</v>
      </c>
      <c r="R55" s="18">
        <f t="shared" si="2"/>
        <v>72.993509212730316</v>
      </c>
      <c r="S55" s="34"/>
      <c r="T55" s="29" t="s">
        <v>8</v>
      </c>
      <c r="U55" s="1738"/>
    </row>
    <row r="56" spans="1:21">
      <c r="A56" s="10" t="s">
        <v>14</v>
      </c>
      <c r="B56" s="19">
        <f>CHAMNORD!B56</f>
        <v>46073</v>
      </c>
      <c r="C56" s="75">
        <f>IF(H56=0,"",'[8]2025-2026'!C55)</f>
        <v>7091.17</v>
      </c>
      <c r="D56" s="68">
        <f>'[8]2025'!C56</f>
        <v>13567.05</v>
      </c>
      <c r="E56" s="68">
        <f>'[8]2025'!D56</f>
        <v>13465.45</v>
      </c>
      <c r="F56" s="20">
        <f>'[8]2025'!E56</f>
        <v>644</v>
      </c>
      <c r="G56" s="73">
        <f>'[8]2025'!F56</f>
        <v>13600</v>
      </c>
      <c r="H56" s="42">
        <f>'[8]2025'!G56</f>
        <v>12983.66</v>
      </c>
      <c r="I56" s="13">
        <f>'[8]2025'!H56</f>
        <v>12889.91</v>
      </c>
      <c r="J56" s="14">
        <f>'[8]2025'!I56</f>
        <v>544</v>
      </c>
      <c r="K56" s="15">
        <f>'[8]2025'!J56</f>
        <v>118.63</v>
      </c>
      <c r="L56" s="15">
        <f>'[8]2025'!K56</f>
        <v>126.14</v>
      </c>
      <c r="M56" s="15">
        <f>'[8]2025'!L56</f>
        <v>46.06</v>
      </c>
      <c r="N56" s="16">
        <f t="shared" si="3"/>
        <v>3.573337595064667E-3</v>
      </c>
      <c r="O56" s="17">
        <f t="shared" si="0"/>
        <v>-4.2741980401694774E-2</v>
      </c>
      <c r="P56" s="17">
        <f t="shared" si="0"/>
        <v>-0.15527950310559005</v>
      </c>
      <c r="Q56" s="18">
        <f t="shared" si="1"/>
        <v>108.65641068869594</v>
      </c>
      <c r="R56" s="18">
        <f t="shared" si="2"/>
        <v>102.18733153638814</v>
      </c>
      <c r="S56" s="36" t="s">
        <v>40</v>
      </c>
      <c r="T56" s="48">
        <f>SUM(I52:I58)/SUM(L52:L58)</f>
        <v>89.782771150858366</v>
      </c>
      <c r="U56" s="1738"/>
    </row>
    <row r="57" spans="1:21">
      <c r="A57" s="10" t="s">
        <v>15</v>
      </c>
      <c r="B57" s="19">
        <f>CHAMNORD!B57</f>
        <v>46074</v>
      </c>
      <c r="C57" s="75">
        <f>IF(H57=0,"",'[8]2025-2026'!C56)</f>
        <v>13567.05</v>
      </c>
      <c r="D57" s="68">
        <f>'[8]2025'!C57</f>
        <v>17304.310000000001</v>
      </c>
      <c r="E57" s="68">
        <f>'[8]2025'!D57</f>
        <v>17120.21</v>
      </c>
      <c r="F57" s="20">
        <f>'[8]2025'!E57</f>
        <v>697</v>
      </c>
      <c r="G57" s="73">
        <f>'[8]2025'!F57</f>
        <v>17300</v>
      </c>
      <c r="H57" s="42">
        <f>'[8]2025'!G57</f>
        <v>18432.78</v>
      </c>
      <c r="I57" s="13">
        <f>'[8]2025'!H57</f>
        <v>18235.61</v>
      </c>
      <c r="J57" s="14">
        <f>'[8]2025'!I57</f>
        <v>728</v>
      </c>
      <c r="K57" s="15">
        <f>'[8]2025'!J57</f>
        <v>138</v>
      </c>
      <c r="L57" s="15">
        <f>'[8]2025'!K57</f>
        <v>155.22999999999999</v>
      </c>
      <c r="M57" s="15">
        <f>'[8]2025'!L57</f>
        <v>39.479999999999997</v>
      </c>
      <c r="N57" s="16">
        <f t="shared" si="3"/>
        <v>2.1649947547682799E-3</v>
      </c>
      <c r="O57" s="17">
        <f t="shared" si="0"/>
        <v>6.5151069992716304E-2</v>
      </c>
      <c r="P57" s="17">
        <f t="shared" si="0"/>
        <v>4.4476327116212341E-2</v>
      </c>
      <c r="Q57" s="18">
        <f t="shared" si="1"/>
        <v>132.14210144927537</v>
      </c>
      <c r="R57" s="18">
        <f t="shared" si="2"/>
        <v>117.47477935965988</v>
      </c>
      <c r="S57" s="36">
        <f>SUM(J52:J58)</f>
        <v>3194</v>
      </c>
      <c r="T57" s="30" t="s">
        <v>3</v>
      </c>
      <c r="U57" s="1738"/>
    </row>
    <row r="58" spans="1:21" ht="18" thickBot="1">
      <c r="A58" s="10" t="s">
        <v>16</v>
      </c>
      <c r="B58" s="19">
        <f>CHAMNORD!B58</f>
        <v>46075</v>
      </c>
      <c r="C58" s="75">
        <f>IF(H58=0,"",'[8]2025-2026'!C57)</f>
        <v>17304.310000000001</v>
      </c>
      <c r="D58" s="68">
        <f>'[8]2025'!C58</f>
        <v>10960.02</v>
      </c>
      <c r="E58" s="68">
        <f>'[8]2025'!D58</f>
        <v>10890.38</v>
      </c>
      <c r="F58" s="20">
        <f>'[8]2025'!E58</f>
        <v>492</v>
      </c>
      <c r="G58" s="73">
        <f>'[8]2025'!F58</f>
        <v>11000</v>
      </c>
      <c r="H58" s="42">
        <f>'[8]2025'!G58</f>
        <v>10630.57</v>
      </c>
      <c r="I58" s="13">
        <f>'[8]2025'!H58</f>
        <v>10542.08</v>
      </c>
      <c r="J58" s="14">
        <f>'[8]2025'!I58</f>
        <v>474</v>
      </c>
      <c r="K58" s="15">
        <f>'[8]2025'!J58</f>
        <v>90.34</v>
      </c>
      <c r="L58" s="15">
        <f>'[8]2025'!K58</f>
        <v>106.27</v>
      </c>
      <c r="M58" s="15">
        <f>'[8]2025'!L58</f>
        <v>26.94</v>
      </c>
      <c r="N58" s="16">
        <f t="shared" si="3"/>
        <v>2.555472923749393E-3</v>
      </c>
      <c r="O58" s="17">
        <f t="shared" si="0"/>
        <v>-3.198235506933636E-2</v>
      </c>
      <c r="P58" s="17">
        <f t="shared" si="0"/>
        <v>-3.6585365853658534E-2</v>
      </c>
      <c r="Q58" s="18">
        <f t="shared" si="1"/>
        <v>116.69338056232012</v>
      </c>
      <c r="R58" s="18">
        <f t="shared" si="2"/>
        <v>99.200903359367658</v>
      </c>
      <c r="S58" s="37">
        <f>(S57-SUM(F52:F58))/SUM(F52:F58)</f>
        <v>-3.0063771636805344E-2</v>
      </c>
      <c r="T58" s="47">
        <f>SUM(M52:M58)/SUM(I52:I58)</f>
        <v>3.3948422652570541E-3</v>
      </c>
      <c r="U58" s="1739"/>
    </row>
    <row r="59" spans="1:21" ht="17" customHeight="1" thickTop="1">
      <c r="A59" s="10" t="s">
        <v>9</v>
      </c>
      <c r="B59" s="19">
        <f>CHAMNORD!B59</f>
        <v>46076</v>
      </c>
      <c r="C59" s="75">
        <f>IF(H59=0,"",'[8]2025-2026'!C58)</f>
        <v>10960.02</v>
      </c>
      <c r="D59" s="68">
        <f>'[8]2025'!C59</f>
        <v>7131.21</v>
      </c>
      <c r="E59" s="68">
        <f>'[8]2025'!D59</f>
        <v>7090.82</v>
      </c>
      <c r="F59" s="20">
        <f>'[8]2025'!E59</f>
        <v>370</v>
      </c>
      <c r="G59" s="73">
        <f>'[8]2025'!F59</f>
        <v>7200</v>
      </c>
      <c r="H59" s="42">
        <f>'[8]2025'!G59</f>
        <v>5197.1499999999996</v>
      </c>
      <c r="I59" s="13">
        <f>'[8]2025'!H59</f>
        <v>5171.7700000000004</v>
      </c>
      <c r="J59" s="14">
        <f>'[8]2025'!I59</f>
        <v>277</v>
      </c>
      <c r="K59" s="15">
        <f>'[8]2025'!J59</f>
        <v>73.95</v>
      </c>
      <c r="L59" s="15">
        <f>'[8]2025'!K59</f>
        <v>83.17</v>
      </c>
      <c r="M59" s="15">
        <f>'[8]2025'!L59</f>
        <v>27.38</v>
      </c>
      <c r="N59" s="16">
        <f t="shared" si="3"/>
        <v>5.2941256088341118E-3</v>
      </c>
      <c r="O59" s="17">
        <f t="shared" si="0"/>
        <v>-0.27063865674209742</v>
      </c>
      <c r="P59" s="17">
        <f t="shared" si="0"/>
        <v>-0.25135135135135134</v>
      </c>
      <c r="Q59" s="18">
        <f t="shared" si="1"/>
        <v>69.936037863421234</v>
      </c>
      <c r="R59" s="18">
        <f t="shared" si="2"/>
        <v>62.18311891306962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19">
        <f>CHAMNORD!B60</f>
        <v>46077</v>
      </c>
      <c r="C60" s="75">
        <f>IF(H60=0,"",'[8]2025-2026'!C59)</f>
        <v>7131.21</v>
      </c>
      <c r="D60" s="68">
        <f>'[8]2025'!C60</f>
        <v>6269.3</v>
      </c>
      <c r="E60" s="68">
        <f>'[8]2025'!D60</f>
        <v>6226.37</v>
      </c>
      <c r="F60" s="20">
        <f>'[8]2025'!E60</f>
        <v>336</v>
      </c>
      <c r="G60" s="73">
        <f>'[8]2025'!F60</f>
        <v>6300</v>
      </c>
      <c r="H60" s="42">
        <f>'[8]2025'!G60</f>
        <v>5248.19</v>
      </c>
      <c r="I60" s="13">
        <f>'[8]2025'!H60</f>
        <v>5216.33</v>
      </c>
      <c r="J60" s="14">
        <f>'[8]2025'!I60</f>
        <v>301</v>
      </c>
      <c r="K60" s="15">
        <f>'[8]2025'!J60</f>
        <v>86</v>
      </c>
      <c r="L60" s="15">
        <f>'[8]2025'!K60</f>
        <v>102.53</v>
      </c>
      <c r="M60" s="15">
        <f>'[8]2025'!L60</f>
        <v>50.82</v>
      </c>
      <c r="N60" s="16">
        <f t="shared" si="3"/>
        <v>9.7424817831693929E-3</v>
      </c>
      <c r="O60" s="17">
        <f t="shared" si="0"/>
        <v>-0.16221972031858048</v>
      </c>
      <c r="P60" s="17">
        <f t="shared" si="0"/>
        <v>-0.10416666666666667</v>
      </c>
      <c r="Q60" s="18">
        <f t="shared" si="1"/>
        <v>60.655000000000001</v>
      </c>
      <c r="R60" s="18">
        <f t="shared" si="2"/>
        <v>50.876133814493315</v>
      </c>
      <c r="S60" s="34">
        <f>SUM(I59:I65)</f>
        <v>65851.649999999994</v>
      </c>
      <c r="T60" s="45" t="s">
        <v>41</v>
      </c>
      <c r="U60" s="1738"/>
    </row>
    <row r="61" spans="1:21">
      <c r="A61" s="10" t="s">
        <v>12</v>
      </c>
      <c r="B61" s="19">
        <f>CHAMNORD!B61</f>
        <v>46078</v>
      </c>
      <c r="C61" s="75">
        <f>IF(H61=0,"",'[8]2025-2026'!C60)</f>
        <v>6269.3</v>
      </c>
      <c r="D61" s="68">
        <f>'[8]2025'!C61</f>
        <v>8385.94</v>
      </c>
      <c r="E61" s="68">
        <f>'[8]2025'!D61</f>
        <v>8315.01</v>
      </c>
      <c r="F61" s="20">
        <f>'[8]2025'!E61</f>
        <v>415</v>
      </c>
      <c r="G61" s="73">
        <f>'[8]2025'!F61</f>
        <v>8400</v>
      </c>
      <c r="H61" s="42">
        <f>'[8]2025'!G61</f>
        <v>8262.09</v>
      </c>
      <c r="I61" s="13">
        <f>'[8]2025'!H61</f>
        <v>8185.92</v>
      </c>
      <c r="J61" s="14">
        <f>'[8]2025'!I61</f>
        <v>430</v>
      </c>
      <c r="K61" s="15">
        <f>'[8]2025'!J61</f>
        <v>89.49</v>
      </c>
      <c r="L61" s="15">
        <f>'[8]2025'!K61</f>
        <v>107.02</v>
      </c>
      <c r="M61" s="15">
        <f>'[8]2025'!L61</f>
        <v>17.02</v>
      </c>
      <c r="N61" s="16">
        <f t="shared" si="3"/>
        <v>2.0791798600523826E-3</v>
      </c>
      <c r="O61" s="17">
        <f t="shared" si="0"/>
        <v>-1.5524936229782061E-2</v>
      </c>
      <c r="P61" s="17">
        <f t="shared" si="0"/>
        <v>3.614457831325301E-2</v>
      </c>
      <c r="Q61" s="18">
        <f t="shared" si="1"/>
        <v>91.473013744552475</v>
      </c>
      <c r="R61" s="18">
        <f t="shared" si="2"/>
        <v>76.489628106895907</v>
      </c>
      <c r="S61" s="35">
        <f>(S60-SUM(E59:E65))/SUM(E59:E65)</f>
        <v>-0.10702822371006437</v>
      </c>
      <c r="T61" s="48">
        <f>SUM(I59:I65)/SUM(K59:K65)</f>
        <v>91.273008260797255</v>
      </c>
      <c r="U61" s="1738"/>
    </row>
    <row r="62" spans="1:21">
      <c r="A62" s="10" t="s">
        <v>13</v>
      </c>
      <c r="B62" s="19">
        <f>CHAMNORD!B62</f>
        <v>46079</v>
      </c>
      <c r="C62" s="75">
        <f>IF(H62=0,"",'[8]2025-2026'!C61)</f>
        <v>8385.94</v>
      </c>
      <c r="D62" s="68">
        <f>'[8]2025'!C62</f>
        <v>8107.57</v>
      </c>
      <c r="E62" s="68">
        <f>'[8]2025'!D62</f>
        <v>8047.03</v>
      </c>
      <c r="F62" s="20">
        <f>'[8]2025'!E62</f>
        <v>423</v>
      </c>
      <c r="G62" s="73">
        <f>'[8]2025'!F62</f>
        <v>8100</v>
      </c>
      <c r="H62" s="42">
        <f>'[8]2025'!G62</f>
        <v>7479.9</v>
      </c>
      <c r="I62" s="13">
        <f>'[8]2025'!H62</f>
        <v>7442.19</v>
      </c>
      <c r="J62" s="14">
        <f>'[8]2025'!I62</f>
        <v>407</v>
      </c>
      <c r="K62" s="15">
        <f>'[8]2025'!J62</f>
        <v>88.22</v>
      </c>
      <c r="L62" s="15">
        <f>'[8]2025'!K62</f>
        <v>96.59</v>
      </c>
      <c r="M62" s="15">
        <f>'[8]2025'!L62</f>
        <v>22.4</v>
      </c>
      <c r="N62" s="16">
        <f t="shared" si="3"/>
        <v>3.0098667193393341E-3</v>
      </c>
      <c r="O62" s="17">
        <f t="shared" si="0"/>
        <v>-7.516313472175451E-2</v>
      </c>
      <c r="P62" s="17">
        <f t="shared" si="0"/>
        <v>-3.7825059101654845E-2</v>
      </c>
      <c r="Q62" s="18">
        <f t="shared" si="1"/>
        <v>84.359442303332571</v>
      </c>
      <c r="R62" s="18">
        <f t="shared" si="2"/>
        <v>77.049280463816118</v>
      </c>
      <c r="S62" s="34"/>
      <c r="T62" s="29" t="s">
        <v>8</v>
      </c>
      <c r="U62" s="1738"/>
    </row>
    <row r="63" spans="1:21">
      <c r="A63" s="10" t="s">
        <v>14</v>
      </c>
      <c r="B63" s="19">
        <f>CHAMNORD!B63</f>
        <v>46080</v>
      </c>
      <c r="C63" s="75">
        <f>IF(H63=0,"",'[8]2025-2026'!C62)</f>
        <v>8107.57</v>
      </c>
      <c r="D63" s="68">
        <f>'[8]2025'!C63</f>
        <v>13849.14</v>
      </c>
      <c r="E63" s="68">
        <f>'[8]2025'!D63</f>
        <v>13740.48</v>
      </c>
      <c r="F63" s="20">
        <f>'[8]2025'!E63</f>
        <v>636</v>
      </c>
      <c r="G63" s="73">
        <f>'[8]2025'!F63</f>
        <v>13900</v>
      </c>
      <c r="H63" s="42">
        <f>'[8]2025'!G63</f>
        <v>14023.76</v>
      </c>
      <c r="I63" s="13">
        <f>'[8]2025'!H63</f>
        <v>13915.8</v>
      </c>
      <c r="J63" s="14">
        <f>'[8]2025'!I63</f>
        <v>641</v>
      </c>
      <c r="K63" s="15">
        <f>'[8]2025'!J63</f>
        <v>125.39</v>
      </c>
      <c r="L63" s="15">
        <f>'[8]2025'!K63</f>
        <v>142.08000000000001</v>
      </c>
      <c r="M63" s="15">
        <f>'[8]2025'!L63</f>
        <v>44.05</v>
      </c>
      <c r="N63" s="16">
        <f t="shared" si="3"/>
        <v>3.1654665919314735E-3</v>
      </c>
      <c r="O63" s="17">
        <f t="shared" si="0"/>
        <v>1.2759379584992642E-2</v>
      </c>
      <c r="P63" s="17">
        <f t="shared" si="0"/>
        <v>7.8616352201257862E-3</v>
      </c>
      <c r="Q63" s="18">
        <f t="shared" si="1"/>
        <v>110.98014195709386</v>
      </c>
      <c r="R63" s="18">
        <f t="shared" si="2"/>
        <v>97.943412162162147</v>
      </c>
      <c r="S63" s="36" t="s">
        <v>40</v>
      </c>
      <c r="T63" s="48">
        <f>SUM(I59:I65)/SUM(L59:L65)</f>
        <v>80.107598170405325</v>
      </c>
      <c r="U63" s="1738"/>
    </row>
    <row r="64" spans="1:21">
      <c r="A64" s="10" t="s">
        <v>15</v>
      </c>
      <c r="B64" s="19">
        <f>CHAMNORD!B64</f>
        <v>46081</v>
      </c>
      <c r="C64" s="75">
        <f>IF(H64=0,"",'[8]2025-2026'!C63)</f>
        <v>13849.14</v>
      </c>
      <c r="D64" s="68">
        <f>'[8]2025'!C64</f>
        <v>16182.41</v>
      </c>
      <c r="E64" s="68">
        <f>'[8]2025'!D64</f>
        <v>16024.95</v>
      </c>
      <c r="F64" s="20">
        <f>'[8]2025'!E64</f>
        <v>675</v>
      </c>
      <c r="G64" s="73">
        <f>'[8]2025'!F64</f>
        <v>16200</v>
      </c>
      <c r="H64" s="42">
        <f>'[8]2025'!G64</f>
        <v>13873.75</v>
      </c>
      <c r="I64" s="13">
        <f>'[8]2025'!H64</f>
        <v>13726.01</v>
      </c>
      <c r="J64" s="14">
        <f>'[8]2025'!I64</f>
        <v>604</v>
      </c>
      <c r="K64" s="15">
        <f>'[8]2025'!J64</f>
        <v>149.07</v>
      </c>
      <c r="L64" s="15">
        <f>'[8]2025'!K64</f>
        <v>166.13</v>
      </c>
      <c r="M64" s="15">
        <f>'[8]2025'!L64</f>
        <v>51.07</v>
      </c>
      <c r="N64" s="16">
        <f t="shared" si="3"/>
        <v>3.7206733784981945E-3</v>
      </c>
      <c r="O64" s="17">
        <f t="shared" si="0"/>
        <v>-0.14346004199701093</v>
      </c>
      <c r="P64" s="17">
        <f t="shared" si="0"/>
        <v>-0.10518518518518519</v>
      </c>
      <c r="Q64" s="18">
        <f t="shared" si="1"/>
        <v>92.07761454350306</v>
      </c>
      <c r="R64" s="18">
        <f t="shared" si="2"/>
        <v>82.622103172214537</v>
      </c>
      <c r="S64" s="36">
        <f>SUM(J59:J65)</f>
        <v>3225</v>
      </c>
      <c r="T64" s="30" t="s">
        <v>3</v>
      </c>
      <c r="U64" s="1738"/>
    </row>
    <row r="65" spans="1:21" ht="18" thickBot="1">
      <c r="A65" s="10" t="s">
        <v>16</v>
      </c>
      <c r="B65" s="19">
        <f>CHAMNORD!B65</f>
        <v>46082</v>
      </c>
      <c r="C65" s="75">
        <f>IF(H65=0,"",'[8]2025-2026'!C64)</f>
        <v>16182.41</v>
      </c>
      <c r="D65" s="68">
        <f>'[8]2025'!C65</f>
        <v>14394.02</v>
      </c>
      <c r="E65" s="68">
        <f>'[8]2025'!D65</f>
        <v>14299.72</v>
      </c>
      <c r="F65" s="20">
        <f>'[8]2025'!E65</f>
        <v>625</v>
      </c>
      <c r="G65" s="73">
        <f>'[8]2025'!F65</f>
        <v>14000</v>
      </c>
      <c r="H65" s="42">
        <f>'[8]2025'!G65</f>
        <v>12284.63</v>
      </c>
      <c r="I65" s="13">
        <f>'[8]2025'!H65</f>
        <v>12193.63</v>
      </c>
      <c r="J65" s="14">
        <f>'[8]2025'!I65</f>
        <v>565</v>
      </c>
      <c r="K65" s="15">
        <f>'[8]2025'!J65</f>
        <v>109.36</v>
      </c>
      <c r="L65" s="15">
        <f>'[8]2025'!K65</f>
        <v>124.52</v>
      </c>
      <c r="M65" s="15">
        <f>'[8]2025'!L65</f>
        <v>18.47</v>
      </c>
      <c r="N65" s="16">
        <f t="shared" si="3"/>
        <v>1.5147253114946083E-3</v>
      </c>
      <c r="O65" s="17">
        <f t="shared" si="0"/>
        <v>-0.14728190482051398</v>
      </c>
      <c r="P65" s="17">
        <f t="shared" si="0"/>
        <v>-9.6000000000000002E-2</v>
      </c>
      <c r="Q65" s="18">
        <f t="shared" si="1"/>
        <v>111.49990855888807</v>
      </c>
      <c r="R65" s="18">
        <f t="shared" si="2"/>
        <v>97.925072277545766</v>
      </c>
      <c r="S65" s="37">
        <f>(S64-SUM(F59:F65))/SUM(F59:F65)</f>
        <v>-7.3275862068965511E-2</v>
      </c>
      <c r="T65" s="47">
        <f>SUM(M59:M65)/SUM(I59:I65)</f>
        <v>3.5110737544161766E-3</v>
      </c>
      <c r="U65" s="1739"/>
    </row>
    <row r="66" spans="1:21" ht="17" customHeight="1" thickTop="1">
      <c r="A66" s="10" t="s">
        <v>9</v>
      </c>
      <c r="B66" s="19">
        <f>CHAMNORD!B66</f>
        <v>46083</v>
      </c>
      <c r="C66" s="75">
        <f>IF(H66=0,"",'[8]2025-2026'!C65)</f>
        <v>14394.02</v>
      </c>
      <c r="D66" s="68">
        <f>'[8]2025'!C66</f>
        <v>7461.15</v>
      </c>
      <c r="E66" s="68">
        <f>'[8]2025'!D66</f>
        <v>7416.97</v>
      </c>
      <c r="F66" s="20">
        <f>'[8]2025'!E66</f>
        <v>399</v>
      </c>
      <c r="G66" s="73">
        <f>'[8]2025'!F66</f>
        <v>7150</v>
      </c>
      <c r="H66" s="42">
        <f>'[8]2025'!G66</f>
        <v>6287.22</v>
      </c>
      <c r="I66" s="13">
        <f>'[8]2025'!H66</f>
        <v>6250.24</v>
      </c>
      <c r="J66" s="14">
        <f>'[8]2025'!I66</f>
        <v>341</v>
      </c>
      <c r="K66" s="15">
        <f>'[8]2025'!J66</f>
        <v>75.760000000000005</v>
      </c>
      <c r="L66" s="15">
        <f>'[8]2025'!K66</f>
        <v>92.24</v>
      </c>
      <c r="M66" s="15">
        <f>'[8]2025'!L66</f>
        <v>36.93</v>
      </c>
      <c r="N66" s="16">
        <f t="shared" si="3"/>
        <v>5.9085731107925456E-3</v>
      </c>
      <c r="O66" s="17">
        <f t="shared" si="0"/>
        <v>-0.1573054764951187</v>
      </c>
      <c r="P66" s="17">
        <f t="shared" si="0"/>
        <v>-0.14536340852130325</v>
      </c>
      <c r="Q66" s="18">
        <f t="shared" si="1"/>
        <v>82.500527983104533</v>
      </c>
      <c r="R66" s="18">
        <f t="shared" si="2"/>
        <v>67.760624457935819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19">
        <f>CHAMNORD!B67</f>
        <v>46084</v>
      </c>
      <c r="C67" s="75">
        <f>IF(H67=0,"",'[8]2025-2026'!C66)</f>
        <v>7461.15</v>
      </c>
      <c r="D67" s="68">
        <f>'[8]2025'!C67</f>
        <v>7371.62</v>
      </c>
      <c r="E67" s="68">
        <f>'[8]2025'!D67</f>
        <v>7313.81</v>
      </c>
      <c r="F67" s="20">
        <f>'[8]2025'!E67</f>
        <v>374</v>
      </c>
      <c r="G67" s="73">
        <f>'[8]2025'!F67</f>
        <v>7000</v>
      </c>
      <c r="H67" s="42">
        <f>'[8]2025'!G67</f>
        <v>6680.94</v>
      </c>
      <c r="I67" s="13">
        <f>'[8]2025'!H67</f>
        <v>6636.02</v>
      </c>
      <c r="J67" s="14">
        <f>'[8]2025'!I67</f>
        <v>340</v>
      </c>
      <c r="K67" s="15">
        <f>'[8]2025'!J67</f>
        <v>78.819999999999993</v>
      </c>
      <c r="L67" s="15">
        <f>'[8]2025'!K67</f>
        <v>95.17</v>
      </c>
      <c r="M67" s="15">
        <f>'[8]2025'!L67</f>
        <v>24.65</v>
      </c>
      <c r="N67" s="16">
        <f t="shared" si="3"/>
        <v>3.7145759054372949E-3</v>
      </c>
      <c r="O67" s="17">
        <f t="shared" si="0"/>
        <v>-9.2672628903403276E-2</v>
      </c>
      <c r="P67" s="17">
        <f t="shared" si="0"/>
        <v>-9.0909090909090912E-2</v>
      </c>
      <c r="Q67" s="18">
        <f t="shared" si="1"/>
        <v>84.192083227607213</v>
      </c>
      <c r="R67" s="18">
        <f t="shared" si="2"/>
        <v>69.728065566880318</v>
      </c>
      <c r="S67" s="34">
        <f>SUM(I66:I72)</f>
        <v>66700.2</v>
      </c>
      <c r="T67" s="45" t="s">
        <v>41</v>
      </c>
      <c r="U67" s="1738"/>
    </row>
    <row r="68" spans="1:21">
      <c r="A68" s="10" t="s">
        <v>12</v>
      </c>
      <c r="B68" s="19">
        <f>CHAMNORD!B68</f>
        <v>46085</v>
      </c>
      <c r="C68" s="75">
        <f>IF(H68=0,"",'[8]2025-2026'!C67)</f>
        <v>7371.62</v>
      </c>
      <c r="D68" s="68">
        <f>'[8]2025'!C68</f>
        <v>8229.3700000000008</v>
      </c>
      <c r="E68" s="68">
        <f>'[8]2025'!D68</f>
        <v>8164.33</v>
      </c>
      <c r="F68" s="20">
        <f>'[8]2025'!E68</f>
        <v>426</v>
      </c>
      <c r="G68" s="73">
        <f>'[8]2025'!F68</f>
        <v>8200</v>
      </c>
      <c r="H68" s="42">
        <f>'[8]2025'!G68</f>
        <v>8036.36</v>
      </c>
      <c r="I68" s="13">
        <f>'[8]2025'!H68</f>
        <v>7964.13</v>
      </c>
      <c r="J68" s="14">
        <f>'[8]2025'!I68</f>
        <v>425</v>
      </c>
      <c r="K68" s="15">
        <f>'[8]2025'!J68</f>
        <v>88.39</v>
      </c>
      <c r="L68" s="15">
        <f>'[8]2025'!K68</f>
        <v>104.14</v>
      </c>
      <c r="M68" s="15">
        <f>'[8]2025'!L68</f>
        <v>34.33</v>
      </c>
      <c r="N68" s="16">
        <f t="shared" ref="N68:N131" si="4">IF(M68=0,"",M68/I68)</f>
        <v>4.3105775520992243E-3</v>
      </c>
      <c r="O68" s="17">
        <f t="shared" ref="O68:P131" si="5">IF(I68=0,"",(I68-E68)/E68)</f>
        <v>-2.4521301809211513E-2</v>
      </c>
      <c r="P68" s="17">
        <f t="shared" si="5"/>
        <v>-2.3474178403755869E-3</v>
      </c>
      <c r="Q68" s="18">
        <f t="shared" ref="Q68:Q131" si="6">IF(I68=0,"",I68/K68)</f>
        <v>90.102160877927375</v>
      </c>
      <c r="R68" s="18">
        <f t="shared" ref="R68:R131" si="7">I68/L68</f>
        <v>76.475225657768391</v>
      </c>
      <c r="S68" s="35">
        <f>(S67-SUM(E66:E72))/SUM(E66:E72)</f>
        <v>-3.3412804821850071E-2</v>
      </c>
      <c r="T68" s="48">
        <f>SUM(I66:I72)/SUM(K66:K72)</f>
        <v>102.31504348759798</v>
      </c>
      <c r="U68" s="1738"/>
    </row>
    <row r="69" spans="1:21">
      <c r="A69" s="10" t="s">
        <v>13</v>
      </c>
      <c r="B69" s="19">
        <f>CHAMNORD!B69</f>
        <v>46086</v>
      </c>
      <c r="C69" s="75">
        <f>IF(H69=0,"",'[8]2025-2026'!C68)</f>
        <v>8229.3700000000008</v>
      </c>
      <c r="D69" s="68">
        <f>'[8]2025'!C69</f>
        <v>8289.7800000000007</v>
      </c>
      <c r="E69" s="68">
        <f>'[8]2025'!D69</f>
        <v>8239.01</v>
      </c>
      <c r="F69" s="20">
        <f>'[8]2025'!E69</f>
        <v>415</v>
      </c>
      <c r="G69" s="73">
        <f>'[8]2025'!F69</f>
        <v>7800</v>
      </c>
      <c r="H69" s="42">
        <f>'[8]2025'!G69</f>
        <v>6512.59</v>
      </c>
      <c r="I69" s="13">
        <f>'[8]2025'!H69</f>
        <v>6476.83</v>
      </c>
      <c r="J69" s="14">
        <f>'[8]2025'!I69</f>
        <v>342</v>
      </c>
      <c r="K69" s="15">
        <f>'[8]2025'!J69</f>
        <v>76.25</v>
      </c>
      <c r="L69" s="15">
        <f>'[8]2025'!K69</f>
        <v>91.16</v>
      </c>
      <c r="M69" s="15">
        <f>'[8]2025'!L69</f>
        <v>32.06</v>
      </c>
      <c r="N69" s="16">
        <f t="shared" si="4"/>
        <v>4.949952368674182E-3</v>
      </c>
      <c r="O69" s="17">
        <f t="shared" si="5"/>
        <v>-0.21388249316362043</v>
      </c>
      <c r="P69" s="17">
        <f t="shared" si="5"/>
        <v>-0.17590361445783131</v>
      </c>
      <c r="Q69" s="18">
        <f t="shared" si="6"/>
        <v>84.94203278688525</v>
      </c>
      <c r="R69" s="18">
        <f t="shared" si="7"/>
        <v>71.049034664326456</v>
      </c>
      <c r="S69" s="34"/>
      <c r="T69" s="29" t="s">
        <v>8</v>
      </c>
      <c r="U69" s="1738"/>
    </row>
    <row r="70" spans="1:21">
      <c r="A70" s="10" t="s">
        <v>14</v>
      </c>
      <c r="B70" s="19">
        <f>CHAMNORD!B70</f>
        <v>46087</v>
      </c>
      <c r="C70" s="75">
        <f>IF(H70=0,"",'[8]2025-2026'!C69)</f>
        <v>8289.7800000000007</v>
      </c>
      <c r="D70" s="68">
        <f>'[8]2025'!C70</f>
        <v>12646.66</v>
      </c>
      <c r="E70" s="68">
        <f>'[8]2025'!D70</f>
        <v>12537.39</v>
      </c>
      <c r="F70" s="20">
        <f>'[8]2025'!E70</f>
        <v>618</v>
      </c>
      <c r="G70" s="73">
        <f>'[8]2025'!F70</f>
        <v>11900</v>
      </c>
      <c r="H70" s="42">
        <f>'[8]2025'!G70</f>
        <v>13053.58</v>
      </c>
      <c r="I70" s="13">
        <f>'[8]2025'!H70</f>
        <v>12960.56</v>
      </c>
      <c r="J70" s="14">
        <f>'[8]2025'!I70</f>
        <v>602</v>
      </c>
      <c r="K70" s="15">
        <f>'[8]2025'!J70</f>
        <v>104.94</v>
      </c>
      <c r="L70" s="15">
        <f>'[8]2025'!K70</f>
        <v>121.54</v>
      </c>
      <c r="M70" s="15">
        <f>'[8]2025'!L70</f>
        <v>45.15</v>
      </c>
      <c r="N70" s="16">
        <f t="shared" si="4"/>
        <v>3.4836457683927236E-3</v>
      </c>
      <c r="O70" s="17">
        <f t="shared" si="5"/>
        <v>3.3752639105906423E-2</v>
      </c>
      <c r="P70" s="17">
        <f t="shared" si="5"/>
        <v>-2.5889967637540454E-2</v>
      </c>
      <c r="Q70" s="18">
        <f t="shared" si="6"/>
        <v>123.50447874976177</v>
      </c>
      <c r="R70" s="18">
        <f t="shared" si="7"/>
        <v>106.63616916241565</v>
      </c>
      <c r="S70" s="36" t="s">
        <v>40</v>
      </c>
      <c r="T70" s="48">
        <f>SUM(I66:I72)/SUM(L66:L72)</f>
        <v>87.106682512112599</v>
      </c>
      <c r="U70" s="1738"/>
    </row>
    <row r="71" spans="1:21">
      <c r="A71" s="10" t="s">
        <v>15</v>
      </c>
      <c r="B71" s="19">
        <f>CHAMNORD!B71</f>
        <v>46088</v>
      </c>
      <c r="C71" s="75">
        <f>IF(H71=0,"",'[8]2025-2026'!C70)</f>
        <v>12646.66</v>
      </c>
      <c r="D71" s="68">
        <f>'[8]2025'!C71</f>
        <v>14114.59</v>
      </c>
      <c r="E71" s="68">
        <f>'[8]2025'!D71</f>
        <v>14003.23</v>
      </c>
      <c r="F71" s="20">
        <f>'[8]2025'!E71</f>
        <v>629</v>
      </c>
      <c r="G71" s="73">
        <f>'[8]2025'!F71</f>
        <v>14100</v>
      </c>
      <c r="H71" s="42">
        <f>'[8]2025'!G71</f>
        <v>13852.39</v>
      </c>
      <c r="I71" s="13">
        <f>'[8]2025'!H71</f>
        <v>13709.96</v>
      </c>
      <c r="J71" s="14">
        <f>'[8]2025'!I71</f>
        <v>659</v>
      </c>
      <c r="K71" s="15">
        <f>'[8]2025'!J71</f>
        <v>133.09</v>
      </c>
      <c r="L71" s="15">
        <f>'[8]2025'!K71</f>
        <v>150.4</v>
      </c>
      <c r="M71" s="15">
        <f>'[8]2025'!L71</f>
        <v>34.68</v>
      </c>
      <c r="N71" s="16">
        <f t="shared" si="4"/>
        <v>2.5295478615546653E-3</v>
      </c>
      <c r="O71" s="17">
        <f t="shared" si="5"/>
        <v>-2.0943025287737217E-2</v>
      </c>
      <c r="P71" s="17">
        <f t="shared" si="5"/>
        <v>4.7694753577106522E-2</v>
      </c>
      <c r="Q71" s="18">
        <f t="shared" si="6"/>
        <v>103.01269817416785</v>
      </c>
      <c r="R71" s="18">
        <f t="shared" si="7"/>
        <v>91.1566489361702</v>
      </c>
      <c r="S71" s="36">
        <f>SUM(J66:J72)</f>
        <v>3281</v>
      </c>
      <c r="T71" s="30" t="s">
        <v>3</v>
      </c>
      <c r="U71" s="1738"/>
    </row>
    <row r="72" spans="1:21" ht="18" thickBot="1">
      <c r="A72" s="10" t="s">
        <v>16</v>
      </c>
      <c r="B72" s="19">
        <f>CHAMNORD!B72</f>
        <v>46089</v>
      </c>
      <c r="C72" s="75">
        <f>IF(H72=0,"",'[8]2025-2026'!C71)</f>
        <v>14114.59</v>
      </c>
      <c r="D72" s="68">
        <f>'[8]2025'!C72</f>
        <v>11412.44</v>
      </c>
      <c r="E72" s="68">
        <f>'[8]2025'!D72</f>
        <v>11331.14</v>
      </c>
      <c r="F72" s="20">
        <f>'[8]2025'!E72</f>
        <v>537</v>
      </c>
      <c r="G72" s="73">
        <f>'[8]2025'!F72</f>
        <v>11400</v>
      </c>
      <c r="H72" s="42">
        <f>'[8]2025'!G72</f>
        <v>12805.89</v>
      </c>
      <c r="I72" s="13">
        <f>'[8]2025'!H72</f>
        <v>12702.46</v>
      </c>
      <c r="J72" s="14">
        <f>'[8]2025'!I72</f>
        <v>572</v>
      </c>
      <c r="K72" s="15">
        <f>'[8]2025'!J72</f>
        <v>94.66</v>
      </c>
      <c r="L72" s="15">
        <f>'[8]2025'!K72</f>
        <v>111.08</v>
      </c>
      <c r="M72" s="15">
        <f>'[8]2025'!L72</f>
        <v>18.600000000000001</v>
      </c>
      <c r="N72" s="16">
        <f t="shared" si="4"/>
        <v>1.4642832963063851E-3</v>
      </c>
      <c r="O72" s="17">
        <f t="shared" si="5"/>
        <v>0.12102224489327638</v>
      </c>
      <c r="P72" s="17">
        <f t="shared" si="5"/>
        <v>6.5176908752327747E-2</v>
      </c>
      <c r="Q72" s="18">
        <f t="shared" si="6"/>
        <v>134.19036551869848</v>
      </c>
      <c r="R72" s="18">
        <f t="shared" si="7"/>
        <v>114.35415916456607</v>
      </c>
      <c r="S72" s="37">
        <f>(S71-SUM(F66:F72))/SUM(F66:F72)</f>
        <v>-3.4432018834608592E-2</v>
      </c>
      <c r="T72" s="47">
        <f>SUM(M66:M72)/SUM(I66:I72)</f>
        <v>3.3942926707865944E-3</v>
      </c>
      <c r="U72" s="1739"/>
    </row>
    <row r="73" spans="1:21" ht="17" customHeight="1" thickTop="1">
      <c r="A73" s="10" t="s">
        <v>9</v>
      </c>
      <c r="B73" s="19">
        <f>CHAMNORD!B73</f>
        <v>46090</v>
      </c>
      <c r="C73" s="75">
        <f>IF(H73=0,"",'[8]2025-2026'!C72)</f>
        <v>11412.44</v>
      </c>
      <c r="D73" s="68">
        <f>'[8]2025'!C73</f>
        <v>5484.73</v>
      </c>
      <c r="E73" s="68">
        <f>'[8]2025'!D73</f>
        <v>5458.04</v>
      </c>
      <c r="F73" s="20">
        <f>'[8]2025'!E73</f>
        <v>308</v>
      </c>
      <c r="G73" s="73">
        <f>'[8]2025'!F73</f>
        <v>5500</v>
      </c>
      <c r="H73" s="42">
        <f>'[8]2025'!G73</f>
        <v>5866.36</v>
      </c>
      <c r="I73" s="13">
        <f>'[8]2025'!H73</f>
        <v>5840.34</v>
      </c>
      <c r="J73" s="14">
        <f>'[8]2025'!I73</f>
        <v>313</v>
      </c>
      <c r="K73" s="15">
        <f>'[8]2025'!J73</f>
        <v>78.91</v>
      </c>
      <c r="L73" s="15">
        <f>'[8]2025'!K73</f>
        <v>86.36</v>
      </c>
      <c r="M73" s="15">
        <f>'[8]2025'!L73</f>
        <v>47.05</v>
      </c>
      <c r="N73" s="16">
        <f t="shared" si="4"/>
        <v>8.056037833413807E-3</v>
      </c>
      <c r="O73" s="17">
        <f t="shared" si="5"/>
        <v>7.0043458824046764E-2</v>
      </c>
      <c r="P73" s="17">
        <f t="shared" si="5"/>
        <v>1.6233766233766232E-2</v>
      </c>
      <c r="Q73" s="18">
        <f t="shared" si="6"/>
        <v>74.012672665061473</v>
      </c>
      <c r="R73" s="18">
        <f t="shared" si="7"/>
        <v>67.627836961556284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19">
        <f>CHAMNORD!B74</f>
        <v>46091</v>
      </c>
      <c r="C74" s="75">
        <f>IF(H74=0,"",'[8]2025-2026'!C73)</f>
        <v>5484.73</v>
      </c>
      <c r="D74" s="68">
        <f>'[8]2025'!C74</f>
        <v>5988.27</v>
      </c>
      <c r="E74" s="68">
        <f>'[8]2025'!D74</f>
        <v>5949.85</v>
      </c>
      <c r="F74" s="20">
        <f>'[8]2025'!E74</f>
        <v>327</v>
      </c>
      <c r="G74" s="73">
        <f>'[8]2025'!F74</f>
        <v>6000</v>
      </c>
      <c r="H74" s="42">
        <f>'[8]2025'!G74</f>
        <v>6257.27</v>
      </c>
      <c r="I74" s="13">
        <f>'[8]2025'!H74</f>
        <v>6220.85</v>
      </c>
      <c r="J74" s="14">
        <f>'[8]2025'!I74</f>
        <v>332</v>
      </c>
      <c r="K74" s="15">
        <f>'[8]2025'!J74</f>
        <v>75.33</v>
      </c>
      <c r="L74" s="15">
        <f>'[8]2025'!K74</f>
        <v>91.16</v>
      </c>
      <c r="M74" s="15">
        <f>'[8]2025'!L74</f>
        <v>41.47</v>
      </c>
      <c r="N74" s="16">
        <f t="shared" si="4"/>
        <v>6.6662915839475305E-3</v>
      </c>
      <c r="O74" s="17">
        <f t="shared" si="5"/>
        <v>4.5547366740337991E-2</v>
      </c>
      <c r="P74" s="17">
        <f t="shared" si="5"/>
        <v>1.5290519877675841E-2</v>
      </c>
      <c r="Q74" s="18">
        <f t="shared" si="6"/>
        <v>82.581308907473783</v>
      </c>
      <c r="R74" s="18">
        <f t="shared" si="7"/>
        <v>68.241004826678378</v>
      </c>
      <c r="S74" s="34">
        <f>SUM(I73:I79)</f>
        <v>59512.090000000004</v>
      </c>
      <c r="T74" s="45" t="s">
        <v>41</v>
      </c>
      <c r="U74" s="1738"/>
    </row>
    <row r="75" spans="1:21">
      <c r="A75" s="10" t="s">
        <v>12</v>
      </c>
      <c r="B75" s="19">
        <f>CHAMNORD!B75</f>
        <v>46092</v>
      </c>
      <c r="C75" s="75">
        <f>IF(H75=0,"",'[8]2025-2026'!C74)</f>
        <v>5988.27</v>
      </c>
      <c r="D75" s="68">
        <f>'[8]2025'!C75</f>
        <v>6772.02</v>
      </c>
      <c r="E75" s="68">
        <f>'[8]2025'!D75</f>
        <v>6733.66</v>
      </c>
      <c r="F75" s="20">
        <f>'[8]2025'!E75</f>
        <v>343</v>
      </c>
      <c r="G75" s="73">
        <f>'[8]2025'!F75</f>
        <v>6800</v>
      </c>
      <c r="H75" s="42">
        <f>'[8]2025'!G75</f>
        <v>7896.89</v>
      </c>
      <c r="I75" s="13">
        <f>'[8]2025'!H75</f>
        <v>7836.63</v>
      </c>
      <c r="J75" s="14">
        <f>'[8]2025'!I75</f>
        <v>421</v>
      </c>
      <c r="K75" s="15">
        <f>'[8]2025'!J75</f>
        <v>93.01</v>
      </c>
      <c r="L75" s="15">
        <f>'[8]2025'!K75</f>
        <v>109.27</v>
      </c>
      <c r="M75" s="15">
        <f>'[8]2025'!L75</f>
        <v>31.47</v>
      </c>
      <c r="N75" s="16">
        <f t="shared" si="4"/>
        <v>4.0157567730006389E-3</v>
      </c>
      <c r="O75" s="17">
        <f t="shared" si="5"/>
        <v>0.16379947903517555</v>
      </c>
      <c r="P75" s="17">
        <f t="shared" si="5"/>
        <v>0.22740524781341107</v>
      </c>
      <c r="Q75" s="18">
        <f t="shared" si="6"/>
        <v>84.255778948500165</v>
      </c>
      <c r="R75" s="18">
        <f t="shared" si="7"/>
        <v>71.718037887800861</v>
      </c>
      <c r="S75" s="35">
        <f>(S74-SUM(E73:E79))/SUM(E73:E79)</f>
        <v>2.4555411764361813E-2</v>
      </c>
      <c r="T75" s="48">
        <f>SUM(I73:I79)/SUM(K73:K79)</f>
        <v>91.186703236087283</v>
      </c>
      <c r="U75" s="1738"/>
    </row>
    <row r="76" spans="1:21">
      <c r="A76" s="10" t="s">
        <v>13</v>
      </c>
      <c r="B76" s="19">
        <f>CHAMNORD!B76</f>
        <v>46093</v>
      </c>
      <c r="C76" s="75">
        <f>IF(H76=0,"",'[8]2025-2026'!C75)</f>
        <v>6772.02</v>
      </c>
      <c r="D76" s="68">
        <f>'[8]2025'!C76</f>
        <v>6738.99</v>
      </c>
      <c r="E76" s="68">
        <f>'[8]2025'!D76</f>
        <v>6698.64</v>
      </c>
      <c r="F76" s="20">
        <f>'[8]2025'!E76</f>
        <v>371</v>
      </c>
      <c r="G76" s="73">
        <f>'[8]2025'!F76</f>
        <v>6800</v>
      </c>
      <c r="H76" s="42">
        <f>'[8]2025'!G76</f>
        <v>5758.55</v>
      </c>
      <c r="I76" s="13">
        <f>'[8]2025'!H76</f>
        <v>5731.13</v>
      </c>
      <c r="J76" s="14">
        <f>'[8]2025'!I76</f>
        <v>300</v>
      </c>
      <c r="K76" s="15">
        <f>'[8]2025'!J76</f>
        <v>81.12</v>
      </c>
      <c r="L76" s="15">
        <f>'[8]2025'!K76</f>
        <v>88.55</v>
      </c>
      <c r="M76" s="15">
        <f>'[8]2025'!L76</f>
        <v>28.98</v>
      </c>
      <c r="N76" s="16">
        <f t="shared" si="4"/>
        <v>5.0565944237872806E-3</v>
      </c>
      <c r="O76" s="17">
        <f t="shared" si="5"/>
        <v>-0.14443379551670193</v>
      </c>
      <c r="P76" s="17">
        <f t="shared" si="5"/>
        <v>-0.19137466307277629</v>
      </c>
      <c r="Q76" s="18">
        <f t="shared" si="6"/>
        <v>70.65002465483235</v>
      </c>
      <c r="R76" s="18">
        <f t="shared" si="7"/>
        <v>64.721964991530214</v>
      </c>
      <c r="S76" s="34"/>
      <c r="T76" s="29" t="s">
        <v>8</v>
      </c>
      <c r="U76" s="1738"/>
    </row>
    <row r="77" spans="1:21">
      <c r="A77" s="10" t="s">
        <v>14</v>
      </c>
      <c r="B77" s="19">
        <f>CHAMNORD!B77</f>
        <v>46094</v>
      </c>
      <c r="C77" s="75">
        <f>IF(H77=0,"",'[8]2025-2026'!C76)</f>
        <v>6738.99</v>
      </c>
      <c r="D77" s="68">
        <f>'[8]2025'!C77</f>
        <v>10963.39</v>
      </c>
      <c r="E77" s="68">
        <f>'[8]2025'!D77</f>
        <v>10904.18</v>
      </c>
      <c r="F77" s="20">
        <f>'[8]2025'!E77</f>
        <v>543</v>
      </c>
      <c r="G77" s="73">
        <f>'[8]2025'!F77</f>
        <v>11000</v>
      </c>
      <c r="H77" s="42">
        <f>'[8]2025'!G77</f>
        <v>11632.26</v>
      </c>
      <c r="I77" s="13">
        <f>'[8]2025'!H77</f>
        <v>11542.35</v>
      </c>
      <c r="J77" s="14">
        <f>'[8]2025'!I77</f>
        <v>563</v>
      </c>
      <c r="K77" s="15">
        <f>'[8]2025'!J77</f>
        <v>114</v>
      </c>
      <c r="L77" s="15">
        <f>'[8]2025'!K77</f>
        <v>130.16999999999999</v>
      </c>
      <c r="M77" s="15">
        <f>'[8]2025'!L77</f>
        <v>27.67</v>
      </c>
      <c r="N77" s="16">
        <f t="shared" si="4"/>
        <v>2.3972587904542838E-3</v>
      </c>
      <c r="O77" s="17">
        <f t="shared" si="5"/>
        <v>5.8525262789132247E-2</v>
      </c>
      <c r="P77" s="17">
        <f t="shared" si="5"/>
        <v>3.6832412523020261E-2</v>
      </c>
      <c r="Q77" s="18">
        <f t="shared" si="6"/>
        <v>101.24868421052632</v>
      </c>
      <c r="R77" s="18">
        <f t="shared" si="7"/>
        <v>88.671352846277955</v>
      </c>
      <c r="S77" s="36" t="s">
        <v>40</v>
      </c>
      <c r="T77" s="48">
        <f>SUM(I73:I79)/SUM(L73:L79)</f>
        <v>79.523344379710309</v>
      </c>
      <c r="U77" s="1738"/>
    </row>
    <row r="78" spans="1:21">
      <c r="A78" s="10" t="s">
        <v>15</v>
      </c>
      <c r="B78" s="19">
        <f>CHAMNORD!B78</f>
        <v>46095</v>
      </c>
      <c r="C78" s="75">
        <f>IF(H78=0,"",'[8]2025-2026'!C77)</f>
        <v>10963.39</v>
      </c>
      <c r="D78" s="68">
        <f>'[8]2025'!C78</f>
        <v>12186.22</v>
      </c>
      <c r="E78" s="68">
        <f>'[8]2025'!D78</f>
        <v>12078.85</v>
      </c>
      <c r="F78" s="20">
        <f>'[8]2025'!E78</f>
        <v>578</v>
      </c>
      <c r="G78" s="73">
        <f>'[8]2025'!F78</f>
        <v>11500</v>
      </c>
      <c r="H78" s="42">
        <f>'[8]2025'!G78</f>
        <v>11808.72</v>
      </c>
      <c r="I78" s="13">
        <f>'[8]2025'!H78</f>
        <v>11709.1</v>
      </c>
      <c r="J78" s="14">
        <f>'[8]2025'!I78</f>
        <v>519</v>
      </c>
      <c r="K78" s="15">
        <f>'[8]2025'!J78</f>
        <v>111.01</v>
      </c>
      <c r="L78" s="15">
        <f>'[8]2025'!K78</f>
        <v>128.57</v>
      </c>
      <c r="M78" s="15">
        <f>'[8]2025'!L78</f>
        <v>24.1</v>
      </c>
      <c r="N78" s="16">
        <f t="shared" si="4"/>
        <v>2.0582282156613235E-3</v>
      </c>
      <c r="O78" s="17">
        <f t="shared" si="5"/>
        <v>-3.0611357869333587E-2</v>
      </c>
      <c r="P78" s="17">
        <f t="shared" si="5"/>
        <v>-0.10207612456747404</v>
      </c>
      <c r="Q78" s="18">
        <f t="shared" si="6"/>
        <v>105.47788487523647</v>
      </c>
      <c r="R78" s="18">
        <f t="shared" si="7"/>
        <v>91.07178968655208</v>
      </c>
      <c r="S78" s="36">
        <f>SUM(J73:J79)</f>
        <v>2926</v>
      </c>
      <c r="T78" s="30" t="s">
        <v>3</v>
      </c>
      <c r="U78" s="1738"/>
    </row>
    <row r="79" spans="1:21" ht="18" thickBot="1">
      <c r="A79" s="10" t="s">
        <v>16</v>
      </c>
      <c r="B79" s="19">
        <f>CHAMNORD!B79</f>
        <v>46096</v>
      </c>
      <c r="C79" s="75">
        <f>IF(H79=0,"",'[8]2025-2026'!C78)</f>
        <v>12186.22</v>
      </c>
      <c r="D79" s="68">
        <f>'[8]2025'!C79</f>
        <v>10325.040000000001</v>
      </c>
      <c r="E79" s="68">
        <f>'[8]2025'!D79</f>
        <v>10262.549999999999</v>
      </c>
      <c r="F79" s="20">
        <f>'[8]2025'!E79</f>
        <v>460</v>
      </c>
      <c r="G79" s="73">
        <f>'[8]2025'!F79</f>
        <v>10300</v>
      </c>
      <c r="H79" s="42">
        <f>'[8]2025'!G79</f>
        <v>10709.76</v>
      </c>
      <c r="I79" s="13">
        <f>'[8]2025'!H79</f>
        <v>10631.69</v>
      </c>
      <c r="J79" s="14">
        <f>'[8]2025'!I79</f>
        <v>478</v>
      </c>
      <c r="K79" s="15">
        <f>'[8]2025'!J79</f>
        <v>99.26</v>
      </c>
      <c r="L79" s="15">
        <f>'[8]2025'!K79</f>
        <v>114.28</v>
      </c>
      <c r="M79" s="15">
        <f>'[8]2025'!L79</f>
        <v>67.47</v>
      </c>
      <c r="N79" s="16">
        <f t="shared" si="4"/>
        <v>6.3461218301135566E-3</v>
      </c>
      <c r="O79" s="17">
        <f t="shared" si="5"/>
        <v>3.5969617687611879E-2</v>
      </c>
      <c r="P79" s="17">
        <f t="shared" si="5"/>
        <v>3.9130434782608699E-2</v>
      </c>
      <c r="Q79" s="18">
        <f t="shared" si="6"/>
        <v>107.10951037678824</v>
      </c>
      <c r="R79" s="18">
        <f t="shared" si="7"/>
        <v>93.031939096954858</v>
      </c>
      <c r="S79" s="37">
        <f>(S78-SUM(F73:F79))/SUM(F73:F79)</f>
        <v>-1.3651877133105802E-3</v>
      </c>
      <c r="T79" s="47">
        <f>SUM(M73:M79)/SUM(I73:I79)</f>
        <v>4.5068153378582396E-3</v>
      </c>
      <c r="U79" s="1739"/>
    </row>
    <row r="80" spans="1:21" ht="17" customHeight="1" thickTop="1">
      <c r="A80" s="10" t="s">
        <v>9</v>
      </c>
      <c r="B80" s="19">
        <f>CHAMNORD!B80</f>
        <v>46097</v>
      </c>
      <c r="C80" s="75">
        <f>IF(H80=0,"",'[8]2025-2026'!C79)</f>
        <v>10325.040000000001</v>
      </c>
      <c r="D80" s="68">
        <f>'[8]2025'!C80</f>
        <v>5519.42</v>
      </c>
      <c r="E80" s="68">
        <f>'[8]2025'!D80</f>
        <v>5490.8</v>
      </c>
      <c r="F80" s="20">
        <f>'[8]2025'!E80</f>
        <v>338</v>
      </c>
      <c r="G80" s="73">
        <f>'[8]2025'!F80</f>
        <v>5500</v>
      </c>
      <c r="H80" s="42">
        <f>'[8]2025'!G80</f>
        <v>5507.91</v>
      </c>
      <c r="I80" s="13">
        <f>'[8]2025'!H80</f>
        <v>5483.18</v>
      </c>
      <c r="J80" s="14">
        <f>'[8]2025'!I80</f>
        <v>296</v>
      </c>
      <c r="K80" s="15">
        <f>'[8]2025'!J80</f>
        <v>76.42</v>
      </c>
      <c r="L80" s="15">
        <f>'[8]2025'!K80</f>
        <v>92.48</v>
      </c>
      <c r="M80" s="15">
        <f>'[8]2025'!L80</f>
        <v>29.38</v>
      </c>
      <c r="N80" s="16">
        <f t="shared" si="4"/>
        <v>5.3582045455374434E-3</v>
      </c>
      <c r="O80" s="17">
        <f t="shared" si="5"/>
        <v>-1.387775916077783E-3</v>
      </c>
      <c r="P80" s="17">
        <f t="shared" si="5"/>
        <v>-0.1242603550295858</v>
      </c>
      <c r="Q80" s="18">
        <f t="shared" si="6"/>
        <v>71.750588851086107</v>
      </c>
      <c r="R80" s="18">
        <f t="shared" si="7"/>
        <v>59.290441176470587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19">
        <f>CHAMNORD!B81</f>
        <v>46098</v>
      </c>
      <c r="C81" s="75">
        <f>IF(H81=0,"",'[8]2025-2026'!C80)</f>
        <v>5519.42</v>
      </c>
      <c r="D81" s="68">
        <f>'[8]2025'!C81</f>
        <v>6528.81</v>
      </c>
      <c r="E81" s="68">
        <f>'[8]2025'!D81</f>
        <v>6493.63</v>
      </c>
      <c r="F81" s="20">
        <f>'[8]2025'!E81</f>
        <v>336</v>
      </c>
      <c r="G81" s="73">
        <f>'[8]2025'!F81</f>
        <v>6600</v>
      </c>
      <c r="H81" s="42">
        <f>'[8]2025'!G81</f>
        <v>6555.87</v>
      </c>
      <c r="I81" s="13">
        <f>'[8]2025'!H81</f>
        <v>6515.83</v>
      </c>
      <c r="J81" s="14">
        <f>'[8]2025'!I81</f>
        <v>323</v>
      </c>
      <c r="K81" s="15">
        <f>'[8]2025'!J81</f>
        <v>79.849999999999994</v>
      </c>
      <c r="L81" s="15">
        <f>'[8]2025'!K81</f>
        <v>95.12</v>
      </c>
      <c r="M81" s="15">
        <f>'[8]2025'!L81</f>
        <v>26.43</v>
      </c>
      <c r="N81" s="16">
        <f t="shared" si="4"/>
        <v>4.0562752558001049E-3</v>
      </c>
      <c r="O81" s="17">
        <f t="shared" si="5"/>
        <v>3.418734975660735E-3</v>
      </c>
      <c r="P81" s="17">
        <f t="shared" si="5"/>
        <v>-3.8690476190476192E-2</v>
      </c>
      <c r="Q81" s="18">
        <f t="shared" si="6"/>
        <v>81.600876643706954</v>
      </c>
      <c r="R81" s="18">
        <f t="shared" si="7"/>
        <v>68.501156433978124</v>
      </c>
      <c r="S81" s="34">
        <f>SUM(I80:I86)</f>
        <v>60407.020000000004</v>
      </c>
      <c r="T81" s="45" t="s">
        <v>41</v>
      </c>
      <c r="U81" s="1738"/>
    </row>
    <row r="82" spans="1:21">
      <c r="A82" s="10" t="s">
        <v>12</v>
      </c>
      <c r="B82" s="19">
        <f>CHAMNORD!B82</f>
        <v>46099</v>
      </c>
      <c r="C82" s="75">
        <f>IF(H82=0,"",'[8]2025-2026'!C81)</f>
        <v>6528.81</v>
      </c>
      <c r="D82" s="68">
        <f>'[8]2025'!C82</f>
        <v>8090.3</v>
      </c>
      <c r="E82" s="68">
        <f>'[8]2025'!D82</f>
        <v>8026.47</v>
      </c>
      <c r="F82" s="20">
        <f>'[8]2025'!E82</f>
        <v>433</v>
      </c>
      <c r="G82" s="73">
        <f>'[8]2025'!F82</f>
        <v>8100</v>
      </c>
      <c r="H82" s="42">
        <f>'[8]2025'!G82</f>
        <v>8081.71</v>
      </c>
      <c r="I82" s="13">
        <f>'[8]2025'!H82</f>
        <v>8012.13</v>
      </c>
      <c r="J82" s="14">
        <f>'[8]2025'!I82</f>
        <v>388</v>
      </c>
      <c r="K82" s="15">
        <f>'[8]2025'!J82</f>
        <v>83.81</v>
      </c>
      <c r="L82" s="15">
        <f>'[8]2025'!K82</f>
        <v>99.27</v>
      </c>
      <c r="M82" s="15">
        <f>'[8]2025'!L82</f>
        <v>77.2</v>
      </c>
      <c r="N82" s="16">
        <f t="shared" si="4"/>
        <v>9.6353903393978889E-3</v>
      </c>
      <c r="O82" s="17">
        <f t="shared" si="5"/>
        <v>-1.786588624887422E-3</v>
      </c>
      <c r="P82" s="17">
        <f t="shared" si="5"/>
        <v>-0.10392609699769054</v>
      </c>
      <c r="Q82" s="18">
        <f t="shared" si="6"/>
        <v>95.5987352344589</v>
      </c>
      <c r="R82" s="18">
        <f t="shared" si="7"/>
        <v>80.710486551828353</v>
      </c>
      <c r="S82" s="35">
        <f>(S81-SUM(E80:E86))/SUM(E80:E86)</f>
        <v>1.603540091238117E-3</v>
      </c>
      <c r="T82" s="48">
        <f>SUM(I80:I86)/SUM(K80:K86)</f>
        <v>91.713383435815686</v>
      </c>
      <c r="U82" s="1738"/>
    </row>
    <row r="83" spans="1:21">
      <c r="A83" s="10" t="s">
        <v>13</v>
      </c>
      <c r="B83" s="19">
        <f>CHAMNORD!B83</f>
        <v>46100</v>
      </c>
      <c r="C83" s="75">
        <f>IF(H83=0,"",'[8]2025-2026'!C82)</f>
        <v>8090.3</v>
      </c>
      <c r="D83" s="68">
        <f>'[8]2025'!C83</f>
        <v>6928.06</v>
      </c>
      <c r="E83" s="68">
        <f>'[8]2025'!D83</f>
        <v>6898.73</v>
      </c>
      <c r="F83" s="20">
        <f>'[8]2025'!E83</f>
        <v>403</v>
      </c>
      <c r="G83" s="73">
        <f>'[8]2025'!F83</f>
        <v>7000</v>
      </c>
      <c r="H83" s="42">
        <f>'[8]2025'!G83</f>
        <v>6338.71</v>
      </c>
      <c r="I83" s="13">
        <f>'[8]2025'!H83</f>
        <v>6315.96</v>
      </c>
      <c r="J83" s="14">
        <f>'[8]2025'!I83</f>
        <v>343</v>
      </c>
      <c r="K83" s="15">
        <f>'[8]2025'!J83</f>
        <v>77.75</v>
      </c>
      <c r="L83" s="15">
        <f>'[8]2025'!K83</f>
        <v>85.26</v>
      </c>
      <c r="M83" s="15">
        <f>'[8]2025'!L83</f>
        <v>20.87</v>
      </c>
      <c r="N83" s="16">
        <f t="shared" si="4"/>
        <v>3.3043274498255216E-3</v>
      </c>
      <c r="O83" s="17">
        <f t="shared" si="5"/>
        <v>-8.4474968581173579E-2</v>
      </c>
      <c r="P83" s="17">
        <f t="shared" si="5"/>
        <v>-0.14888337468982629</v>
      </c>
      <c r="Q83" s="18">
        <f t="shared" si="6"/>
        <v>81.234212218649517</v>
      </c>
      <c r="R83" s="18">
        <f t="shared" si="7"/>
        <v>74.078817733990149</v>
      </c>
      <c r="S83" s="34"/>
      <c r="T83" s="29" t="s">
        <v>8</v>
      </c>
      <c r="U83" s="1738"/>
    </row>
    <row r="84" spans="1:21">
      <c r="A84" s="10" t="s">
        <v>14</v>
      </c>
      <c r="B84" s="19">
        <f>CHAMNORD!B84</f>
        <v>46101</v>
      </c>
      <c r="C84" s="75">
        <f>IF(H84=0,"",'[8]2025-2026'!C83)</f>
        <v>6928.06</v>
      </c>
      <c r="D84" s="68">
        <f>'[8]2025'!C84</f>
        <v>10721.72</v>
      </c>
      <c r="E84" s="68">
        <f>'[8]2025'!D84</f>
        <v>10663.14</v>
      </c>
      <c r="F84" s="20">
        <f>'[8]2025'!E84</f>
        <v>549</v>
      </c>
      <c r="G84" s="73">
        <f>'[8]2025'!F84</f>
        <v>10800</v>
      </c>
      <c r="H84" s="42">
        <f>'[8]2025'!G84</f>
        <v>11192.24</v>
      </c>
      <c r="I84" s="13">
        <f>'[8]2025'!H84</f>
        <v>11119.92</v>
      </c>
      <c r="J84" s="14">
        <f>'[8]2025'!I84</f>
        <v>546</v>
      </c>
      <c r="K84" s="15">
        <f>'[8]2025'!J84</f>
        <v>120.92</v>
      </c>
      <c r="L84" s="15">
        <f>'[8]2025'!K84</f>
        <v>129.06</v>
      </c>
      <c r="M84" s="15">
        <f>'[8]2025'!L84</f>
        <v>31.63</v>
      </c>
      <c r="N84" s="16">
        <f t="shared" si="4"/>
        <v>2.8444449240642017E-3</v>
      </c>
      <c r="O84" s="17">
        <f t="shared" si="5"/>
        <v>4.2837288078370978E-2</v>
      </c>
      <c r="P84" s="17">
        <f t="shared" si="5"/>
        <v>-5.4644808743169399E-3</v>
      </c>
      <c r="Q84" s="18">
        <f t="shared" si="6"/>
        <v>91.960965927886207</v>
      </c>
      <c r="R84" s="18">
        <f t="shared" si="7"/>
        <v>86.160855416085539</v>
      </c>
      <c r="S84" s="36" t="s">
        <v>40</v>
      </c>
      <c r="T84" s="48">
        <f>SUM(I80:I86)/SUM(L80:L86)</f>
        <v>81.1071994414458</v>
      </c>
      <c r="U84" s="1738"/>
    </row>
    <row r="85" spans="1:21">
      <c r="A85" s="10" t="s">
        <v>15</v>
      </c>
      <c r="B85" s="19">
        <f>CHAMNORD!B85</f>
        <v>46102</v>
      </c>
      <c r="C85" s="75">
        <f>IF(H85=0,"",'[8]2025-2026'!C84)</f>
        <v>10721.72</v>
      </c>
      <c r="D85" s="68">
        <f>'[8]2025'!C85</f>
        <v>10493.5</v>
      </c>
      <c r="E85" s="68">
        <f>'[8]2025'!D85</f>
        <v>10392.68</v>
      </c>
      <c r="F85" s="20">
        <f>'[8]2025'!E85</f>
        <v>530</v>
      </c>
      <c r="G85" s="73">
        <f>'[8]2025'!F85</f>
        <v>10500</v>
      </c>
      <c r="H85" s="42">
        <f>'[8]2025'!G85</f>
        <v>12131.17</v>
      </c>
      <c r="I85" s="13">
        <f>'[8]2025'!H85</f>
        <v>12006.23</v>
      </c>
      <c r="J85" s="14">
        <f>'[8]2025'!I85</f>
        <v>570</v>
      </c>
      <c r="K85" s="15">
        <f>'[8]2025'!J85</f>
        <v>115.48</v>
      </c>
      <c r="L85" s="15">
        <f>'[8]2025'!K85</f>
        <v>131.16999999999999</v>
      </c>
      <c r="M85" s="15">
        <f>'[8]2025'!L85</f>
        <v>18.510000000000002</v>
      </c>
      <c r="N85" s="16">
        <f t="shared" si="4"/>
        <v>1.54169960095717E-3</v>
      </c>
      <c r="O85" s="17">
        <f t="shared" si="5"/>
        <v>0.15525831643041055</v>
      </c>
      <c r="P85" s="17">
        <f t="shared" si="5"/>
        <v>7.5471698113207544E-2</v>
      </c>
      <c r="Q85" s="18">
        <f t="shared" si="6"/>
        <v>103.96804641496362</v>
      </c>
      <c r="R85" s="18">
        <f t="shared" si="7"/>
        <v>91.531828924296718</v>
      </c>
      <c r="S85" s="36">
        <f>SUM(J80:J86)</f>
        <v>2915</v>
      </c>
      <c r="T85" s="30" t="s">
        <v>3</v>
      </c>
      <c r="U85" s="1738"/>
    </row>
    <row r="86" spans="1:21" ht="18" thickBot="1">
      <c r="A86" s="10" t="s">
        <v>16</v>
      </c>
      <c r="B86" s="19">
        <f>CHAMNORD!B86</f>
        <v>46103</v>
      </c>
      <c r="C86" s="75">
        <f>IF(H86=0,"",'[8]2025-2026'!C85)</f>
        <v>10493.5</v>
      </c>
      <c r="D86" s="68">
        <f>'[8]2025'!C86</f>
        <v>12437.88</v>
      </c>
      <c r="E86" s="68">
        <f>'[8]2025'!D86</f>
        <v>12344.86</v>
      </c>
      <c r="F86" s="20">
        <f>'[8]2025'!E86</f>
        <v>590</v>
      </c>
      <c r="G86" s="73">
        <f>'[8]2025'!F86</f>
        <v>12400</v>
      </c>
      <c r="H86" s="42">
        <f>'[8]2025'!G86</f>
        <v>11017.68</v>
      </c>
      <c r="I86" s="13">
        <f>'[8]2025'!H86</f>
        <v>10953.77</v>
      </c>
      <c r="J86" s="14">
        <f>'[8]2025'!I86</f>
        <v>449</v>
      </c>
      <c r="K86" s="15">
        <f>'[8]2025'!J86</f>
        <v>104.42</v>
      </c>
      <c r="L86" s="15">
        <f>'[8]2025'!K86</f>
        <v>112.42</v>
      </c>
      <c r="M86" s="15">
        <f>'[8]2025'!L86</f>
        <v>36.53</v>
      </c>
      <c r="N86" s="16">
        <f t="shared" si="4"/>
        <v>3.3349248706153224E-3</v>
      </c>
      <c r="O86" s="17">
        <f t="shared" si="5"/>
        <v>-0.11268576557368816</v>
      </c>
      <c r="P86" s="17">
        <f t="shared" si="5"/>
        <v>-0.23898305084745763</v>
      </c>
      <c r="Q86" s="18">
        <f t="shared" si="6"/>
        <v>104.90107259145758</v>
      </c>
      <c r="R86" s="18">
        <f t="shared" si="7"/>
        <v>97.436132360789898</v>
      </c>
      <c r="S86" s="37">
        <f>(S85-SUM(F80:F86))/SUM(F80:F86)</f>
        <v>-8.3044982698961933E-2</v>
      </c>
      <c r="T86" s="47">
        <f>SUM(M80:M86)/SUM(I80:I86)</f>
        <v>3.9821530676401509E-3</v>
      </c>
      <c r="U86" s="1739"/>
    </row>
    <row r="87" spans="1:21" ht="17" customHeight="1" thickTop="1">
      <c r="A87" s="10" t="s">
        <v>9</v>
      </c>
      <c r="B87" s="19">
        <f>CHAMNORD!B87</f>
        <v>46104</v>
      </c>
      <c r="C87" s="75">
        <f>IF(H87=0,"",'[8]2025-2026'!C86)</f>
        <v>12437.88</v>
      </c>
      <c r="D87" s="68">
        <f>'[8]2025'!C87</f>
        <v>5644.8</v>
      </c>
      <c r="E87" s="68">
        <f>'[8]2025'!D87</f>
        <v>5610.34</v>
      </c>
      <c r="F87" s="20">
        <f>'[8]2025'!E87</f>
        <v>316</v>
      </c>
      <c r="G87" s="73">
        <f>'[8]2025'!F87</f>
        <v>5700</v>
      </c>
      <c r="H87" s="42">
        <f>'[8]2025'!G87</f>
        <v>5492.29</v>
      </c>
      <c r="I87" s="13">
        <f>'[8]2025'!H87</f>
        <v>5463.64</v>
      </c>
      <c r="J87" s="14">
        <f>'[8]2025'!I87</f>
        <v>319</v>
      </c>
      <c r="K87" s="15">
        <f>'[8]2025'!J87</f>
        <v>82.52</v>
      </c>
      <c r="L87" s="15">
        <f>'[8]2025'!K87</f>
        <v>102.27</v>
      </c>
      <c r="M87" s="15">
        <f>'[8]2025'!L87</f>
        <v>31.38</v>
      </c>
      <c r="N87" s="16">
        <f t="shared" si="4"/>
        <v>5.743423798054044E-3</v>
      </c>
      <c r="O87" s="17">
        <f t="shared" si="5"/>
        <v>-2.6148147884085423E-2</v>
      </c>
      <c r="P87" s="17">
        <f t="shared" si="5"/>
        <v>9.4936708860759497E-3</v>
      </c>
      <c r="Q87" s="18">
        <f t="shared" si="6"/>
        <v>66.209888511875917</v>
      </c>
      <c r="R87" s="18">
        <f t="shared" si="7"/>
        <v>53.423682409308697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19">
        <f>CHAMNORD!B88</f>
        <v>46105</v>
      </c>
      <c r="C88" s="75">
        <f>IF(H88=0,"",'[8]2025-2026'!C87)</f>
        <v>5644.8</v>
      </c>
      <c r="D88" s="68">
        <f>'[8]2025'!C88</f>
        <v>6040.81</v>
      </c>
      <c r="E88" s="68">
        <f>'[8]2025'!D88</f>
        <v>5940.52</v>
      </c>
      <c r="F88" s="20">
        <f>'[8]2025'!E88</f>
        <v>334</v>
      </c>
      <c r="G88" s="73">
        <f>'[8]2025'!F88</f>
        <v>6000</v>
      </c>
      <c r="H88" s="42">
        <f>'[8]2025'!G88</f>
        <v>5853.47</v>
      </c>
      <c r="I88" s="13">
        <f>'[8]2025'!H88</f>
        <v>5772.78</v>
      </c>
      <c r="J88" s="14">
        <f>'[8]2025'!I88</f>
        <v>290</v>
      </c>
      <c r="K88" s="15">
        <f>'[8]2025'!J88</f>
        <v>81.93</v>
      </c>
      <c r="L88" s="15">
        <f>'[8]2025'!K88</f>
        <v>97.43</v>
      </c>
      <c r="M88" s="15">
        <f>'[8]2025'!L88</f>
        <v>41.18</v>
      </c>
      <c r="N88" s="16">
        <f t="shared" si="4"/>
        <v>7.1334781509082281E-3</v>
      </c>
      <c r="O88" s="17">
        <f t="shared" si="5"/>
        <v>-2.8236585349430805E-2</v>
      </c>
      <c r="P88" s="17">
        <f t="shared" si="5"/>
        <v>-0.1317365269461078</v>
      </c>
      <c r="Q88" s="18">
        <f t="shared" si="6"/>
        <v>70.459904796777735</v>
      </c>
      <c r="R88" s="18">
        <f t="shared" si="7"/>
        <v>59.250538848403977</v>
      </c>
      <c r="S88" s="34">
        <f>SUM(I87:I93)</f>
        <v>64623.150000000009</v>
      </c>
      <c r="T88" s="45" t="s">
        <v>41</v>
      </c>
      <c r="U88" s="1738"/>
    </row>
    <row r="89" spans="1:21">
      <c r="A89" s="10" t="s">
        <v>12</v>
      </c>
      <c r="B89" s="19">
        <f>CHAMNORD!B89</f>
        <v>46106</v>
      </c>
      <c r="C89" s="75">
        <f>IF(H89=0,"",'[8]2025-2026'!C88)</f>
        <v>6040.81</v>
      </c>
      <c r="D89" s="68">
        <f>'[8]2025'!C89</f>
        <v>8898.33</v>
      </c>
      <c r="E89" s="68">
        <f>'[8]2025'!D89</f>
        <v>8745.44</v>
      </c>
      <c r="F89" s="20">
        <f>'[8]2025'!E89</f>
        <v>463</v>
      </c>
      <c r="G89" s="73">
        <f>'[8]2025'!F89</f>
        <v>8350</v>
      </c>
      <c r="H89" s="42">
        <f>'[8]2025'!G89</f>
        <v>8200.02</v>
      </c>
      <c r="I89" s="13">
        <f>'[8]2025'!H89</f>
        <v>8083.71</v>
      </c>
      <c r="J89" s="14">
        <f>'[8]2025'!I89</f>
        <v>412</v>
      </c>
      <c r="K89" s="15">
        <f>'[8]2025'!J89</f>
        <v>79.08</v>
      </c>
      <c r="L89" s="15">
        <f>'[8]2025'!K89</f>
        <v>94.58</v>
      </c>
      <c r="M89" s="15">
        <f>'[8]2025'!L89</f>
        <v>28.26</v>
      </c>
      <c r="N89" s="16">
        <f t="shared" si="4"/>
        <v>3.4959195715828502E-3</v>
      </c>
      <c r="O89" s="17">
        <f t="shared" si="5"/>
        <v>-7.5665718362941198E-2</v>
      </c>
      <c r="P89" s="17">
        <f t="shared" si="5"/>
        <v>-0.1101511879049676</v>
      </c>
      <c r="Q89" s="18">
        <f t="shared" si="6"/>
        <v>102.22192716236722</v>
      </c>
      <c r="R89" s="18">
        <f t="shared" si="7"/>
        <v>85.469549587650661</v>
      </c>
      <c r="S89" s="35">
        <f>(S88-SUM(E87:E93))/SUM(E87:E93)</f>
        <v>6.6769552691753303E-2</v>
      </c>
      <c r="T89" s="48">
        <f>SUM(I87:I93)/SUM(K87:K93)</f>
        <v>92.964223034208956</v>
      </c>
      <c r="U89" s="1738"/>
    </row>
    <row r="90" spans="1:21">
      <c r="A90" s="10" t="s">
        <v>13</v>
      </c>
      <c r="B90" s="19">
        <f>CHAMNORD!B90</f>
        <v>46107</v>
      </c>
      <c r="C90" s="75">
        <f>IF(H90=0,"",'[8]2025-2026'!C89)</f>
        <v>8898.33</v>
      </c>
      <c r="D90" s="68">
        <f>'[8]2025'!C90</f>
        <v>6787.83</v>
      </c>
      <c r="E90" s="68">
        <f>'[8]2025'!D90</f>
        <v>6661.7</v>
      </c>
      <c r="F90" s="20">
        <f>'[8]2025'!E90</f>
        <v>365</v>
      </c>
      <c r="G90" s="73">
        <f>'[8]2025'!F90</f>
        <v>6700</v>
      </c>
      <c r="H90" s="42">
        <f>'[8]2025'!G90</f>
        <v>8660.56</v>
      </c>
      <c r="I90" s="13">
        <f>'[8]2025'!H90</f>
        <v>8561.57</v>
      </c>
      <c r="J90" s="14">
        <f>'[8]2025'!I90</f>
        <v>386</v>
      </c>
      <c r="K90" s="15">
        <f>'[8]2025'!J90</f>
        <v>69.23</v>
      </c>
      <c r="L90" s="15">
        <f>'[8]2025'!K90</f>
        <v>85.42</v>
      </c>
      <c r="M90" s="15">
        <f>'[8]2025'!L90</f>
        <v>44.75</v>
      </c>
      <c r="N90" s="16">
        <f t="shared" si="4"/>
        <v>5.2268450763119385E-3</v>
      </c>
      <c r="O90" s="17">
        <f t="shared" si="5"/>
        <v>0.28519296876172751</v>
      </c>
      <c r="P90" s="17">
        <f t="shared" si="5"/>
        <v>5.7534246575342465E-2</v>
      </c>
      <c r="Q90" s="18">
        <f t="shared" si="6"/>
        <v>123.66849631662573</v>
      </c>
      <c r="R90" s="18">
        <f t="shared" si="7"/>
        <v>100.22910325450714</v>
      </c>
      <c r="S90" s="34"/>
      <c r="T90" s="29" t="s">
        <v>8</v>
      </c>
      <c r="U90" s="1738"/>
    </row>
    <row r="91" spans="1:21">
      <c r="A91" s="10" t="s">
        <v>14</v>
      </c>
      <c r="B91" s="19">
        <f>CHAMNORD!B91</f>
        <v>46108</v>
      </c>
      <c r="C91" s="75">
        <f>IF(H91=0,"",'[8]2025-2026'!C90)</f>
        <v>6787.83</v>
      </c>
      <c r="D91" s="68">
        <f>'[8]2025'!C91</f>
        <v>10584.45</v>
      </c>
      <c r="E91" s="68">
        <f>'[8]2025'!D91</f>
        <v>10423.92</v>
      </c>
      <c r="F91" s="20">
        <f>'[8]2025'!E91</f>
        <v>535</v>
      </c>
      <c r="G91" s="73">
        <f>'[8]2025'!F91</f>
        <v>10500</v>
      </c>
      <c r="H91" s="42">
        <f>'[8]2025'!G91</f>
        <v>11209.21</v>
      </c>
      <c r="I91" s="13">
        <f>'[8]2025'!H91</f>
        <v>11056.38</v>
      </c>
      <c r="J91" s="14">
        <f>'[8]2025'!I91</f>
        <v>524</v>
      </c>
      <c r="K91" s="15">
        <f>'[8]2025'!J91</f>
        <v>134.84</v>
      </c>
      <c r="L91" s="15">
        <f>'[8]2025'!K91</f>
        <v>152.41</v>
      </c>
      <c r="M91" s="15">
        <f>'[8]2025'!L91</f>
        <v>56.71</v>
      </c>
      <c r="N91" s="16">
        <f t="shared" si="4"/>
        <v>5.1291652421497818E-3</v>
      </c>
      <c r="O91" s="17">
        <f t="shared" si="5"/>
        <v>6.0673911541915052E-2</v>
      </c>
      <c r="P91" s="17">
        <f t="shared" si="5"/>
        <v>-2.0560747663551402E-2</v>
      </c>
      <c r="Q91" s="18">
        <f t="shared" si="6"/>
        <v>81.99629190151289</v>
      </c>
      <c r="R91" s="18">
        <f t="shared" si="7"/>
        <v>72.543665113837676</v>
      </c>
      <c r="S91" s="36" t="s">
        <v>40</v>
      </c>
      <c r="T91" s="48">
        <f>SUM(I87:I93)/SUM(L87:L93)</f>
        <v>79.569481382978722</v>
      </c>
      <c r="U91" s="1738"/>
    </row>
    <row r="92" spans="1:21">
      <c r="A92" s="10" t="s">
        <v>15</v>
      </c>
      <c r="B92" s="19">
        <f>CHAMNORD!B92</f>
        <v>46109</v>
      </c>
      <c r="C92" s="75">
        <f>IF(H92=0,"",'[8]2025-2026'!C91)</f>
        <v>10584.45</v>
      </c>
      <c r="D92" s="68">
        <f>'[8]2025'!C92</f>
        <v>11048.07</v>
      </c>
      <c r="E92" s="68">
        <f>'[8]2025'!D92</f>
        <v>10822.98</v>
      </c>
      <c r="F92" s="20">
        <f>'[8]2025'!E92</f>
        <v>550</v>
      </c>
      <c r="G92" s="73">
        <f>'[8]2025'!F92</f>
        <v>10900</v>
      </c>
      <c r="H92" s="42">
        <f>'[8]2025'!G92</f>
        <v>13059.17</v>
      </c>
      <c r="I92" s="13">
        <f>'[8]2025'!H92</f>
        <v>12848.87</v>
      </c>
      <c r="J92" s="14">
        <f>'[8]2025'!I92</f>
        <v>568</v>
      </c>
      <c r="K92" s="15">
        <f>'[8]2025'!J92</f>
        <v>129.37</v>
      </c>
      <c r="L92" s="15">
        <f>'[8]2025'!K92</f>
        <v>145.57</v>
      </c>
      <c r="M92" s="15">
        <f>'[8]2025'!L92</f>
        <v>459.3</v>
      </c>
      <c r="N92" s="16">
        <f t="shared" si="4"/>
        <v>3.5746334113427869E-2</v>
      </c>
      <c r="O92" s="17">
        <f t="shared" si="5"/>
        <v>0.18718412119397812</v>
      </c>
      <c r="P92" s="17">
        <f t="shared" si="5"/>
        <v>3.272727272727273E-2</v>
      </c>
      <c r="Q92" s="18">
        <f t="shared" si="6"/>
        <v>99.318775604854295</v>
      </c>
      <c r="R92" s="18">
        <f t="shared" si="7"/>
        <v>88.265920175860415</v>
      </c>
      <c r="S92" s="36">
        <f>SUM(J87:J93)</f>
        <v>3037</v>
      </c>
      <c r="T92" s="30" t="s">
        <v>3</v>
      </c>
      <c r="U92" s="1738"/>
    </row>
    <row r="93" spans="1:21" ht="18" thickBot="1">
      <c r="A93" s="10" t="s">
        <v>16</v>
      </c>
      <c r="B93" s="19">
        <f>CHAMNORD!B93</f>
        <v>46110</v>
      </c>
      <c r="C93" s="75">
        <f>IF(H93=0,"",'[8]2025-2026'!C92)</f>
        <v>11048.07</v>
      </c>
      <c r="D93" s="68">
        <f>'[8]2025'!C93</f>
        <v>12547.08</v>
      </c>
      <c r="E93" s="68">
        <f>'[8]2025'!D93</f>
        <v>12373.46</v>
      </c>
      <c r="F93" s="20">
        <f>'[8]2025'!E93</f>
        <v>595</v>
      </c>
      <c r="G93" s="73">
        <f>'[8]2025'!F93</f>
        <v>11900</v>
      </c>
      <c r="H93" s="42">
        <f>'[8]2025'!G93</f>
        <v>12995.32</v>
      </c>
      <c r="I93" s="13">
        <f>'[8]2025'!H93</f>
        <v>12836.2</v>
      </c>
      <c r="J93" s="14">
        <f>'[8]2025'!I93</f>
        <v>538</v>
      </c>
      <c r="K93" s="15">
        <f>'[8]2025'!J93</f>
        <v>118.17</v>
      </c>
      <c r="L93" s="15">
        <f>'[8]2025'!K93</f>
        <v>134.47999999999999</v>
      </c>
      <c r="M93" s="15">
        <f>'[8]2025'!L93</f>
        <v>39.729999999999997</v>
      </c>
      <c r="N93" s="16">
        <f t="shared" si="4"/>
        <v>3.095152771069319E-3</v>
      </c>
      <c r="O93" s="17">
        <f t="shared" si="5"/>
        <v>3.7397785259741544E-2</v>
      </c>
      <c r="P93" s="17">
        <f t="shared" si="5"/>
        <v>-9.5798319327731099E-2</v>
      </c>
      <c r="Q93" s="18">
        <f t="shared" si="6"/>
        <v>108.62486248624863</v>
      </c>
      <c r="R93" s="18">
        <f t="shared" si="7"/>
        <v>95.450624628197517</v>
      </c>
      <c r="S93" s="37">
        <f>(S92-SUM(F87:F93))/SUM(F87:F93)</f>
        <v>-3.8315389487017099E-2</v>
      </c>
      <c r="T93" s="47">
        <f>SUM(M87:M93)/SUM(I87:I93)</f>
        <v>1.0852302928594473E-2</v>
      </c>
      <c r="U93" s="1739"/>
    </row>
    <row r="94" spans="1:21" ht="17" customHeight="1" thickTop="1">
      <c r="A94" s="10" t="s">
        <v>9</v>
      </c>
      <c r="B94" s="19">
        <f>CHAMNORD!B94</f>
        <v>46111</v>
      </c>
      <c r="C94" s="75">
        <f>IF(H94=0,"",'[8]2025-2026'!C93)</f>
        <v>12547.08</v>
      </c>
      <c r="D94" s="68">
        <f>'[8]2025'!C94</f>
        <v>6381.67</v>
      </c>
      <c r="E94" s="68">
        <f>'[8]2025'!D94</f>
        <v>6307.8</v>
      </c>
      <c r="F94" s="20">
        <f>'[8]2025'!E94</f>
        <v>362</v>
      </c>
      <c r="G94" s="73">
        <f>'[8]2025'!F94</f>
        <v>6400</v>
      </c>
      <c r="H94" s="42">
        <f>'[8]2025'!G94</f>
        <v>7320</v>
      </c>
      <c r="I94" s="13">
        <f>'[8]2025'!H94</f>
        <v>7225.27</v>
      </c>
      <c r="J94" s="14">
        <f>'[8]2025'!I94</f>
        <v>363</v>
      </c>
      <c r="K94" s="15">
        <f>'[8]2025'!J94</f>
        <v>85.05</v>
      </c>
      <c r="L94" s="15">
        <f>'[8]2025'!K94</f>
        <v>101.22</v>
      </c>
      <c r="M94" s="15">
        <f>'[8]2025'!L94</f>
        <v>48.76</v>
      </c>
      <c r="N94" s="16">
        <f t="shared" si="4"/>
        <v>6.7485367328833376E-3</v>
      </c>
      <c r="O94" s="17">
        <f t="shared" si="5"/>
        <v>0.14545007768160059</v>
      </c>
      <c r="P94" s="17">
        <f t="shared" si="5"/>
        <v>2.7624309392265192E-3</v>
      </c>
      <c r="Q94" s="18">
        <f t="shared" si="6"/>
        <v>84.953203997648444</v>
      </c>
      <c r="R94" s="18">
        <f t="shared" si="7"/>
        <v>71.381841533293823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19">
        <f>CHAMNORD!B95</f>
        <v>46112</v>
      </c>
      <c r="C95" s="75">
        <f>IF(H95=0,"",'[8]2025-2026'!C94)</f>
        <v>6381.67</v>
      </c>
      <c r="D95" s="68">
        <f>'[8]2025'!C95</f>
        <v>7830.27</v>
      </c>
      <c r="E95" s="68">
        <f>'[8]2025'!D95</f>
        <v>7690.29</v>
      </c>
      <c r="F95" s="20">
        <f>'[8]2025'!E95</f>
        <v>423</v>
      </c>
      <c r="G95" s="73">
        <f>'[8]2025'!F95</f>
        <v>6500</v>
      </c>
      <c r="H95" s="42">
        <f>'[8]2025'!G95</f>
        <v>6884.25</v>
      </c>
      <c r="I95" s="13">
        <f>'[8]2025'!H95</f>
        <v>6790.3</v>
      </c>
      <c r="J95" s="14">
        <f>'[8]2025'!I95</f>
        <v>334</v>
      </c>
      <c r="K95" s="15">
        <f>'[8]2025'!J95</f>
        <v>71.260000000000005</v>
      </c>
      <c r="L95" s="15">
        <f>'[8]2025'!K95</f>
        <v>87.04</v>
      </c>
      <c r="M95" s="15">
        <f>'[8]2025'!L95</f>
        <v>31.99</v>
      </c>
      <c r="N95" s="16">
        <f t="shared" si="4"/>
        <v>4.7111320560210886E-3</v>
      </c>
      <c r="O95" s="17">
        <f t="shared" si="5"/>
        <v>-0.11702939681078343</v>
      </c>
      <c r="P95" s="17">
        <f t="shared" si="5"/>
        <v>-0.21040189125295508</v>
      </c>
      <c r="Q95" s="18">
        <f t="shared" si="6"/>
        <v>95.28908223407241</v>
      </c>
      <c r="R95" s="18">
        <f t="shared" si="7"/>
        <v>78.013556985294116</v>
      </c>
      <c r="S95" s="34">
        <f>SUM(I94:I100)</f>
        <v>62626.549999999996</v>
      </c>
      <c r="T95" s="45" t="s">
        <v>41</v>
      </c>
      <c r="U95" s="1738"/>
    </row>
    <row r="96" spans="1:21">
      <c r="A96" s="10" t="s">
        <v>12</v>
      </c>
      <c r="B96" s="19">
        <f>CHAMNORD!B96</f>
        <v>46113</v>
      </c>
      <c r="C96" s="75">
        <f>IF(H96=0,"",'[8]2025-2026'!C95)</f>
        <v>7830.27</v>
      </c>
      <c r="D96" s="68">
        <f>'[8]2025'!C96</f>
        <v>9508.02</v>
      </c>
      <c r="E96" s="68">
        <f>'[8]2025'!D96</f>
        <v>9356.7900000000009</v>
      </c>
      <c r="F96" s="20">
        <f>'[8]2025'!E96</f>
        <v>474</v>
      </c>
      <c r="G96" s="73">
        <f>'[8]2025'!F96</f>
        <v>9400</v>
      </c>
      <c r="H96" s="42">
        <f>'[8]2025'!G96</f>
        <v>8837.7999999999993</v>
      </c>
      <c r="I96" s="13">
        <f>'[8]2025'!H96</f>
        <v>8695.92</v>
      </c>
      <c r="J96" s="14">
        <f>'[8]2025'!I96</f>
        <v>410</v>
      </c>
      <c r="K96" s="15">
        <f>'[8]2025'!J96</f>
        <v>78.95</v>
      </c>
      <c r="L96" s="15">
        <f>'[8]2025'!K96</f>
        <v>95.41</v>
      </c>
      <c r="M96" s="15">
        <f>'[8]2025'!L96</f>
        <v>22.59</v>
      </c>
      <c r="N96" s="16">
        <f t="shared" si="4"/>
        <v>2.5977699886843486E-3</v>
      </c>
      <c r="O96" s="17">
        <f t="shared" si="5"/>
        <v>-7.0629991695870142E-2</v>
      </c>
      <c r="P96" s="17">
        <f t="shared" si="5"/>
        <v>-0.13502109704641349</v>
      </c>
      <c r="Q96" s="18">
        <f t="shared" si="6"/>
        <v>110.14464851171627</v>
      </c>
      <c r="R96" s="18">
        <f t="shared" si="7"/>
        <v>91.142647521224191</v>
      </c>
      <c r="S96" s="35">
        <f>(S95-SUM(E94:E100))/SUM(E94:E100)</f>
        <v>-6.029916633155899E-2</v>
      </c>
      <c r="T96" s="48">
        <f>SUM(I94:I100)/SUM(K94:K100)</f>
        <v>102.84856795638179</v>
      </c>
      <c r="U96" s="1738"/>
    </row>
    <row r="97" spans="1:21">
      <c r="A97" s="10" t="s">
        <v>13</v>
      </c>
      <c r="B97" s="19">
        <f>CHAMNORD!B97</f>
        <v>46114</v>
      </c>
      <c r="C97" s="75">
        <f>IF(H97=0,"",'[8]2025-2026'!C96)</f>
        <v>9508.02</v>
      </c>
      <c r="D97" s="68">
        <f>'[8]2025'!C97</f>
        <v>8202.74</v>
      </c>
      <c r="E97" s="68">
        <f>'[8]2025'!D97</f>
        <v>8077.41</v>
      </c>
      <c r="F97" s="20">
        <f>'[8]2025'!E97</f>
        <v>467</v>
      </c>
      <c r="G97" s="73">
        <f>'[8]2025'!F97</f>
        <v>7000</v>
      </c>
      <c r="H97" s="42">
        <f>'[8]2025'!G97</f>
        <v>7393.84</v>
      </c>
      <c r="I97" s="13">
        <f>'[8]2025'!H97</f>
        <v>7299.23</v>
      </c>
      <c r="J97" s="14">
        <f>'[8]2025'!I97</f>
        <v>365</v>
      </c>
      <c r="K97" s="15">
        <f>'[8]2025'!J97</f>
        <v>67.28</v>
      </c>
      <c r="L97" s="15">
        <f>'[8]2025'!K97</f>
        <v>74.459999999999994</v>
      </c>
      <c r="M97" s="15">
        <f>'[8]2025'!L97</f>
        <v>20.68</v>
      </c>
      <c r="N97" s="16">
        <f t="shared" si="4"/>
        <v>2.8331755541337925E-3</v>
      </c>
      <c r="O97" s="17">
        <f t="shared" si="5"/>
        <v>-9.6340287295061208E-2</v>
      </c>
      <c r="P97" s="17">
        <f t="shared" si="5"/>
        <v>-0.21841541755888652</v>
      </c>
      <c r="Q97" s="18">
        <f t="shared" si="6"/>
        <v>108.49033888228298</v>
      </c>
      <c r="R97" s="18">
        <f t="shared" si="7"/>
        <v>98.028874563524042</v>
      </c>
      <c r="S97" s="34"/>
      <c r="T97" s="29" t="s">
        <v>8</v>
      </c>
      <c r="U97" s="1738"/>
    </row>
    <row r="98" spans="1:21">
      <c r="A98" s="10" t="s">
        <v>14</v>
      </c>
      <c r="B98" s="19">
        <f>CHAMNORD!B98</f>
        <v>46115</v>
      </c>
      <c r="C98" s="75">
        <f>IF(H98=0,"",'[8]2025-2026'!C97)</f>
        <v>8202.74</v>
      </c>
      <c r="D98" s="68">
        <f>'[8]2025'!C98</f>
        <v>12459.36</v>
      </c>
      <c r="E98" s="68">
        <f>'[8]2025'!D98</f>
        <v>12288.98</v>
      </c>
      <c r="F98" s="20">
        <f>'[8]2025'!E98</f>
        <v>602</v>
      </c>
      <c r="G98" s="73">
        <f>'[8]2025'!F98</f>
        <v>12400</v>
      </c>
      <c r="H98" s="42">
        <f>'[8]2025'!G98</f>
        <v>12050.87</v>
      </c>
      <c r="I98" s="13">
        <f>'[8]2025'!H98</f>
        <v>11858.48</v>
      </c>
      <c r="J98" s="14">
        <f>'[8]2025'!I98</f>
        <v>575</v>
      </c>
      <c r="K98" s="15">
        <f>'[8]2025'!J98</f>
        <v>107.5</v>
      </c>
      <c r="L98" s="15">
        <f>'[8]2025'!K98</f>
        <v>124.14</v>
      </c>
      <c r="M98" s="15">
        <f>'[8]2025'!L98</f>
        <v>30.22</v>
      </c>
      <c r="N98" s="16">
        <f t="shared" si="4"/>
        <v>2.548387314394425E-3</v>
      </c>
      <c r="O98" s="17">
        <f t="shared" si="5"/>
        <v>-3.5031385843251432E-2</v>
      </c>
      <c r="P98" s="17">
        <f t="shared" si="5"/>
        <v>-4.4850498338870434E-2</v>
      </c>
      <c r="Q98" s="18">
        <f t="shared" si="6"/>
        <v>110.31144186046511</v>
      </c>
      <c r="R98" s="18">
        <f t="shared" si="7"/>
        <v>95.525052360238433</v>
      </c>
      <c r="S98" s="36" t="s">
        <v>40</v>
      </c>
      <c r="T98" s="48">
        <f>SUM(I94:I100)/SUM(L94:L100)</f>
        <v>87.717169029077269</v>
      </c>
      <c r="U98" s="1738"/>
    </row>
    <row r="99" spans="1:21">
      <c r="A99" s="10" t="s">
        <v>15</v>
      </c>
      <c r="B99" s="19">
        <f>CHAMNORD!B99</f>
        <v>46116</v>
      </c>
      <c r="C99" s="75">
        <f>IF(H99=0,"",'[8]2025-2026'!C98)</f>
        <v>12459.36</v>
      </c>
      <c r="D99" s="68">
        <f>'[8]2025'!C99</f>
        <v>12178.37</v>
      </c>
      <c r="E99" s="68">
        <f>'[8]2025'!D99</f>
        <v>11962.8</v>
      </c>
      <c r="F99" s="20">
        <f>'[8]2025'!E99</f>
        <v>554</v>
      </c>
      <c r="G99" s="73">
        <f>'[8]2025'!F99</f>
        <v>12100</v>
      </c>
      <c r="H99" s="42">
        <f>'[8]2025'!G99</f>
        <v>11700.64</v>
      </c>
      <c r="I99" s="13">
        <f>'[8]2025'!H99</f>
        <v>11512.6</v>
      </c>
      <c r="J99" s="14">
        <f>'[8]2025'!I99</f>
        <v>529</v>
      </c>
      <c r="K99" s="15">
        <f>'[8]2025'!J99</f>
        <v>109.23</v>
      </c>
      <c r="L99" s="15">
        <f>'[8]2025'!K99</f>
        <v>125.31</v>
      </c>
      <c r="M99" s="15">
        <f>'[8]2025'!L99</f>
        <v>27.66</v>
      </c>
      <c r="N99" s="16">
        <f t="shared" si="4"/>
        <v>2.4025849938328439E-3</v>
      </c>
      <c r="O99" s="17">
        <f t="shared" si="5"/>
        <v>-3.7633329989634444E-2</v>
      </c>
      <c r="P99" s="17">
        <f t="shared" si="5"/>
        <v>-4.5126353790613721E-2</v>
      </c>
      <c r="Q99" s="18">
        <f t="shared" si="6"/>
        <v>105.39778449144008</v>
      </c>
      <c r="R99" s="18">
        <f t="shared" si="7"/>
        <v>91.872955071422879</v>
      </c>
      <c r="S99" s="36">
        <f>SUM(J94:J100)</f>
        <v>2997</v>
      </c>
      <c r="T99" s="30" t="s">
        <v>3</v>
      </c>
      <c r="U99" s="1738"/>
    </row>
    <row r="100" spans="1:21" ht="18" thickBot="1">
      <c r="A100" s="10" t="s">
        <v>16</v>
      </c>
      <c r="B100" s="19">
        <f>CHAMNORD!B100</f>
        <v>46117</v>
      </c>
      <c r="C100" s="75">
        <f>IF(H100=0,"",'[8]2025-2026'!C99)</f>
        <v>12178.37</v>
      </c>
      <c r="D100" s="68">
        <f>'[8]2025'!C100</f>
        <v>10999.52</v>
      </c>
      <c r="E100" s="68">
        <f>'[8]2025'!D100</f>
        <v>10961.13</v>
      </c>
      <c r="F100" s="20">
        <f>'[8]2025'!E100</f>
        <v>539</v>
      </c>
      <c r="G100" s="73">
        <f>'[8]2025'!F100</f>
        <v>9900</v>
      </c>
      <c r="H100" s="42">
        <f>'[8]2025'!G100</f>
        <v>9380.42</v>
      </c>
      <c r="I100" s="13">
        <f>'[8]2025'!H100</f>
        <v>9244.75</v>
      </c>
      <c r="J100" s="14">
        <f>'[8]2025'!I100</f>
        <v>421</v>
      </c>
      <c r="K100" s="15">
        <f>'[8]2025'!J100</f>
        <v>89.65</v>
      </c>
      <c r="L100" s="15">
        <f>'[8]2025'!K100</f>
        <v>106.38</v>
      </c>
      <c r="M100" s="15">
        <f>'[8]2025'!L100</f>
        <v>56.98</v>
      </c>
      <c r="N100" s="16">
        <f t="shared" si="4"/>
        <v>6.1634982016820355E-3</v>
      </c>
      <c r="O100" s="17">
        <f t="shared" si="5"/>
        <v>-0.15658787004624516</v>
      </c>
      <c r="P100" s="17">
        <f t="shared" si="5"/>
        <v>-0.21892393320964751</v>
      </c>
      <c r="Q100" s="18">
        <f t="shared" si="6"/>
        <v>103.12046848856664</v>
      </c>
      <c r="R100" s="18">
        <f t="shared" si="7"/>
        <v>86.90308328633202</v>
      </c>
      <c r="S100" s="37">
        <f>(S99-SUM(F94:F100))/SUM(F94:F100)</f>
        <v>-0.12394036831335867</v>
      </c>
      <c r="T100" s="47">
        <f>SUM(M94:M100)/SUM(I94:I100)</f>
        <v>3.8143566905729279E-3</v>
      </c>
      <c r="U100" s="1739"/>
    </row>
    <row r="101" spans="1:21" ht="17" customHeight="1" thickTop="1">
      <c r="A101" s="10" t="s">
        <v>9</v>
      </c>
      <c r="B101" s="19">
        <f>CHAMNORD!B101</f>
        <v>46118</v>
      </c>
      <c r="C101" s="75">
        <f>IF(H101=0,"",'[8]2025-2026'!C100)</f>
        <v>10999.52</v>
      </c>
      <c r="D101" s="68">
        <f>'[8]2025'!C101</f>
        <v>6573.74</v>
      </c>
      <c r="E101" s="68">
        <f>'[8]2025'!D101</f>
        <v>6539.12</v>
      </c>
      <c r="F101" s="20">
        <f>'[8]2025'!E101</f>
        <v>350</v>
      </c>
      <c r="G101" s="73">
        <f>'[8]2025'!F101</f>
        <v>11700</v>
      </c>
      <c r="H101" s="42">
        <f>'[8]2025'!G101</f>
        <v>10846.73</v>
      </c>
      <c r="I101" s="13">
        <f>'[8]2025'!H101</f>
        <v>10692.51</v>
      </c>
      <c r="J101" s="14">
        <f>'[8]2025'!I101</f>
        <v>487</v>
      </c>
      <c r="K101" s="15">
        <f>'[8]2025'!J101</f>
        <v>109.23</v>
      </c>
      <c r="L101" s="15">
        <f>'[8]2025'!K101</f>
        <v>126.53</v>
      </c>
      <c r="M101" s="15">
        <f>'[8]2025'!L101</f>
        <v>93.43</v>
      </c>
      <c r="N101" s="16">
        <f t="shared" si="4"/>
        <v>8.7378922254924239E-3</v>
      </c>
      <c r="O101" s="17">
        <f t="shared" si="5"/>
        <v>0.63516038855381163</v>
      </c>
      <c r="P101" s="17">
        <f t="shared" si="5"/>
        <v>0.3914285714285714</v>
      </c>
      <c r="Q101" s="18">
        <f t="shared" si="6"/>
        <v>97.889865421587473</v>
      </c>
      <c r="R101" s="18">
        <f t="shared" si="7"/>
        <v>84.505729866434834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19">
        <f>CHAMNORD!B102</f>
        <v>46119</v>
      </c>
      <c r="C102" s="75">
        <f>IF(H102=0,"",'[8]2025-2026'!C101)</f>
        <v>6573.74</v>
      </c>
      <c r="D102" s="68">
        <f>'[8]2025'!C102</f>
        <v>6538.92</v>
      </c>
      <c r="E102" s="68">
        <f>'[8]2025'!D102</f>
        <v>6494.02</v>
      </c>
      <c r="F102" s="20">
        <f>'[8]2025'!E102</f>
        <v>353</v>
      </c>
      <c r="G102" s="73">
        <f>'[8]2025'!F102</f>
        <v>7400</v>
      </c>
      <c r="H102" s="42">
        <f>'[8]2025'!G102</f>
        <v>6797.76</v>
      </c>
      <c r="I102" s="13">
        <f>'[8]2025'!H102</f>
        <v>6695.38</v>
      </c>
      <c r="J102" s="14">
        <f>'[8]2025'!I102</f>
        <v>373</v>
      </c>
      <c r="K102" s="15">
        <f>'[8]2025'!J102</f>
        <v>97.57</v>
      </c>
      <c r="L102" s="15">
        <f>'[8]2025'!K102</f>
        <v>115.09</v>
      </c>
      <c r="M102" s="15">
        <f>'[8]2025'!L102</f>
        <v>35.61</v>
      </c>
      <c r="N102" s="16">
        <f t="shared" si="4"/>
        <v>5.3185928207211538E-3</v>
      </c>
      <c r="O102" s="17">
        <f t="shared" si="5"/>
        <v>3.1006987967391486E-2</v>
      </c>
      <c r="P102" s="17">
        <f t="shared" si="5"/>
        <v>5.6657223796033995E-2</v>
      </c>
      <c r="Q102" s="18">
        <f t="shared" si="6"/>
        <v>68.621297529978477</v>
      </c>
      <c r="R102" s="18">
        <f t="shared" si="7"/>
        <v>58.175167260404898</v>
      </c>
      <c r="S102" s="34">
        <f>SUM(I101:I107)</f>
        <v>61407.539999999994</v>
      </c>
      <c r="T102" s="45" t="s">
        <v>41</v>
      </c>
      <c r="U102" s="1738"/>
    </row>
    <row r="103" spans="1:21">
      <c r="A103" s="10" t="s">
        <v>12</v>
      </c>
      <c r="B103" s="19">
        <f>CHAMNORD!B103</f>
        <v>46120</v>
      </c>
      <c r="C103" s="75">
        <f>IF(H103=0,"",'[8]2025-2026'!C102)</f>
        <v>6538.92</v>
      </c>
      <c r="D103" s="68">
        <f>'[8]2025'!C103</f>
        <v>8404.41</v>
      </c>
      <c r="E103" s="68">
        <f>'[8]2025'!D103</f>
        <v>8329.66</v>
      </c>
      <c r="F103" s="20">
        <f>'[8]2025'!E103</f>
        <v>433</v>
      </c>
      <c r="G103" s="73">
        <f>'[8]2025'!F103</f>
        <v>8400</v>
      </c>
      <c r="H103" s="42">
        <f>'[8]2025'!G103</f>
        <v>8584.7800000000007</v>
      </c>
      <c r="I103" s="13">
        <f>'[8]2025'!H103</f>
        <v>8451.57</v>
      </c>
      <c r="J103" s="14">
        <f>'[8]2025'!I103</f>
        <v>411</v>
      </c>
      <c r="K103" s="15">
        <f>'[8]2025'!J103</f>
        <v>74.81</v>
      </c>
      <c r="L103" s="15">
        <f>'[8]2025'!K103</f>
        <v>90.49</v>
      </c>
      <c r="M103" s="15">
        <f>'[8]2025'!L103</f>
        <v>31.95</v>
      </c>
      <c r="N103" s="16">
        <f t="shared" si="4"/>
        <v>3.7803627018411965E-3</v>
      </c>
      <c r="O103" s="17">
        <f t="shared" si="5"/>
        <v>1.4635651395134959E-2</v>
      </c>
      <c r="P103" s="17">
        <f t="shared" si="5"/>
        <v>-5.0808314087759814E-2</v>
      </c>
      <c r="Q103" s="18">
        <f t="shared" si="6"/>
        <v>112.97380029407833</v>
      </c>
      <c r="R103" s="18">
        <f t="shared" si="7"/>
        <v>93.397834014808268</v>
      </c>
      <c r="S103" s="35">
        <f>(S102-SUM(E101:E107))/SUM(E101:E107)</f>
        <v>-6.9300274007399632E-2</v>
      </c>
      <c r="T103" s="48">
        <f>SUM(I101:I107)/SUM(K101:K107)</f>
        <v>87.668698693696911</v>
      </c>
      <c r="U103" s="1738"/>
    </row>
    <row r="104" spans="1:21">
      <c r="A104" s="10" t="s">
        <v>13</v>
      </c>
      <c r="B104" s="19">
        <f>CHAMNORD!B104</f>
        <v>46121</v>
      </c>
      <c r="C104" s="75">
        <f>IF(H104=0,"",'[8]2025-2026'!C103)</f>
        <v>8404.41</v>
      </c>
      <c r="D104" s="68">
        <f>'[8]2025'!C104</f>
        <v>7017.45</v>
      </c>
      <c r="E104" s="68">
        <f>'[8]2025'!D104</f>
        <v>6953.7</v>
      </c>
      <c r="F104" s="20">
        <f>'[8]2025'!E104</f>
        <v>396</v>
      </c>
      <c r="G104" s="73">
        <f>'[8]2025'!F104</f>
        <v>7000</v>
      </c>
      <c r="H104" s="42">
        <f>'[8]2025'!G104</f>
        <v>7285.3</v>
      </c>
      <c r="I104" s="13">
        <f>'[8]2025'!H104</f>
        <v>7175.79</v>
      </c>
      <c r="J104" s="14">
        <f>'[8]2025'!I104</f>
        <v>382</v>
      </c>
      <c r="K104" s="15">
        <f>'[8]2025'!J104</f>
        <v>80.900000000000006</v>
      </c>
      <c r="L104" s="15">
        <f>'[8]2025'!K104</f>
        <v>89.06</v>
      </c>
      <c r="M104" s="15">
        <f>'[8]2025'!L104</f>
        <v>26.77</v>
      </c>
      <c r="N104" s="16">
        <f t="shared" si="4"/>
        <v>3.7305996970368417E-3</v>
      </c>
      <c r="O104" s="17">
        <f t="shared" si="5"/>
        <v>3.1938392510462078E-2</v>
      </c>
      <c r="P104" s="17">
        <f t="shared" si="5"/>
        <v>-3.5353535353535352E-2</v>
      </c>
      <c r="Q104" s="18">
        <f t="shared" si="6"/>
        <v>88.699505562422743</v>
      </c>
      <c r="R104" s="18">
        <f t="shared" si="7"/>
        <v>80.57253536941387</v>
      </c>
      <c r="S104" s="34"/>
      <c r="T104" s="29" t="s">
        <v>8</v>
      </c>
      <c r="U104" s="1738"/>
    </row>
    <row r="105" spans="1:21">
      <c r="A105" s="10" t="s">
        <v>14</v>
      </c>
      <c r="B105" s="19">
        <f>CHAMNORD!B105</f>
        <v>46122</v>
      </c>
      <c r="C105" s="75">
        <f>IF(H105=0,"",'[8]2025-2026'!C104)</f>
        <v>7017.45</v>
      </c>
      <c r="D105" s="68">
        <f>'[8]2025'!C105</f>
        <v>12561.76</v>
      </c>
      <c r="E105" s="68">
        <f>'[8]2025'!D105</f>
        <v>12488.87</v>
      </c>
      <c r="F105" s="20">
        <f>'[8]2025'!E105</f>
        <v>611</v>
      </c>
      <c r="G105" s="73">
        <f>'[8]2025'!F105</f>
        <v>11500</v>
      </c>
      <c r="H105" s="42">
        <f>'[8]2025'!G105</f>
        <v>10382.23</v>
      </c>
      <c r="I105" s="13">
        <f>'[8]2025'!H105</f>
        <v>10235.67</v>
      </c>
      <c r="J105" s="14">
        <f>'[8]2025'!I105</f>
        <v>498</v>
      </c>
      <c r="K105" s="15">
        <f>'[8]2025'!J105</f>
        <v>120.59</v>
      </c>
      <c r="L105" s="15">
        <f>'[8]2025'!K105</f>
        <v>137.19</v>
      </c>
      <c r="M105" s="15">
        <f>'[8]2025'!L105</f>
        <v>14.1</v>
      </c>
      <c r="N105" s="16">
        <f t="shared" si="4"/>
        <v>1.3775356180885082E-3</v>
      </c>
      <c r="O105" s="17">
        <f t="shared" si="5"/>
        <v>-0.18041664297890847</v>
      </c>
      <c r="P105" s="17">
        <f t="shared" si="5"/>
        <v>-0.18494271685761046</v>
      </c>
      <c r="Q105" s="18">
        <f t="shared" si="6"/>
        <v>84.879923708433537</v>
      </c>
      <c r="R105" s="18">
        <f t="shared" si="7"/>
        <v>74.609446752678764</v>
      </c>
      <c r="S105" s="36" t="s">
        <v>40</v>
      </c>
      <c r="T105" s="48">
        <f>SUM(I101:I107)/SUM(L101:L107)</f>
        <v>76.713396961822895</v>
      </c>
      <c r="U105" s="1738"/>
    </row>
    <row r="106" spans="1:21">
      <c r="A106" s="10" t="s">
        <v>15</v>
      </c>
      <c r="B106" s="19">
        <f>CHAMNORD!B106</f>
        <v>46123</v>
      </c>
      <c r="C106" s="75">
        <f>IF(H106=0,"",'[8]2025-2026'!C105)</f>
        <v>12561.76</v>
      </c>
      <c r="D106" s="68">
        <f>'[8]2025'!C106</f>
        <v>12541.48</v>
      </c>
      <c r="E106" s="68">
        <f>'[8]2025'!D106</f>
        <v>12434.14</v>
      </c>
      <c r="F106" s="20">
        <f>'[8]2025'!E106</f>
        <v>557</v>
      </c>
      <c r="G106" s="73">
        <f>'[8]2025'!F106</f>
        <v>10100</v>
      </c>
      <c r="H106" s="42">
        <f>'[8]2025'!G106</f>
        <v>9330.27</v>
      </c>
      <c r="I106" s="13">
        <f>'[8]2025'!H106</f>
        <v>9165.49</v>
      </c>
      <c r="J106" s="14">
        <f>'[8]2025'!I106</f>
        <v>464</v>
      </c>
      <c r="K106" s="15">
        <f>'[8]2025'!J106</f>
        <v>111.19</v>
      </c>
      <c r="L106" s="15">
        <f>'[8]2025'!K106</f>
        <v>127.55</v>
      </c>
      <c r="M106" s="15">
        <f>'[8]2025'!L106</f>
        <v>33.25</v>
      </c>
      <c r="N106" s="16">
        <f t="shared" si="4"/>
        <v>3.627738396965138E-3</v>
      </c>
      <c r="O106" s="17">
        <f t="shared" si="5"/>
        <v>-0.26287704658303668</v>
      </c>
      <c r="P106" s="17">
        <f t="shared" si="5"/>
        <v>-0.16696588868940754</v>
      </c>
      <c r="Q106" s="18">
        <f t="shared" si="6"/>
        <v>82.430884072308658</v>
      </c>
      <c r="R106" s="18">
        <f t="shared" si="7"/>
        <v>71.858016464131708</v>
      </c>
      <c r="S106" s="36">
        <f>SUM(J101:J107)</f>
        <v>3018</v>
      </c>
      <c r="T106" s="30" t="s">
        <v>3</v>
      </c>
      <c r="U106" s="1738"/>
    </row>
    <row r="107" spans="1:21" ht="18" thickBot="1">
      <c r="A107" s="10" t="s">
        <v>16</v>
      </c>
      <c r="B107" s="19">
        <f>CHAMNORD!B107</f>
        <v>46124</v>
      </c>
      <c r="C107" s="75">
        <f>IF(H107=0,"",'[8]2025-2026'!C106)</f>
        <v>12541.48</v>
      </c>
      <c r="D107" s="68">
        <f>'[8]2025'!C107</f>
        <v>12810.7</v>
      </c>
      <c r="E107" s="68">
        <f>'[8]2025'!D107</f>
        <v>12740.46</v>
      </c>
      <c r="F107" s="20">
        <f>'[8]2025'!E107</f>
        <v>581</v>
      </c>
      <c r="G107" s="73">
        <f>'[8]2025'!F107</f>
        <v>12900</v>
      </c>
      <c r="H107" s="42">
        <f>'[8]2025'!G107</f>
        <v>9123.4</v>
      </c>
      <c r="I107" s="13">
        <f>'[8]2025'!H107</f>
        <v>8991.1299999999992</v>
      </c>
      <c r="J107" s="14">
        <f>'[8]2025'!I107</f>
        <v>403</v>
      </c>
      <c r="K107" s="15">
        <f>'[8]2025'!J107</f>
        <v>106.16</v>
      </c>
      <c r="L107" s="15">
        <f>'[8]2025'!K107</f>
        <v>114.57</v>
      </c>
      <c r="M107" s="15">
        <f>'[8]2025'!L107</f>
        <v>55.24</v>
      </c>
      <c r="N107" s="16">
        <f t="shared" si="4"/>
        <v>6.1438328663916556E-3</v>
      </c>
      <c r="O107" s="17">
        <f t="shared" si="5"/>
        <v>-0.29428529268173992</v>
      </c>
      <c r="P107" s="17">
        <f t="shared" si="5"/>
        <v>-0.30636833046471601</v>
      </c>
      <c r="Q107" s="18">
        <f t="shared" si="6"/>
        <v>84.694140919366987</v>
      </c>
      <c r="R107" s="18">
        <f t="shared" si="7"/>
        <v>78.477175525879375</v>
      </c>
      <c r="S107" s="37">
        <f>(S106-SUM(F101:F107))/SUM(F101:F107)</f>
        <v>-8.0158488265772626E-2</v>
      </c>
      <c r="T107" s="47">
        <f>SUM(M101:M107)/SUM(I101:I107)</f>
        <v>4.728246726704897E-3</v>
      </c>
      <c r="U107" s="1739"/>
    </row>
    <row r="108" spans="1:21" ht="17" customHeight="1" thickTop="1">
      <c r="A108" s="10" t="s">
        <v>9</v>
      </c>
      <c r="B108" s="19">
        <f>CHAMNORD!B108</f>
        <v>46125</v>
      </c>
      <c r="C108" s="75">
        <f>IF(H108=0,"",'[8]2025-2026'!C107)</f>
        <v>12810.7</v>
      </c>
      <c r="D108" s="68">
        <f>'[8]2025'!C108</f>
        <v>6231.8</v>
      </c>
      <c r="E108" s="68">
        <f>'[8]2025'!D108</f>
        <v>6207.1</v>
      </c>
      <c r="F108" s="20">
        <f>'[8]2025'!E108</f>
        <v>345</v>
      </c>
      <c r="G108" s="73">
        <f>'[8]2025'!F108</f>
        <v>6300</v>
      </c>
      <c r="H108" s="42">
        <f>'[8]2025'!G108</f>
        <v>5807.85</v>
      </c>
      <c r="I108" s="13">
        <f>'[8]2025'!H108</f>
        <v>5757.05</v>
      </c>
      <c r="J108" s="14">
        <f>'[8]2025'!I108</f>
        <v>279</v>
      </c>
      <c r="K108" s="15">
        <f>'[8]2025'!J108</f>
        <v>86.56</v>
      </c>
      <c r="L108" s="15">
        <f>'[8]2025'!K108</f>
        <v>103.11</v>
      </c>
      <c r="M108" s="15">
        <f>'[8]2025'!L108</f>
        <v>33.32</v>
      </c>
      <c r="N108" s="16">
        <f t="shared" si="4"/>
        <v>5.7876864018898567E-3</v>
      </c>
      <c r="O108" s="17">
        <f t="shared" si="5"/>
        <v>-7.2505678980522334E-2</v>
      </c>
      <c r="P108" s="17">
        <f t="shared" si="5"/>
        <v>-0.19130434782608696</v>
      </c>
      <c r="Q108" s="18">
        <f t="shared" si="6"/>
        <v>66.509357670979668</v>
      </c>
      <c r="R108" s="18">
        <f t="shared" si="7"/>
        <v>55.83406071186112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19">
        <f>CHAMNORD!B109</f>
        <v>46126</v>
      </c>
      <c r="C109" s="75">
        <f>IF(H109=0,"",'[8]2025-2026'!C108)</f>
        <v>6231.8</v>
      </c>
      <c r="D109" s="68">
        <f>'[8]2025'!C109</f>
        <v>7097.33</v>
      </c>
      <c r="E109" s="68">
        <f>'[8]2025'!D109</f>
        <v>7036.79</v>
      </c>
      <c r="F109" s="20">
        <f>'[8]2025'!E109</f>
        <v>361</v>
      </c>
      <c r="G109" s="73">
        <f>'[8]2025'!F109</f>
        <v>7100</v>
      </c>
      <c r="H109" s="42">
        <f>'[8]2025'!G109</f>
        <v>6781.51</v>
      </c>
      <c r="I109" s="13">
        <f>'[8]2025'!H109</f>
        <v>6687.05</v>
      </c>
      <c r="J109" s="14">
        <f>'[8]2025'!I109</f>
        <v>331</v>
      </c>
      <c r="K109" s="15">
        <f>'[8]2025'!J109</f>
        <v>62.12</v>
      </c>
      <c r="L109" s="15">
        <f>'[8]2025'!K109</f>
        <v>78.41</v>
      </c>
      <c r="M109" s="15">
        <f>'[8]2025'!L109</f>
        <v>17.52</v>
      </c>
      <c r="N109" s="16">
        <f t="shared" si="4"/>
        <v>2.619989382463119E-3</v>
      </c>
      <c r="O109" s="17">
        <f t="shared" si="5"/>
        <v>-4.9701639525977011E-2</v>
      </c>
      <c r="P109" s="17">
        <f t="shared" si="5"/>
        <v>-8.3102493074792241E-2</v>
      </c>
      <c r="Q109" s="18">
        <f t="shared" si="6"/>
        <v>107.64729555698649</v>
      </c>
      <c r="R109" s="18">
        <f t="shared" si="7"/>
        <v>85.283127152148964</v>
      </c>
      <c r="S109" s="34">
        <f>SUM(I108:I114)</f>
        <v>59836.65</v>
      </c>
      <c r="T109" s="45" t="s">
        <v>41</v>
      </c>
      <c r="U109" s="1738"/>
    </row>
    <row r="110" spans="1:21">
      <c r="A110" s="10" t="s">
        <v>12</v>
      </c>
      <c r="B110" s="19">
        <f>CHAMNORD!B110</f>
        <v>46127</v>
      </c>
      <c r="C110" s="75">
        <f>IF(H110=0,"",'[8]2025-2026'!C109)</f>
        <v>7097.33</v>
      </c>
      <c r="D110" s="68">
        <f>'[8]2025'!C110</f>
        <v>8220.2199999999993</v>
      </c>
      <c r="E110" s="68">
        <f>'[8]2025'!D110</f>
        <v>8161.7</v>
      </c>
      <c r="F110" s="20">
        <f>'[8]2025'!E110</f>
        <v>456</v>
      </c>
      <c r="G110" s="73">
        <f>'[8]2025'!F110</f>
        <v>8600</v>
      </c>
      <c r="H110" s="42">
        <f>'[8]2025'!G110</f>
        <v>8238.73</v>
      </c>
      <c r="I110" s="13">
        <f>'[8]2025'!H110</f>
        <v>8132.93</v>
      </c>
      <c r="J110" s="14">
        <f>'[8]2025'!I110</f>
        <v>429</v>
      </c>
      <c r="K110" s="15">
        <f>'[8]2025'!J110</f>
        <v>75.349999999999994</v>
      </c>
      <c r="L110" s="15">
        <f>'[8]2025'!K110</f>
        <v>91.23</v>
      </c>
      <c r="M110" s="15">
        <f>'[8]2025'!L110</f>
        <v>35.61</v>
      </c>
      <c r="N110" s="16">
        <f t="shared" si="4"/>
        <v>4.3784958188500325E-3</v>
      </c>
      <c r="O110" s="17">
        <f t="shared" si="5"/>
        <v>-3.525000918926146E-3</v>
      </c>
      <c r="P110" s="17">
        <f t="shared" si="5"/>
        <v>-5.921052631578947E-2</v>
      </c>
      <c r="Q110" s="18">
        <f t="shared" si="6"/>
        <v>107.93536828135369</v>
      </c>
      <c r="R110" s="18">
        <f t="shared" si="7"/>
        <v>89.147539186671054</v>
      </c>
      <c r="S110" s="35">
        <f>(S109-SUM(E108:E114))/SUM(E108:E114)</f>
        <v>6.6441549163419257E-4</v>
      </c>
      <c r="T110" s="48">
        <f>SUM(I108:I114)/SUM(K108:K114)</f>
        <v>94.804249318714753</v>
      </c>
      <c r="U110" s="1738"/>
    </row>
    <row r="111" spans="1:21">
      <c r="A111" s="10" t="s">
        <v>13</v>
      </c>
      <c r="B111" s="19">
        <f>CHAMNORD!B111</f>
        <v>46128</v>
      </c>
      <c r="C111" s="75">
        <f>IF(H111=0,"",'[8]2025-2026'!C110)</f>
        <v>8220.2199999999993</v>
      </c>
      <c r="D111" s="68">
        <f>'[8]2025'!C111</f>
        <v>8069.74</v>
      </c>
      <c r="E111" s="68">
        <f>'[8]2025'!D111</f>
        <v>8019.58</v>
      </c>
      <c r="F111" s="20">
        <f>'[8]2025'!E111</f>
        <v>419</v>
      </c>
      <c r="G111" s="73">
        <f>'[8]2025'!F111</f>
        <v>8200</v>
      </c>
      <c r="H111" s="42">
        <f>'[8]2025'!G111</f>
        <v>7385.63</v>
      </c>
      <c r="I111" s="13">
        <f>'[8]2025'!H111</f>
        <v>7292.62</v>
      </c>
      <c r="J111" s="14">
        <f>'[8]2025'!I111</f>
        <v>397</v>
      </c>
      <c r="K111" s="15">
        <f>'[8]2025'!J111</f>
        <v>80.28</v>
      </c>
      <c r="L111" s="15">
        <f>'[8]2025'!K111</f>
        <v>88.39</v>
      </c>
      <c r="M111" s="15">
        <f>'[8]2025'!L111</f>
        <v>20.86</v>
      </c>
      <c r="N111" s="16">
        <f t="shared" si="4"/>
        <v>2.860426019729535E-3</v>
      </c>
      <c r="O111" s="17">
        <f t="shared" si="5"/>
        <v>-9.064813868057929E-2</v>
      </c>
      <c r="P111" s="17">
        <f t="shared" si="5"/>
        <v>-5.2505966587112173E-2</v>
      </c>
      <c r="Q111" s="18">
        <f t="shared" si="6"/>
        <v>90.83981066268062</v>
      </c>
      <c r="R111" s="18">
        <f t="shared" si="7"/>
        <v>82.505034506165856</v>
      </c>
      <c r="S111" s="34"/>
      <c r="T111" s="29" t="s">
        <v>8</v>
      </c>
      <c r="U111" s="1738"/>
    </row>
    <row r="112" spans="1:21">
      <c r="A112" s="10" t="s">
        <v>14</v>
      </c>
      <c r="B112" s="19">
        <f>CHAMNORD!B112</f>
        <v>46129</v>
      </c>
      <c r="C112" s="75">
        <f>IF(H112=0,"",'[8]2025-2026'!C111)</f>
        <v>8069.74</v>
      </c>
      <c r="D112" s="68">
        <f>'[8]2025'!C112</f>
        <v>10764.94</v>
      </c>
      <c r="E112" s="68">
        <f>'[8]2025'!D112</f>
        <v>10688.06</v>
      </c>
      <c r="F112" s="20">
        <f>'[8]2025'!E112</f>
        <v>530</v>
      </c>
      <c r="G112" s="73">
        <f>'[8]2025'!F112</f>
        <v>10800</v>
      </c>
      <c r="H112" s="42">
        <f>'[8]2025'!G112</f>
        <v>10952.88</v>
      </c>
      <c r="I112" s="13">
        <f>'[8]2025'!H112</f>
        <v>10802.3</v>
      </c>
      <c r="J112" s="14">
        <f>'[8]2025'!I112</f>
        <v>529</v>
      </c>
      <c r="K112" s="15">
        <f>'[8]2025'!J112</f>
        <v>110.66</v>
      </c>
      <c r="L112" s="15">
        <f>'[8]2025'!K112</f>
        <v>127.33</v>
      </c>
      <c r="M112" s="15">
        <f>'[8]2025'!L112</f>
        <v>35.71</v>
      </c>
      <c r="N112" s="16">
        <f t="shared" si="4"/>
        <v>3.305777473315868E-3</v>
      </c>
      <c r="O112" s="17">
        <f t="shared" si="5"/>
        <v>1.0688562751331841E-2</v>
      </c>
      <c r="P112" s="17">
        <f t="shared" si="5"/>
        <v>-1.8867924528301887E-3</v>
      </c>
      <c r="Q112" s="18">
        <f t="shared" si="6"/>
        <v>97.617025121995297</v>
      </c>
      <c r="R112" s="18">
        <f t="shared" si="7"/>
        <v>84.837037618785828</v>
      </c>
      <c r="S112" s="36" t="s">
        <v>40</v>
      </c>
      <c r="T112" s="48">
        <f>SUM(I108:I114)/SUM(L108:L114)</f>
        <v>81.124540734012129</v>
      </c>
      <c r="U112" s="1738"/>
    </row>
    <row r="113" spans="1:21">
      <c r="A113" s="10" t="s">
        <v>15</v>
      </c>
      <c r="B113" s="19">
        <f>CHAMNORD!B113</f>
        <v>46130</v>
      </c>
      <c r="C113" s="75">
        <f>IF(H113=0,"",'[8]2025-2026'!C112)</f>
        <v>10764.94</v>
      </c>
      <c r="D113" s="68">
        <f>'[8]2025'!C113</f>
        <v>11176.45</v>
      </c>
      <c r="E113" s="68">
        <f>'[8]2025'!D113</f>
        <v>11063.09</v>
      </c>
      <c r="F113" s="20">
        <f>'[8]2025'!E113</f>
        <v>579</v>
      </c>
      <c r="G113" s="73">
        <f>'[8]2025'!F113</f>
        <v>10800</v>
      </c>
      <c r="H113" s="42">
        <f>'[8]2025'!G113</f>
        <v>9692.09</v>
      </c>
      <c r="I113" s="13">
        <f>'[8]2025'!H113</f>
        <v>9514.44</v>
      </c>
      <c r="J113" s="14">
        <f>'[8]2025'!I113</f>
        <v>445</v>
      </c>
      <c r="K113" s="15">
        <f>'[8]2025'!J113</f>
        <v>111.04</v>
      </c>
      <c r="L113" s="15">
        <f>'[8]2025'!K113</f>
        <v>126.56</v>
      </c>
      <c r="M113" s="15">
        <f>'[8]2025'!L113</f>
        <v>31.5</v>
      </c>
      <c r="N113" s="16">
        <f t="shared" si="4"/>
        <v>3.3107571228574669E-3</v>
      </c>
      <c r="O113" s="17">
        <f t="shared" si="5"/>
        <v>-0.1399834946655952</v>
      </c>
      <c r="P113" s="17">
        <f t="shared" si="5"/>
        <v>-0.23143350604490501</v>
      </c>
      <c r="Q113" s="18">
        <f t="shared" si="6"/>
        <v>85.684798270893367</v>
      </c>
      <c r="R113" s="18">
        <f t="shared" si="7"/>
        <v>75.177307206068264</v>
      </c>
      <c r="S113" s="36">
        <f>SUM(J108:J114)</f>
        <v>2916</v>
      </c>
      <c r="T113" s="30" t="s">
        <v>3</v>
      </c>
      <c r="U113" s="1738"/>
    </row>
    <row r="114" spans="1:21" ht="18" thickBot="1">
      <c r="A114" s="10" t="s">
        <v>16</v>
      </c>
      <c r="B114" s="19">
        <f>CHAMNORD!B114</f>
        <v>46131</v>
      </c>
      <c r="C114" s="75">
        <f>IF(H114=0,"",'[8]2025-2026'!C113)</f>
        <v>11176.45</v>
      </c>
      <c r="D114" s="68">
        <f>'[8]2025'!C114</f>
        <v>8692.27</v>
      </c>
      <c r="E114" s="68">
        <f>'[8]2025'!D114</f>
        <v>8620.6</v>
      </c>
      <c r="F114" s="20">
        <f>'[8]2025'!E114</f>
        <v>422</v>
      </c>
      <c r="G114" s="73">
        <f>'[8]2025'!F114</f>
        <v>11700</v>
      </c>
      <c r="H114" s="42">
        <f>'[8]2025'!G114</f>
        <v>11796.98</v>
      </c>
      <c r="I114" s="13">
        <f>'[8]2025'!H114</f>
        <v>11650.26</v>
      </c>
      <c r="J114" s="14">
        <f>'[8]2025'!I114</f>
        <v>506</v>
      </c>
      <c r="K114" s="15">
        <f>'[8]2025'!J114</f>
        <v>105.15</v>
      </c>
      <c r="L114" s="15">
        <f>'[8]2025'!K114</f>
        <v>122.56</v>
      </c>
      <c r="M114" s="15">
        <f>'[8]2025'!L114</f>
        <v>70.37</v>
      </c>
      <c r="N114" s="16">
        <f t="shared" si="4"/>
        <v>6.0402085447020066E-3</v>
      </c>
      <c r="O114" s="17">
        <f t="shared" si="5"/>
        <v>0.35144421501983619</v>
      </c>
      <c r="P114" s="17">
        <f t="shared" si="5"/>
        <v>0.1990521327014218</v>
      </c>
      <c r="Q114" s="18">
        <f t="shared" si="6"/>
        <v>110.7965763195435</v>
      </c>
      <c r="R114" s="18">
        <f t="shared" si="7"/>
        <v>95.057604438642301</v>
      </c>
      <c r="S114" s="37">
        <f>(S113-SUM(F108:F114))/SUM(F108:F114)</f>
        <v>-6.2982005141388173E-2</v>
      </c>
      <c r="T114" s="47">
        <f>SUM(M108:M114)/SUM(I108:I114)</f>
        <v>4.0926422184397026E-3</v>
      </c>
      <c r="U114" s="1739"/>
    </row>
    <row r="115" spans="1:21" ht="17" customHeight="1" thickTop="1">
      <c r="A115" s="10" t="s">
        <v>9</v>
      </c>
      <c r="B115" s="19">
        <f>CHAMNORD!B115</f>
        <v>46132</v>
      </c>
      <c r="C115" s="75">
        <f>IF(H115=0,"",'[8]2025-2026'!C114)</f>
        <v>8692.27</v>
      </c>
      <c r="D115" s="68">
        <f>'[8]2025'!C115</f>
        <v>10049.06</v>
      </c>
      <c r="E115" s="68">
        <f>'[8]2025'!D115</f>
        <v>9987.15</v>
      </c>
      <c r="F115" s="20">
        <f>'[8]2025'!E115</f>
        <v>460</v>
      </c>
      <c r="G115" s="73">
        <f>'[8]2025'!F115</f>
        <v>6000</v>
      </c>
      <c r="H115" s="42">
        <f>'[8]2025'!G115</f>
        <v>5786.46</v>
      </c>
      <c r="I115" s="13">
        <f>'[8]2025'!H115</f>
        <v>5725.33</v>
      </c>
      <c r="J115" s="14">
        <f>'[8]2025'!I115</f>
        <v>328</v>
      </c>
      <c r="K115" s="15">
        <f>'[8]2025'!J115</f>
        <v>74.08</v>
      </c>
      <c r="L115" s="15">
        <f>'[8]2025'!K115</f>
        <v>91.43</v>
      </c>
      <c r="M115" s="15">
        <f>'[8]2025'!L115</f>
        <v>43.45</v>
      </c>
      <c r="N115" s="16">
        <f t="shared" si="4"/>
        <v>7.5890822013752928E-3</v>
      </c>
      <c r="O115" s="17">
        <f t="shared" si="5"/>
        <v>-0.42673034849781971</v>
      </c>
      <c r="P115" s="17">
        <f t="shared" si="5"/>
        <v>-0.28695652173913044</v>
      </c>
      <c r="Q115" s="18">
        <f t="shared" si="6"/>
        <v>77.285772138228936</v>
      </c>
      <c r="R115" s="18">
        <f t="shared" si="7"/>
        <v>62.619818440336864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19">
        <f>CHAMNORD!B116</f>
        <v>46133</v>
      </c>
      <c r="C116" s="75">
        <f>IF(H116=0,"",'[8]2025-2026'!C115)</f>
        <v>10049.06</v>
      </c>
      <c r="D116" s="68">
        <f>'[8]2025'!C116</f>
        <v>7468.81</v>
      </c>
      <c r="E116" s="68">
        <f>'[8]2025'!D116</f>
        <v>7409.55</v>
      </c>
      <c r="F116" s="20">
        <f>'[8]2025'!E116</f>
        <v>417</v>
      </c>
      <c r="G116" s="73">
        <f>'[8]2025'!F116</f>
        <v>7500</v>
      </c>
      <c r="H116" s="42">
        <f>'[8]2025'!G116</f>
        <v>6131.3</v>
      </c>
      <c r="I116" s="13">
        <f>'[8]2025'!H116</f>
        <v>6061.26</v>
      </c>
      <c r="J116" s="14">
        <f>'[8]2025'!I116</f>
        <v>316</v>
      </c>
      <c r="K116" s="15">
        <f>'[8]2025'!J116</f>
        <v>85.39</v>
      </c>
      <c r="L116" s="15">
        <f>'[8]2025'!K116</f>
        <v>101.06</v>
      </c>
      <c r="M116" s="15">
        <f>'[8]2025'!L116</f>
        <v>44.22</v>
      </c>
      <c r="N116" s="16">
        <f t="shared" si="4"/>
        <v>7.2955128141673512E-3</v>
      </c>
      <c r="O116" s="17">
        <f t="shared" si="5"/>
        <v>-0.18196651618519341</v>
      </c>
      <c r="P116" s="17">
        <f t="shared" si="5"/>
        <v>-0.2422062350119904</v>
      </c>
      <c r="Q116" s="18">
        <f t="shared" si="6"/>
        <v>70.98325330834993</v>
      </c>
      <c r="R116" s="18">
        <f t="shared" si="7"/>
        <v>59.976845438353457</v>
      </c>
      <c r="S116" s="34">
        <f>SUM(I115:I121)</f>
        <v>56939.88</v>
      </c>
      <c r="T116" s="45" t="s">
        <v>41</v>
      </c>
      <c r="U116" s="1738"/>
    </row>
    <row r="117" spans="1:21">
      <c r="A117" s="10" t="s">
        <v>12</v>
      </c>
      <c r="B117" s="19">
        <f>CHAMNORD!B117</f>
        <v>46134</v>
      </c>
      <c r="C117" s="75">
        <f>IF(H117=0,"",'[8]2025-2026'!C116)</f>
        <v>7468.81</v>
      </c>
      <c r="D117" s="68">
        <f>'[8]2025'!C117</f>
        <v>6944.13</v>
      </c>
      <c r="E117" s="68">
        <f>'[8]2025'!D117</f>
        <v>6889.42</v>
      </c>
      <c r="F117" s="20">
        <f>'[8]2025'!E117</f>
        <v>357</v>
      </c>
      <c r="G117" s="73">
        <f>'[8]2025'!F117</f>
        <v>8000</v>
      </c>
      <c r="H117" s="42">
        <f>'[8]2025'!G117</f>
        <v>7593.43</v>
      </c>
      <c r="I117" s="13">
        <f>'[8]2025'!H117</f>
        <v>7488.82</v>
      </c>
      <c r="J117" s="14">
        <f>'[8]2025'!I117</f>
        <v>377</v>
      </c>
      <c r="K117" s="15">
        <f>'[8]2025'!J117</f>
        <v>89.95</v>
      </c>
      <c r="L117" s="15">
        <f>'[8]2025'!K117</f>
        <v>98.48</v>
      </c>
      <c r="M117" s="15">
        <f>'[8]2025'!L117</f>
        <v>27.57</v>
      </c>
      <c r="N117" s="16">
        <f t="shared" si="4"/>
        <v>3.6814878712534151E-3</v>
      </c>
      <c r="O117" s="17">
        <f t="shared" si="5"/>
        <v>8.7002969771040176E-2</v>
      </c>
      <c r="P117" s="17">
        <f t="shared" si="5"/>
        <v>5.6022408963585436E-2</v>
      </c>
      <c r="Q117" s="18">
        <f t="shared" si="6"/>
        <v>83.255364091161752</v>
      </c>
      <c r="R117" s="18">
        <f t="shared" si="7"/>
        <v>76.044069861900894</v>
      </c>
      <c r="S117" s="35">
        <f>(S116-SUM(E115:E121))/SUM(E115:E121)</f>
        <v>-0.11438653640728239</v>
      </c>
      <c r="T117" s="48">
        <f>SUM(I115:I121)/SUM(K115:K121)</f>
        <v>83.552040382103897</v>
      </c>
      <c r="U117" s="1738"/>
    </row>
    <row r="118" spans="1:21">
      <c r="A118" s="10" t="s">
        <v>13</v>
      </c>
      <c r="B118" s="19">
        <f>CHAMNORD!B118</f>
        <v>46135</v>
      </c>
      <c r="C118" s="75">
        <f>IF(H118=0,"",'[8]2025-2026'!C117)</f>
        <v>6944.13</v>
      </c>
      <c r="D118" s="68">
        <f>'[8]2025'!C118</f>
        <v>8591.5400000000009</v>
      </c>
      <c r="E118" s="68">
        <f>'[8]2025'!D118</f>
        <v>8540.7800000000007</v>
      </c>
      <c r="F118" s="20">
        <f>'[8]2025'!E118</f>
        <v>427</v>
      </c>
      <c r="G118" s="73">
        <f>'[8]2025'!F118</f>
        <v>8600</v>
      </c>
      <c r="H118" s="42">
        <f>'[8]2025'!G118</f>
        <v>7155.45</v>
      </c>
      <c r="I118" s="13">
        <f>'[8]2025'!H118</f>
        <v>7073.32</v>
      </c>
      <c r="J118" s="14">
        <f>'[8]2025'!I118</f>
        <v>377</v>
      </c>
      <c r="K118" s="15">
        <f>'[8]2025'!J118</f>
        <v>86.15</v>
      </c>
      <c r="L118" s="15">
        <f>'[8]2025'!K118</f>
        <v>94.33</v>
      </c>
      <c r="M118" s="15">
        <f>'[8]2025'!L118</f>
        <v>16.22</v>
      </c>
      <c r="N118" s="16">
        <f t="shared" si="4"/>
        <v>2.2931240209689368E-3</v>
      </c>
      <c r="O118" s="17">
        <f t="shared" si="5"/>
        <v>-0.17181803067167178</v>
      </c>
      <c r="P118" s="17">
        <f t="shared" si="5"/>
        <v>-0.117096018735363</v>
      </c>
      <c r="Q118" s="18">
        <f t="shared" si="6"/>
        <v>82.104701102727788</v>
      </c>
      <c r="R118" s="18">
        <f t="shared" si="7"/>
        <v>74.984840453726278</v>
      </c>
      <c r="S118" s="34"/>
      <c r="T118" s="29" t="s">
        <v>8</v>
      </c>
      <c r="U118" s="1738"/>
    </row>
    <row r="119" spans="1:21">
      <c r="A119" s="10" t="s">
        <v>14</v>
      </c>
      <c r="B119" s="19">
        <f>CHAMNORD!B119</f>
        <v>46136</v>
      </c>
      <c r="C119" s="75">
        <f>IF(H119=0,"",'[8]2025-2026'!C118)</f>
        <v>8591.5400000000009</v>
      </c>
      <c r="D119" s="68">
        <f>'[8]2025'!C119</f>
        <v>10350.33</v>
      </c>
      <c r="E119" s="68">
        <f>'[8]2025'!D119</f>
        <v>10288.450000000001</v>
      </c>
      <c r="F119" s="20">
        <f>'[8]2025'!E119</f>
        <v>528</v>
      </c>
      <c r="G119" s="73">
        <f>'[8]2025'!F119</f>
        <v>11000</v>
      </c>
      <c r="H119" s="42">
        <f>'[8]2025'!G119</f>
        <v>10088.24</v>
      </c>
      <c r="I119" s="13">
        <f>'[8]2025'!H119</f>
        <v>9938.98</v>
      </c>
      <c r="J119" s="14">
        <f>'[8]2025'!I119</f>
        <v>477</v>
      </c>
      <c r="K119" s="15">
        <f>'[8]2025'!J119</f>
        <v>117.02</v>
      </c>
      <c r="L119" s="15">
        <f>'[8]2025'!K119</f>
        <v>133.09</v>
      </c>
      <c r="M119" s="15">
        <f>'[8]2025'!L119</f>
        <v>40.65</v>
      </c>
      <c r="N119" s="16">
        <f t="shared" si="4"/>
        <v>4.0899569171081946E-3</v>
      </c>
      <c r="O119" s="17">
        <f t="shared" si="5"/>
        <v>-3.3967215664167209E-2</v>
      </c>
      <c r="P119" s="17">
        <f t="shared" si="5"/>
        <v>-9.6590909090909088E-2</v>
      </c>
      <c r="Q119" s="18">
        <f t="shared" si="6"/>
        <v>84.934028371218588</v>
      </c>
      <c r="R119" s="18">
        <f t="shared" si="7"/>
        <v>74.678638515290402</v>
      </c>
      <c r="S119" s="36" t="s">
        <v>40</v>
      </c>
      <c r="T119" s="48">
        <f>SUM(I115:I121)/SUM(L115:L121)</f>
        <v>72.997974410912533</v>
      </c>
      <c r="U119" s="1738"/>
    </row>
    <row r="120" spans="1:21">
      <c r="A120" s="10" t="s">
        <v>15</v>
      </c>
      <c r="B120" s="19">
        <f>CHAMNORD!B120</f>
        <v>46137</v>
      </c>
      <c r="C120" s="75">
        <f>IF(H120=0,"",'[8]2025-2026'!C119)</f>
        <v>10350.33</v>
      </c>
      <c r="D120" s="68">
        <f>'[8]2025'!C120</f>
        <v>9326.31</v>
      </c>
      <c r="E120" s="68">
        <f>'[8]2025'!D120</f>
        <v>9255.86</v>
      </c>
      <c r="F120" s="20">
        <f>'[8]2025'!E120</f>
        <v>442</v>
      </c>
      <c r="G120" s="73">
        <f>'[8]2025'!F120</f>
        <v>11200</v>
      </c>
      <c r="H120" s="42">
        <f>'[8]2025'!G120</f>
        <v>9293.2000000000007</v>
      </c>
      <c r="I120" s="13">
        <f>'[8]2025'!H120</f>
        <v>9158.61</v>
      </c>
      <c r="J120" s="14">
        <f>'[8]2025'!I120</f>
        <v>439</v>
      </c>
      <c r="K120" s="15">
        <f>'[8]2025'!J120</f>
        <v>120.06</v>
      </c>
      <c r="L120" s="15">
        <f>'[8]2025'!K120</f>
        <v>136.46</v>
      </c>
      <c r="M120" s="15">
        <f>'[8]2025'!L120</f>
        <v>37.659999999999997</v>
      </c>
      <c r="N120" s="16">
        <f t="shared" si="4"/>
        <v>4.1119776909378167E-3</v>
      </c>
      <c r="O120" s="17">
        <f t="shared" si="5"/>
        <v>-1.0506857277443694E-2</v>
      </c>
      <c r="P120" s="17">
        <f t="shared" si="5"/>
        <v>-6.7873303167420816E-3</v>
      </c>
      <c r="Q120" s="18">
        <f t="shared" si="6"/>
        <v>76.283608195902048</v>
      </c>
      <c r="R120" s="18">
        <f t="shared" si="7"/>
        <v>67.115711563828228</v>
      </c>
      <c r="S120" s="36">
        <f>SUM(J115:J121)</f>
        <v>2826</v>
      </c>
      <c r="T120" s="30" t="s">
        <v>3</v>
      </c>
      <c r="U120" s="1738"/>
    </row>
    <row r="121" spans="1:21" ht="18" thickBot="1">
      <c r="A121" s="10" t="s">
        <v>16</v>
      </c>
      <c r="B121" s="19">
        <f>CHAMNORD!B121</f>
        <v>46138</v>
      </c>
      <c r="C121" s="75">
        <f>IF(H121=0,"",'[8]2025-2026'!C120)</f>
        <v>9326.31</v>
      </c>
      <c r="D121" s="68">
        <f>'[8]2025'!C121</f>
        <v>11986.85</v>
      </c>
      <c r="E121" s="68">
        <f>'[8]2025'!D121</f>
        <v>11923.07</v>
      </c>
      <c r="F121" s="20">
        <f>'[8]2025'!E121</f>
        <v>516</v>
      </c>
      <c r="G121" s="73">
        <f>'[8]2025'!F121</f>
        <v>12000</v>
      </c>
      <c r="H121" s="42">
        <f>'[8]2025'!G121</f>
        <v>11616.9</v>
      </c>
      <c r="I121" s="13">
        <f>'[8]2025'!H121</f>
        <v>11493.56</v>
      </c>
      <c r="J121" s="14">
        <f>'[8]2025'!I121</f>
        <v>512</v>
      </c>
      <c r="K121" s="15">
        <f>'[8]2025'!J121</f>
        <v>108.84</v>
      </c>
      <c r="L121" s="15">
        <f>'[8]2025'!K121</f>
        <v>125.17</v>
      </c>
      <c r="M121" s="15">
        <f>'[8]2025'!L121</f>
        <v>43.22</v>
      </c>
      <c r="N121" s="16">
        <f t="shared" si="4"/>
        <v>3.7603666749031631E-3</v>
      </c>
      <c r="O121" s="17">
        <f t="shared" si="5"/>
        <v>-3.6023440271675013E-2</v>
      </c>
      <c r="P121" s="17">
        <f t="shared" si="5"/>
        <v>-7.7519379844961239E-3</v>
      </c>
      <c r="Q121" s="18">
        <f t="shared" si="6"/>
        <v>105.60051451672179</v>
      </c>
      <c r="R121" s="18">
        <f t="shared" si="7"/>
        <v>91.823599904130376</v>
      </c>
      <c r="S121" s="37">
        <f>(S120-SUM(F115:F121))/SUM(F115:F121)</f>
        <v>-0.10200190657769304</v>
      </c>
      <c r="T121" s="47">
        <f>SUM(M115:M121)/SUM(I115:I121)</f>
        <v>4.4431073616593509E-3</v>
      </c>
      <c r="U121" s="1739"/>
    </row>
    <row r="122" spans="1:21" ht="17" customHeight="1" thickTop="1">
      <c r="A122" s="10" t="s">
        <v>9</v>
      </c>
      <c r="B122" s="19">
        <f>CHAMNORD!B122</f>
        <v>46139</v>
      </c>
      <c r="C122" s="75">
        <f>IF(H122=0,"",'[8]2025-2026'!C121)</f>
        <v>11986.85</v>
      </c>
      <c r="D122" s="68">
        <f>'[8]2025'!C122</f>
        <v>6554.79</v>
      </c>
      <c r="E122" s="68">
        <f>'[8]2025'!D122</f>
        <v>6506</v>
      </c>
      <c r="F122" s="20">
        <f>'[8]2025'!E122</f>
        <v>356</v>
      </c>
      <c r="G122" s="73">
        <f>'[8]2025'!F122</f>
        <v>6600</v>
      </c>
      <c r="H122" s="42">
        <f>'[8]2025'!G122</f>
        <v>5942.27</v>
      </c>
      <c r="I122" s="13">
        <f>'[8]2025'!H122</f>
        <v>5881.68</v>
      </c>
      <c r="J122" s="14">
        <f>'[8]2025'!I122</f>
        <v>322</v>
      </c>
      <c r="K122" s="15">
        <f>'[8]2025'!J122</f>
        <v>74.569999999999993</v>
      </c>
      <c r="L122" s="15">
        <f>'[8]2025'!K122</f>
        <v>91.05</v>
      </c>
      <c r="M122" s="15">
        <f>'[8]2025'!L122</f>
        <v>27.74</v>
      </c>
      <c r="N122" s="16">
        <f t="shared" si="4"/>
        <v>4.7163395492444329E-3</v>
      </c>
      <c r="O122" s="17">
        <f t="shared" si="5"/>
        <v>-9.5960651706117381E-2</v>
      </c>
      <c r="P122" s="17">
        <f t="shared" si="5"/>
        <v>-9.5505617977528087E-2</v>
      </c>
      <c r="Q122" s="18">
        <f t="shared" si="6"/>
        <v>78.874614456215653</v>
      </c>
      <c r="R122" s="18">
        <f t="shared" si="7"/>
        <v>64.598352553542014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19">
        <f>CHAMNORD!B123</f>
        <v>46140</v>
      </c>
      <c r="C123" s="75">
        <f>IF(H123=0,"",'[8]2025-2026'!C122)</f>
        <v>6554.79</v>
      </c>
      <c r="D123" s="68">
        <f>'[8]2025'!C123</f>
        <v>7276.89</v>
      </c>
      <c r="E123" s="68">
        <f>'[8]2025'!D123</f>
        <v>7221.49</v>
      </c>
      <c r="F123" s="20">
        <f>'[8]2025'!E123</f>
        <v>375</v>
      </c>
      <c r="G123" s="73">
        <f>'[8]2025'!F123</f>
        <v>7000</v>
      </c>
      <c r="H123" s="42">
        <f>'[8]2025'!G123</f>
        <v>6765.75</v>
      </c>
      <c r="I123" s="13">
        <f>'[8]2025'!H123</f>
        <v>6684.74</v>
      </c>
      <c r="J123" s="14">
        <f>'[8]2025'!I123</f>
        <v>342</v>
      </c>
      <c r="K123" s="15">
        <f>'[8]2025'!J123</f>
        <v>62.85</v>
      </c>
      <c r="L123" s="15">
        <f>'[8]2025'!K123</f>
        <v>79.239999999999995</v>
      </c>
      <c r="M123" s="15">
        <f>'[8]2025'!L123</f>
        <v>44.75</v>
      </c>
      <c r="N123" s="16">
        <f t="shared" si="4"/>
        <v>6.6943516127777594E-3</v>
      </c>
      <c r="O123" s="17">
        <f t="shared" si="5"/>
        <v>-7.4326766359850943E-2</v>
      </c>
      <c r="P123" s="17">
        <f t="shared" si="5"/>
        <v>-8.7999999999999995E-2</v>
      </c>
      <c r="Q123" s="18">
        <f t="shared" si="6"/>
        <v>106.36022275258551</v>
      </c>
      <c r="R123" s="18">
        <f t="shared" si="7"/>
        <v>84.360676426047448</v>
      </c>
      <c r="S123" s="34">
        <f>SUM(I122:I128)</f>
        <v>66311.19</v>
      </c>
      <c r="T123" s="45" t="s">
        <v>41</v>
      </c>
      <c r="U123" s="1738"/>
    </row>
    <row r="124" spans="1:21">
      <c r="A124" s="10" t="s">
        <v>12</v>
      </c>
      <c r="B124" s="19">
        <f>CHAMNORD!B124</f>
        <v>46141</v>
      </c>
      <c r="C124" s="75">
        <f>IF(H124=0,"",'[8]2025-2026'!C123)</f>
        <v>7276.89</v>
      </c>
      <c r="D124" s="68">
        <f>'[8]2025'!C124</f>
        <v>8715.41</v>
      </c>
      <c r="E124" s="68">
        <f>'[8]2025'!D124</f>
        <v>8662.0300000000007</v>
      </c>
      <c r="F124" s="20">
        <f>'[8]2025'!E124</f>
        <v>424</v>
      </c>
      <c r="G124" s="73">
        <f>'[8]2025'!F124</f>
        <v>8700</v>
      </c>
      <c r="H124" s="42">
        <f>'[8]2025'!G124</f>
        <v>8672</v>
      </c>
      <c r="I124" s="13">
        <f>'[8]2025'!H124</f>
        <v>8539.57</v>
      </c>
      <c r="J124" s="14">
        <f>'[8]2025'!I124</f>
        <v>423</v>
      </c>
      <c r="K124" s="15">
        <f>'[8]2025'!J124</f>
        <v>87.56</v>
      </c>
      <c r="L124" s="15">
        <f>'[8]2025'!K124</f>
        <v>102.5</v>
      </c>
      <c r="M124" s="15">
        <f>'[8]2025'!L124</f>
        <v>38.17</v>
      </c>
      <c r="N124" s="16">
        <f t="shared" si="4"/>
        <v>4.4697800943138827E-3</v>
      </c>
      <c r="O124" s="17">
        <f t="shared" si="5"/>
        <v>-1.4137563596524249E-2</v>
      </c>
      <c r="P124" s="17">
        <f t="shared" si="5"/>
        <v>-2.3584905660377358E-3</v>
      </c>
      <c r="Q124" s="18">
        <f t="shared" si="6"/>
        <v>97.528209227957973</v>
      </c>
      <c r="R124" s="18">
        <f t="shared" si="7"/>
        <v>83.31287804878049</v>
      </c>
      <c r="S124" s="35">
        <f>(S123-SUM(E122:E128))/SUM(E122:E128)</f>
        <v>2.1457776318162907E-2</v>
      </c>
      <c r="T124" s="48">
        <f>SUM(I122:I128)/SUM(K122:K128)</f>
        <v>108.90146327043406</v>
      </c>
      <c r="U124" s="1738"/>
    </row>
    <row r="125" spans="1:21">
      <c r="A125" s="10" t="s">
        <v>13</v>
      </c>
      <c r="B125" s="19">
        <f>CHAMNORD!B125</f>
        <v>46142</v>
      </c>
      <c r="C125" s="75">
        <f>IF(H125=0,"",'[8]2025-2026'!C124)</f>
        <v>8715.41</v>
      </c>
      <c r="D125" s="68">
        <f>'[8]2025'!C125</f>
        <v>13404.83</v>
      </c>
      <c r="E125" s="68">
        <f>'[8]2025'!D125</f>
        <v>13291.58</v>
      </c>
      <c r="F125" s="20">
        <f>'[8]2025'!E125</f>
        <v>616</v>
      </c>
      <c r="G125" s="73">
        <f>'[8]2025'!F125</f>
        <v>9000</v>
      </c>
      <c r="H125" s="42">
        <f>'[8]2025'!G125</f>
        <v>10250.950000000001</v>
      </c>
      <c r="I125" s="13">
        <f>'[8]2025'!H125</f>
        <v>10124.74</v>
      </c>
      <c r="J125" s="14">
        <f>'[8]2025'!I125</f>
        <v>518</v>
      </c>
      <c r="K125" s="15">
        <f>'[8]2025'!J125</f>
        <v>81.319999999999993</v>
      </c>
      <c r="L125" s="15">
        <f>'[8]2025'!K125</f>
        <v>98.09</v>
      </c>
      <c r="M125" s="15">
        <f>'[8]2025'!L125</f>
        <v>26.15</v>
      </c>
      <c r="N125" s="16">
        <f t="shared" si="4"/>
        <v>2.5827823726831504E-3</v>
      </c>
      <c r="O125" s="17">
        <f t="shared" si="5"/>
        <v>-0.2382591083979482</v>
      </c>
      <c r="P125" s="17">
        <f t="shared" si="5"/>
        <v>-0.15909090909090909</v>
      </c>
      <c r="Q125" s="18">
        <f t="shared" si="6"/>
        <v>124.50491883915397</v>
      </c>
      <c r="R125" s="18">
        <f t="shared" si="7"/>
        <v>103.21888061983891</v>
      </c>
      <c r="S125" s="34"/>
      <c r="T125" s="29" t="s">
        <v>8</v>
      </c>
      <c r="U125" s="1738"/>
    </row>
    <row r="126" spans="1:21">
      <c r="A126" s="10" t="s">
        <v>14</v>
      </c>
      <c r="B126" s="19">
        <f>CHAMNORD!B126</f>
        <v>46143</v>
      </c>
      <c r="C126" s="75">
        <f>IF(H126=0,"",'[8]2025-2026'!C125)</f>
        <v>13404.83</v>
      </c>
      <c r="D126" s="68">
        <f>'[8]2025'!C126</f>
        <v>9180.7000000000007</v>
      </c>
      <c r="E126" s="68">
        <f>'[8]2025'!D126</f>
        <v>9116.2900000000009</v>
      </c>
      <c r="F126" s="20">
        <f>'[8]2025'!E126</f>
        <v>456</v>
      </c>
      <c r="G126" s="73">
        <f>'[8]2025'!F126</f>
        <v>12700</v>
      </c>
      <c r="H126" s="42">
        <f>'[8]2025'!G126</f>
        <v>13660.39</v>
      </c>
      <c r="I126" s="13">
        <f>'[8]2025'!H126</f>
        <v>13485.22</v>
      </c>
      <c r="J126" s="14">
        <f>'[8]2025'!I126</f>
        <v>671</v>
      </c>
      <c r="K126" s="15">
        <f>'[8]2025'!J126</f>
        <v>109.97</v>
      </c>
      <c r="L126" s="15">
        <f>'[8]2025'!K126</f>
        <v>126.43</v>
      </c>
      <c r="M126" s="15">
        <f>'[8]2025'!L126</f>
        <v>26.93</v>
      </c>
      <c r="N126" s="16">
        <f t="shared" si="4"/>
        <v>1.9970011612713773E-3</v>
      </c>
      <c r="O126" s="17">
        <f t="shared" si="5"/>
        <v>0.47924429784484673</v>
      </c>
      <c r="P126" s="17">
        <f t="shared" si="5"/>
        <v>0.47149122807017546</v>
      </c>
      <c r="Q126" s="18">
        <f t="shared" si="6"/>
        <v>122.62635264162954</v>
      </c>
      <c r="R126" s="18">
        <f t="shared" si="7"/>
        <v>106.66155184687177</v>
      </c>
      <c r="S126" s="36" t="s">
        <v>40</v>
      </c>
      <c r="T126" s="48">
        <f>SUM(I122:I128)/SUM(L122:L128)</f>
        <v>91.880658436213992</v>
      </c>
      <c r="U126" s="1738"/>
    </row>
    <row r="127" spans="1:21">
      <c r="A127" s="10" t="s">
        <v>15</v>
      </c>
      <c r="B127" s="19">
        <f>CHAMNORD!B127</f>
        <v>46144</v>
      </c>
      <c r="C127" s="75">
        <f>IF(H127=0,"",'[8]2025-2026'!C126)</f>
        <v>9180.7000000000007</v>
      </c>
      <c r="D127" s="68">
        <f>'[8]2025'!C127</f>
        <v>9290.24</v>
      </c>
      <c r="E127" s="68">
        <f>'[8]2025'!D127</f>
        <v>9227.15</v>
      </c>
      <c r="F127" s="20">
        <f>'[8]2025'!E127</f>
        <v>451</v>
      </c>
      <c r="G127" s="73">
        <f>'[8]2025'!F127</f>
        <v>9200</v>
      </c>
      <c r="H127" s="42">
        <f>'[8]2025'!G127</f>
        <v>9767.8799999999992</v>
      </c>
      <c r="I127" s="13">
        <f>'[8]2025'!H127</f>
        <v>9630.26</v>
      </c>
      <c r="J127" s="14">
        <f>'[8]2025'!I127</f>
        <v>452</v>
      </c>
      <c r="K127" s="15">
        <f>'[8]2025'!J127</f>
        <v>92.66</v>
      </c>
      <c r="L127" s="15">
        <f>'[8]2025'!K127</f>
        <v>108.18</v>
      </c>
      <c r="M127" s="15">
        <f>'[8]2025'!L127</f>
        <v>27.95</v>
      </c>
      <c r="N127" s="16">
        <f t="shared" si="4"/>
        <v>2.902310010321632E-3</v>
      </c>
      <c r="O127" s="17">
        <f t="shared" si="5"/>
        <v>4.3687379093219535E-2</v>
      </c>
      <c r="P127" s="17">
        <f t="shared" si="5"/>
        <v>2.2172949002217295E-3</v>
      </c>
      <c r="Q127" s="18">
        <f t="shared" si="6"/>
        <v>103.93114612562056</v>
      </c>
      <c r="R127" s="18">
        <f t="shared" si="7"/>
        <v>89.020706230356808</v>
      </c>
      <c r="S127" s="36">
        <f>SUM(J122:J128)</f>
        <v>3284</v>
      </c>
      <c r="T127" s="30" t="s">
        <v>3</v>
      </c>
      <c r="U127" s="1738"/>
    </row>
    <row r="128" spans="1:21" ht="18" thickBot="1">
      <c r="A128" s="10" t="s">
        <v>16</v>
      </c>
      <c r="B128" s="19">
        <f>CHAMNORD!B128</f>
        <v>46145</v>
      </c>
      <c r="C128" s="75">
        <f>IF(H128=0,"",'[8]2025-2026'!C127)</f>
        <v>9290.24</v>
      </c>
      <c r="D128" s="68">
        <f>'[8]2025'!C128</f>
        <v>10983.44</v>
      </c>
      <c r="E128" s="68">
        <f>'[8]2025'!D128</f>
        <v>10893.65</v>
      </c>
      <c r="F128" s="20">
        <f>'[8]2025'!E128</f>
        <v>477</v>
      </c>
      <c r="G128" s="73">
        <f>'[8]2025'!F128</f>
        <v>10800</v>
      </c>
      <c r="H128" s="42">
        <f>'[8]2025'!G128</f>
        <v>12091.88</v>
      </c>
      <c r="I128" s="13">
        <f>'[8]2025'!H128</f>
        <v>11964.98</v>
      </c>
      <c r="J128" s="14">
        <f>'[8]2025'!I128</f>
        <v>556</v>
      </c>
      <c r="K128" s="15">
        <f>'[8]2025'!J128</f>
        <v>99.98</v>
      </c>
      <c r="L128" s="15">
        <f>'[8]2025'!K128</f>
        <v>116.22</v>
      </c>
      <c r="M128" s="15">
        <f>'[8]2025'!L128</f>
        <v>19.079999999999998</v>
      </c>
      <c r="N128" s="16">
        <f t="shared" si="4"/>
        <v>1.5946537311387063E-3</v>
      </c>
      <c r="O128" s="17">
        <f t="shared" si="5"/>
        <v>9.8344448371298868E-2</v>
      </c>
      <c r="P128" s="17">
        <f t="shared" si="5"/>
        <v>0.16561844863731656</v>
      </c>
      <c r="Q128" s="18">
        <f t="shared" si="6"/>
        <v>119.67373474694938</v>
      </c>
      <c r="R128" s="18">
        <f t="shared" si="7"/>
        <v>102.95112717260368</v>
      </c>
      <c r="S128" s="37">
        <f>(S127-SUM(F122:F128))/SUM(F122:F128)</f>
        <v>4.0887480190174325E-2</v>
      </c>
      <c r="T128" s="47">
        <f>SUM(M122:M128)/SUM(I122:I128)</f>
        <v>3.1784982293335405E-3</v>
      </c>
      <c r="U128" s="1739"/>
    </row>
    <row r="129" spans="1:21" ht="17" customHeight="1" thickTop="1">
      <c r="A129" s="10" t="s">
        <v>9</v>
      </c>
      <c r="B129" s="19">
        <f>CHAMNORD!B129</f>
        <v>46146</v>
      </c>
      <c r="C129" s="75">
        <f>IF(H129=0,"",'[8]2025-2026'!C128)</f>
        <v>10983.44</v>
      </c>
      <c r="D129" s="68">
        <f>'[8]2025'!C129</f>
        <v>5960.77</v>
      </c>
      <c r="E129" s="68">
        <f>'[8]2025'!D129</f>
        <v>5933.41</v>
      </c>
      <c r="F129" s="20">
        <f>'[8]2025'!E129</f>
        <v>337</v>
      </c>
      <c r="G129" s="73">
        <f>'[8]2025'!F129</f>
        <v>6000</v>
      </c>
      <c r="H129" s="42">
        <f>'[8]2025'!G129</f>
        <v>5648.54</v>
      </c>
      <c r="I129" s="13">
        <f>'[8]2025'!H129</f>
        <v>5605.02</v>
      </c>
      <c r="J129" s="14">
        <f>'[8]2025'!I129</f>
        <v>303</v>
      </c>
      <c r="K129" s="15">
        <f>'[8]2025'!J129</f>
        <v>76.739999999999995</v>
      </c>
      <c r="L129" s="15">
        <f>'[8]2025'!K129</f>
        <v>93.26</v>
      </c>
      <c r="M129" s="15">
        <f>'[8]2025'!L129</f>
        <v>34.200000000000003</v>
      </c>
      <c r="N129" s="16">
        <f t="shared" si="4"/>
        <v>6.10167314300395E-3</v>
      </c>
      <c r="O129" s="17">
        <f t="shared" si="5"/>
        <v>-5.5345914069649567E-2</v>
      </c>
      <c r="P129" s="17">
        <f t="shared" si="5"/>
        <v>-0.10089020771513353</v>
      </c>
      <c r="Q129" s="18">
        <f t="shared" si="6"/>
        <v>73.039093041438633</v>
      </c>
      <c r="R129" s="18">
        <f t="shared" si="7"/>
        <v>60.101007934805921</v>
      </c>
      <c r="S129" s="33" t="s">
        <v>39</v>
      </c>
      <c r="T129" s="31" t="s">
        <v>42</v>
      </c>
      <c r="U129" s="1737" t="s">
        <v>101</v>
      </c>
    </row>
    <row r="130" spans="1:21">
      <c r="A130" s="10" t="s">
        <v>11</v>
      </c>
      <c r="B130" s="19">
        <f>CHAMNORD!B130</f>
        <v>46147</v>
      </c>
      <c r="C130" s="75">
        <f>IF(H130=0,"",'[8]2025-2026'!C129)</f>
        <v>5960.77</v>
      </c>
      <c r="D130" s="68">
        <f>'[8]2025'!C130</f>
        <v>6783.59</v>
      </c>
      <c r="E130" s="68">
        <f>'[8]2025'!D130</f>
        <v>6754.97</v>
      </c>
      <c r="F130" s="20">
        <f>'[8]2025'!E130</f>
        <v>331</v>
      </c>
      <c r="G130" s="73">
        <f>'[8]2025'!F130</f>
        <v>6700</v>
      </c>
      <c r="H130" s="42">
        <f>'[8]2025'!G130</f>
        <v>6623.68</v>
      </c>
      <c r="I130" s="13">
        <f>'[8]2025'!H130</f>
        <v>6533.52</v>
      </c>
      <c r="J130" s="14">
        <f>'[8]2025'!I130</f>
        <v>337</v>
      </c>
      <c r="K130" s="15">
        <f>'[8]2025'!J130</f>
        <v>79.14</v>
      </c>
      <c r="L130" s="15">
        <f>'[8]2025'!K130</f>
        <v>96.19</v>
      </c>
      <c r="M130" s="15">
        <f>'[8]2025'!L130</f>
        <v>46.29</v>
      </c>
      <c r="N130" s="16">
        <f t="shared" si="4"/>
        <v>7.0850016530139949E-3</v>
      </c>
      <c r="O130" s="17">
        <f t="shared" si="5"/>
        <v>-3.2783269207709256E-2</v>
      </c>
      <c r="P130" s="17">
        <f t="shared" si="5"/>
        <v>1.812688821752266E-2</v>
      </c>
      <c r="Q130" s="18">
        <f t="shared" si="6"/>
        <v>82.556482183472326</v>
      </c>
      <c r="R130" s="18">
        <f t="shared" si="7"/>
        <v>67.923068926083801</v>
      </c>
      <c r="S130" s="34">
        <f>SUM(I129:I135)</f>
        <v>60445.77</v>
      </c>
      <c r="T130" s="45" t="s">
        <v>41</v>
      </c>
      <c r="U130" s="1738"/>
    </row>
    <row r="131" spans="1:21">
      <c r="A131" s="10" t="s">
        <v>12</v>
      </c>
      <c r="B131" s="19">
        <f>CHAMNORD!B131</f>
        <v>46148</v>
      </c>
      <c r="C131" s="75">
        <f>IF(H131=0,"",'[8]2025-2026'!C130)</f>
        <v>6783.59</v>
      </c>
      <c r="D131" s="68">
        <f>'[8]2025'!C131</f>
        <v>9459.85</v>
      </c>
      <c r="E131" s="68">
        <f>'[8]2025'!D131</f>
        <v>9387.65</v>
      </c>
      <c r="F131" s="20">
        <f>'[8]2025'!E131</f>
        <v>443</v>
      </c>
      <c r="G131" s="73">
        <f>'[8]2025'!F131</f>
        <v>9100</v>
      </c>
      <c r="H131" s="42">
        <f>'[8]2025'!G131</f>
        <v>8341.83</v>
      </c>
      <c r="I131" s="13">
        <f>'[8]2025'!H131</f>
        <v>8237.1299999999992</v>
      </c>
      <c r="J131" s="14">
        <f>'[8]2025'!I131</f>
        <v>407</v>
      </c>
      <c r="K131" s="15">
        <f>'[8]2025'!J131</f>
        <v>86.9</v>
      </c>
      <c r="L131" s="15">
        <f>'[8]2025'!K131</f>
        <v>103.06</v>
      </c>
      <c r="M131" s="15">
        <f>'[8]2025'!L131</f>
        <v>16.47</v>
      </c>
      <c r="N131" s="16">
        <f t="shared" si="4"/>
        <v>1.9994828295777779E-3</v>
      </c>
      <c r="O131" s="17">
        <f t="shared" si="5"/>
        <v>-0.12255676340724254</v>
      </c>
      <c r="P131" s="17">
        <f t="shared" si="5"/>
        <v>-8.1264108352144468E-2</v>
      </c>
      <c r="Q131" s="18">
        <f t="shared" si="6"/>
        <v>94.788607594936693</v>
      </c>
      <c r="R131" s="18">
        <f t="shared" si="7"/>
        <v>79.925577333592074</v>
      </c>
      <c r="S131" s="35">
        <f>(S130-SUM(E129:E135))/SUM(E129:E135)</f>
        <v>3.8366951062266189E-2</v>
      </c>
      <c r="T131" s="48">
        <f>SUM(I129:I135)/SUM(K129:K135)</f>
        <v>95.827023684961461</v>
      </c>
      <c r="U131" s="1738"/>
    </row>
    <row r="132" spans="1:21">
      <c r="A132" s="10" t="s">
        <v>13</v>
      </c>
      <c r="B132" s="19">
        <f>CHAMNORD!B132</f>
        <v>46149</v>
      </c>
      <c r="C132" s="75">
        <f>IF(H132=0,"",'[8]2025-2026'!C131)</f>
        <v>9459.85</v>
      </c>
      <c r="D132" s="68">
        <f>'[8]2025'!C132</f>
        <v>9439.09</v>
      </c>
      <c r="E132" s="68">
        <f>'[8]2025'!D132</f>
        <v>9367.5300000000007</v>
      </c>
      <c r="F132" s="20">
        <f>'[8]2025'!E132</f>
        <v>435</v>
      </c>
      <c r="G132" s="73">
        <f>'[8]2025'!F132</f>
        <v>8700</v>
      </c>
      <c r="H132" s="42">
        <f>'[8]2025'!G132</f>
        <v>9588.83</v>
      </c>
      <c r="I132" s="13">
        <f>'[8]2025'!H132</f>
        <v>9491.39</v>
      </c>
      <c r="J132" s="14">
        <f>'[8]2025'!I132</f>
        <v>473</v>
      </c>
      <c r="K132" s="15">
        <f>'[8]2025'!J132</f>
        <v>73.11</v>
      </c>
      <c r="L132" s="15">
        <f>'[8]2025'!K132</f>
        <v>89.51</v>
      </c>
      <c r="M132" s="15">
        <f>'[8]2025'!L132</f>
        <v>50.76</v>
      </c>
      <c r="N132" s="16">
        <f t="shared" ref="N132:N195" si="8">IF(M132=0,"",M132/I132)</f>
        <v>5.3480048759981412E-3</v>
      </c>
      <c r="O132" s="17">
        <f t="shared" ref="O132:P195" si="9">IF(I132=0,"",(I132-E132)/E132)</f>
        <v>1.3222268837142635E-2</v>
      </c>
      <c r="P132" s="17">
        <f t="shared" si="9"/>
        <v>8.7356321839080459E-2</v>
      </c>
      <c r="Q132" s="18">
        <f t="shared" ref="Q132:Q195" si="10">IF(I132=0,"",I132/K132)</f>
        <v>129.82341676925179</v>
      </c>
      <c r="R132" s="18">
        <f t="shared" ref="R132:R195" si="11">I132/L132</f>
        <v>106.03720254720142</v>
      </c>
      <c r="S132" s="34"/>
      <c r="T132" s="29" t="s">
        <v>8</v>
      </c>
      <c r="U132" s="1738"/>
    </row>
    <row r="133" spans="1:21">
      <c r="A133" s="10" t="s">
        <v>14</v>
      </c>
      <c r="B133" s="19">
        <f>CHAMNORD!B133</f>
        <v>46150</v>
      </c>
      <c r="C133" s="75">
        <f>IF(H133=0,"",'[8]2025-2026'!C132)</f>
        <v>9439.09</v>
      </c>
      <c r="D133" s="68">
        <f>'[8]2025'!C133</f>
        <v>8258.57</v>
      </c>
      <c r="E133" s="68">
        <f>'[8]2025'!D133</f>
        <v>8212.42</v>
      </c>
      <c r="F133" s="20">
        <f>'[8]2025'!E133</f>
        <v>436</v>
      </c>
      <c r="G133" s="73">
        <f>'[8]2025'!F133</f>
        <v>12500</v>
      </c>
      <c r="H133" s="42">
        <f>'[8]2025'!G133</f>
        <v>9801.5300000000007</v>
      </c>
      <c r="I133" s="13">
        <f>'[8]2025'!H133</f>
        <v>9699.3799999999992</v>
      </c>
      <c r="J133" s="14">
        <f>'[8]2025'!I133</f>
        <v>442</v>
      </c>
      <c r="K133" s="15">
        <f>'[8]2025'!J133</f>
        <v>126.88</v>
      </c>
      <c r="L133" s="15">
        <f>'[8]2025'!K133</f>
        <v>134.38</v>
      </c>
      <c r="M133" s="15">
        <f>'[8]2025'!L133</f>
        <v>17.98</v>
      </c>
      <c r="N133" s="16">
        <f t="shared" si="8"/>
        <v>1.8537267330489167E-3</v>
      </c>
      <c r="O133" s="17">
        <f t="shared" si="9"/>
        <v>0.18106234215980174</v>
      </c>
      <c r="P133" s="17">
        <f t="shared" si="9"/>
        <v>1.3761467889908258E-2</v>
      </c>
      <c r="Q133" s="18">
        <f t="shared" si="10"/>
        <v>76.445302648171491</v>
      </c>
      <c r="R133" s="18">
        <f t="shared" si="11"/>
        <v>72.178746837326983</v>
      </c>
      <c r="S133" s="36" t="s">
        <v>40</v>
      </c>
      <c r="T133" s="48">
        <f>SUM(I129:I135)/SUM(L129:L135)</f>
        <v>81.46439978975458</v>
      </c>
      <c r="U133" s="1738"/>
    </row>
    <row r="134" spans="1:21">
      <c r="A134" s="10" t="s">
        <v>15</v>
      </c>
      <c r="B134" s="19">
        <f>CHAMNORD!B134</f>
        <v>46151</v>
      </c>
      <c r="C134" s="75">
        <f>IF(H134=0,"",'[8]2025-2026'!C133)</f>
        <v>8258.57</v>
      </c>
      <c r="D134" s="68">
        <f>'[8]2025'!C134</f>
        <v>8706.59</v>
      </c>
      <c r="E134" s="68">
        <f>'[8]2025'!D134</f>
        <v>8657.7800000000007</v>
      </c>
      <c r="F134" s="20">
        <f>'[8]2025'!E134</f>
        <v>437</v>
      </c>
      <c r="G134" s="73">
        <f>'[8]2025'!F134</f>
        <v>8700</v>
      </c>
      <c r="H134" s="42">
        <f>'[8]2025'!G134</f>
        <v>9136.15</v>
      </c>
      <c r="I134" s="13">
        <f>'[8]2025'!H134</f>
        <v>9033.26</v>
      </c>
      <c r="J134" s="14">
        <f>'[8]2025'!I134</f>
        <v>396</v>
      </c>
      <c r="K134" s="15">
        <f>'[8]2025'!J134</f>
        <v>91.18</v>
      </c>
      <c r="L134" s="15">
        <f>'[8]2025'!K134</f>
        <v>112.11</v>
      </c>
      <c r="M134" s="15">
        <f>'[8]2025'!L134</f>
        <v>27.28</v>
      </c>
      <c r="N134" s="16">
        <f t="shared" si="8"/>
        <v>3.0199507154670627E-3</v>
      </c>
      <c r="O134" s="17">
        <f t="shared" si="9"/>
        <v>4.3369085377544768E-2</v>
      </c>
      <c r="P134" s="17">
        <f t="shared" si="9"/>
        <v>-9.3821510297482841E-2</v>
      </c>
      <c r="Q134" s="18">
        <f t="shared" si="10"/>
        <v>99.070629524018415</v>
      </c>
      <c r="R134" s="18">
        <f t="shared" si="11"/>
        <v>80.574971010614576</v>
      </c>
      <c r="S134" s="36">
        <f>SUM(J129:J135)</f>
        <v>2894</v>
      </c>
      <c r="T134" s="30" t="s">
        <v>3</v>
      </c>
      <c r="U134" s="1738"/>
    </row>
    <row r="135" spans="1:21" ht="18" thickBot="1">
      <c r="A135" s="10" t="s">
        <v>16</v>
      </c>
      <c r="B135" s="19">
        <f>CHAMNORD!B135</f>
        <v>46152</v>
      </c>
      <c r="C135" s="75">
        <f>IF(H135=0,"",'[8]2025-2026'!C134)</f>
        <v>8706.59</v>
      </c>
      <c r="D135" s="68">
        <f>'[8]2025'!C135</f>
        <v>9967.56</v>
      </c>
      <c r="E135" s="68">
        <f>'[8]2025'!D135</f>
        <v>9898.58</v>
      </c>
      <c r="F135" s="20">
        <f>'[8]2025'!E135</f>
        <v>458</v>
      </c>
      <c r="G135" s="73">
        <f>'[8]2025'!F135</f>
        <v>10000</v>
      </c>
      <c r="H135" s="42">
        <f>'[8]2025'!G135</f>
        <v>11972.2</v>
      </c>
      <c r="I135" s="13">
        <f>'[8]2025'!H135</f>
        <v>11846.07</v>
      </c>
      <c r="J135" s="14">
        <f>'[8]2025'!I135</f>
        <v>536</v>
      </c>
      <c r="K135" s="15">
        <f>'[8]2025'!J135</f>
        <v>96.83</v>
      </c>
      <c r="L135" s="15">
        <f>'[8]2025'!K135</f>
        <v>113.48</v>
      </c>
      <c r="M135" s="15">
        <f>'[8]2025'!L135</f>
        <v>25.53</v>
      </c>
      <c r="N135" s="16">
        <f t="shared" si="8"/>
        <v>2.1551451240791253E-3</v>
      </c>
      <c r="O135" s="17">
        <f t="shared" si="9"/>
        <v>0.19674438151734894</v>
      </c>
      <c r="P135" s="17">
        <f t="shared" si="9"/>
        <v>0.1703056768558952</v>
      </c>
      <c r="Q135" s="18">
        <f t="shared" si="10"/>
        <v>122.338841268202</v>
      </c>
      <c r="R135" s="18">
        <f t="shared" si="11"/>
        <v>104.38905534014803</v>
      </c>
      <c r="S135" s="37">
        <f>(S134-SUM(F129:F135))/SUM(F129:F135)</f>
        <v>5.908932916232186E-3</v>
      </c>
      <c r="T135" s="47">
        <f>SUM(M129:M135)/SUM(I129:I135)</f>
        <v>3.6149758701063779E-3</v>
      </c>
      <c r="U135" s="1739"/>
    </row>
    <row r="136" spans="1:21" ht="17" customHeight="1" thickTop="1">
      <c r="A136" s="10" t="s">
        <v>9</v>
      </c>
      <c r="B136" s="19">
        <f>CHAMNORD!B136</f>
        <v>46153</v>
      </c>
      <c r="C136" s="75">
        <f>IF(H136=0,"",'[8]2025-2026'!C135)</f>
        <v>9967.56</v>
      </c>
      <c r="D136" s="68">
        <f>'[8]2025'!C136</f>
        <v>6165.59</v>
      </c>
      <c r="E136" s="68">
        <f>'[8]2025'!D136</f>
        <v>6122.03</v>
      </c>
      <c r="F136" s="20">
        <f>'[8]2025'!E136</f>
        <v>348</v>
      </c>
      <c r="G136" s="73">
        <f>'[8]2025'!F136</f>
        <v>6000</v>
      </c>
      <c r="H136" s="42">
        <f>'[8]2025'!G136</f>
        <v>5604.08</v>
      </c>
      <c r="I136" s="13">
        <f>'[8]2025'!H136</f>
        <v>5560.02</v>
      </c>
      <c r="J136" s="14">
        <f>'[8]2025'!I136</f>
        <v>303</v>
      </c>
      <c r="K136" s="15">
        <f>'[8]2025'!J136</f>
        <v>55.55</v>
      </c>
      <c r="L136" s="15">
        <f>'[8]2025'!K136</f>
        <v>73.83</v>
      </c>
      <c r="M136" s="15">
        <f>'[8]2025'!L136</f>
        <v>27.32</v>
      </c>
      <c r="N136" s="16">
        <f t="shared" si="8"/>
        <v>4.9136513897432019E-3</v>
      </c>
      <c r="O136" s="17">
        <f t="shared" si="9"/>
        <v>-9.1801248932135149E-2</v>
      </c>
      <c r="P136" s="17">
        <f t="shared" si="9"/>
        <v>-0.12931034482758622</v>
      </c>
      <c r="Q136" s="18">
        <f t="shared" si="10"/>
        <v>100.09036903690371</v>
      </c>
      <c r="R136" s="18">
        <f t="shared" si="11"/>
        <v>75.308411214953281</v>
      </c>
      <c r="S136" s="33" t="s">
        <v>39</v>
      </c>
      <c r="T136" s="31" t="s">
        <v>42</v>
      </c>
      <c r="U136" s="1737" t="s">
        <v>102</v>
      </c>
    </row>
    <row r="137" spans="1:21">
      <c r="A137" s="10" t="s">
        <v>11</v>
      </c>
      <c r="B137" s="19">
        <f>CHAMNORD!B137</f>
        <v>46154</v>
      </c>
      <c r="C137" s="75">
        <f>IF(H137=0,"",'[8]2025-2026'!C136)</f>
        <v>6165.59</v>
      </c>
      <c r="D137" s="68">
        <f>'[8]2025'!C137</f>
        <v>7011.27</v>
      </c>
      <c r="E137" s="68">
        <f>'[8]2025'!D137</f>
        <v>6962.49</v>
      </c>
      <c r="F137" s="20">
        <f>'[8]2025'!E137</f>
        <v>395</v>
      </c>
      <c r="G137" s="73">
        <f>'[8]2025'!F137</f>
        <v>6700</v>
      </c>
      <c r="H137" s="42">
        <f>'[8]2025'!G137</f>
        <v>6590.67</v>
      </c>
      <c r="I137" s="13">
        <f>'[8]2025'!H137</f>
        <v>6534.42</v>
      </c>
      <c r="J137" s="14">
        <f>'[8]2025'!I137</f>
        <v>342</v>
      </c>
      <c r="K137" s="15">
        <f>'[8]2025'!J137</f>
        <v>65.58</v>
      </c>
      <c r="L137" s="15">
        <f>'[8]2025'!K137</f>
        <v>82.51</v>
      </c>
      <c r="M137" s="15">
        <f>'[8]2025'!L137</f>
        <v>24.49</v>
      </c>
      <c r="N137" s="16">
        <f t="shared" si="8"/>
        <v>3.7478460215290719E-3</v>
      </c>
      <c r="O137" s="17">
        <f t="shared" si="9"/>
        <v>-6.1482314516789212E-2</v>
      </c>
      <c r="P137" s="17">
        <f t="shared" si="9"/>
        <v>-0.13417721518987341</v>
      </c>
      <c r="Q137" s="18">
        <f t="shared" si="10"/>
        <v>99.64043915827996</v>
      </c>
      <c r="R137" s="18">
        <f t="shared" si="11"/>
        <v>79.195491455581134</v>
      </c>
      <c r="S137" s="34">
        <f>SUM(I136:I142)</f>
        <v>55928.219999999994</v>
      </c>
      <c r="T137" s="45" t="s">
        <v>41</v>
      </c>
      <c r="U137" s="1738"/>
    </row>
    <row r="138" spans="1:21">
      <c r="A138" s="10" t="s">
        <v>12</v>
      </c>
      <c r="B138" s="19">
        <f>CHAMNORD!B138</f>
        <v>46155</v>
      </c>
      <c r="C138" s="75">
        <f>IF(H138=0,"",'[8]2025-2026'!C137)</f>
        <v>7011.27</v>
      </c>
      <c r="D138" s="68">
        <f>'[8]2025'!C138</f>
        <v>8511.9500000000007</v>
      </c>
      <c r="E138" s="68">
        <f>'[8]2025'!D138</f>
        <v>8453.32</v>
      </c>
      <c r="F138" s="20">
        <f>'[8]2025'!E138</f>
        <v>458</v>
      </c>
      <c r="G138" s="73">
        <f>'[8]2025'!F138</f>
        <v>9200</v>
      </c>
      <c r="H138" s="42">
        <f>'[8]2025'!G138</f>
        <v>10441.74</v>
      </c>
      <c r="I138" s="13">
        <f>'[8]2025'!H138</f>
        <v>10308.83</v>
      </c>
      <c r="J138" s="14">
        <f>'[8]2025'!I138</f>
        <v>530</v>
      </c>
      <c r="K138" s="15">
        <f>'[8]2025'!J138</f>
        <v>86.79</v>
      </c>
      <c r="L138" s="15">
        <f>'[8]2025'!K138</f>
        <v>104.54</v>
      </c>
      <c r="M138" s="15">
        <f>'[8]2025'!L138</f>
        <v>27.68</v>
      </c>
      <c r="N138" s="16">
        <f t="shared" si="8"/>
        <v>2.685076773988901E-3</v>
      </c>
      <c r="O138" s="17">
        <f t="shared" si="9"/>
        <v>0.21950074053744567</v>
      </c>
      <c r="P138" s="17">
        <f t="shared" si="9"/>
        <v>0.15720524017467249</v>
      </c>
      <c r="Q138" s="18">
        <f t="shared" si="10"/>
        <v>118.7790067980182</v>
      </c>
      <c r="R138" s="18">
        <f t="shared" si="11"/>
        <v>98.611344939735986</v>
      </c>
      <c r="S138" s="35">
        <f>(S137-SUM(E136:E142))/SUM(E136:E142)</f>
        <v>-7.7587989823293041E-2</v>
      </c>
      <c r="T138" s="48">
        <f>SUM(I136:I142)/SUM(K136:K142)</f>
        <v>101.77834798274823</v>
      </c>
      <c r="U138" s="1738"/>
    </row>
    <row r="139" spans="1:21">
      <c r="A139" s="10" t="s">
        <v>13</v>
      </c>
      <c r="B139" s="19">
        <f>CHAMNORD!B139</f>
        <v>46156</v>
      </c>
      <c r="C139" s="75">
        <f>IF(H139=0,"",'[8]2025-2026'!C138)</f>
        <v>8511.9500000000007</v>
      </c>
      <c r="D139" s="68">
        <f>'[8]2025'!C139</f>
        <v>6766.95</v>
      </c>
      <c r="E139" s="68">
        <f>'[8]2025'!D139</f>
        <v>6727.28</v>
      </c>
      <c r="F139" s="20">
        <f>'[8]2025'!E139</f>
        <v>356</v>
      </c>
      <c r="G139" s="73">
        <f>'[8]2025'!F139</f>
        <v>10100</v>
      </c>
      <c r="H139" s="42">
        <f>'[8]2025'!G139</f>
        <v>7326.35</v>
      </c>
      <c r="I139" s="13">
        <f>'[8]2025'!H139</f>
        <v>7247.23</v>
      </c>
      <c r="J139" s="14">
        <f>'[8]2025'!I139</f>
        <v>316</v>
      </c>
      <c r="K139" s="15">
        <f>'[8]2025'!J139</f>
        <v>62.85</v>
      </c>
      <c r="L139" s="15">
        <f>'[8]2025'!K139</f>
        <v>77.42</v>
      </c>
      <c r="M139" s="15">
        <f>'[8]2025'!L139</f>
        <v>27.29</v>
      </c>
      <c r="N139" s="16">
        <f t="shared" si="8"/>
        <v>3.7655766410062881E-3</v>
      </c>
      <c r="O139" s="17">
        <f t="shared" si="9"/>
        <v>7.7289781308344505E-2</v>
      </c>
      <c r="P139" s="17">
        <f t="shared" si="9"/>
        <v>-0.11235955056179775</v>
      </c>
      <c r="Q139" s="18">
        <f t="shared" si="10"/>
        <v>115.30994431185361</v>
      </c>
      <c r="R139" s="18">
        <f t="shared" si="11"/>
        <v>93.609274089382581</v>
      </c>
      <c r="S139" s="34"/>
      <c r="T139" s="29" t="s">
        <v>8</v>
      </c>
      <c r="U139" s="1738"/>
    </row>
    <row r="140" spans="1:21">
      <c r="A140" s="10" t="s">
        <v>14</v>
      </c>
      <c r="B140" s="19">
        <f>CHAMNORD!B140</f>
        <v>46157</v>
      </c>
      <c r="C140" s="75">
        <f>IF(H140=0,"",'[8]2025-2026'!C139)</f>
        <v>6766.95</v>
      </c>
      <c r="D140" s="68">
        <f>'[8]2025'!C140</f>
        <v>10766.93</v>
      </c>
      <c r="E140" s="68">
        <f>'[8]2025'!D140</f>
        <v>10696.05</v>
      </c>
      <c r="F140" s="20">
        <f>'[8]2025'!E140</f>
        <v>589</v>
      </c>
      <c r="G140" s="73">
        <f>'[8]2025'!F140</f>
        <v>10500</v>
      </c>
      <c r="H140" s="42">
        <f>'[8]2025'!G140</f>
        <v>7411.87</v>
      </c>
      <c r="I140" s="13">
        <f>'[8]2025'!H140</f>
        <v>7310.59</v>
      </c>
      <c r="J140" s="14">
        <f>'[8]2025'!I140</f>
        <v>355</v>
      </c>
      <c r="K140" s="15">
        <f>'[8]2025'!J140</f>
        <v>92.9</v>
      </c>
      <c r="L140" s="15">
        <f>'[8]2025'!K140</f>
        <v>109.34</v>
      </c>
      <c r="M140" s="15">
        <f>'[8]2025'!L140</f>
        <v>14.9</v>
      </c>
      <c r="N140" s="16">
        <f t="shared" si="8"/>
        <v>2.0381391925959466E-3</v>
      </c>
      <c r="O140" s="17">
        <f t="shared" si="9"/>
        <v>-0.31651497515437937</v>
      </c>
      <c r="P140" s="17">
        <f t="shared" si="9"/>
        <v>-0.39728353140916806</v>
      </c>
      <c r="Q140" s="18">
        <f t="shared" si="10"/>
        <v>78.693110871905276</v>
      </c>
      <c r="R140" s="18">
        <f t="shared" si="11"/>
        <v>66.861075544174142</v>
      </c>
      <c r="S140" s="36" t="s">
        <v>40</v>
      </c>
      <c r="T140" s="48">
        <f>SUM(I136:I142)/SUM(L136:L142)</f>
        <v>84.004055393673582</v>
      </c>
      <c r="U140" s="1738"/>
    </row>
    <row r="141" spans="1:21">
      <c r="A141" s="10" t="s">
        <v>15</v>
      </c>
      <c r="B141" s="19">
        <f>CHAMNORD!B141</f>
        <v>46158</v>
      </c>
      <c r="C141" s="75">
        <f>IF(H141=0,"",'[8]2025-2026'!C140)</f>
        <v>10766.93</v>
      </c>
      <c r="D141" s="68">
        <f>'[8]2025'!C141</f>
        <v>11085.93</v>
      </c>
      <c r="E141" s="68">
        <f>'[8]2025'!D141</f>
        <v>10993.49</v>
      </c>
      <c r="F141" s="20">
        <f>'[8]2025'!E141</f>
        <v>511</v>
      </c>
      <c r="G141" s="73">
        <f>'[8]2025'!F141</f>
        <v>10000</v>
      </c>
      <c r="H141" s="42">
        <f>'[8]2025'!G141</f>
        <v>8146.5</v>
      </c>
      <c r="I141" s="13">
        <f>'[8]2025'!H141</f>
        <v>8053.78</v>
      </c>
      <c r="J141" s="14">
        <f>'[8]2025'!I141</f>
        <v>376</v>
      </c>
      <c r="K141" s="15">
        <f>'[8]2025'!J141</f>
        <v>85.39</v>
      </c>
      <c r="L141" s="15">
        <f>'[8]2025'!K141</f>
        <v>102.03</v>
      </c>
      <c r="M141" s="15">
        <f>'[8]2025'!L141</f>
        <v>30.13</v>
      </c>
      <c r="N141" s="16">
        <f t="shared" si="8"/>
        <v>3.7411004522100179E-3</v>
      </c>
      <c r="O141" s="17">
        <f t="shared" si="9"/>
        <v>-0.26740461855152459</v>
      </c>
      <c r="P141" s="17">
        <f t="shared" si="9"/>
        <v>-0.26418786692759294</v>
      </c>
      <c r="Q141" s="18">
        <f t="shared" si="10"/>
        <v>94.317601592692355</v>
      </c>
      <c r="R141" s="18">
        <f t="shared" si="11"/>
        <v>78.93541115358228</v>
      </c>
      <c r="S141" s="36">
        <f>SUM(J136:J142)</f>
        <v>2705</v>
      </c>
      <c r="T141" s="30" t="s">
        <v>3</v>
      </c>
      <c r="U141" s="1738"/>
    </row>
    <row r="142" spans="1:21" ht="18" thickBot="1">
      <c r="A142" s="10" t="s">
        <v>16</v>
      </c>
      <c r="B142" s="19">
        <f>CHAMNORD!B142</f>
        <v>46159</v>
      </c>
      <c r="C142" s="75">
        <f>IF(H142=0,"",'[8]2025-2026'!C141)</f>
        <v>11085.93</v>
      </c>
      <c r="D142" s="68">
        <f>'[8]2025'!C142</f>
        <v>10740.46</v>
      </c>
      <c r="E142" s="68">
        <f>'[8]2025'!D142</f>
        <v>10677.92</v>
      </c>
      <c r="F142" s="20">
        <f>'[8]2025'!E142</f>
        <v>473</v>
      </c>
      <c r="G142" s="73">
        <f>'[8]2025'!F142</f>
        <v>10500</v>
      </c>
      <c r="H142" s="42">
        <f>'[8]2025'!G142</f>
        <v>11016.93</v>
      </c>
      <c r="I142" s="13">
        <f>'[8]2025'!H142</f>
        <v>10913.35</v>
      </c>
      <c r="J142" s="14">
        <f>'[8]2025'!I142</f>
        <v>483</v>
      </c>
      <c r="K142" s="15">
        <f>'[8]2025'!J142</f>
        <v>100.45</v>
      </c>
      <c r="L142" s="15">
        <f>'[8]2025'!K142</f>
        <v>116.11</v>
      </c>
      <c r="M142" s="15">
        <f>'[8]2025'!L142</f>
        <v>35.72</v>
      </c>
      <c r="N142" s="16">
        <f t="shared" si="8"/>
        <v>3.2730554779238272E-3</v>
      </c>
      <c r="O142" s="17">
        <f t="shared" si="9"/>
        <v>2.2048301541873351E-2</v>
      </c>
      <c r="P142" s="17">
        <f t="shared" si="9"/>
        <v>2.1141649048625793E-2</v>
      </c>
      <c r="Q142" s="18">
        <f t="shared" si="10"/>
        <v>108.64459930313589</v>
      </c>
      <c r="R142" s="18">
        <f t="shared" si="11"/>
        <v>93.991473602618214</v>
      </c>
      <c r="S142" s="37">
        <f>(S141-SUM(F136:F142))/SUM(F136:F142)</f>
        <v>-0.13578274760383385</v>
      </c>
      <c r="T142" s="47">
        <f>SUM(M136:M142)/SUM(I136:I142)</f>
        <v>3.3530478888832869E-3</v>
      </c>
      <c r="U142" s="1739"/>
    </row>
    <row r="143" spans="1:21" ht="17" customHeight="1" thickTop="1">
      <c r="A143" s="10" t="s">
        <v>9</v>
      </c>
      <c r="B143" s="19">
        <f>CHAMNORD!B143</f>
        <v>46160</v>
      </c>
      <c r="C143" s="75">
        <f>IF(H143=0,"",'[8]2025-2026'!C142)</f>
        <v>10740.46</v>
      </c>
      <c r="D143" s="68">
        <f>'[8]2025'!C143</f>
        <v>5507.69</v>
      </c>
      <c r="E143" s="68">
        <f>'[8]2025'!D143</f>
        <v>5486.89</v>
      </c>
      <c r="F143" s="20">
        <f>'[8]2025'!E143</f>
        <v>305</v>
      </c>
      <c r="G143" s="73">
        <f>'[8]2025'!F143</f>
        <v>5400</v>
      </c>
      <c r="H143" s="42">
        <f>'[8]2025'!G143</f>
        <v>5459.31</v>
      </c>
      <c r="I143" s="13">
        <f>'[8]2025'!H143</f>
        <v>5422.67</v>
      </c>
      <c r="J143" s="14">
        <f>'[8]2025'!I143</f>
        <v>294</v>
      </c>
      <c r="K143" s="15">
        <f>'[8]2025'!J143</f>
        <v>74.010000000000005</v>
      </c>
      <c r="L143" s="15">
        <f>'[8]2025'!K143</f>
        <v>90.37</v>
      </c>
      <c r="M143" s="15">
        <f>'[8]2025'!L143</f>
        <v>19.96</v>
      </c>
      <c r="N143" s="16">
        <f t="shared" si="8"/>
        <v>3.6808435696806187E-3</v>
      </c>
      <c r="O143" s="17">
        <f t="shared" si="9"/>
        <v>-1.1704262341690875E-2</v>
      </c>
      <c r="P143" s="17">
        <f t="shared" si="9"/>
        <v>-3.6065573770491806E-2</v>
      </c>
      <c r="Q143" s="18">
        <f t="shared" si="10"/>
        <v>73.269423050939054</v>
      </c>
      <c r="R143" s="18">
        <f t="shared" si="11"/>
        <v>60.005200840987051</v>
      </c>
      <c r="S143" s="33" t="s">
        <v>39</v>
      </c>
      <c r="T143" s="31" t="s">
        <v>42</v>
      </c>
      <c r="U143" s="1737" t="s">
        <v>103</v>
      </c>
    </row>
    <row r="144" spans="1:21">
      <c r="A144" s="10" t="s">
        <v>11</v>
      </c>
      <c r="B144" s="19">
        <f>CHAMNORD!B144</f>
        <v>46161</v>
      </c>
      <c r="C144" s="75">
        <f>IF(H144=0,"",'[8]2025-2026'!C143)</f>
        <v>5507.69</v>
      </c>
      <c r="D144" s="68">
        <f>'[8]2025'!C144</f>
        <v>7497.3</v>
      </c>
      <c r="E144" s="68">
        <f>'[8]2025'!D144</f>
        <v>7444.61</v>
      </c>
      <c r="F144" s="20">
        <f>'[8]2025'!E144</f>
        <v>394</v>
      </c>
      <c r="G144" s="73">
        <f>'[8]2025'!F144</f>
        <v>6400</v>
      </c>
      <c r="H144" s="42">
        <f>'[8]2025'!G144</f>
        <v>6839.98</v>
      </c>
      <c r="I144" s="13">
        <f>'[8]2025'!H144</f>
        <v>6784</v>
      </c>
      <c r="J144" s="14">
        <f>'[8]2025'!I144</f>
        <v>364</v>
      </c>
      <c r="K144" s="15">
        <f>'[8]2025'!J144</f>
        <v>83.4</v>
      </c>
      <c r="L144" s="15">
        <f>'[8]2025'!K144</f>
        <v>99.14</v>
      </c>
      <c r="M144" s="15">
        <f>'[8]2025'!L144</f>
        <v>5.87</v>
      </c>
      <c r="N144" s="16">
        <f t="shared" si="8"/>
        <v>8.6527122641509439E-4</v>
      </c>
      <c r="O144" s="17">
        <f t="shared" si="9"/>
        <v>-8.8736683318535112E-2</v>
      </c>
      <c r="P144" s="17">
        <f t="shared" si="9"/>
        <v>-7.6142131979695438E-2</v>
      </c>
      <c r="Q144" s="18">
        <f t="shared" si="10"/>
        <v>81.342925659472414</v>
      </c>
      <c r="R144" s="18">
        <f t="shared" si="11"/>
        <v>68.428484970748443</v>
      </c>
      <c r="S144" s="34">
        <f>SUM(I143:I149)</f>
        <v>55640.25</v>
      </c>
      <c r="T144" s="45" t="s">
        <v>41</v>
      </c>
      <c r="U144" s="1738"/>
    </row>
    <row r="145" spans="1:21">
      <c r="A145" s="10" t="s">
        <v>12</v>
      </c>
      <c r="B145" s="19">
        <f>CHAMNORD!B145</f>
        <v>46162</v>
      </c>
      <c r="C145" s="75">
        <f>IF(H145=0,"",'[8]2025-2026'!C144)</f>
        <v>7497.3</v>
      </c>
      <c r="D145" s="68">
        <f>'[8]2025'!C145</f>
        <v>8602.66</v>
      </c>
      <c r="E145" s="68">
        <f>'[8]2025'!D145</f>
        <v>8546.14</v>
      </c>
      <c r="F145" s="20">
        <f>'[8]2025'!E145</f>
        <v>457</v>
      </c>
      <c r="G145" s="73">
        <f>'[8]2025'!F145</f>
        <v>8300</v>
      </c>
      <c r="H145" s="42">
        <f>'[8]2025'!G145</f>
        <v>7302.07</v>
      </c>
      <c r="I145" s="13">
        <f>'[8]2025'!H145</f>
        <v>7242.17</v>
      </c>
      <c r="J145" s="14">
        <f>'[8]2025'!I145</f>
        <v>388</v>
      </c>
      <c r="K145" s="15">
        <f>'[8]2025'!J145</f>
        <v>81.17</v>
      </c>
      <c r="L145" s="15">
        <f>'[8]2025'!K145</f>
        <v>98.37</v>
      </c>
      <c r="M145" s="15">
        <f>'[8]2025'!L145</f>
        <v>29.02</v>
      </c>
      <c r="N145" s="16">
        <f t="shared" si="8"/>
        <v>4.0070862738654294E-3</v>
      </c>
      <c r="O145" s="17">
        <f t="shared" si="9"/>
        <v>-0.15257999517911003</v>
      </c>
      <c r="P145" s="17">
        <f t="shared" si="9"/>
        <v>-0.15098468271334792</v>
      </c>
      <c r="Q145" s="18">
        <f t="shared" si="10"/>
        <v>89.22224959960576</v>
      </c>
      <c r="R145" s="18">
        <f t="shared" si="11"/>
        <v>73.621734268577811</v>
      </c>
      <c r="S145" s="35">
        <f>(S144-SUM(E143:E149))/SUM(E143:E149)</f>
        <v>-8.2027048073585351E-2</v>
      </c>
      <c r="T145" s="48">
        <f>SUM(I143:I149)/SUM(K143:K149)</f>
        <v>90.872380734619227</v>
      </c>
      <c r="U145" s="1738"/>
    </row>
    <row r="146" spans="1:21">
      <c r="A146" s="10" t="s">
        <v>13</v>
      </c>
      <c r="B146" s="19">
        <f>CHAMNORD!B146</f>
        <v>46163</v>
      </c>
      <c r="C146" s="75">
        <f>IF(H146=0,"",'[8]2025-2026'!C145)</f>
        <v>8602.66</v>
      </c>
      <c r="D146" s="68">
        <f>'[8]2025'!C146</f>
        <v>6893.72</v>
      </c>
      <c r="E146" s="68">
        <f>'[8]2025'!D146</f>
        <v>6855.97</v>
      </c>
      <c r="F146" s="20">
        <f>'[8]2025'!E146</f>
        <v>371</v>
      </c>
      <c r="G146" s="73">
        <f>'[8]2025'!F146</f>
        <v>6600</v>
      </c>
      <c r="H146" s="42">
        <f>'[8]2025'!G146</f>
        <v>6816.2</v>
      </c>
      <c r="I146" s="13">
        <f>'[8]2025'!H146</f>
        <v>6770.65</v>
      </c>
      <c r="J146" s="14">
        <f>'[8]2025'!I146</f>
        <v>370</v>
      </c>
      <c r="K146" s="15">
        <f>'[8]2025'!J146</f>
        <v>73.2</v>
      </c>
      <c r="L146" s="15">
        <f>'[8]2025'!K146</f>
        <v>89.39</v>
      </c>
      <c r="M146" s="15">
        <f>'[8]2025'!L146</f>
        <v>42.56</v>
      </c>
      <c r="N146" s="16">
        <f t="shared" si="8"/>
        <v>6.2859548196997342E-3</v>
      </c>
      <c r="O146" s="17">
        <f t="shared" si="9"/>
        <v>-1.2444628550008332E-2</v>
      </c>
      <c r="P146" s="17">
        <f t="shared" si="9"/>
        <v>-2.6954177897574125E-3</v>
      </c>
      <c r="Q146" s="18">
        <f t="shared" si="10"/>
        <v>92.495218579234958</v>
      </c>
      <c r="R146" s="18">
        <f t="shared" si="11"/>
        <v>75.742812395122499</v>
      </c>
      <c r="S146" s="34"/>
      <c r="T146" s="29" t="s">
        <v>8</v>
      </c>
      <c r="U146" s="1738"/>
    </row>
    <row r="147" spans="1:21">
      <c r="A147" s="10" t="s">
        <v>14</v>
      </c>
      <c r="B147" s="19">
        <f>CHAMNORD!B147</f>
        <v>46164</v>
      </c>
      <c r="C147" s="75">
        <f>IF(H147=0,"",'[8]2025-2026'!C146)</f>
        <v>6893.72</v>
      </c>
      <c r="D147" s="68">
        <f>'[8]2025'!C147</f>
        <v>11466.09</v>
      </c>
      <c r="E147" s="68">
        <f>'[8]2025'!D147</f>
        <v>11397.76</v>
      </c>
      <c r="F147" s="20">
        <f>'[8]2025'!E147</f>
        <v>609</v>
      </c>
      <c r="G147" s="73">
        <f>'[8]2025'!F147</f>
        <v>11000</v>
      </c>
      <c r="H147" s="42">
        <f>'[8]2025'!G147</f>
        <v>9467.7800000000007</v>
      </c>
      <c r="I147" s="13">
        <f>'[8]2025'!H147</f>
        <v>9393.7800000000007</v>
      </c>
      <c r="J147" s="14">
        <f>'[8]2025'!I147</f>
        <v>498</v>
      </c>
      <c r="K147" s="15">
        <f>'[8]2025'!J147</f>
        <v>106.45</v>
      </c>
      <c r="L147" s="15">
        <f>'[8]2025'!K147</f>
        <v>122.48</v>
      </c>
      <c r="M147" s="15">
        <f>'[8]2025'!L147</f>
        <v>10.39</v>
      </c>
      <c r="N147" s="16">
        <f t="shared" si="8"/>
        <v>1.1060510252528801E-3</v>
      </c>
      <c r="O147" s="17">
        <f t="shared" si="9"/>
        <v>-0.17582226683137736</v>
      </c>
      <c r="P147" s="17">
        <f t="shared" si="9"/>
        <v>-0.18226600985221675</v>
      </c>
      <c r="Q147" s="18">
        <f t="shared" si="10"/>
        <v>88.24593705965242</v>
      </c>
      <c r="R147" s="18">
        <f t="shared" si="11"/>
        <v>76.696440235140429</v>
      </c>
      <c r="S147" s="36" t="s">
        <v>40</v>
      </c>
      <c r="T147" s="48">
        <f>SUM(I143:I149)/SUM(L143:L149)</f>
        <v>80.162875131467104</v>
      </c>
      <c r="U147" s="1738"/>
    </row>
    <row r="148" spans="1:21">
      <c r="A148" s="10" t="s">
        <v>15</v>
      </c>
      <c r="B148" s="19">
        <f>CHAMNORD!B148</f>
        <v>46165</v>
      </c>
      <c r="C148" s="75">
        <f>IF(H148=0,"",'[8]2025-2026'!C147)</f>
        <v>11466.09</v>
      </c>
      <c r="D148" s="68">
        <f>'[8]2025'!C148</f>
        <v>11087.32</v>
      </c>
      <c r="E148" s="68">
        <f>'[8]2025'!D148</f>
        <v>10998.16</v>
      </c>
      <c r="F148" s="20">
        <f>'[8]2025'!E148</f>
        <v>519</v>
      </c>
      <c r="G148" s="73">
        <f>'[8]2025'!F148</f>
        <v>10400</v>
      </c>
      <c r="H148" s="42">
        <f>'[8]2025'!G148</f>
        <v>9724.7099999999991</v>
      </c>
      <c r="I148" s="13">
        <f>'[8]2025'!H148</f>
        <v>9614.5400000000009</v>
      </c>
      <c r="J148" s="14">
        <f>'[8]2025'!I148</f>
        <v>480</v>
      </c>
      <c r="K148" s="15">
        <f>'[8]2025'!J148</f>
        <v>102.31</v>
      </c>
      <c r="L148" s="15">
        <f>'[8]2025'!K148</f>
        <v>86</v>
      </c>
      <c r="M148" s="15">
        <f>'[8]2025'!L148</f>
        <v>14.9</v>
      </c>
      <c r="N148" s="16">
        <f t="shared" si="8"/>
        <v>1.5497361288215555E-3</v>
      </c>
      <c r="O148" s="17">
        <f t="shared" si="9"/>
        <v>-0.12580468005557285</v>
      </c>
      <c r="P148" s="17">
        <f t="shared" si="9"/>
        <v>-7.5144508670520235E-2</v>
      </c>
      <c r="Q148" s="18">
        <f t="shared" si="10"/>
        <v>93.974587039390101</v>
      </c>
      <c r="R148" s="18">
        <f t="shared" si="11"/>
        <v>111.79697674418605</v>
      </c>
      <c r="S148" s="36">
        <f>SUM(J143:J149)</f>
        <v>2898</v>
      </c>
      <c r="T148" s="30" t="s">
        <v>3</v>
      </c>
      <c r="U148" s="1738"/>
    </row>
    <row r="149" spans="1:21" ht="18" thickBot="1">
      <c r="A149" s="10" t="s">
        <v>16</v>
      </c>
      <c r="B149" s="19">
        <f>CHAMNORD!B149</f>
        <v>46166</v>
      </c>
      <c r="C149" s="75">
        <f>IF(H149=0,"",'[8]2025-2026'!C148)</f>
        <v>11087.32</v>
      </c>
      <c r="D149" s="68">
        <f>'[8]2025'!C149</f>
        <v>9946.9599999999991</v>
      </c>
      <c r="E149" s="68">
        <f>'[8]2025'!D149</f>
        <v>9882.5499999999993</v>
      </c>
      <c r="F149" s="20">
        <f>'[8]2025'!E149</f>
        <v>445</v>
      </c>
      <c r="G149" s="73">
        <f>'[8]2025'!F149</f>
        <v>11300</v>
      </c>
      <c r="H149" s="42">
        <f>'[8]2025'!G149</f>
        <v>10506.11</v>
      </c>
      <c r="I149" s="13">
        <f>'[8]2025'!H149</f>
        <v>10412.44</v>
      </c>
      <c r="J149" s="14">
        <f>'[8]2025'!I149</f>
        <v>504</v>
      </c>
      <c r="K149" s="15">
        <f>'[8]2025'!J149</f>
        <v>91.75</v>
      </c>
      <c r="L149" s="15">
        <f>'[8]2025'!K149</f>
        <v>108.34</v>
      </c>
      <c r="M149" s="15">
        <f>'[8]2025'!L149</f>
        <v>34.69</v>
      </c>
      <c r="N149" s="16">
        <f t="shared" si="8"/>
        <v>3.3315918266996012E-3</v>
      </c>
      <c r="O149" s="17">
        <f t="shared" si="9"/>
        <v>5.3618752245119049E-2</v>
      </c>
      <c r="P149" s="17">
        <f t="shared" si="9"/>
        <v>0.13258426966292136</v>
      </c>
      <c r="Q149" s="18">
        <f t="shared" si="10"/>
        <v>113.48708446866486</v>
      </c>
      <c r="R149" s="18">
        <f t="shared" si="11"/>
        <v>96.10891637437696</v>
      </c>
      <c r="S149" s="37">
        <f>(S148-SUM(F143:F149))/SUM(F143:F149)</f>
        <v>-6.5161290322580639E-2</v>
      </c>
      <c r="T149" s="47">
        <f>SUM(M143:M149)/SUM(I143:I149)</f>
        <v>2.8287076352101221E-3</v>
      </c>
      <c r="U149" s="1739"/>
    </row>
    <row r="150" spans="1:21" ht="17" customHeight="1" thickTop="1">
      <c r="A150" s="10" t="s">
        <v>9</v>
      </c>
      <c r="B150" s="19">
        <f>CHAMNORD!B150</f>
        <v>46167</v>
      </c>
      <c r="C150" s="75">
        <f>IF(H150=0,"",'[8]2025-2026'!C149)</f>
        <v>9946.9599999999991</v>
      </c>
      <c r="D150" s="68">
        <f>'[8]2025'!C150</f>
        <v>5539.16</v>
      </c>
      <c r="E150" s="68">
        <f>'[8]2025'!D150</f>
        <v>5515.1</v>
      </c>
      <c r="F150" s="20">
        <f>'[8]2025'!E150</f>
        <v>325</v>
      </c>
      <c r="G150" s="73">
        <f>'[8]2025'!F150</f>
        <v>9200</v>
      </c>
      <c r="H150" s="42">
        <f>'[8]2025'!G150</f>
        <v>9342.1200000000008</v>
      </c>
      <c r="I150" s="13">
        <f>'[8]2025'!H150</f>
        <v>9258.81</v>
      </c>
      <c r="J150" s="14">
        <f>'[8]2025'!I150</f>
        <v>434</v>
      </c>
      <c r="K150" s="15">
        <f>'[8]2025'!J150</f>
        <v>87.15</v>
      </c>
      <c r="L150" s="15">
        <f>'[8]2025'!K150</f>
        <v>103.56</v>
      </c>
      <c r="M150" s="15">
        <f>'[8]2025'!L150</f>
        <v>30.59</v>
      </c>
      <c r="N150" s="16">
        <f t="shared" si="8"/>
        <v>3.3038803042723633E-3</v>
      </c>
      <c r="O150" s="17">
        <f t="shared" si="9"/>
        <v>0.67881090098094299</v>
      </c>
      <c r="P150" s="17">
        <f t="shared" si="9"/>
        <v>0.33538461538461539</v>
      </c>
      <c r="Q150" s="18">
        <f t="shared" si="10"/>
        <v>106.23993115318416</v>
      </c>
      <c r="R150" s="18">
        <f t="shared" si="11"/>
        <v>89.405272305909605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19">
        <f>CHAMNORD!B151</f>
        <v>46168</v>
      </c>
      <c r="C151" s="75">
        <f>IF(H151=0,"",'[8]2025-2026'!C150)</f>
        <v>5539.16</v>
      </c>
      <c r="D151" s="68">
        <f>'[8]2025'!C151</f>
        <v>6388.07</v>
      </c>
      <c r="E151" s="68">
        <f>'[8]2025'!D151</f>
        <v>6348.34</v>
      </c>
      <c r="F151" s="20">
        <f>'[8]2025'!E151</f>
        <v>347</v>
      </c>
      <c r="G151" s="73">
        <f>'[8]2025'!F151</f>
        <v>6200</v>
      </c>
      <c r="H151" s="42">
        <f>'[8]2025'!G151</f>
        <v>6334.04</v>
      </c>
      <c r="I151" s="13">
        <f>'[8]2025'!H151</f>
        <v>6290.44</v>
      </c>
      <c r="J151" s="14">
        <f>'[8]2025'!I151</f>
        <v>369</v>
      </c>
      <c r="K151" s="15">
        <f>'[8]2025'!J151</f>
        <v>79.14</v>
      </c>
      <c r="L151" s="15">
        <f>'[8]2025'!K151</f>
        <v>96.19</v>
      </c>
      <c r="M151" s="15">
        <f>'[8]2025'!L151</f>
        <v>27.02</v>
      </c>
      <c r="N151" s="16">
        <f t="shared" si="8"/>
        <v>4.2954069985565403E-3</v>
      </c>
      <c r="O151" s="17">
        <f t="shared" si="9"/>
        <v>-9.1204944914734468E-3</v>
      </c>
      <c r="P151" s="17">
        <f t="shared" si="9"/>
        <v>6.3400576368876083E-2</v>
      </c>
      <c r="Q151" s="18">
        <f t="shared" si="10"/>
        <v>79.484963356077827</v>
      </c>
      <c r="R151" s="18">
        <f t="shared" si="11"/>
        <v>65.395987108847066</v>
      </c>
      <c r="S151" s="34">
        <f>SUM(I150:I156)</f>
        <v>59691.93</v>
      </c>
      <c r="T151" s="45" t="s">
        <v>41</v>
      </c>
      <c r="U151" s="1738"/>
    </row>
    <row r="152" spans="1:21">
      <c r="A152" s="10" t="s">
        <v>12</v>
      </c>
      <c r="B152" s="19">
        <f>CHAMNORD!B152</f>
        <v>46169</v>
      </c>
      <c r="C152" s="75">
        <f>IF(H152=0,"",'[8]2025-2026'!C151)</f>
        <v>6388.07</v>
      </c>
      <c r="D152" s="68">
        <f>'[8]2025'!C152</f>
        <v>9960.1</v>
      </c>
      <c r="E152" s="68">
        <f>'[8]2025'!D152</f>
        <v>9847.42</v>
      </c>
      <c r="F152" s="20">
        <f>'[8]2025'!E152</f>
        <v>484</v>
      </c>
      <c r="G152" s="73">
        <f>'[8]2025'!F152</f>
        <v>9600</v>
      </c>
      <c r="H152" s="42">
        <f>'[8]2025'!G152</f>
        <v>7640.97</v>
      </c>
      <c r="I152" s="13">
        <f>'[8]2025'!H152</f>
        <v>7574.62</v>
      </c>
      <c r="J152" s="14">
        <f>'[8]2025'!I152</f>
        <v>398</v>
      </c>
      <c r="K152" s="15">
        <f>'[8]2025'!J152</f>
        <v>76.69</v>
      </c>
      <c r="L152" s="15">
        <f>'[8]2025'!K152</f>
        <v>93.48</v>
      </c>
      <c r="M152" s="15">
        <f>'[8]2025'!L152</f>
        <v>40.31</v>
      </c>
      <c r="N152" s="16">
        <f t="shared" si="8"/>
        <v>5.3217191093414594E-3</v>
      </c>
      <c r="O152" s="17">
        <f t="shared" si="9"/>
        <v>-0.23080157036056145</v>
      </c>
      <c r="P152" s="17">
        <f t="shared" si="9"/>
        <v>-0.17768595041322313</v>
      </c>
      <c r="Q152" s="18">
        <f t="shared" si="10"/>
        <v>98.769331073151648</v>
      </c>
      <c r="R152" s="18">
        <f t="shared" si="11"/>
        <v>81.029311082584499</v>
      </c>
      <c r="S152" s="35">
        <f>(S151-SUM(E150:E156))/SUM(E150:E156)</f>
        <v>-3.3594028390272805E-2</v>
      </c>
      <c r="T152" s="48">
        <f>SUM(I150:I156)/SUM(K150:K156)</f>
        <v>99.27146183269582</v>
      </c>
      <c r="U152" s="1738"/>
    </row>
    <row r="153" spans="1:21">
      <c r="A153" s="10" t="s">
        <v>13</v>
      </c>
      <c r="B153" s="19">
        <f>CHAMNORD!B153</f>
        <v>46170</v>
      </c>
      <c r="C153" s="75">
        <f>IF(H153=0,"",'[8]2025-2026'!C152)</f>
        <v>9960.1</v>
      </c>
      <c r="D153" s="68">
        <f>'[8]2025'!C153</f>
        <v>10586.23</v>
      </c>
      <c r="E153" s="68">
        <f>'[8]2025'!D153</f>
        <v>10504.92</v>
      </c>
      <c r="F153" s="20">
        <f>'[8]2025'!E153</f>
        <v>482</v>
      </c>
      <c r="G153" s="73">
        <f>'[8]2025'!F153</f>
        <v>6500</v>
      </c>
      <c r="H153" s="42">
        <f>'[8]2025'!G153</f>
        <v>6572.31</v>
      </c>
      <c r="I153" s="13">
        <f>'[8]2025'!H153</f>
        <v>6526.06</v>
      </c>
      <c r="J153" s="14">
        <f>'[8]2025'!I153</f>
        <v>341</v>
      </c>
      <c r="K153" s="15">
        <f>'[8]2025'!J153</f>
        <v>76.47</v>
      </c>
      <c r="L153" s="15">
        <f>'[8]2025'!K153</f>
        <v>91.42</v>
      </c>
      <c r="M153" s="15">
        <f>'[8]2025'!L153</f>
        <v>22.84</v>
      </c>
      <c r="N153" s="16">
        <f t="shared" si="8"/>
        <v>3.4998145895072984E-3</v>
      </c>
      <c r="O153" s="17">
        <f t="shared" si="9"/>
        <v>-0.3787615707687445</v>
      </c>
      <c r="P153" s="17">
        <f t="shared" si="9"/>
        <v>-0.29253112033195022</v>
      </c>
      <c r="Q153" s="18">
        <f t="shared" si="10"/>
        <v>85.341441088008381</v>
      </c>
      <c r="R153" s="18">
        <f t="shared" si="11"/>
        <v>71.385473638153584</v>
      </c>
      <c r="S153" s="34"/>
      <c r="T153" s="29" t="s">
        <v>8</v>
      </c>
      <c r="U153" s="1738"/>
    </row>
    <row r="154" spans="1:21">
      <c r="A154" s="10" t="s">
        <v>14</v>
      </c>
      <c r="B154" s="19">
        <f>CHAMNORD!B154</f>
        <v>46171</v>
      </c>
      <c r="C154" s="75">
        <f>IF(H154=0,"",'[8]2025-2026'!C153)</f>
        <v>10586.23</v>
      </c>
      <c r="D154" s="68">
        <f>'[8]2025'!C154</f>
        <v>7851.25</v>
      </c>
      <c r="E154" s="68">
        <f>'[8]2025'!D154</f>
        <v>7788.74</v>
      </c>
      <c r="F154" s="20">
        <f>'[8]2025'!E154</f>
        <v>385</v>
      </c>
      <c r="G154" s="73">
        <f>'[8]2025'!F154</f>
        <v>8700</v>
      </c>
      <c r="H154" s="42">
        <f>'[8]2025'!G154</f>
        <v>10381.89</v>
      </c>
      <c r="I154" s="13">
        <f>'[8]2025'!H154</f>
        <v>10287.74</v>
      </c>
      <c r="J154" s="14">
        <f>'[8]2025'!I154</f>
        <v>552</v>
      </c>
      <c r="K154" s="15">
        <f>'[8]2025'!J154</f>
        <v>103.31</v>
      </c>
      <c r="L154" s="15">
        <f>'[8]2025'!K154</f>
        <v>119.2</v>
      </c>
      <c r="M154" s="15">
        <f>'[8]2025'!L154</f>
        <v>43.97</v>
      </c>
      <c r="N154" s="16">
        <f t="shared" si="8"/>
        <v>4.2740193667413834E-3</v>
      </c>
      <c r="O154" s="17">
        <f t="shared" si="9"/>
        <v>0.32084778796056873</v>
      </c>
      <c r="P154" s="17">
        <f t="shared" si="9"/>
        <v>0.43376623376623374</v>
      </c>
      <c r="Q154" s="18">
        <f t="shared" si="10"/>
        <v>99.581260284580381</v>
      </c>
      <c r="R154" s="18">
        <f t="shared" si="11"/>
        <v>86.306543624161066</v>
      </c>
      <c r="S154" s="36" t="s">
        <v>40</v>
      </c>
      <c r="T154" s="48">
        <f>SUM(I150:I156)/SUM(L150:L156)</f>
        <v>83.381427314252193</v>
      </c>
      <c r="U154" s="1738"/>
    </row>
    <row r="155" spans="1:21">
      <c r="A155" s="10" t="s">
        <v>15</v>
      </c>
      <c r="B155" s="19">
        <f>CHAMNORD!B155</f>
        <v>46172</v>
      </c>
      <c r="C155" s="75">
        <f>IF(H155=0,"",'[8]2025-2026'!C154)</f>
        <v>7851.25</v>
      </c>
      <c r="D155" s="68">
        <f>'[8]2025'!C155</f>
        <v>8502.51</v>
      </c>
      <c r="E155" s="68">
        <f>'[8]2025'!D155</f>
        <v>8421.7999999999993</v>
      </c>
      <c r="F155" s="20">
        <f>'[8]2025'!E155</f>
        <v>397</v>
      </c>
      <c r="G155" s="73">
        <f>'[8]2025'!F155</f>
        <v>8500</v>
      </c>
      <c r="H155" s="42">
        <f>'[8]2025'!G155</f>
        <v>9278.73</v>
      </c>
      <c r="I155" s="13">
        <f>'[8]2025'!H155</f>
        <v>9190.26</v>
      </c>
      <c r="J155" s="14">
        <f>'[8]2025'!I155</f>
        <v>470</v>
      </c>
      <c r="K155" s="15">
        <f>'[8]2025'!J155</f>
        <v>86.26</v>
      </c>
      <c r="L155" s="15">
        <f>'[8]2025'!K155</f>
        <v>102.49</v>
      </c>
      <c r="M155" s="15">
        <f>'[8]2025'!L155</f>
        <v>18.78</v>
      </c>
      <c r="N155" s="16">
        <f t="shared" si="8"/>
        <v>2.0434677582571114E-3</v>
      </c>
      <c r="O155" s="17">
        <f t="shared" si="9"/>
        <v>9.1246526870740335E-2</v>
      </c>
      <c r="P155" s="17">
        <f t="shared" si="9"/>
        <v>0.18387909319899245</v>
      </c>
      <c r="Q155" s="18">
        <f t="shared" si="10"/>
        <v>106.54138650591236</v>
      </c>
      <c r="R155" s="18">
        <f t="shared" si="11"/>
        <v>89.669821445994742</v>
      </c>
      <c r="S155" s="36">
        <f>SUM(J150:J156)</f>
        <v>3010</v>
      </c>
      <c r="T155" s="30" t="s">
        <v>3</v>
      </c>
      <c r="U155" s="1738"/>
    </row>
    <row r="156" spans="1:21" ht="18" thickBot="1">
      <c r="A156" s="10" t="s">
        <v>16</v>
      </c>
      <c r="B156" s="19">
        <f>CHAMNORD!B156</f>
        <v>46173</v>
      </c>
      <c r="C156" s="75">
        <f>IF(H156=0,"",'[8]2025-2026'!C155)</f>
        <v>8502.51</v>
      </c>
      <c r="D156" s="68">
        <f>'[8]2025'!C156</f>
        <v>13439.5</v>
      </c>
      <c r="E156" s="68">
        <f>'[8]2025'!D156</f>
        <v>13340.61</v>
      </c>
      <c r="F156" s="20">
        <f>'[8]2025'!E156</f>
        <v>607</v>
      </c>
      <c r="G156" s="73">
        <f>'[8]2025'!F156</f>
        <v>12500</v>
      </c>
      <c r="H156" s="42">
        <f>'[8]2025'!G156</f>
        <v>10650.32</v>
      </c>
      <c r="I156" s="13">
        <f>'[8]2025'!H156</f>
        <v>10564</v>
      </c>
      <c r="J156" s="14">
        <f>'[8]2025'!I156</f>
        <v>446</v>
      </c>
      <c r="K156" s="15">
        <f>'[8]2025'!J156</f>
        <v>92.28</v>
      </c>
      <c r="L156" s="15">
        <f>'[8]2025'!K156</f>
        <v>109.55</v>
      </c>
      <c r="M156" s="15">
        <f>'[8]2025'!L156</f>
        <v>45.38</v>
      </c>
      <c r="N156" s="16">
        <f t="shared" si="8"/>
        <v>4.2957213176826959E-3</v>
      </c>
      <c r="O156" s="17">
        <f t="shared" si="9"/>
        <v>-0.20813216187265804</v>
      </c>
      <c r="P156" s="17">
        <f t="shared" si="9"/>
        <v>-0.26523887973640858</v>
      </c>
      <c r="Q156" s="18">
        <f t="shared" si="10"/>
        <v>114.47767663632423</v>
      </c>
      <c r="R156" s="18">
        <f t="shared" si="11"/>
        <v>96.430853491556363</v>
      </c>
      <c r="S156" s="37">
        <f>(S155-SUM(F150:F156))/SUM(F150:F156)</f>
        <v>-5.6161215725140405E-3</v>
      </c>
      <c r="T156" s="47">
        <f>SUM(M150:M156)/SUM(I150:I156)</f>
        <v>3.8345216849245789E-3</v>
      </c>
      <c r="U156" s="1739"/>
    </row>
    <row r="157" spans="1:21" ht="17" customHeight="1" thickTop="1">
      <c r="A157" s="10" t="s">
        <v>9</v>
      </c>
      <c r="B157" s="19">
        <f>CHAMNORD!B157</f>
        <v>46174</v>
      </c>
      <c r="C157" s="75">
        <f>IF(H157=0,"",'[8]2025-2026'!C156)</f>
        <v>13439.5</v>
      </c>
      <c r="D157" s="68">
        <f>'[8]2025'!C157</f>
        <v>7085.34</v>
      </c>
      <c r="E157" s="68">
        <f>'[8]2025'!D157</f>
        <v>7052.17</v>
      </c>
      <c r="F157" s="20">
        <f>'[8]2025'!E157</f>
        <v>371</v>
      </c>
      <c r="G157" s="73">
        <f>'[8]2025'!F157</f>
        <v>7100</v>
      </c>
      <c r="H157" s="42">
        <f>'[8]2025'!G157</f>
        <v>7269.85</v>
      </c>
      <c r="I157" s="13">
        <f>'[8]2025'!H157</f>
        <v>7224.27</v>
      </c>
      <c r="J157" s="14">
        <f>'[8]2025'!I157</f>
        <v>372</v>
      </c>
      <c r="K157" s="15">
        <f>'[8]2025'!J157</f>
        <v>82.96</v>
      </c>
      <c r="L157" s="15">
        <f>'[8]2025'!K157</f>
        <v>98.58</v>
      </c>
      <c r="M157" s="15">
        <f>'[8]2025'!L157</f>
        <v>27.78</v>
      </c>
      <c r="N157" s="16">
        <f t="shared" si="8"/>
        <v>3.8453712278195581E-3</v>
      </c>
      <c r="O157" s="17">
        <f t="shared" si="9"/>
        <v>2.4403835982399796E-2</v>
      </c>
      <c r="P157" s="17">
        <f t="shared" si="9"/>
        <v>2.6954177897574125E-3</v>
      </c>
      <c r="Q157" s="18">
        <f t="shared" si="10"/>
        <v>87.081364513018329</v>
      </c>
      <c r="R157" s="18">
        <f t="shared" si="11"/>
        <v>73.283323189287898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19">
        <f>CHAMNORD!B158</f>
        <v>46175</v>
      </c>
      <c r="C158" s="75">
        <f>IF(H158=0,"",'[8]2025-2026'!C157)</f>
        <v>7085.34</v>
      </c>
      <c r="D158" s="68">
        <f>'[8]2025'!C158</f>
        <v>7003.09</v>
      </c>
      <c r="E158" s="68">
        <f>'[8]2025'!D158</f>
        <v>6953.61</v>
      </c>
      <c r="F158" s="20">
        <f>'[8]2025'!E158</f>
        <v>385</v>
      </c>
      <c r="G158" s="73">
        <f>'[8]2025'!F158</f>
        <v>7000</v>
      </c>
      <c r="H158" s="42">
        <f>'[8]2025'!G158</f>
        <v>7052.37</v>
      </c>
      <c r="I158" s="13">
        <f>'[8]2025'!H158</f>
        <v>6999.72</v>
      </c>
      <c r="J158" s="14">
        <f>'[8]2025'!I158</f>
        <v>346</v>
      </c>
      <c r="K158" s="15">
        <f>'[8]2025'!J158</f>
        <v>75.87</v>
      </c>
      <c r="L158" s="15">
        <f>'[8]2025'!K158</f>
        <v>84.33</v>
      </c>
      <c r="M158" s="15">
        <f>'[8]2025'!L158</f>
        <v>38.39</v>
      </c>
      <c r="N158" s="16">
        <f t="shared" si="8"/>
        <v>5.4845050944894941E-3</v>
      </c>
      <c r="O158" s="17">
        <f t="shared" si="9"/>
        <v>6.6310880247814567E-3</v>
      </c>
      <c r="P158" s="17">
        <f t="shared" si="9"/>
        <v>-0.1012987012987013</v>
      </c>
      <c r="Q158" s="18">
        <f t="shared" si="10"/>
        <v>92.259391063661525</v>
      </c>
      <c r="R158" s="18">
        <f t="shared" si="11"/>
        <v>83.00391319815013</v>
      </c>
      <c r="S158" s="34">
        <f>SUM(I157:I163)</f>
        <v>66163.850000000006</v>
      </c>
      <c r="T158" s="45" t="s">
        <v>41</v>
      </c>
      <c r="U158" s="1738"/>
    </row>
    <row r="159" spans="1:21">
      <c r="A159" s="10" t="s">
        <v>12</v>
      </c>
      <c r="B159" s="19">
        <f>CHAMNORD!B159</f>
        <v>46176</v>
      </c>
      <c r="C159" s="75">
        <f>IF(H159=0,"",'[8]2025-2026'!C158)</f>
        <v>7003.09</v>
      </c>
      <c r="D159" s="68">
        <f>'[8]2025'!C159</f>
        <v>8367.66</v>
      </c>
      <c r="E159" s="68">
        <f>'[8]2025'!D159</f>
        <v>8292.2099999999991</v>
      </c>
      <c r="F159" s="20">
        <f>'[8]2025'!E159</f>
        <v>426</v>
      </c>
      <c r="G159" s="73">
        <f>'[8]2025'!F159</f>
        <v>8400</v>
      </c>
      <c r="H159" s="42">
        <f>'[8]2025'!G159</f>
        <v>9304.18</v>
      </c>
      <c r="I159" s="13">
        <f>'[8]2025'!H159</f>
        <v>9191.59</v>
      </c>
      <c r="J159" s="14">
        <f>'[8]2025'!I159</f>
        <v>435</v>
      </c>
      <c r="K159" s="15">
        <f>'[8]2025'!J159</f>
        <v>89.78</v>
      </c>
      <c r="L159" s="15">
        <f>'[8]2025'!K159</f>
        <v>105.34</v>
      </c>
      <c r="M159" s="15">
        <f>'[8]2025'!L159</f>
        <v>29.54</v>
      </c>
      <c r="N159" s="16">
        <f t="shared" si="8"/>
        <v>3.2138074043772621E-3</v>
      </c>
      <c r="O159" s="17">
        <f t="shared" si="9"/>
        <v>0.10846083251630158</v>
      </c>
      <c r="P159" s="17">
        <f t="shared" si="9"/>
        <v>2.1126760563380281E-2</v>
      </c>
      <c r="Q159" s="18">
        <f t="shared" si="10"/>
        <v>102.37903764758298</v>
      </c>
      <c r="R159" s="18">
        <f t="shared" si="11"/>
        <v>87.256407822289731</v>
      </c>
      <c r="S159" s="35">
        <f>(S158-SUM(E157:E163))/SUM(E157:E163)</f>
        <v>6.182729908904204E-2</v>
      </c>
      <c r="T159" s="48">
        <f>SUM(I157:I163)/SUM(K157:K163)</f>
        <v>100.4186650072851</v>
      </c>
      <c r="U159" s="1738"/>
    </row>
    <row r="160" spans="1:21">
      <c r="A160" s="10" t="s">
        <v>13</v>
      </c>
      <c r="B160" s="19">
        <f>CHAMNORD!B160</f>
        <v>46177</v>
      </c>
      <c r="C160" s="75">
        <f>IF(H160=0,"",'[8]2025-2026'!C159)</f>
        <v>8367.66</v>
      </c>
      <c r="D160" s="68">
        <f>'[8]2025'!C160</f>
        <v>8390.48</v>
      </c>
      <c r="E160" s="68">
        <f>'[8]2025'!D160</f>
        <v>8345.59</v>
      </c>
      <c r="F160" s="20">
        <f>'[8]2025'!E160</f>
        <v>451</v>
      </c>
      <c r="G160" s="73">
        <f>'[8]2025'!F160</f>
        <v>8400</v>
      </c>
      <c r="H160" s="42">
        <f>'[8]2025'!G160</f>
        <v>8062.9</v>
      </c>
      <c r="I160" s="13">
        <f>'[8]2025'!H160</f>
        <v>7985.96</v>
      </c>
      <c r="J160" s="14">
        <f>'[8]2025'!I160</f>
        <v>407</v>
      </c>
      <c r="K160" s="15">
        <f>'[8]2025'!J160</f>
        <v>80.900000000000006</v>
      </c>
      <c r="L160" s="15">
        <f>'[8]2025'!K160</f>
        <v>96.08</v>
      </c>
      <c r="M160" s="15">
        <f>'[8]2025'!L160</f>
        <v>33.840000000000003</v>
      </c>
      <c r="N160" s="16">
        <f t="shared" si="8"/>
        <v>4.2374367014109768E-3</v>
      </c>
      <c r="O160" s="17">
        <f t="shared" si="9"/>
        <v>-4.3092219962878611E-2</v>
      </c>
      <c r="P160" s="17">
        <f t="shared" si="9"/>
        <v>-9.7560975609756101E-2</v>
      </c>
      <c r="Q160" s="18">
        <f t="shared" si="10"/>
        <v>98.713967861557478</v>
      </c>
      <c r="R160" s="18">
        <f t="shared" si="11"/>
        <v>83.117818484596171</v>
      </c>
      <c r="S160" s="34"/>
      <c r="T160" s="29" t="s">
        <v>8</v>
      </c>
      <c r="U160" s="1738"/>
    </row>
    <row r="161" spans="1:21">
      <c r="A161" s="10" t="s">
        <v>14</v>
      </c>
      <c r="B161" s="19">
        <f>CHAMNORD!B161</f>
        <v>46178</v>
      </c>
      <c r="C161" s="75">
        <f>IF(H161=0,"",'[8]2025-2026'!C160)</f>
        <v>8390.48</v>
      </c>
      <c r="D161" s="68">
        <f>'[8]2025'!C161</f>
        <v>10943.55</v>
      </c>
      <c r="E161" s="68">
        <f>'[8]2025'!D161</f>
        <v>10855.71</v>
      </c>
      <c r="F161" s="20">
        <f>'[8]2025'!E161</f>
        <v>529</v>
      </c>
      <c r="G161" s="73">
        <f>'[8]2025'!F161</f>
        <v>10900</v>
      </c>
      <c r="H161" s="42">
        <f>'[8]2025'!G161</f>
        <v>11291.67</v>
      </c>
      <c r="I161" s="13">
        <f>'[8]2025'!H161</f>
        <v>11125</v>
      </c>
      <c r="J161" s="14">
        <f>'[8]2025'!I161</f>
        <v>531</v>
      </c>
      <c r="K161" s="15">
        <f>'[8]2025'!J161</f>
        <v>117.79</v>
      </c>
      <c r="L161" s="15">
        <f>'[8]2025'!K161</f>
        <v>125.32</v>
      </c>
      <c r="M161" s="15">
        <f>'[8]2025'!L161</f>
        <v>41.51</v>
      </c>
      <c r="N161" s="16">
        <f t="shared" si="8"/>
        <v>3.7312359550561794E-3</v>
      </c>
      <c r="O161" s="17">
        <f t="shared" si="9"/>
        <v>2.4806300094604675E-2</v>
      </c>
      <c r="P161" s="17">
        <f t="shared" si="9"/>
        <v>3.780718336483932E-3</v>
      </c>
      <c r="Q161" s="18">
        <f t="shared" si="10"/>
        <v>94.447745988623822</v>
      </c>
      <c r="R161" s="18">
        <f t="shared" si="11"/>
        <v>88.772741781040537</v>
      </c>
      <c r="S161" s="36" t="s">
        <v>40</v>
      </c>
      <c r="T161" s="48">
        <f>SUM(I157:I163)/SUM(L157:L163)</f>
        <v>87.981503151511944</v>
      </c>
      <c r="U161" s="1738"/>
    </row>
    <row r="162" spans="1:21">
      <c r="A162" s="10" t="s">
        <v>15</v>
      </c>
      <c r="B162" s="19">
        <f>CHAMNORD!B162</f>
        <v>46179</v>
      </c>
      <c r="C162" s="75">
        <f>IF(H162=0,"",'[8]2025-2026'!C161)</f>
        <v>10943.55</v>
      </c>
      <c r="D162" s="68">
        <f>'[8]2025'!C162</f>
        <v>9475.9500000000007</v>
      </c>
      <c r="E162" s="68">
        <f>'[8]2025'!D162</f>
        <v>9400.4500000000007</v>
      </c>
      <c r="F162" s="20">
        <f>'[8]2025'!E162</f>
        <v>433</v>
      </c>
      <c r="G162" s="73">
        <f>'[8]2025'!F162</f>
        <v>9500</v>
      </c>
      <c r="H162" s="42">
        <f>'[8]2025'!G162</f>
        <v>10550.46</v>
      </c>
      <c r="I162" s="13">
        <f>'[8]2025'!H162</f>
        <v>10419.370000000001</v>
      </c>
      <c r="J162" s="14">
        <f>'[8]2025'!I162</f>
        <v>464</v>
      </c>
      <c r="K162" s="15">
        <f>'[8]2025'!J162</f>
        <v>105.82</v>
      </c>
      <c r="L162" s="15">
        <f>'[8]2025'!K162</f>
        <v>120.36</v>
      </c>
      <c r="M162" s="15">
        <f>'[8]2025'!L162</f>
        <v>33.44</v>
      </c>
      <c r="N162" s="16">
        <f t="shared" si="8"/>
        <v>3.2094070946707904E-3</v>
      </c>
      <c r="O162" s="17">
        <f t="shared" si="9"/>
        <v>0.10839055577126627</v>
      </c>
      <c r="P162" s="17">
        <f t="shared" si="9"/>
        <v>7.1593533487297925E-2</v>
      </c>
      <c r="Q162" s="18">
        <f t="shared" si="10"/>
        <v>98.463144963144984</v>
      </c>
      <c r="R162" s="18">
        <f t="shared" si="11"/>
        <v>86.568378198737136</v>
      </c>
      <c r="S162" s="36">
        <f>SUM(J157:J163)</f>
        <v>3190</v>
      </c>
      <c r="T162" s="30" t="s">
        <v>3</v>
      </c>
      <c r="U162" s="1738"/>
    </row>
    <row r="163" spans="1:21" ht="18" thickBot="1">
      <c r="A163" s="10" t="s">
        <v>16</v>
      </c>
      <c r="B163" s="19">
        <f>CHAMNORD!B163</f>
        <v>46180</v>
      </c>
      <c r="C163" s="75">
        <f>IF(H163=0,"",'[8]2025-2026'!C162)</f>
        <v>9475.9500000000007</v>
      </c>
      <c r="D163" s="68">
        <f>'[8]2025'!C163</f>
        <v>11498.68</v>
      </c>
      <c r="E163" s="68">
        <f>'[8]2025'!D163</f>
        <v>11411.57</v>
      </c>
      <c r="F163" s="20">
        <f>'[8]2025'!E163</f>
        <v>546</v>
      </c>
      <c r="G163" s="73">
        <f>'[8]2025'!F163</f>
        <v>11500</v>
      </c>
      <c r="H163" s="42">
        <f>'[8]2025'!G163</f>
        <v>13403.47</v>
      </c>
      <c r="I163" s="13">
        <f>'[8]2025'!H163</f>
        <v>13217.94</v>
      </c>
      <c r="J163" s="14">
        <f>'[8]2025'!I163</f>
        <v>635</v>
      </c>
      <c r="K163" s="15">
        <f>'[8]2025'!J163</f>
        <v>105.76</v>
      </c>
      <c r="L163" s="15">
        <f>'[8]2025'!K163</f>
        <v>122.01</v>
      </c>
      <c r="M163" s="15">
        <f>'[8]2025'!L163</f>
        <v>44.57</v>
      </c>
      <c r="N163" s="16">
        <f t="shared" si="8"/>
        <v>3.3719323888593833E-3</v>
      </c>
      <c r="O163" s="17">
        <f t="shared" si="9"/>
        <v>0.15829285540902793</v>
      </c>
      <c r="P163" s="17">
        <f t="shared" si="9"/>
        <v>0.16300366300366301</v>
      </c>
      <c r="Q163" s="18">
        <f t="shared" si="10"/>
        <v>124.98052193645991</v>
      </c>
      <c r="R163" s="18">
        <f t="shared" si="11"/>
        <v>108.33489058273912</v>
      </c>
      <c r="S163" s="37">
        <f>(S162-SUM(F157:F163))/SUM(F157:F163)</f>
        <v>1.5600127347978351E-2</v>
      </c>
      <c r="T163" s="47">
        <f>SUM(M157:M163)/SUM(I157:I163)</f>
        <v>3.764442365430669E-3</v>
      </c>
      <c r="U163" s="1739"/>
    </row>
    <row r="164" spans="1:21" ht="17" customHeight="1" thickTop="1">
      <c r="A164" s="10" t="s">
        <v>9</v>
      </c>
      <c r="B164" s="19">
        <f>CHAMNORD!B164</f>
        <v>46181</v>
      </c>
      <c r="C164" s="75" t="str">
        <f>IF(H164=0,"",'[8]2025-2026'!C163)</f>
        <v/>
      </c>
      <c r="D164" s="68" t="str">
        <f>'[8]2025'!C164</f>
        <v/>
      </c>
      <c r="E164" s="68" t="str">
        <f>'[8]2025'!D164</f>
        <v/>
      </c>
      <c r="F164" s="20" t="str">
        <f>'[8]2025'!E164</f>
        <v/>
      </c>
      <c r="G164" s="73" t="str">
        <f>'[8]2025'!F164</f>
        <v/>
      </c>
      <c r="H164" s="42">
        <f>'[8]2025'!G164</f>
        <v>0</v>
      </c>
      <c r="I164" s="13">
        <f>'[8]2025'!H164</f>
        <v>0</v>
      </c>
      <c r="J164" s="14">
        <f>'[8]2025'!I164</f>
        <v>0</v>
      </c>
      <c r="K164" s="15">
        <f>'[8]2025'!J164</f>
        <v>0</v>
      </c>
      <c r="L164" s="15">
        <f>'[8]2025'!K164</f>
        <v>0</v>
      </c>
      <c r="M164" s="15">
        <f>'[8]2025'!L164</f>
        <v>0</v>
      </c>
      <c r="N164" s="16" t="str">
        <f t="shared" si="8"/>
        <v/>
      </c>
      <c r="O164" s="17" t="str">
        <f t="shared" si="9"/>
        <v/>
      </c>
      <c r="P164" s="17" t="str">
        <f t="shared" si="9"/>
        <v/>
      </c>
      <c r="Q164" s="18" t="str">
        <f t="shared" si="10"/>
        <v/>
      </c>
      <c r="R164" s="18" t="e">
        <f t="shared" si="11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19">
        <f>CHAMNORD!B165</f>
        <v>46182</v>
      </c>
      <c r="C165" s="75" t="str">
        <f>IF(H165=0,"",'[8]2025-2026'!C164)</f>
        <v/>
      </c>
      <c r="D165" s="68" t="str">
        <f>'[8]2025'!C165</f>
        <v/>
      </c>
      <c r="E165" s="68" t="str">
        <f>'[8]2025'!D165</f>
        <v/>
      </c>
      <c r="F165" s="20" t="str">
        <f>'[8]2025'!E165</f>
        <v/>
      </c>
      <c r="G165" s="73" t="str">
        <f>'[8]2025'!F165</f>
        <v/>
      </c>
      <c r="H165" s="42">
        <f>'[8]2025'!G165</f>
        <v>0</v>
      </c>
      <c r="I165" s="13">
        <f>'[8]2025'!H165</f>
        <v>0</v>
      </c>
      <c r="J165" s="14">
        <f>'[8]2025'!I165</f>
        <v>0</v>
      </c>
      <c r="K165" s="15">
        <f>'[8]2025'!J165</f>
        <v>0</v>
      </c>
      <c r="L165" s="15">
        <f>'[8]2025'!K165</f>
        <v>0</v>
      </c>
      <c r="M165" s="15">
        <f>'[8]2025'!L165</f>
        <v>0</v>
      </c>
      <c r="N165" s="16" t="str">
        <f t="shared" si="8"/>
        <v/>
      </c>
      <c r="O165" s="17" t="str">
        <f t="shared" si="9"/>
        <v/>
      </c>
      <c r="P165" s="17" t="str">
        <f t="shared" si="9"/>
        <v/>
      </c>
      <c r="Q165" s="18" t="str">
        <f t="shared" si="10"/>
        <v/>
      </c>
      <c r="R165" s="18" t="e">
        <f t="shared" si="11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19">
        <f>CHAMNORD!B166</f>
        <v>46183</v>
      </c>
      <c r="C166" s="75" t="str">
        <f>IF(H166=0,"",'[8]2025-2026'!C165)</f>
        <v/>
      </c>
      <c r="D166" s="68" t="str">
        <f>'[8]2025'!C166</f>
        <v/>
      </c>
      <c r="E166" s="68" t="str">
        <f>'[8]2025'!D166</f>
        <v/>
      </c>
      <c r="F166" s="20" t="str">
        <f>'[8]2025'!E166</f>
        <v/>
      </c>
      <c r="G166" s="73" t="str">
        <f>'[8]2025'!F166</f>
        <v/>
      </c>
      <c r="H166" s="42">
        <f>'[8]2025'!G166</f>
        <v>0</v>
      </c>
      <c r="I166" s="13">
        <f>'[8]2025'!H166</f>
        <v>0</v>
      </c>
      <c r="J166" s="14">
        <f>'[8]2025'!I166</f>
        <v>0</v>
      </c>
      <c r="K166" s="15">
        <f>'[8]2025'!J166</f>
        <v>0</v>
      </c>
      <c r="L166" s="15">
        <f>'[8]2025'!K166</f>
        <v>0</v>
      </c>
      <c r="M166" s="15">
        <f>'[8]2025'!L166</f>
        <v>0</v>
      </c>
      <c r="N166" s="16" t="str">
        <f t="shared" si="8"/>
        <v/>
      </c>
      <c r="O166" s="17" t="str">
        <f t="shared" si="9"/>
        <v/>
      </c>
      <c r="P166" s="17" t="str">
        <f t="shared" si="9"/>
        <v/>
      </c>
      <c r="Q166" s="18" t="str">
        <f t="shared" si="10"/>
        <v/>
      </c>
      <c r="R166" s="18" t="e">
        <f t="shared" si="11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19">
        <f>CHAMNORD!B167</f>
        <v>46184</v>
      </c>
      <c r="C167" s="75" t="str">
        <f>IF(H167=0,"",'[8]2025-2026'!C166)</f>
        <v/>
      </c>
      <c r="D167" s="68" t="str">
        <f>'[8]2025'!C167</f>
        <v/>
      </c>
      <c r="E167" s="68" t="str">
        <f>'[8]2025'!D167</f>
        <v/>
      </c>
      <c r="F167" s="20" t="str">
        <f>'[8]2025'!E167</f>
        <v/>
      </c>
      <c r="G167" s="73" t="str">
        <f>'[8]2025'!F167</f>
        <v/>
      </c>
      <c r="H167" s="42">
        <f>'[8]2025'!G167</f>
        <v>0</v>
      </c>
      <c r="I167" s="13">
        <f>'[8]2025'!H167</f>
        <v>0</v>
      </c>
      <c r="J167" s="14">
        <f>'[8]2025'!I167</f>
        <v>0</v>
      </c>
      <c r="K167" s="15">
        <f>'[8]2025'!J167</f>
        <v>0</v>
      </c>
      <c r="L167" s="15">
        <f>'[8]2025'!K167</f>
        <v>0</v>
      </c>
      <c r="M167" s="15">
        <f>'[8]2025'!L167</f>
        <v>0</v>
      </c>
      <c r="N167" s="16" t="str">
        <f t="shared" si="8"/>
        <v/>
      </c>
      <c r="O167" s="17" t="str">
        <f t="shared" si="9"/>
        <v/>
      </c>
      <c r="P167" s="17" t="str">
        <f t="shared" si="9"/>
        <v/>
      </c>
      <c r="Q167" s="18" t="str">
        <f t="shared" si="10"/>
        <v/>
      </c>
      <c r="R167" s="18" t="e">
        <f t="shared" si="11"/>
        <v>#DIV/0!</v>
      </c>
      <c r="S167" s="34"/>
      <c r="T167" s="29" t="s">
        <v>8</v>
      </c>
      <c r="U167" s="1738"/>
    </row>
    <row r="168" spans="1:21">
      <c r="A168" s="10" t="s">
        <v>14</v>
      </c>
      <c r="B168" s="19">
        <f>CHAMNORD!B168</f>
        <v>46185</v>
      </c>
      <c r="C168" s="75" t="str">
        <f>IF(H168=0,"",'[8]2025-2026'!C167)</f>
        <v/>
      </c>
      <c r="D168" s="68" t="str">
        <f>'[8]2025'!C168</f>
        <v/>
      </c>
      <c r="E168" s="68" t="str">
        <f>'[8]2025'!D168</f>
        <v/>
      </c>
      <c r="F168" s="20" t="str">
        <f>'[8]2025'!E168</f>
        <v/>
      </c>
      <c r="G168" s="73" t="str">
        <f>'[8]2025'!F168</f>
        <v/>
      </c>
      <c r="H168" s="42">
        <f>'[8]2025'!G168</f>
        <v>0</v>
      </c>
      <c r="I168" s="13">
        <f>'[8]2025'!H168</f>
        <v>0</v>
      </c>
      <c r="J168" s="14">
        <f>'[8]2025'!I168</f>
        <v>0</v>
      </c>
      <c r="K168" s="15">
        <f>'[8]2025'!J168</f>
        <v>0</v>
      </c>
      <c r="L168" s="15">
        <f>'[8]2025'!K168</f>
        <v>0</v>
      </c>
      <c r="M168" s="15">
        <f>'[8]2025'!L168</f>
        <v>0</v>
      </c>
      <c r="N168" s="16" t="str">
        <f t="shared" si="8"/>
        <v/>
      </c>
      <c r="O168" s="17" t="str">
        <f t="shared" si="9"/>
        <v/>
      </c>
      <c r="P168" s="17" t="str">
        <f t="shared" si="9"/>
        <v/>
      </c>
      <c r="Q168" s="18" t="str">
        <f t="shared" si="10"/>
        <v/>
      </c>
      <c r="R168" s="18" t="e">
        <f t="shared" si="11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19">
        <f>CHAMNORD!B169</f>
        <v>46186</v>
      </c>
      <c r="C169" s="75" t="str">
        <f>IF(H169=0,"",'[8]2025-2026'!C168)</f>
        <v/>
      </c>
      <c r="D169" s="68" t="str">
        <f>'[8]2025'!C169</f>
        <v/>
      </c>
      <c r="E169" s="68" t="str">
        <f>'[8]2025'!D169</f>
        <v/>
      </c>
      <c r="F169" s="20" t="str">
        <f>'[8]2025'!E169</f>
        <v/>
      </c>
      <c r="G169" s="73" t="str">
        <f>'[8]2025'!F169</f>
        <v/>
      </c>
      <c r="H169" s="42">
        <f>'[8]2025'!G169</f>
        <v>0</v>
      </c>
      <c r="I169" s="13">
        <f>'[8]2025'!H169</f>
        <v>0</v>
      </c>
      <c r="J169" s="14">
        <f>'[8]2025'!I169</f>
        <v>0</v>
      </c>
      <c r="K169" s="15">
        <f>'[8]2025'!J169</f>
        <v>0</v>
      </c>
      <c r="L169" s="15">
        <f>'[8]2025'!K169</f>
        <v>0</v>
      </c>
      <c r="M169" s="15">
        <f>'[8]2025'!L169</f>
        <v>0</v>
      </c>
      <c r="N169" s="16" t="str">
        <f t="shared" si="8"/>
        <v/>
      </c>
      <c r="O169" s="17" t="str">
        <f t="shared" si="9"/>
        <v/>
      </c>
      <c r="P169" s="17" t="str">
        <f t="shared" si="9"/>
        <v/>
      </c>
      <c r="Q169" s="18" t="str">
        <f t="shared" si="10"/>
        <v/>
      </c>
      <c r="R169" s="18" t="e">
        <f t="shared" si="11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19">
        <f>CHAMNORD!B170</f>
        <v>46187</v>
      </c>
      <c r="C170" s="75" t="str">
        <f>IF(H170=0,"",'[8]2025-2026'!C169)</f>
        <v/>
      </c>
      <c r="D170" s="68" t="str">
        <f>'[8]2025'!C170</f>
        <v/>
      </c>
      <c r="E170" s="68" t="str">
        <f>'[8]2025'!D170</f>
        <v/>
      </c>
      <c r="F170" s="20" t="str">
        <f>'[8]2025'!E170</f>
        <v/>
      </c>
      <c r="G170" s="73" t="str">
        <f>'[8]2025'!F170</f>
        <v/>
      </c>
      <c r="H170" s="42">
        <f>'[8]2025'!G170</f>
        <v>0</v>
      </c>
      <c r="I170" s="13">
        <f>'[8]2025'!H170</f>
        <v>0</v>
      </c>
      <c r="J170" s="14">
        <f>'[8]2025'!I170</f>
        <v>0</v>
      </c>
      <c r="K170" s="15">
        <f>'[8]2025'!J170</f>
        <v>0</v>
      </c>
      <c r="L170" s="15">
        <f>'[8]2025'!K170</f>
        <v>0</v>
      </c>
      <c r="M170" s="15">
        <f>'[8]2025'!L170</f>
        <v>0</v>
      </c>
      <c r="N170" s="16" t="str">
        <f t="shared" si="8"/>
        <v/>
      </c>
      <c r="O170" s="17" t="str">
        <f t="shared" si="9"/>
        <v/>
      </c>
      <c r="P170" s="17" t="str">
        <f t="shared" si="9"/>
        <v/>
      </c>
      <c r="Q170" s="18" t="str">
        <f t="shared" si="10"/>
        <v/>
      </c>
      <c r="R170" s="18" t="e">
        <f t="shared" si="11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19">
        <f>CHAMNORD!B171</f>
        <v>46188</v>
      </c>
      <c r="C171" s="75" t="str">
        <f>IF(H171=0,"",'[8]2025-2026'!C170)</f>
        <v/>
      </c>
      <c r="D171" s="68" t="str">
        <f>'[8]2025'!C171</f>
        <v/>
      </c>
      <c r="E171" s="68" t="str">
        <f>'[8]2025'!D171</f>
        <v/>
      </c>
      <c r="F171" s="20" t="str">
        <f>'[8]2025'!E171</f>
        <v/>
      </c>
      <c r="G171" s="73" t="str">
        <f>'[8]2025'!F171</f>
        <v/>
      </c>
      <c r="H171" s="42">
        <f>'[8]2025'!G171</f>
        <v>0</v>
      </c>
      <c r="I171" s="13">
        <f>'[8]2025'!H171</f>
        <v>0</v>
      </c>
      <c r="J171" s="14">
        <f>'[8]2025'!I171</f>
        <v>0</v>
      </c>
      <c r="K171" s="15">
        <f>'[8]2025'!J171</f>
        <v>0</v>
      </c>
      <c r="L171" s="15">
        <f>'[8]2025'!K171</f>
        <v>0</v>
      </c>
      <c r="M171" s="15">
        <f>'[8]2025'!L171</f>
        <v>0</v>
      </c>
      <c r="N171" s="16" t="str">
        <f t="shared" si="8"/>
        <v/>
      </c>
      <c r="O171" s="17" t="str">
        <f t="shared" si="9"/>
        <v/>
      </c>
      <c r="P171" s="17" t="str">
        <f t="shared" si="9"/>
        <v/>
      </c>
      <c r="Q171" s="18" t="str">
        <f t="shared" si="10"/>
        <v/>
      </c>
      <c r="R171" s="18" t="e">
        <f t="shared" si="11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19">
        <f>CHAMNORD!B172</f>
        <v>46189</v>
      </c>
      <c r="C172" s="75" t="str">
        <f>IF(H172=0,"",'[8]2025-2026'!C171)</f>
        <v/>
      </c>
      <c r="D172" s="68" t="str">
        <f>'[8]2025'!C172</f>
        <v/>
      </c>
      <c r="E172" s="68" t="str">
        <f>'[8]2025'!D172</f>
        <v/>
      </c>
      <c r="F172" s="20" t="str">
        <f>'[8]2025'!E172</f>
        <v/>
      </c>
      <c r="G172" s="73" t="str">
        <f>'[8]2025'!F172</f>
        <v/>
      </c>
      <c r="H172" s="42">
        <f>'[8]2025'!G172</f>
        <v>0</v>
      </c>
      <c r="I172" s="13">
        <f>'[8]2025'!H172</f>
        <v>0</v>
      </c>
      <c r="J172" s="14">
        <f>'[8]2025'!I172</f>
        <v>0</v>
      </c>
      <c r="K172" s="15">
        <f>'[8]2025'!J172</f>
        <v>0</v>
      </c>
      <c r="L172" s="15">
        <f>'[8]2025'!K172</f>
        <v>0</v>
      </c>
      <c r="M172" s="15">
        <f>'[8]2025'!L172</f>
        <v>0</v>
      </c>
      <c r="N172" s="16" t="str">
        <f t="shared" si="8"/>
        <v/>
      </c>
      <c r="O172" s="17" t="str">
        <f t="shared" si="9"/>
        <v/>
      </c>
      <c r="P172" s="17" t="str">
        <f t="shared" si="9"/>
        <v/>
      </c>
      <c r="Q172" s="18" t="str">
        <f t="shared" si="10"/>
        <v/>
      </c>
      <c r="R172" s="18" t="e">
        <f t="shared" si="11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19">
        <f>CHAMNORD!B173</f>
        <v>46190</v>
      </c>
      <c r="C173" s="75" t="str">
        <f>IF(H173=0,"",'[8]2025-2026'!C172)</f>
        <v/>
      </c>
      <c r="D173" s="68" t="str">
        <f>'[8]2025'!C173</f>
        <v/>
      </c>
      <c r="E173" s="68" t="str">
        <f>'[8]2025'!D173</f>
        <v/>
      </c>
      <c r="F173" s="20" t="str">
        <f>'[8]2025'!E173</f>
        <v/>
      </c>
      <c r="G173" s="73" t="str">
        <f>'[8]2025'!F173</f>
        <v/>
      </c>
      <c r="H173" s="42">
        <f>'[8]2025'!G173</f>
        <v>0</v>
      </c>
      <c r="I173" s="13">
        <f>'[8]2025'!H173</f>
        <v>0</v>
      </c>
      <c r="J173" s="14">
        <f>'[8]2025'!I173</f>
        <v>0</v>
      </c>
      <c r="K173" s="15">
        <f>'[8]2025'!J173</f>
        <v>0</v>
      </c>
      <c r="L173" s="15">
        <f>'[8]2025'!K173</f>
        <v>0</v>
      </c>
      <c r="M173" s="15">
        <f>'[8]2025'!L173</f>
        <v>0</v>
      </c>
      <c r="N173" s="16" t="str">
        <f t="shared" si="8"/>
        <v/>
      </c>
      <c r="O173" s="17" t="str">
        <f t="shared" si="9"/>
        <v/>
      </c>
      <c r="P173" s="17" t="str">
        <f t="shared" si="9"/>
        <v/>
      </c>
      <c r="Q173" s="18" t="str">
        <f t="shared" si="10"/>
        <v/>
      </c>
      <c r="R173" s="18" t="e">
        <f t="shared" si="11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19">
        <f>CHAMNORD!B174</f>
        <v>46191</v>
      </c>
      <c r="C174" s="75" t="str">
        <f>IF(H174=0,"",'[8]2025-2026'!C173)</f>
        <v/>
      </c>
      <c r="D174" s="68" t="str">
        <f>'[8]2025'!C174</f>
        <v/>
      </c>
      <c r="E174" s="68" t="str">
        <f>'[8]2025'!D174</f>
        <v/>
      </c>
      <c r="F174" s="20" t="str">
        <f>'[8]2025'!E174</f>
        <v/>
      </c>
      <c r="G174" s="73" t="str">
        <f>'[8]2025'!F174</f>
        <v/>
      </c>
      <c r="H174" s="42">
        <f>'[8]2025'!G174</f>
        <v>0</v>
      </c>
      <c r="I174" s="13">
        <f>'[8]2025'!H174</f>
        <v>0</v>
      </c>
      <c r="J174" s="14">
        <f>'[8]2025'!I174</f>
        <v>0</v>
      </c>
      <c r="K174" s="15">
        <f>'[8]2025'!J174</f>
        <v>0</v>
      </c>
      <c r="L174" s="15">
        <f>'[8]2025'!K174</f>
        <v>0</v>
      </c>
      <c r="M174" s="15">
        <f>'[8]2025'!L174</f>
        <v>0</v>
      </c>
      <c r="N174" s="16" t="str">
        <f t="shared" si="8"/>
        <v/>
      </c>
      <c r="O174" s="17" t="str">
        <f t="shared" si="9"/>
        <v/>
      </c>
      <c r="P174" s="17" t="str">
        <f t="shared" si="9"/>
        <v/>
      </c>
      <c r="Q174" s="18" t="str">
        <f t="shared" si="10"/>
        <v/>
      </c>
      <c r="R174" s="18" t="e">
        <f t="shared" si="11"/>
        <v>#DIV/0!</v>
      </c>
      <c r="S174" s="34"/>
      <c r="T174" s="29" t="s">
        <v>8</v>
      </c>
      <c r="U174" s="1738"/>
    </row>
    <row r="175" spans="1:21">
      <c r="A175" s="10" t="s">
        <v>14</v>
      </c>
      <c r="B175" s="19">
        <f>CHAMNORD!B175</f>
        <v>46192</v>
      </c>
      <c r="C175" s="75" t="str">
        <f>IF(H175=0,"",'[8]2025-2026'!C174)</f>
        <v/>
      </c>
      <c r="D175" s="68" t="str">
        <f>'[8]2025'!C175</f>
        <v/>
      </c>
      <c r="E175" s="68" t="str">
        <f>'[8]2025'!D175</f>
        <v/>
      </c>
      <c r="F175" s="20" t="str">
        <f>'[8]2025'!E175</f>
        <v/>
      </c>
      <c r="G175" s="73" t="str">
        <f>'[8]2025'!F175</f>
        <v/>
      </c>
      <c r="H175" s="42">
        <f>'[8]2025'!G175</f>
        <v>0</v>
      </c>
      <c r="I175" s="13">
        <f>'[8]2025'!H175</f>
        <v>0</v>
      </c>
      <c r="J175" s="14">
        <f>'[8]2025'!I175</f>
        <v>0</v>
      </c>
      <c r="K175" s="15">
        <f>'[8]2025'!J175</f>
        <v>0</v>
      </c>
      <c r="L175" s="15">
        <f>'[8]2025'!K175</f>
        <v>0</v>
      </c>
      <c r="M175" s="15">
        <f>'[8]2025'!L175</f>
        <v>0</v>
      </c>
      <c r="N175" s="16" t="str">
        <f t="shared" si="8"/>
        <v/>
      </c>
      <c r="O175" s="17" t="str">
        <f t="shared" si="9"/>
        <v/>
      </c>
      <c r="P175" s="17" t="str">
        <f t="shared" si="9"/>
        <v/>
      </c>
      <c r="Q175" s="18" t="str">
        <f t="shared" si="10"/>
        <v/>
      </c>
      <c r="R175" s="18" t="e">
        <f t="shared" si="11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19">
        <f>CHAMNORD!B176</f>
        <v>46193</v>
      </c>
      <c r="C176" s="75" t="str">
        <f>IF(H176=0,"",'[8]2025-2026'!C175)</f>
        <v/>
      </c>
      <c r="D176" s="68" t="str">
        <f>'[8]2025'!C176</f>
        <v/>
      </c>
      <c r="E176" s="68" t="str">
        <f>'[8]2025'!D176</f>
        <v/>
      </c>
      <c r="F176" s="20" t="str">
        <f>'[8]2025'!E176</f>
        <v/>
      </c>
      <c r="G176" s="73" t="str">
        <f>'[8]2025'!F176</f>
        <v/>
      </c>
      <c r="H176" s="42">
        <f>'[8]2025'!G176</f>
        <v>0</v>
      </c>
      <c r="I176" s="13">
        <f>'[8]2025'!H176</f>
        <v>0</v>
      </c>
      <c r="J176" s="14">
        <f>'[8]2025'!I176</f>
        <v>0</v>
      </c>
      <c r="K176" s="15">
        <f>'[8]2025'!J176</f>
        <v>0</v>
      </c>
      <c r="L176" s="15">
        <f>'[8]2025'!K176</f>
        <v>0</v>
      </c>
      <c r="M176" s="15">
        <f>'[8]2025'!L176</f>
        <v>0</v>
      </c>
      <c r="N176" s="16" t="str">
        <f t="shared" si="8"/>
        <v/>
      </c>
      <c r="O176" s="17" t="str">
        <f t="shared" si="9"/>
        <v/>
      </c>
      <c r="P176" s="17" t="str">
        <f t="shared" si="9"/>
        <v/>
      </c>
      <c r="Q176" s="18" t="str">
        <f t="shared" si="10"/>
        <v/>
      </c>
      <c r="R176" s="18" t="e">
        <f t="shared" si="11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19">
        <f>CHAMNORD!B177</f>
        <v>46194</v>
      </c>
      <c r="C177" s="75" t="str">
        <f>IF(H177=0,"",'[8]2025-2026'!C176)</f>
        <v/>
      </c>
      <c r="D177" s="68" t="str">
        <f>'[8]2025'!C177</f>
        <v/>
      </c>
      <c r="E177" s="68" t="str">
        <f>'[8]2025'!D177</f>
        <v/>
      </c>
      <c r="F177" s="20" t="str">
        <f>'[8]2025'!E177</f>
        <v/>
      </c>
      <c r="G177" s="73" t="str">
        <f>'[8]2025'!F177</f>
        <v/>
      </c>
      <c r="H177" s="42">
        <f>'[8]2025'!G177</f>
        <v>0</v>
      </c>
      <c r="I177" s="13">
        <f>'[8]2025'!H177</f>
        <v>0</v>
      </c>
      <c r="J177" s="14">
        <f>'[8]2025'!I177</f>
        <v>0</v>
      </c>
      <c r="K177" s="15">
        <f>'[8]2025'!J177</f>
        <v>0</v>
      </c>
      <c r="L177" s="15">
        <f>'[8]2025'!K177</f>
        <v>0</v>
      </c>
      <c r="M177" s="15">
        <f>'[8]2025'!L177</f>
        <v>0</v>
      </c>
      <c r="N177" s="16" t="str">
        <f t="shared" si="8"/>
        <v/>
      </c>
      <c r="O177" s="17" t="str">
        <f t="shared" si="9"/>
        <v/>
      </c>
      <c r="P177" s="17" t="str">
        <f t="shared" si="9"/>
        <v/>
      </c>
      <c r="Q177" s="18" t="str">
        <f t="shared" si="10"/>
        <v/>
      </c>
      <c r="R177" s="18" t="e">
        <f t="shared" si="11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19">
        <f>CHAMNORD!B178</f>
        <v>46195</v>
      </c>
      <c r="C178" s="75" t="str">
        <f>IF(H178=0,"",'[8]2025-2026'!C177)</f>
        <v/>
      </c>
      <c r="D178" s="68" t="str">
        <f>'[8]2025'!C178</f>
        <v/>
      </c>
      <c r="E178" s="68" t="str">
        <f>'[8]2025'!D178</f>
        <v/>
      </c>
      <c r="F178" s="20" t="str">
        <f>'[8]2025'!E178</f>
        <v/>
      </c>
      <c r="G178" s="73" t="str">
        <f>'[8]2025'!F178</f>
        <v/>
      </c>
      <c r="H178" s="42">
        <f>'[8]2025'!G178</f>
        <v>0</v>
      </c>
      <c r="I178" s="13">
        <f>'[8]2025'!H178</f>
        <v>0</v>
      </c>
      <c r="J178" s="14">
        <f>'[8]2025'!I178</f>
        <v>0</v>
      </c>
      <c r="K178" s="15">
        <f>'[8]2025'!J178</f>
        <v>0</v>
      </c>
      <c r="L178" s="15">
        <f>'[8]2025'!K178</f>
        <v>0</v>
      </c>
      <c r="M178" s="15">
        <f>'[8]2025'!L178</f>
        <v>0</v>
      </c>
      <c r="N178" s="16" t="str">
        <f t="shared" si="8"/>
        <v/>
      </c>
      <c r="O178" s="17" t="str">
        <f t="shared" si="9"/>
        <v/>
      </c>
      <c r="P178" s="17" t="str">
        <f t="shared" si="9"/>
        <v/>
      </c>
      <c r="Q178" s="18" t="str">
        <f t="shared" si="10"/>
        <v/>
      </c>
      <c r="R178" s="18" t="e">
        <f t="shared" si="11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19">
        <f>CHAMNORD!B179</f>
        <v>46196</v>
      </c>
      <c r="C179" s="75" t="str">
        <f>IF(H179=0,"",'[8]2025-2026'!C178)</f>
        <v/>
      </c>
      <c r="D179" s="68" t="str">
        <f>'[8]2025'!C179</f>
        <v/>
      </c>
      <c r="E179" s="68" t="str">
        <f>'[8]2025'!D179</f>
        <v/>
      </c>
      <c r="F179" s="20" t="str">
        <f>'[8]2025'!E179</f>
        <v/>
      </c>
      <c r="G179" s="73" t="str">
        <f>'[8]2025'!F179</f>
        <v/>
      </c>
      <c r="H179" s="42">
        <f>'[8]2025'!G179</f>
        <v>0</v>
      </c>
      <c r="I179" s="13">
        <f>'[8]2025'!H179</f>
        <v>0</v>
      </c>
      <c r="J179" s="14">
        <f>'[8]2025'!I179</f>
        <v>0</v>
      </c>
      <c r="K179" s="15">
        <f>'[8]2025'!J179</f>
        <v>0</v>
      </c>
      <c r="L179" s="15">
        <f>'[8]2025'!K179</f>
        <v>0</v>
      </c>
      <c r="M179" s="15">
        <f>'[8]2025'!L179</f>
        <v>0</v>
      </c>
      <c r="N179" s="16" t="str">
        <f t="shared" si="8"/>
        <v/>
      </c>
      <c r="O179" s="17" t="str">
        <f t="shared" si="9"/>
        <v/>
      </c>
      <c r="P179" s="17" t="str">
        <f t="shared" si="9"/>
        <v/>
      </c>
      <c r="Q179" s="18" t="str">
        <f t="shared" si="10"/>
        <v/>
      </c>
      <c r="R179" s="18" t="e">
        <f t="shared" si="11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19">
        <f>CHAMNORD!B180</f>
        <v>46197</v>
      </c>
      <c r="C180" s="75" t="str">
        <f>IF(H180=0,"",'[8]2025-2026'!C179)</f>
        <v/>
      </c>
      <c r="D180" s="68" t="str">
        <f>'[8]2025'!C180</f>
        <v/>
      </c>
      <c r="E180" s="68" t="str">
        <f>'[8]2025'!D180</f>
        <v/>
      </c>
      <c r="F180" s="20" t="str">
        <f>'[8]2025'!E180</f>
        <v/>
      </c>
      <c r="G180" s="73" t="str">
        <f>'[8]2025'!F180</f>
        <v/>
      </c>
      <c r="H180" s="42">
        <f>'[8]2025'!G180</f>
        <v>0</v>
      </c>
      <c r="I180" s="13">
        <f>'[8]2025'!H180</f>
        <v>0</v>
      </c>
      <c r="J180" s="14">
        <f>'[8]2025'!I180</f>
        <v>0</v>
      </c>
      <c r="K180" s="15">
        <f>'[8]2025'!J180</f>
        <v>0</v>
      </c>
      <c r="L180" s="15">
        <f>'[8]2025'!K180</f>
        <v>0</v>
      </c>
      <c r="M180" s="15">
        <f>'[8]2025'!L180</f>
        <v>0</v>
      </c>
      <c r="N180" s="16" t="str">
        <f t="shared" si="8"/>
        <v/>
      </c>
      <c r="O180" s="17" t="str">
        <f t="shared" si="9"/>
        <v/>
      </c>
      <c r="P180" s="17" t="str">
        <f t="shared" si="9"/>
        <v/>
      </c>
      <c r="Q180" s="18" t="str">
        <f t="shared" si="10"/>
        <v/>
      </c>
      <c r="R180" s="18" t="e">
        <f t="shared" si="11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19">
        <f>CHAMNORD!B181</f>
        <v>46198</v>
      </c>
      <c r="C181" s="75" t="str">
        <f>IF(H181=0,"",'[8]2025-2026'!C180)</f>
        <v/>
      </c>
      <c r="D181" s="68" t="str">
        <f>'[8]2025'!C181</f>
        <v/>
      </c>
      <c r="E181" s="68" t="str">
        <f>'[8]2025'!D181</f>
        <v/>
      </c>
      <c r="F181" s="20" t="str">
        <f>'[8]2025'!E181</f>
        <v/>
      </c>
      <c r="G181" s="73" t="str">
        <f>'[8]2025'!F181</f>
        <v/>
      </c>
      <c r="H181" s="42">
        <f>'[8]2025'!G181</f>
        <v>0</v>
      </c>
      <c r="I181" s="13">
        <f>'[8]2025'!H181</f>
        <v>0</v>
      </c>
      <c r="J181" s="14">
        <f>'[8]2025'!I181</f>
        <v>0</v>
      </c>
      <c r="K181" s="15">
        <f>'[8]2025'!J181</f>
        <v>0</v>
      </c>
      <c r="L181" s="15">
        <f>'[8]2025'!K181</f>
        <v>0</v>
      </c>
      <c r="M181" s="15">
        <f>'[8]2025'!L181</f>
        <v>0</v>
      </c>
      <c r="N181" s="16" t="str">
        <f t="shared" si="8"/>
        <v/>
      </c>
      <c r="O181" s="17" t="str">
        <f t="shared" si="9"/>
        <v/>
      </c>
      <c r="P181" s="17" t="str">
        <f t="shared" si="9"/>
        <v/>
      </c>
      <c r="Q181" s="18" t="str">
        <f t="shared" si="10"/>
        <v/>
      </c>
      <c r="R181" s="18" t="e">
        <f t="shared" si="11"/>
        <v>#DIV/0!</v>
      </c>
      <c r="S181" s="34"/>
      <c r="T181" s="29" t="s">
        <v>8</v>
      </c>
      <c r="U181" s="1738"/>
    </row>
    <row r="182" spans="1:21">
      <c r="A182" s="10" t="s">
        <v>14</v>
      </c>
      <c r="B182" s="19">
        <f>CHAMNORD!B182</f>
        <v>46199</v>
      </c>
      <c r="C182" s="75" t="str">
        <f>IF(H182=0,"",'[8]2025-2026'!C181)</f>
        <v/>
      </c>
      <c r="D182" s="68" t="str">
        <f>'[8]2025'!C182</f>
        <v/>
      </c>
      <c r="E182" s="68" t="str">
        <f>'[8]2025'!D182</f>
        <v/>
      </c>
      <c r="F182" s="20" t="str">
        <f>'[8]2025'!E182</f>
        <v/>
      </c>
      <c r="G182" s="73" t="str">
        <f>'[8]2025'!F182</f>
        <v/>
      </c>
      <c r="H182" s="42">
        <f>'[8]2025'!G182</f>
        <v>0</v>
      </c>
      <c r="I182" s="13">
        <f>'[8]2025'!H182</f>
        <v>0</v>
      </c>
      <c r="J182" s="14">
        <f>'[8]2025'!I182</f>
        <v>0</v>
      </c>
      <c r="K182" s="15">
        <f>'[8]2025'!J182</f>
        <v>0</v>
      </c>
      <c r="L182" s="15">
        <f>'[8]2025'!K182</f>
        <v>0</v>
      </c>
      <c r="M182" s="15">
        <f>'[8]2025'!L182</f>
        <v>0</v>
      </c>
      <c r="N182" s="16" t="str">
        <f t="shared" si="8"/>
        <v/>
      </c>
      <c r="O182" s="17" t="str">
        <f t="shared" si="9"/>
        <v/>
      </c>
      <c r="P182" s="17" t="str">
        <f t="shared" si="9"/>
        <v/>
      </c>
      <c r="Q182" s="18" t="str">
        <f t="shared" si="10"/>
        <v/>
      </c>
      <c r="R182" s="18" t="e">
        <f t="shared" si="11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19">
        <f>CHAMNORD!B183</f>
        <v>46200</v>
      </c>
      <c r="C183" s="75" t="str">
        <f>IF(H183=0,"",'[8]2025-2026'!C182)</f>
        <v/>
      </c>
      <c r="D183" s="68" t="str">
        <f>'[8]2025'!C183</f>
        <v/>
      </c>
      <c r="E183" s="68" t="str">
        <f>'[8]2025'!D183</f>
        <v/>
      </c>
      <c r="F183" s="20" t="str">
        <f>'[8]2025'!E183</f>
        <v/>
      </c>
      <c r="G183" s="73" t="str">
        <f>'[8]2025'!F183</f>
        <v/>
      </c>
      <c r="H183" s="42">
        <f>'[8]2025'!G183</f>
        <v>0</v>
      </c>
      <c r="I183" s="13">
        <f>'[8]2025'!H183</f>
        <v>0</v>
      </c>
      <c r="J183" s="14">
        <f>'[8]2025'!I183</f>
        <v>0</v>
      </c>
      <c r="K183" s="15">
        <f>'[8]2025'!J183</f>
        <v>0</v>
      </c>
      <c r="L183" s="15">
        <f>'[8]2025'!K183</f>
        <v>0</v>
      </c>
      <c r="M183" s="15">
        <f>'[8]2025'!L183</f>
        <v>0</v>
      </c>
      <c r="N183" s="16" t="str">
        <f t="shared" si="8"/>
        <v/>
      </c>
      <c r="O183" s="17" t="str">
        <f t="shared" si="9"/>
        <v/>
      </c>
      <c r="P183" s="17" t="str">
        <f t="shared" si="9"/>
        <v/>
      </c>
      <c r="Q183" s="18" t="str">
        <f t="shared" si="10"/>
        <v/>
      </c>
      <c r="R183" s="18" t="e">
        <f t="shared" si="11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19">
        <f>CHAMNORD!B184</f>
        <v>46201</v>
      </c>
      <c r="C184" s="75" t="str">
        <f>IF(H184=0,"",'[8]2025-2026'!C183)</f>
        <v/>
      </c>
      <c r="D184" s="68" t="str">
        <f>'[8]2025'!C184</f>
        <v/>
      </c>
      <c r="E184" s="68" t="str">
        <f>'[8]2025'!D184</f>
        <v/>
      </c>
      <c r="F184" s="20" t="str">
        <f>'[8]2025'!E184</f>
        <v/>
      </c>
      <c r="G184" s="73" t="str">
        <f>'[8]2025'!F184</f>
        <v/>
      </c>
      <c r="H184" s="42">
        <f>'[8]2025'!G184</f>
        <v>0</v>
      </c>
      <c r="I184" s="13">
        <f>'[8]2025'!H184</f>
        <v>0</v>
      </c>
      <c r="J184" s="14">
        <f>'[8]2025'!I184</f>
        <v>0</v>
      </c>
      <c r="K184" s="15">
        <f>'[8]2025'!J184</f>
        <v>0</v>
      </c>
      <c r="L184" s="15">
        <f>'[8]2025'!K184</f>
        <v>0</v>
      </c>
      <c r="M184" s="15">
        <f>'[8]2025'!L184</f>
        <v>0</v>
      </c>
      <c r="N184" s="16" t="str">
        <f t="shared" si="8"/>
        <v/>
      </c>
      <c r="O184" s="17" t="str">
        <f t="shared" si="9"/>
        <v/>
      </c>
      <c r="P184" s="17" t="str">
        <f t="shared" si="9"/>
        <v/>
      </c>
      <c r="Q184" s="18" t="str">
        <f t="shared" si="10"/>
        <v/>
      </c>
      <c r="R184" s="18" t="e">
        <f t="shared" si="11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19">
        <f>CHAMNORD!B185</f>
        <v>46202</v>
      </c>
      <c r="C185" s="75" t="str">
        <f>IF(H185=0,"",'[8]2025-2026'!C184)</f>
        <v/>
      </c>
      <c r="D185" s="68" t="str">
        <f>'[8]2025'!C185</f>
        <v/>
      </c>
      <c r="E185" s="68" t="str">
        <f>'[8]2025'!D185</f>
        <v/>
      </c>
      <c r="F185" s="20" t="str">
        <f>'[8]2025'!E185</f>
        <v/>
      </c>
      <c r="G185" s="73" t="str">
        <f>'[8]2025'!F185</f>
        <v/>
      </c>
      <c r="H185" s="42">
        <f>'[8]2025'!G185</f>
        <v>0</v>
      </c>
      <c r="I185" s="13">
        <f>'[8]2025'!H185</f>
        <v>0</v>
      </c>
      <c r="J185" s="14">
        <f>'[8]2025'!I185</f>
        <v>0</v>
      </c>
      <c r="K185" s="15">
        <f>'[8]2025'!J185</f>
        <v>0</v>
      </c>
      <c r="L185" s="15">
        <f>'[8]2025'!K185</f>
        <v>0</v>
      </c>
      <c r="M185" s="15">
        <f>'[8]2025'!L185</f>
        <v>0</v>
      </c>
      <c r="N185" s="16" t="str">
        <f t="shared" si="8"/>
        <v/>
      </c>
      <c r="O185" s="17" t="str">
        <f t="shared" si="9"/>
        <v/>
      </c>
      <c r="P185" s="17" t="str">
        <f t="shared" si="9"/>
        <v/>
      </c>
      <c r="Q185" s="18" t="str">
        <f t="shared" si="10"/>
        <v/>
      </c>
      <c r="R185" s="18" t="e">
        <f t="shared" si="11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19">
        <f>CHAMNORD!B186</f>
        <v>46203</v>
      </c>
      <c r="C186" s="75" t="str">
        <f>IF(H186=0,"",'[8]2025-2026'!C185)</f>
        <v/>
      </c>
      <c r="D186" s="68" t="str">
        <f>'[8]2025'!C186</f>
        <v/>
      </c>
      <c r="E186" s="68" t="str">
        <f>'[8]2025'!D186</f>
        <v/>
      </c>
      <c r="F186" s="20" t="str">
        <f>'[8]2025'!E186</f>
        <v/>
      </c>
      <c r="G186" s="73" t="str">
        <f>'[8]2025'!F186</f>
        <v/>
      </c>
      <c r="H186" s="42">
        <f>'[8]2025'!G186</f>
        <v>0</v>
      </c>
      <c r="I186" s="13">
        <f>'[8]2025'!H186</f>
        <v>0</v>
      </c>
      <c r="J186" s="14">
        <f>'[8]2025'!I186</f>
        <v>0</v>
      </c>
      <c r="K186" s="15">
        <f>'[8]2025'!J186</f>
        <v>0</v>
      </c>
      <c r="L186" s="15">
        <f>'[8]2025'!K186</f>
        <v>0</v>
      </c>
      <c r="M186" s="15">
        <f>'[8]2025'!L186</f>
        <v>0</v>
      </c>
      <c r="N186" s="16" t="str">
        <f t="shared" si="8"/>
        <v/>
      </c>
      <c r="O186" s="17" t="str">
        <f t="shared" si="9"/>
        <v/>
      </c>
      <c r="P186" s="17" t="str">
        <f t="shared" si="9"/>
        <v/>
      </c>
      <c r="Q186" s="18" t="str">
        <f t="shared" si="10"/>
        <v/>
      </c>
      <c r="R186" s="18" t="e">
        <f t="shared" si="11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19">
        <f>CHAMNORD!B187</f>
        <v>46204</v>
      </c>
      <c r="C187" s="75" t="str">
        <f>IF(H187=0,"",'[8]2025-2026'!C186)</f>
        <v/>
      </c>
      <c r="D187" s="68" t="str">
        <f>'[8]2025'!C187</f>
        <v/>
      </c>
      <c r="E187" s="68" t="str">
        <f>'[8]2025'!D187</f>
        <v/>
      </c>
      <c r="F187" s="20" t="str">
        <f>'[8]2025'!E187</f>
        <v/>
      </c>
      <c r="G187" s="73" t="str">
        <f>'[8]2025'!F187</f>
        <v/>
      </c>
      <c r="H187" s="42">
        <f>'[8]2025'!G187</f>
        <v>0</v>
      </c>
      <c r="I187" s="13">
        <f>'[8]2025'!H187</f>
        <v>0</v>
      </c>
      <c r="J187" s="14">
        <f>'[8]2025'!I187</f>
        <v>0</v>
      </c>
      <c r="K187" s="15">
        <f>'[8]2025'!J187</f>
        <v>0</v>
      </c>
      <c r="L187" s="15">
        <f>'[8]2025'!K187</f>
        <v>0</v>
      </c>
      <c r="M187" s="15">
        <f>'[8]2025'!L187</f>
        <v>0</v>
      </c>
      <c r="N187" s="16" t="str">
        <f t="shared" si="8"/>
        <v/>
      </c>
      <c r="O187" s="17" t="str">
        <f t="shared" si="9"/>
        <v/>
      </c>
      <c r="P187" s="17" t="str">
        <f t="shared" si="9"/>
        <v/>
      </c>
      <c r="Q187" s="18" t="str">
        <f t="shared" si="10"/>
        <v/>
      </c>
      <c r="R187" s="18" t="e">
        <f t="shared" si="11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19">
        <f>CHAMNORD!B188</f>
        <v>46205</v>
      </c>
      <c r="C188" s="75" t="str">
        <f>IF(H188=0,"",'[8]2025-2026'!C187)</f>
        <v/>
      </c>
      <c r="D188" s="68" t="str">
        <f>'[8]2025'!C188</f>
        <v/>
      </c>
      <c r="E188" s="68" t="str">
        <f>'[8]2025'!D188</f>
        <v/>
      </c>
      <c r="F188" s="20" t="str">
        <f>'[8]2025'!E188</f>
        <v/>
      </c>
      <c r="G188" s="73" t="str">
        <f>'[8]2025'!F188</f>
        <v/>
      </c>
      <c r="H188" s="42">
        <f>'[8]2025'!G188</f>
        <v>0</v>
      </c>
      <c r="I188" s="13">
        <f>'[8]2025'!H188</f>
        <v>0</v>
      </c>
      <c r="J188" s="14">
        <f>'[8]2025'!I188</f>
        <v>0</v>
      </c>
      <c r="K188" s="15">
        <f>'[8]2025'!J188</f>
        <v>0</v>
      </c>
      <c r="L188" s="15">
        <f>'[8]2025'!K188</f>
        <v>0</v>
      </c>
      <c r="M188" s="15">
        <f>'[8]2025'!L188</f>
        <v>0</v>
      </c>
      <c r="N188" s="16" t="str">
        <f t="shared" si="8"/>
        <v/>
      </c>
      <c r="O188" s="17" t="str">
        <f t="shared" si="9"/>
        <v/>
      </c>
      <c r="P188" s="17" t="str">
        <f t="shared" si="9"/>
        <v/>
      </c>
      <c r="Q188" s="18" t="str">
        <f t="shared" si="10"/>
        <v/>
      </c>
      <c r="R188" s="18" t="e">
        <f t="shared" si="11"/>
        <v>#DIV/0!</v>
      </c>
      <c r="S188" s="34"/>
      <c r="T188" s="29" t="s">
        <v>8</v>
      </c>
      <c r="U188" s="1738"/>
    </row>
    <row r="189" spans="1:21">
      <c r="A189" s="10" t="s">
        <v>14</v>
      </c>
      <c r="B189" s="19">
        <f>CHAMNORD!B189</f>
        <v>46206</v>
      </c>
      <c r="C189" s="75" t="str">
        <f>IF(H189=0,"",'[8]2025-2026'!C188)</f>
        <v/>
      </c>
      <c r="D189" s="68" t="str">
        <f>'[8]2025'!C189</f>
        <v/>
      </c>
      <c r="E189" s="68" t="str">
        <f>'[8]2025'!D189</f>
        <v/>
      </c>
      <c r="F189" s="20" t="str">
        <f>'[8]2025'!E189</f>
        <v/>
      </c>
      <c r="G189" s="73" t="str">
        <f>'[8]2025'!F189</f>
        <v/>
      </c>
      <c r="H189" s="42">
        <f>'[8]2025'!G189</f>
        <v>0</v>
      </c>
      <c r="I189" s="13">
        <f>'[8]2025'!H189</f>
        <v>0</v>
      </c>
      <c r="J189" s="14">
        <f>'[8]2025'!I189</f>
        <v>0</v>
      </c>
      <c r="K189" s="15">
        <f>'[8]2025'!J189</f>
        <v>0</v>
      </c>
      <c r="L189" s="15">
        <f>'[8]2025'!K189</f>
        <v>0</v>
      </c>
      <c r="M189" s="15">
        <f>'[8]2025'!L189</f>
        <v>0</v>
      </c>
      <c r="N189" s="16" t="str">
        <f t="shared" si="8"/>
        <v/>
      </c>
      <c r="O189" s="17" t="str">
        <f t="shared" si="9"/>
        <v/>
      </c>
      <c r="P189" s="17" t="str">
        <f t="shared" si="9"/>
        <v/>
      </c>
      <c r="Q189" s="18" t="str">
        <f t="shared" si="10"/>
        <v/>
      </c>
      <c r="R189" s="18" t="e">
        <f t="shared" si="11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19">
        <f>CHAMNORD!B190</f>
        <v>46207</v>
      </c>
      <c r="C190" s="75" t="str">
        <f>IF(H190=0,"",'[8]2025-2026'!C189)</f>
        <v/>
      </c>
      <c r="D190" s="68" t="str">
        <f>'[8]2025'!C190</f>
        <v/>
      </c>
      <c r="E190" s="68" t="str">
        <f>'[8]2025'!D190</f>
        <v/>
      </c>
      <c r="F190" s="20" t="str">
        <f>'[8]2025'!E190</f>
        <v/>
      </c>
      <c r="G190" s="73" t="str">
        <f>'[8]2025'!F190</f>
        <v/>
      </c>
      <c r="H190" s="42">
        <f>'[8]2025'!G190</f>
        <v>0</v>
      </c>
      <c r="I190" s="13">
        <f>'[8]2025'!H190</f>
        <v>0</v>
      </c>
      <c r="J190" s="14">
        <f>'[8]2025'!I190</f>
        <v>0</v>
      </c>
      <c r="K190" s="15">
        <f>'[8]2025'!J190</f>
        <v>0</v>
      </c>
      <c r="L190" s="15">
        <f>'[8]2025'!K190</f>
        <v>0</v>
      </c>
      <c r="M190" s="15">
        <f>'[8]2025'!L190</f>
        <v>0</v>
      </c>
      <c r="N190" s="16" t="str">
        <f t="shared" si="8"/>
        <v/>
      </c>
      <c r="O190" s="17" t="str">
        <f t="shared" si="9"/>
        <v/>
      </c>
      <c r="P190" s="17" t="str">
        <f t="shared" si="9"/>
        <v/>
      </c>
      <c r="Q190" s="18" t="str">
        <f t="shared" si="10"/>
        <v/>
      </c>
      <c r="R190" s="18" t="e">
        <f t="shared" si="11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19">
        <f>CHAMNORD!B191</f>
        <v>46208</v>
      </c>
      <c r="C191" s="75" t="str">
        <f>IF(H191=0,"",'[8]2025-2026'!C190)</f>
        <v/>
      </c>
      <c r="D191" s="68" t="str">
        <f>'[8]2025'!C191</f>
        <v/>
      </c>
      <c r="E191" s="68" t="str">
        <f>'[8]2025'!D191</f>
        <v/>
      </c>
      <c r="F191" s="20" t="str">
        <f>'[8]2025'!E191</f>
        <v/>
      </c>
      <c r="G191" s="73" t="str">
        <f>'[8]2025'!F191</f>
        <v/>
      </c>
      <c r="H191" s="42">
        <f>'[8]2025'!G191</f>
        <v>0</v>
      </c>
      <c r="I191" s="13">
        <f>'[8]2025'!H191</f>
        <v>0</v>
      </c>
      <c r="J191" s="14">
        <f>'[8]2025'!I191</f>
        <v>0</v>
      </c>
      <c r="K191" s="15">
        <f>'[8]2025'!J191</f>
        <v>0</v>
      </c>
      <c r="L191" s="15">
        <f>'[8]2025'!K191</f>
        <v>0</v>
      </c>
      <c r="M191" s="15">
        <f>'[8]2025'!L191</f>
        <v>0</v>
      </c>
      <c r="N191" s="16" t="str">
        <f t="shared" si="8"/>
        <v/>
      </c>
      <c r="O191" s="17" t="str">
        <f t="shared" si="9"/>
        <v/>
      </c>
      <c r="P191" s="17" t="str">
        <f t="shared" si="9"/>
        <v/>
      </c>
      <c r="Q191" s="18" t="str">
        <f t="shared" si="10"/>
        <v/>
      </c>
      <c r="R191" s="18" t="e">
        <f t="shared" si="11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19">
        <f>CHAMNORD!B192</f>
        <v>46209</v>
      </c>
      <c r="C192" s="75" t="str">
        <f>IF(H192=0,"",'[8]2025-2026'!C191)</f>
        <v/>
      </c>
      <c r="D192" s="68" t="str">
        <f>'[8]2025'!C192</f>
        <v/>
      </c>
      <c r="E192" s="68" t="str">
        <f>'[8]2025'!D192</f>
        <v/>
      </c>
      <c r="F192" s="20" t="str">
        <f>'[8]2025'!E192</f>
        <v/>
      </c>
      <c r="G192" s="73" t="str">
        <f>'[8]2025'!F192</f>
        <v/>
      </c>
      <c r="H192" s="42">
        <f>'[8]2025'!G192</f>
        <v>0</v>
      </c>
      <c r="I192" s="13">
        <f>'[8]2025'!H192</f>
        <v>0</v>
      </c>
      <c r="J192" s="14">
        <f>'[8]2025'!I192</f>
        <v>0</v>
      </c>
      <c r="K192" s="15">
        <f>'[8]2025'!J192</f>
        <v>0</v>
      </c>
      <c r="L192" s="15">
        <f>'[8]2025'!K192</f>
        <v>0</v>
      </c>
      <c r="M192" s="15">
        <f>'[8]2025'!L192</f>
        <v>0</v>
      </c>
      <c r="N192" s="16" t="str">
        <f t="shared" si="8"/>
        <v/>
      </c>
      <c r="O192" s="17" t="str">
        <f t="shared" si="9"/>
        <v/>
      </c>
      <c r="P192" s="17" t="str">
        <f t="shared" si="9"/>
        <v/>
      </c>
      <c r="Q192" s="18" t="str">
        <f t="shared" si="10"/>
        <v/>
      </c>
      <c r="R192" s="18" t="e">
        <f t="shared" si="11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19">
        <f>CHAMNORD!B193</f>
        <v>46210</v>
      </c>
      <c r="C193" s="75" t="str">
        <f>IF(H193=0,"",'[8]2025-2026'!C192)</f>
        <v/>
      </c>
      <c r="D193" s="68" t="str">
        <f>'[8]2025'!C193</f>
        <v/>
      </c>
      <c r="E193" s="68" t="str">
        <f>'[8]2025'!D193</f>
        <v/>
      </c>
      <c r="F193" s="20" t="str">
        <f>'[8]2025'!E193</f>
        <v/>
      </c>
      <c r="G193" s="73" t="str">
        <f>'[8]2025'!F193</f>
        <v/>
      </c>
      <c r="H193" s="42">
        <f>'[8]2025'!G193</f>
        <v>0</v>
      </c>
      <c r="I193" s="13">
        <f>'[8]2025'!H193</f>
        <v>0</v>
      </c>
      <c r="J193" s="14">
        <f>'[8]2025'!I193</f>
        <v>0</v>
      </c>
      <c r="K193" s="15">
        <f>'[8]2025'!J193</f>
        <v>0</v>
      </c>
      <c r="L193" s="15">
        <f>'[8]2025'!K193</f>
        <v>0</v>
      </c>
      <c r="M193" s="15">
        <f>'[8]2025'!L193</f>
        <v>0</v>
      </c>
      <c r="N193" s="16" t="str">
        <f t="shared" si="8"/>
        <v/>
      </c>
      <c r="O193" s="17" t="str">
        <f t="shared" si="9"/>
        <v/>
      </c>
      <c r="P193" s="17" t="str">
        <f t="shared" si="9"/>
        <v/>
      </c>
      <c r="Q193" s="18" t="str">
        <f t="shared" si="10"/>
        <v/>
      </c>
      <c r="R193" s="18" t="e">
        <f t="shared" si="11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19">
        <f>CHAMNORD!B194</f>
        <v>46211</v>
      </c>
      <c r="C194" s="75" t="str">
        <f>IF(H194=0,"",'[8]2025-2026'!C193)</f>
        <v/>
      </c>
      <c r="D194" s="68" t="str">
        <f>'[8]2025'!C194</f>
        <v/>
      </c>
      <c r="E194" s="68" t="str">
        <f>'[8]2025'!D194</f>
        <v/>
      </c>
      <c r="F194" s="20" t="str">
        <f>'[8]2025'!E194</f>
        <v/>
      </c>
      <c r="G194" s="73" t="str">
        <f>'[8]2025'!F194</f>
        <v/>
      </c>
      <c r="H194" s="42">
        <f>'[8]2025'!G194</f>
        <v>0</v>
      </c>
      <c r="I194" s="13">
        <f>'[8]2025'!H194</f>
        <v>0</v>
      </c>
      <c r="J194" s="14">
        <f>'[8]2025'!I194</f>
        <v>0</v>
      </c>
      <c r="K194" s="15">
        <f>'[8]2025'!J194</f>
        <v>0</v>
      </c>
      <c r="L194" s="15">
        <f>'[8]2025'!K194</f>
        <v>0</v>
      </c>
      <c r="M194" s="15">
        <f>'[8]2025'!L194</f>
        <v>0</v>
      </c>
      <c r="N194" s="16" t="str">
        <f t="shared" si="8"/>
        <v/>
      </c>
      <c r="O194" s="17" t="str">
        <f t="shared" si="9"/>
        <v/>
      </c>
      <c r="P194" s="17" t="str">
        <f t="shared" si="9"/>
        <v/>
      </c>
      <c r="Q194" s="18" t="str">
        <f t="shared" si="10"/>
        <v/>
      </c>
      <c r="R194" s="18" t="e">
        <f t="shared" si="11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19">
        <f>CHAMNORD!B195</f>
        <v>46212</v>
      </c>
      <c r="C195" s="75" t="str">
        <f>IF(H195=0,"",'[8]2025-2026'!C194)</f>
        <v/>
      </c>
      <c r="D195" s="68" t="str">
        <f>'[8]2025'!C195</f>
        <v/>
      </c>
      <c r="E195" s="68" t="str">
        <f>'[8]2025'!D195</f>
        <v/>
      </c>
      <c r="F195" s="20" t="str">
        <f>'[8]2025'!E195</f>
        <v/>
      </c>
      <c r="G195" s="73" t="str">
        <f>'[8]2025'!F195</f>
        <v/>
      </c>
      <c r="H195" s="42">
        <f>'[8]2025'!G195</f>
        <v>0</v>
      </c>
      <c r="I195" s="13">
        <f>'[8]2025'!H195</f>
        <v>0</v>
      </c>
      <c r="J195" s="14">
        <f>'[8]2025'!I195</f>
        <v>0</v>
      </c>
      <c r="K195" s="15">
        <f>'[8]2025'!J195</f>
        <v>0</v>
      </c>
      <c r="L195" s="15">
        <f>'[8]2025'!K195</f>
        <v>0</v>
      </c>
      <c r="M195" s="15">
        <f>'[8]2025'!L195</f>
        <v>0</v>
      </c>
      <c r="N195" s="16" t="str">
        <f t="shared" si="8"/>
        <v/>
      </c>
      <c r="O195" s="17" t="str">
        <f t="shared" si="9"/>
        <v/>
      </c>
      <c r="P195" s="17" t="str">
        <f t="shared" si="9"/>
        <v/>
      </c>
      <c r="Q195" s="18" t="str">
        <f t="shared" si="10"/>
        <v/>
      </c>
      <c r="R195" s="18" t="e">
        <f t="shared" si="11"/>
        <v>#DIV/0!</v>
      </c>
      <c r="S195" s="34"/>
      <c r="T195" s="29" t="s">
        <v>8</v>
      </c>
      <c r="U195" s="1738"/>
    </row>
    <row r="196" spans="1:21">
      <c r="A196" s="10" t="s">
        <v>14</v>
      </c>
      <c r="B196" s="19">
        <f>CHAMNORD!B196</f>
        <v>46213</v>
      </c>
      <c r="C196" s="75" t="str">
        <f>IF(H196=0,"",'[8]2025-2026'!C195)</f>
        <v/>
      </c>
      <c r="D196" s="68" t="str">
        <f>'[8]2025'!C196</f>
        <v/>
      </c>
      <c r="E196" s="68" t="str">
        <f>'[8]2025'!D196</f>
        <v/>
      </c>
      <c r="F196" s="20" t="str">
        <f>'[8]2025'!E196</f>
        <v/>
      </c>
      <c r="G196" s="73" t="str">
        <f>'[8]2025'!F196</f>
        <v/>
      </c>
      <c r="H196" s="42">
        <f>'[8]2025'!G196</f>
        <v>0</v>
      </c>
      <c r="I196" s="13">
        <f>'[8]2025'!H196</f>
        <v>0</v>
      </c>
      <c r="J196" s="14">
        <f>'[8]2025'!I196</f>
        <v>0</v>
      </c>
      <c r="K196" s="15">
        <f>'[8]2025'!J196</f>
        <v>0</v>
      </c>
      <c r="L196" s="15">
        <f>'[8]2025'!K196</f>
        <v>0</v>
      </c>
      <c r="M196" s="15">
        <f>'[8]2025'!L196</f>
        <v>0</v>
      </c>
      <c r="N196" s="16" t="str">
        <f t="shared" ref="N196:N259" si="12">IF(M196=0,"",M196/I196)</f>
        <v/>
      </c>
      <c r="O196" s="17" t="str">
        <f t="shared" ref="O196:P259" si="13">IF(I196=0,"",(I196-E196)/E196)</f>
        <v/>
      </c>
      <c r="P196" s="17" t="str">
        <f t="shared" si="13"/>
        <v/>
      </c>
      <c r="Q196" s="18" t="str">
        <f t="shared" ref="Q196:Q259" si="14">IF(I196=0,"",I196/K196)</f>
        <v/>
      </c>
      <c r="R196" s="18" t="e">
        <f t="shared" ref="R196:R259" si="15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19">
        <f>CHAMNORD!B197</f>
        <v>46214</v>
      </c>
      <c r="C197" s="75" t="str">
        <f>IF(H197=0,"",'[8]2025-2026'!C196)</f>
        <v/>
      </c>
      <c r="D197" s="68" t="str">
        <f>'[8]2025'!C197</f>
        <v/>
      </c>
      <c r="E197" s="68" t="str">
        <f>'[8]2025'!D197</f>
        <v/>
      </c>
      <c r="F197" s="20" t="str">
        <f>'[8]2025'!E197</f>
        <v/>
      </c>
      <c r="G197" s="73" t="str">
        <f>'[8]2025'!F197</f>
        <v/>
      </c>
      <c r="H197" s="42">
        <f>'[8]2025'!G197</f>
        <v>0</v>
      </c>
      <c r="I197" s="13">
        <f>'[8]2025'!H197</f>
        <v>0</v>
      </c>
      <c r="J197" s="14">
        <f>'[8]2025'!I197</f>
        <v>0</v>
      </c>
      <c r="K197" s="15">
        <f>'[8]2025'!J197</f>
        <v>0</v>
      </c>
      <c r="L197" s="15">
        <f>'[8]2025'!K197</f>
        <v>0</v>
      </c>
      <c r="M197" s="15">
        <f>'[8]2025'!L197</f>
        <v>0</v>
      </c>
      <c r="N197" s="16" t="str">
        <f t="shared" si="12"/>
        <v/>
      </c>
      <c r="O197" s="17" t="str">
        <f t="shared" si="13"/>
        <v/>
      </c>
      <c r="P197" s="17" t="str">
        <f t="shared" si="13"/>
        <v/>
      </c>
      <c r="Q197" s="18" t="str">
        <f t="shared" si="14"/>
        <v/>
      </c>
      <c r="R197" s="18" t="e">
        <f t="shared" si="15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19">
        <f>CHAMNORD!B198</f>
        <v>46215</v>
      </c>
      <c r="C198" s="75" t="str">
        <f>IF(H198=0,"",'[8]2025-2026'!C197)</f>
        <v/>
      </c>
      <c r="D198" s="68" t="str">
        <f>'[8]2025'!C198</f>
        <v/>
      </c>
      <c r="E198" s="68" t="str">
        <f>'[8]2025'!D198</f>
        <v/>
      </c>
      <c r="F198" s="20" t="str">
        <f>'[8]2025'!E198</f>
        <v/>
      </c>
      <c r="G198" s="73" t="str">
        <f>'[8]2025'!F198</f>
        <v/>
      </c>
      <c r="H198" s="42">
        <f>'[8]2025'!G198</f>
        <v>0</v>
      </c>
      <c r="I198" s="13">
        <f>'[8]2025'!H198</f>
        <v>0</v>
      </c>
      <c r="J198" s="14">
        <f>'[8]2025'!I198</f>
        <v>0</v>
      </c>
      <c r="K198" s="15">
        <f>'[8]2025'!J198</f>
        <v>0</v>
      </c>
      <c r="L198" s="15">
        <f>'[8]2025'!K198</f>
        <v>0</v>
      </c>
      <c r="M198" s="15">
        <f>'[8]2025'!L198</f>
        <v>0</v>
      </c>
      <c r="N198" s="16" t="str">
        <f t="shared" si="12"/>
        <v/>
      </c>
      <c r="O198" s="17" t="str">
        <f t="shared" si="13"/>
        <v/>
      </c>
      <c r="P198" s="17" t="str">
        <f t="shared" si="13"/>
        <v/>
      </c>
      <c r="Q198" s="18" t="str">
        <f t="shared" si="14"/>
        <v/>
      </c>
      <c r="R198" s="18" t="e">
        <f t="shared" si="15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19">
        <f>CHAMNORD!B199</f>
        <v>46216</v>
      </c>
      <c r="C199" s="75" t="str">
        <f>IF(H199=0,"",'[8]2025-2026'!C198)</f>
        <v/>
      </c>
      <c r="D199" s="68" t="str">
        <f>'[8]2025'!C199</f>
        <v/>
      </c>
      <c r="E199" s="68" t="str">
        <f>'[8]2025'!D199</f>
        <v/>
      </c>
      <c r="F199" s="20" t="str">
        <f>'[8]2025'!E199</f>
        <v/>
      </c>
      <c r="G199" s="73" t="str">
        <f>'[8]2025'!F199</f>
        <v/>
      </c>
      <c r="H199" s="42">
        <f>'[8]2025'!G199</f>
        <v>0</v>
      </c>
      <c r="I199" s="13">
        <f>'[8]2025'!H199</f>
        <v>0</v>
      </c>
      <c r="J199" s="14">
        <f>'[8]2025'!I199</f>
        <v>0</v>
      </c>
      <c r="K199" s="15">
        <f>'[8]2025'!J199</f>
        <v>0</v>
      </c>
      <c r="L199" s="15">
        <f>'[8]2025'!K199</f>
        <v>0</v>
      </c>
      <c r="M199" s="15">
        <f>'[8]2025'!L199</f>
        <v>0</v>
      </c>
      <c r="N199" s="16" t="str">
        <f t="shared" si="12"/>
        <v/>
      </c>
      <c r="O199" s="17" t="str">
        <f t="shared" si="13"/>
        <v/>
      </c>
      <c r="P199" s="17" t="str">
        <f t="shared" si="13"/>
        <v/>
      </c>
      <c r="Q199" s="18" t="str">
        <f t="shared" si="14"/>
        <v/>
      </c>
      <c r="R199" s="18" t="e">
        <f t="shared" si="15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19">
        <f>CHAMNORD!B200</f>
        <v>46217</v>
      </c>
      <c r="C200" s="75" t="str">
        <f>IF(H200=0,"",'[8]2025-2026'!C199)</f>
        <v/>
      </c>
      <c r="D200" s="68" t="str">
        <f>'[8]2025'!C200</f>
        <v/>
      </c>
      <c r="E200" s="68" t="str">
        <f>'[8]2025'!D200</f>
        <v/>
      </c>
      <c r="F200" s="20" t="str">
        <f>'[8]2025'!E200</f>
        <v/>
      </c>
      <c r="G200" s="73" t="str">
        <f>'[8]2025'!F200</f>
        <v/>
      </c>
      <c r="H200" s="42">
        <f>'[8]2025'!G200</f>
        <v>0</v>
      </c>
      <c r="I200" s="13">
        <f>'[8]2025'!H200</f>
        <v>0</v>
      </c>
      <c r="J200" s="14">
        <f>'[8]2025'!I200</f>
        <v>0</v>
      </c>
      <c r="K200" s="15">
        <f>'[8]2025'!J200</f>
        <v>0</v>
      </c>
      <c r="L200" s="15">
        <f>'[8]2025'!K200</f>
        <v>0</v>
      </c>
      <c r="M200" s="15">
        <f>'[8]2025'!L200</f>
        <v>0</v>
      </c>
      <c r="N200" s="16" t="str">
        <f t="shared" si="12"/>
        <v/>
      </c>
      <c r="O200" s="17" t="str">
        <f t="shared" si="13"/>
        <v/>
      </c>
      <c r="P200" s="17" t="str">
        <f t="shared" si="13"/>
        <v/>
      </c>
      <c r="Q200" s="18" t="str">
        <f t="shared" si="14"/>
        <v/>
      </c>
      <c r="R200" s="18" t="e">
        <f t="shared" si="15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19">
        <f>CHAMNORD!B201</f>
        <v>46218</v>
      </c>
      <c r="C201" s="75" t="str">
        <f>IF(H201=0,"",'[8]2025-2026'!C200)</f>
        <v/>
      </c>
      <c r="D201" s="68" t="str">
        <f>'[8]2025'!C201</f>
        <v/>
      </c>
      <c r="E201" s="68" t="str">
        <f>'[8]2025'!D201</f>
        <v/>
      </c>
      <c r="F201" s="20" t="str">
        <f>'[8]2025'!E201</f>
        <v/>
      </c>
      <c r="G201" s="73" t="str">
        <f>'[8]2025'!F201</f>
        <v/>
      </c>
      <c r="H201" s="42">
        <f>'[8]2025'!G201</f>
        <v>0</v>
      </c>
      <c r="I201" s="13">
        <f>'[8]2025'!H201</f>
        <v>0</v>
      </c>
      <c r="J201" s="14">
        <f>'[8]2025'!I201</f>
        <v>0</v>
      </c>
      <c r="K201" s="15">
        <f>'[8]2025'!J201</f>
        <v>0</v>
      </c>
      <c r="L201" s="15">
        <f>'[8]2025'!K201</f>
        <v>0</v>
      </c>
      <c r="M201" s="15">
        <f>'[8]2025'!L201</f>
        <v>0</v>
      </c>
      <c r="N201" s="16" t="str">
        <f t="shared" si="12"/>
        <v/>
      </c>
      <c r="O201" s="17" t="str">
        <f t="shared" si="13"/>
        <v/>
      </c>
      <c r="P201" s="17" t="str">
        <f t="shared" si="13"/>
        <v/>
      </c>
      <c r="Q201" s="18" t="str">
        <f t="shared" si="14"/>
        <v/>
      </c>
      <c r="R201" s="18" t="e">
        <f t="shared" si="15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19">
        <f>CHAMNORD!B202</f>
        <v>46219</v>
      </c>
      <c r="C202" s="75" t="str">
        <f>IF(H202=0,"",'[8]2025-2026'!C201)</f>
        <v/>
      </c>
      <c r="D202" s="68" t="str">
        <f>'[8]2025'!C202</f>
        <v/>
      </c>
      <c r="E202" s="68" t="str">
        <f>'[8]2025'!D202</f>
        <v/>
      </c>
      <c r="F202" s="20" t="str">
        <f>'[8]2025'!E202</f>
        <v/>
      </c>
      <c r="G202" s="73" t="str">
        <f>'[8]2025'!F202</f>
        <v/>
      </c>
      <c r="H202" s="42">
        <f>'[8]2025'!G202</f>
        <v>0</v>
      </c>
      <c r="I202" s="13">
        <f>'[8]2025'!H202</f>
        <v>0</v>
      </c>
      <c r="J202" s="14">
        <f>'[8]2025'!I202</f>
        <v>0</v>
      </c>
      <c r="K202" s="15">
        <f>'[8]2025'!J202</f>
        <v>0</v>
      </c>
      <c r="L202" s="15">
        <f>'[8]2025'!K202</f>
        <v>0</v>
      </c>
      <c r="M202" s="15">
        <f>'[8]2025'!L202</f>
        <v>0</v>
      </c>
      <c r="N202" s="16" t="str">
        <f t="shared" si="12"/>
        <v/>
      </c>
      <c r="O202" s="17" t="str">
        <f t="shared" si="13"/>
        <v/>
      </c>
      <c r="P202" s="17" t="str">
        <f t="shared" si="13"/>
        <v/>
      </c>
      <c r="Q202" s="18" t="str">
        <f t="shared" si="14"/>
        <v/>
      </c>
      <c r="R202" s="18" t="e">
        <f t="shared" si="15"/>
        <v>#DIV/0!</v>
      </c>
      <c r="S202" s="34"/>
      <c r="T202" s="29" t="s">
        <v>8</v>
      </c>
      <c r="U202" s="1738"/>
    </row>
    <row r="203" spans="1:21">
      <c r="A203" s="10" t="s">
        <v>14</v>
      </c>
      <c r="B203" s="19">
        <f>CHAMNORD!B203</f>
        <v>46220</v>
      </c>
      <c r="C203" s="75" t="str">
        <f>IF(H203=0,"",'[8]2025-2026'!C202)</f>
        <v/>
      </c>
      <c r="D203" s="68" t="str">
        <f>'[8]2025'!C203</f>
        <v/>
      </c>
      <c r="E203" s="68" t="str">
        <f>'[8]2025'!D203</f>
        <v/>
      </c>
      <c r="F203" s="20" t="str">
        <f>'[8]2025'!E203</f>
        <v/>
      </c>
      <c r="G203" s="73" t="str">
        <f>'[8]2025'!F203</f>
        <v/>
      </c>
      <c r="H203" s="42">
        <f>'[8]2025'!G203</f>
        <v>0</v>
      </c>
      <c r="I203" s="13">
        <f>'[8]2025'!H203</f>
        <v>0</v>
      </c>
      <c r="J203" s="14">
        <f>'[8]2025'!I203</f>
        <v>0</v>
      </c>
      <c r="K203" s="15">
        <f>'[8]2025'!J203</f>
        <v>0</v>
      </c>
      <c r="L203" s="15">
        <f>'[8]2025'!K203</f>
        <v>0</v>
      </c>
      <c r="M203" s="15">
        <f>'[8]2025'!L203</f>
        <v>0</v>
      </c>
      <c r="N203" s="16" t="str">
        <f t="shared" si="12"/>
        <v/>
      </c>
      <c r="O203" s="17" t="str">
        <f t="shared" si="13"/>
        <v/>
      </c>
      <c r="P203" s="17" t="str">
        <f t="shared" si="13"/>
        <v/>
      </c>
      <c r="Q203" s="18" t="str">
        <f t="shared" si="14"/>
        <v/>
      </c>
      <c r="R203" s="18" t="e">
        <f t="shared" si="15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19">
        <f>CHAMNORD!B204</f>
        <v>46221</v>
      </c>
      <c r="C204" s="75" t="str">
        <f>IF(H204=0,"",'[8]2025-2026'!C203)</f>
        <v/>
      </c>
      <c r="D204" s="68" t="str">
        <f>'[8]2025'!C204</f>
        <v/>
      </c>
      <c r="E204" s="68" t="str">
        <f>'[8]2025'!D204</f>
        <v/>
      </c>
      <c r="F204" s="20" t="str">
        <f>'[8]2025'!E204</f>
        <v/>
      </c>
      <c r="G204" s="73" t="str">
        <f>'[8]2025'!F204</f>
        <v/>
      </c>
      <c r="H204" s="42">
        <f>'[8]2025'!G204</f>
        <v>0</v>
      </c>
      <c r="I204" s="13">
        <f>'[8]2025'!H204</f>
        <v>0</v>
      </c>
      <c r="J204" s="14">
        <f>'[8]2025'!I204</f>
        <v>0</v>
      </c>
      <c r="K204" s="15">
        <f>'[8]2025'!J204</f>
        <v>0</v>
      </c>
      <c r="L204" s="15">
        <f>'[8]2025'!K204</f>
        <v>0</v>
      </c>
      <c r="M204" s="15">
        <f>'[8]2025'!L204</f>
        <v>0</v>
      </c>
      <c r="N204" s="16" t="str">
        <f t="shared" si="12"/>
        <v/>
      </c>
      <c r="O204" s="17" t="str">
        <f t="shared" si="13"/>
        <v/>
      </c>
      <c r="P204" s="17" t="str">
        <f t="shared" si="13"/>
        <v/>
      </c>
      <c r="Q204" s="18" t="str">
        <f t="shared" si="14"/>
        <v/>
      </c>
      <c r="R204" s="18" t="e">
        <f t="shared" si="15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19">
        <f>CHAMNORD!B205</f>
        <v>46222</v>
      </c>
      <c r="C205" s="75" t="str">
        <f>IF(H205=0,"",'[8]2025-2026'!C204)</f>
        <v/>
      </c>
      <c r="D205" s="68" t="str">
        <f>'[8]2025'!C205</f>
        <v/>
      </c>
      <c r="E205" s="68" t="str">
        <f>'[8]2025'!D205</f>
        <v/>
      </c>
      <c r="F205" s="20" t="str">
        <f>'[8]2025'!E205</f>
        <v/>
      </c>
      <c r="G205" s="73" t="str">
        <f>'[8]2025'!F205</f>
        <v/>
      </c>
      <c r="H205" s="42">
        <f>'[8]2025'!G205</f>
        <v>0</v>
      </c>
      <c r="I205" s="13">
        <f>'[8]2025'!H205</f>
        <v>0</v>
      </c>
      <c r="J205" s="14">
        <f>'[8]2025'!I205</f>
        <v>0</v>
      </c>
      <c r="K205" s="15">
        <f>'[8]2025'!J205</f>
        <v>0</v>
      </c>
      <c r="L205" s="15">
        <f>'[8]2025'!K205</f>
        <v>0</v>
      </c>
      <c r="M205" s="15">
        <f>'[8]2025'!L205</f>
        <v>0</v>
      </c>
      <c r="N205" s="16" t="str">
        <f t="shared" si="12"/>
        <v/>
      </c>
      <c r="O205" s="17" t="str">
        <f t="shared" si="13"/>
        <v/>
      </c>
      <c r="P205" s="17" t="str">
        <f t="shared" si="13"/>
        <v/>
      </c>
      <c r="Q205" s="18" t="str">
        <f t="shared" si="14"/>
        <v/>
      </c>
      <c r="R205" s="18" t="e">
        <f t="shared" si="15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19">
        <f>CHAMNORD!B206</f>
        <v>46223</v>
      </c>
      <c r="C206" s="75" t="str">
        <f>IF(H206=0,"",'[8]2025-2026'!C205)</f>
        <v/>
      </c>
      <c r="D206" s="68" t="str">
        <f>'[8]2025'!C206</f>
        <v/>
      </c>
      <c r="E206" s="68" t="str">
        <f>'[8]2025'!D206</f>
        <v/>
      </c>
      <c r="F206" s="20" t="str">
        <f>'[8]2025'!E206</f>
        <v/>
      </c>
      <c r="G206" s="73" t="str">
        <f>'[8]2025'!F206</f>
        <v/>
      </c>
      <c r="H206" s="42">
        <f>'[8]2025'!G206</f>
        <v>0</v>
      </c>
      <c r="I206" s="13">
        <f>'[8]2025'!H206</f>
        <v>0</v>
      </c>
      <c r="J206" s="14">
        <f>'[8]2025'!I206</f>
        <v>0</v>
      </c>
      <c r="K206" s="15">
        <f>'[8]2025'!J206</f>
        <v>0</v>
      </c>
      <c r="L206" s="15">
        <f>'[8]2025'!K206</f>
        <v>0</v>
      </c>
      <c r="M206" s="15">
        <f>'[8]2025'!L206</f>
        <v>0</v>
      </c>
      <c r="N206" s="16" t="str">
        <f t="shared" si="12"/>
        <v/>
      </c>
      <c r="O206" s="17" t="str">
        <f t="shared" si="13"/>
        <v/>
      </c>
      <c r="P206" s="17" t="str">
        <f t="shared" si="13"/>
        <v/>
      </c>
      <c r="Q206" s="18" t="str">
        <f t="shared" si="14"/>
        <v/>
      </c>
      <c r="R206" s="18" t="e">
        <f t="shared" si="15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19">
        <f>CHAMNORD!B207</f>
        <v>46224</v>
      </c>
      <c r="C207" s="75" t="str">
        <f>IF(H207=0,"",'[8]2025-2026'!C206)</f>
        <v/>
      </c>
      <c r="D207" s="68" t="str">
        <f>'[8]2025'!C207</f>
        <v/>
      </c>
      <c r="E207" s="68" t="str">
        <f>'[8]2025'!D207</f>
        <v/>
      </c>
      <c r="F207" s="20" t="str">
        <f>'[8]2025'!E207</f>
        <v/>
      </c>
      <c r="G207" s="73" t="str">
        <f>'[8]2025'!F207</f>
        <v/>
      </c>
      <c r="H207" s="42">
        <f>'[8]2025'!G207</f>
        <v>0</v>
      </c>
      <c r="I207" s="13">
        <f>'[8]2025'!H207</f>
        <v>0</v>
      </c>
      <c r="J207" s="14">
        <f>'[8]2025'!I207</f>
        <v>0</v>
      </c>
      <c r="K207" s="15">
        <f>'[8]2025'!J207</f>
        <v>0</v>
      </c>
      <c r="L207" s="15">
        <f>'[8]2025'!K207</f>
        <v>0</v>
      </c>
      <c r="M207" s="15">
        <f>'[8]2025'!L207</f>
        <v>0</v>
      </c>
      <c r="N207" s="16" t="str">
        <f t="shared" si="12"/>
        <v/>
      </c>
      <c r="O207" s="17" t="str">
        <f t="shared" si="13"/>
        <v/>
      </c>
      <c r="P207" s="17" t="str">
        <f t="shared" si="13"/>
        <v/>
      </c>
      <c r="Q207" s="18" t="str">
        <f t="shared" si="14"/>
        <v/>
      </c>
      <c r="R207" s="18" t="e">
        <f t="shared" si="15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19">
        <f>CHAMNORD!B208</f>
        <v>46225</v>
      </c>
      <c r="C208" s="75" t="str">
        <f>IF(H208=0,"",'[8]2025-2026'!C207)</f>
        <v/>
      </c>
      <c r="D208" s="68" t="str">
        <f>'[8]2025'!C208</f>
        <v/>
      </c>
      <c r="E208" s="68" t="str">
        <f>'[8]2025'!D208</f>
        <v/>
      </c>
      <c r="F208" s="20" t="str">
        <f>'[8]2025'!E208</f>
        <v/>
      </c>
      <c r="G208" s="73" t="str">
        <f>'[8]2025'!F208</f>
        <v/>
      </c>
      <c r="H208" s="42">
        <f>'[8]2025'!G208</f>
        <v>0</v>
      </c>
      <c r="I208" s="13">
        <f>'[8]2025'!H208</f>
        <v>0</v>
      </c>
      <c r="J208" s="14">
        <f>'[8]2025'!I208</f>
        <v>0</v>
      </c>
      <c r="K208" s="15">
        <f>'[8]2025'!J208</f>
        <v>0</v>
      </c>
      <c r="L208" s="15">
        <f>'[8]2025'!K208</f>
        <v>0</v>
      </c>
      <c r="M208" s="15">
        <f>'[8]2025'!L208</f>
        <v>0</v>
      </c>
      <c r="N208" s="16" t="str">
        <f t="shared" si="12"/>
        <v/>
      </c>
      <c r="O208" s="17" t="str">
        <f t="shared" si="13"/>
        <v/>
      </c>
      <c r="P208" s="17" t="str">
        <f t="shared" si="13"/>
        <v/>
      </c>
      <c r="Q208" s="18" t="str">
        <f t="shared" si="14"/>
        <v/>
      </c>
      <c r="R208" s="18" t="e">
        <f t="shared" si="15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19">
        <f>CHAMNORD!B209</f>
        <v>46226</v>
      </c>
      <c r="C209" s="75" t="str">
        <f>IF(H209=0,"",'[8]2025-2026'!C208)</f>
        <v/>
      </c>
      <c r="D209" s="68" t="str">
        <f>'[8]2025'!C209</f>
        <v/>
      </c>
      <c r="E209" s="68" t="str">
        <f>'[8]2025'!D209</f>
        <v/>
      </c>
      <c r="F209" s="20" t="str">
        <f>'[8]2025'!E209</f>
        <v/>
      </c>
      <c r="G209" s="73" t="str">
        <f>'[8]2025'!F209</f>
        <v/>
      </c>
      <c r="H209" s="42">
        <f>'[8]2025'!G209</f>
        <v>0</v>
      </c>
      <c r="I209" s="13">
        <f>'[8]2025'!H209</f>
        <v>0</v>
      </c>
      <c r="J209" s="14">
        <f>'[8]2025'!I209</f>
        <v>0</v>
      </c>
      <c r="K209" s="15">
        <f>'[8]2025'!J209</f>
        <v>0</v>
      </c>
      <c r="L209" s="15">
        <f>'[8]2025'!K209</f>
        <v>0</v>
      </c>
      <c r="M209" s="15">
        <f>'[8]2025'!L209</f>
        <v>0</v>
      </c>
      <c r="N209" s="16" t="str">
        <f t="shared" si="12"/>
        <v/>
      </c>
      <c r="O209" s="17" t="str">
        <f t="shared" si="13"/>
        <v/>
      </c>
      <c r="P209" s="17" t="str">
        <f t="shared" si="13"/>
        <v/>
      </c>
      <c r="Q209" s="18" t="str">
        <f t="shared" si="14"/>
        <v/>
      </c>
      <c r="R209" s="18" t="e">
        <f t="shared" si="15"/>
        <v>#DIV/0!</v>
      </c>
      <c r="S209" s="34"/>
      <c r="T209" s="29" t="s">
        <v>8</v>
      </c>
      <c r="U209" s="1738"/>
    </row>
    <row r="210" spans="1:21">
      <c r="A210" s="10" t="s">
        <v>14</v>
      </c>
      <c r="B210" s="19">
        <f>CHAMNORD!B210</f>
        <v>46227</v>
      </c>
      <c r="C210" s="75" t="str">
        <f>IF(H210=0,"",'[8]2025-2026'!C209)</f>
        <v/>
      </c>
      <c r="D210" s="68" t="str">
        <f>'[8]2025'!C210</f>
        <v/>
      </c>
      <c r="E210" s="68" t="str">
        <f>'[8]2025'!D210</f>
        <v/>
      </c>
      <c r="F210" s="20" t="str">
        <f>'[8]2025'!E210</f>
        <v/>
      </c>
      <c r="G210" s="73" t="str">
        <f>'[8]2025'!F210</f>
        <v/>
      </c>
      <c r="H210" s="42">
        <f>'[8]2025'!G210</f>
        <v>0</v>
      </c>
      <c r="I210" s="13">
        <f>'[8]2025'!H210</f>
        <v>0</v>
      </c>
      <c r="J210" s="14">
        <f>'[8]2025'!I210</f>
        <v>0</v>
      </c>
      <c r="K210" s="15">
        <f>'[8]2025'!J210</f>
        <v>0</v>
      </c>
      <c r="L210" s="15">
        <f>'[8]2025'!K210</f>
        <v>0</v>
      </c>
      <c r="M210" s="15">
        <f>'[8]2025'!L210</f>
        <v>0</v>
      </c>
      <c r="N210" s="16" t="str">
        <f t="shared" si="12"/>
        <v/>
      </c>
      <c r="O210" s="17" t="str">
        <f t="shared" si="13"/>
        <v/>
      </c>
      <c r="P210" s="17" t="str">
        <f t="shared" si="13"/>
        <v/>
      </c>
      <c r="Q210" s="18" t="str">
        <f t="shared" si="14"/>
        <v/>
      </c>
      <c r="R210" s="18" t="e">
        <f t="shared" si="15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19">
        <f>CHAMNORD!B211</f>
        <v>46228</v>
      </c>
      <c r="C211" s="75" t="str">
        <f>IF(H211=0,"",'[8]2025-2026'!C210)</f>
        <v/>
      </c>
      <c r="D211" s="68" t="str">
        <f>'[8]2025'!C211</f>
        <v/>
      </c>
      <c r="E211" s="68" t="str">
        <f>'[8]2025'!D211</f>
        <v/>
      </c>
      <c r="F211" s="20" t="str">
        <f>'[8]2025'!E211</f>
        <v/>
      </c>
      <c r="G211" s="73" t="str">
        <f>'[8]2025'!F211</f>
        <v/>
      </c>
      <c r="H211" s="42">
        <f>'[8]2025'!G211</f>
        <v>0</v>
      </c>
      <c r="I211" s="13">
        <f>'[8]2025'!H211</f>
        <v>0</v>
      </c>
      <c r="J211" s="14">
        <f>'[8]2025'!I211</f>
        <v>0</v>
      </c>
      <c r="K211" s="15">
        <f>'[8]2025'!J211</f>
        <v>0</v>
      </c>
      <c r="L211" s="15">
        <f>'[8]2025'!K211</f>
        <v>0</v>
      </c>
      <c r="M211" s="15">
        <f>'[8]2025'!L211</f>
        <v>0</v>
      </c>
      <c r="N211" s="16" t="str">
        <f t="shared" si="12"/>
        <v/>
      </c>
      <c r="O211" s="17" t="str">
        <f t="shared" si="13"/>
        <v/>
      </c>
      <c r="P211" s="17" t="str">
        <f t="shared" si="13"/>
        <v/>
      </c>
      <c r="Q211" s="18" t="str">
        <f t="shared" si="14"/>
        <v/>
      </c>
      <c r="R211" s="18" t="e">
        <f t="shared" si="15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19">
        <f>CHAMNORD!B212</f>
        <v>46229</v>
      </c>
      <c r="C212" s="75" t="str">
        <f>IF(H212=0,"",'[8]2025-2026'!C211)</f>
        <v/>
      </c>
      <c r="D212" s="68" t="str">
        <f>'[8]2025'!C212</f>
        <v/>
      </c>
      <c r="E212" s="68" t="str">
        <f>'[8]2025'!D212</f>
        <v/>
      </c>
      <c r="F212" s="20" t="str">
        <f>'[8]2025'!E212</f>
        <v/>
      </c>
      <c r="G212" s="73" t="str">
        <f>'[8]2025'!F212</f>
        <v/>
      </c>
      <c r="H212" s="42">
        <f>'[8]2025'!G212</f>
        <v>0</v>
      </c>
      <c r="I212" s="13">
        <f>'[8]2025'!H212</f>
        <v>0</v>
      </c>
      <c r="J212" s="14">
        <f>'[8]2025'!I212</f>
        <v>0</v>
      </c>
      <c r="K212" s="15">
        <f>'[8]2025'!J212</f>
        <v>0</v>
      </c>
      <c r="L212" s="15">
        <f>'[8]2025'!K212</f>
        <v>0</v>
      </c>
      <c r="M212" s="15">
        <f>'[8]2025'!L212</f>
        <v>0</v>
      </c>
      <c r="N212" s="16" t="str">
        <f t="shared" si="12"/>
        <v/>
      </c>
      <c r="O212" s="17" t="str">
        <f t="shared" si="13"/>
        <v/>
      </c>
      <c r="P212" s="17" t="str">
        <f t="shared" si="13"/>
        <v/>
      </c>
      <c r="Q212" s="18" t="str">
        <f t="shared" si="14"/>
        <v/>
      </c>
      <c r="R212" s="18" t="e">
        <f t="shared" si="15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19">
        <f>CHAMNORD!B213</f>
        <v>46230</v>
      </c>
      <c r="C213" s="75" t="str">
        <f>IF(H213=0,"",'[8]2025-2026'!C212)</f>
        <v/>
      </c>
      <c r="D213" s="68" t="str">
        <f>'[8]2025'!C213</f>
        <v/>
      </c>
      <c r="E213" s="68" t="str">
        <f>'[8]2025'!D213</f>
        <v/>
      </c>
      <c r="F213" s="20" t="str">
        <f>'[8]2025'!E213</f>
        <v/>
      </c>
      <c r="G213" s="73" t="str">
        <f>'[8]2025'!F213</f>
        <v/>
      </c>
      <c r="H213" s="42">
        <f>'[8]2025'!G213</f>
        <v>0</v>
      </c>
      <c r="I213" s="13">
        <f>'[8]2025'!H213</f>
        <v>0</v>
      </c>
      <c r="J213" s="14">
        <f>'[8]2025'!I213</f>
        <v>0</v>
      </c>
      <c r="K213" s="15">
        <f>'[8]2025'!J213</f>
        <v>0</v>
      </c>
      <c r="L213" s="15">
        <f>'[8]2025'!K213</f>
        <v>0</v>
      </c>
      <c r="M213" s="15">
        <f>'[8]2025'!L213</f>
        <v>0</v>
      </c>
      <c r="N213" s="16" t="str">
        <f t="shared" si="12"/>
        <v/>
      </c>
      <c r="O213" s="17" t="str">
        <f t="shared" si="13"/>
        <v/>
      </c>
      <c r="P213" s="17" t="str">
        <f t="shared" si="13"/>
        <v/>
      </c>
      <c r="Q213" s="18" t="str">
        <f t="shared" si="14"/>
        <v/>
      </c>
      <c r="R213" s="18" t="e">
        <f t="shared" si="15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19">
        <f>CHAMNORD!B214</f>
        <v>46231</v>
      </c>
      <c r="C214" s="75" t="str">
        <f>IF(H214=0,"",'[8]2025-2026'!C213)</f>
        <v/>
      </c>
      <c r="D214" s="68" t="str">
        <f>'[8]2025'!C214</f>
        <v/>
      </c>
      <c r="E214" s="68" t="str">
        <f>'[8]2025'!D214</f>
        <v/>
      </c>
      <c r="F214" s="20" t="str">
        <f>'[8]2025'!E214</f>
        <v/>
      </c>
      <c r="G214" s="73" t="str">
        <f>'[8]2025'!F214</f>
        <v/>
      </c>
      <c r="H214" s="42">
        <f>'[8]2025'!G214</f>
        <v>0</v>
      </c>
      <c r="I214" s="13">
        <f>'[8]2025'!H214</f>
        <v>0</v>
      </c>
      <c r="J214" s="14">
        <f>'[8]2025'!I214</f>
        <v>0</v>
      </c>
      <c r="K214" s="15">
        <f>'[8]2025'!J214</f>
        <v>0</v>
      </c>
      <c r="L214" s="15">
        <f>'[8]2025'!K214</f>
        <v>0</v>
      </c>
      <c r="M214" s="15">
        <f>'[8]2025'!L214</f>
        <v>0</v>
      </c>
      <c r="N214" s="16" t="str">
        <f t="shared" si="12"/>
        <v/>
      </c>
      <c r="O214" s="17" t="str">
        <f t="shared" si="13"/>
        <v/>
      </c>
      <c r="P214" s="17" t="str">
        <f t="shared" si="13"/>
        <v/>
      </c>
      <c r="Q214" s="18" t="str">
        <f t="shared" si="14"/>
        <v/>
      </c>
      <c r="R214" s="18" t="e">
        <f t="shared" si="15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19">
        <f>CHAMNORD!B215</f>
        <v>46232</v>
      </c>
      <c r="C215" s="75" t="str">
        <f>IF(H215=0,"",'[8]2025-2026'!C214)</f>
        <v/>
      </c>
      <c r="D215" s="68" t="str">
        <f>'[8]2025'!C215</f>
        <v/>
      </c>
      <c r="E215" s="68" t="str">
        <f>'[8]2025'!D215</f>
        <v/>
      </c>
      <c r="F215" s="20" t="str">
        <f>'[8]2025'!E215</f>
        <v/>
      </c>
      <c r="G215" s="73" t="str">
        <f>'[8]2025'!F215</f>
        <v/>
      </c>
      <c r="H215" s="42">
        <f>'[8]2025'!G215</f>
        <v>0</v>
      </c>
      <c r="I215" s="13">
        <f>'[8]2025'!H215</f>
        <v>0</v>
      </c>
      <c r="J215" s="14">
        <f>'[8]2025'!I215</f>
        <v>0</v>
      </c>
      <c r="K215" s="15">
        <f>'[8]2025'!J215</f>
        <v>0</v>
      </c>
      <c r="L215" s="15">
        <f>'[8]2025'!K215</f>
        <v>0</v>
      </c>
      <c r="M215" s="15">
        <f>'[8]2025'!L215</f>
        <v>0</v>
      </c>
      <c r="N215" s="16" t="str">
        <f t="shared" si="12"/>
        <v/>
      </c>
      <c r="O215" s="17" t="str">
        <f t="shared" si="13"/>
        <v/>
      </c>
      <c r="P215" s="17" t="str">
        <f t="shared" si="13"/>
        <v/>
      </c>
      <c r="Q215" s="18" t="str">
        <f t="shared" si="14"/>
        <v/>
      </c>
      <c r="R215" s="18" t="e">
        <f t="shared" si="15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19">
        <f>CHAMNORD!B216</f>
        <v>46233</v>
      </c>
      <c r="C216" s="75" t="str">
        <f>IF(H216=0,"",'[8]2025-2026'!C215)</f>
        <v/>
      </c>
      <c r="D216" s="68" t="str">
        <f>'[8]2025'!C216</f>
        <v/>
      </c>
      <c r="E216" s="68" t="str">
        <f>'[8]2025'!D216</f>
        <v/>
      </c>
      <c r="F216" s="20" t="str">
        <f>'[8]2025'!E216</f>
        <v/>
      </c>
      <c r="G216" s="73" t="str">
        <f>'[8]2025'!F216</f>
        <v/>
      </c>
      <c r="H216" s="42">
        <f>'[8]2025'!G216</f>
        <v>0</v>
      </c>
      <c r="I216" s="13">
        <f>'[8]2025'!H216</f>
        <v>0</v>
      </c>
      <c r="J216" s="14">
        <f>'[8]2025'!I216</f>
        <v>0</v>
      </c>
      <c r="K216" s="15">
        <f>'[8]2025'!J216</f>
        <v>0</v>
      </c>
      <c r="L216" s="15">
        <f>'[8]2025'!K216</f>
        <v>0</v>
      </c>
      <c r="M216" s="15">
        <f>'[8]2025'!L216</f>
        <v>0</v>
      </c>
      <c r="N216" s="16" t="str">
        <f t="shared" si="12"/>
        <v/>
      </c>
      <c r="O216" s="17" t="str">
        <f t="shared" si="13"/>
        <v/>
      </c>
      <c r="P216" s="17" t="str">
        <f t="shared" si="13"/>
        <v/>
      </c>
      <c r="Q216" s="18" t="str">
        <f t="shared" si="14"/>
        <v/>
      </c>
      <c r="R216" s="18" t="e">
        <f t="shared" si="15"/>
        <v>#DIV/0!</v>
      </c>
      <c r="S216" s="34"/>
      <c r="T216" s="29" t="s">
        <v>8</v>
      </c>
      <c r="U216" s="1738"/>
    </row>
    <row r="217" spans="1:21">
      <c r="A217" s="10" t="s">
        <v>14</v>
      </c>
      <c r="B217" s="19">
        <f>CHAMNORD!B217</f>
        <v>46234</v>
      </c>
      <c r="C217" s="75" t="str">
        <f>IF(H217=0,"",'[8]2025-2026'!C216)</f>
        <v/>
      </c>
      <c r="D217" s="68" t="str">
        <f>'[8]2025'!C217</f>
        <v/>
      </c>
      <c r="E217" s="68" t="str">
        <f>'[8]2025'!D217</f>
        <v/>
      </c>
      <c r="F217" s="20" t="str">
        <f>'[8]2025'!E217</f>
        <v/>
      </c>
      <c r="G217" s="73" t="str">
        <f>'[8]2025'!F217</f>
        <v/>
      </c>
      <c r="H217" s="42">
        <f>'[8]2025'!G217</f>
        <v>0</v>
      </c>
      <c r="I217" s="13">
        <f>'[8]2025'!H217</f>
        <v>0</v>
      </c>
      <c r="J217" s="14">
        <f>'[8]2025'!I217</f>
        <v>0</v>
      </c>
      <c r="K217" s="15">
        <f>'[8]2025'!J217</f>
        <v>0</v>
      </c>
      <c r="L217" s="15">
        <f>'[8]2025'!K217</f>
        <v>0</v>
      </c>
      <c r="M217" s="15">
        <f>'[8]2025'!L217</f>
        <v>0</v>
      </c>
      <c r="N217" s="16" t="str">
        <f t="shared" si="12"/>
        <v/>
      </c>
      <c r="O217" s="17" t="str">
        <f t="shared" si="13"/>
        <v/>
      </c>
      <c r="P217" s="17" t="str">
        <f t="shared" si="13"/>
        <v/>
      </c>
      <c r="Q217" s="18" t="str">
        <f t="shared" si="14"/>
        <v/>
      </c>
      <c r="R217" s="18" t="e">
        <f t="shared" si="15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19">
        <f>CHAMNORD!B218</f>
        <v>46235</v>
      </c>
      <c r="C218" s="75" t="str">
        <f>IF(H218=0,"",'[8]2025-2026'!C217)</f>
        <v/>
      </c>
      <c r="D218" s="68" t="str">
        <f>'[8]2025'!C218</f>
        <v/>
      </c>
      <c r="E218" s="68" t="str">
        <f>'[8]2025'!D218</f>
        <v/>
      </c>
      <c r="F218" s="20" t="str">
        <f>'[8]2025'!E218</f>
        <v/>
      </c>
      <c r="G218" s="73" t="str">
        <f>'[8]2025'!F218</f>
        <v/>
      </c>
      <c r="H218" s="42">
        <f>'[8]2025'!G218</f>
        <v>0</v>
      </c>
      <c r="I218" s="13">
        <f>'[8]2025'!H218</f>
        <v>0</v>
      </c>
      <c r="J218" s="14">
        <f>'[8]2025'!I218</f>
        <v>0</v>
      </c>
      <c r="K218" s="15">
        <f>'[8]2025'!J218</f>
        <v>0</v>
      </c>
      <c r="L218" s="15">
        <f>'[8]2025'!K218</f>
        <v>0</v>
      </c>
      <c r="M218" s="15">
        <f>'[8]2025'!L218</f>
        <v>0</v>
      </c>
      <c r="N218" s="16" t="str">
        <f t="shared" si="12"/>
        <v/>
      </c>
      <c r="O218" s="17" t="str">
        <f t="shared" si="13"/>
        <v/>
      </c>
      <c r="P218" s="17" t="str">
        <f t="shared" si="13"/>
        <v/>
      </c>
      <c r="Q218" s="18" t="str">
        <f t="shared" si="14"/>
        <v/>
      </c>
      <c r="R218" s="18" t="e">
        <f t="shared" si="15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19">
        <f>CHAMNORD!B219</f>
        <v>46236</v>
      </c>
      <c r="C219" s="75" t="str">
        <f>IF(H219=0,"",'[8]2025-2026'!C218)</f>
        <v/>
      </c>
      <c r="D219" s="68" t="str">
        <f>'[8]2025'!C219</f>
        <v/>
      </c>
      <c r="E219" s="68" t="str">
        <f>'[8]2025'!D219</f>
        <v/>
      </c>
      <c r="F219" s="20" t="str">
        <f>'[8]2025'!E219</f>
        <v/>
      </c>
      <c r="G219" s="73" t="str">
        <f>'[8]2025'!F219</f>
        <v/>
      </c>
      <c r="H219" s="42">
        <f>'[8]2025'!G219</f>
        <v>0</v>
      </c>
      <c r="I219" s="13">
        <f>'[8]2025'!H219</f>
        <v>0</v>
      </c>
      <c r="J219" s="14">
        <f>'[8]2025'!I219</f>
        <v>0</v>
      </c>
      <c r="K219" s="15">
        <f>'[8]2025'!J219</f>
        <v>0</v>
      </c>
      <c r="L219" s="15">
        <f>'[8]2025'!K219</f>
        <v>0</v>
      </c>
      <c r="M219" s="15">
        <f>'[8]2025'!L219</f>
        <v>0</v>
      </c>
      <c r="N219" s="16" t="str">
        <f t="shared" si="12"/>
        <v/>
      </c>
      <c r="O219" s="17" t="str">
        <f t="shared" si="13"/>
        <v/>
      </c>
      <c r="P219" s="17" t="str">
        <f t="shared" si="13"/>
        <v/>
      </c>
      <c r="Q219" s="18" t="str">
        <f t="shared" si="14"/>
        <v/>
      </c>
      <c r="R219" s="18" t="e">
        <f t="shared" si="15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19">
        <f>CHAMNORD!B220</f>
        <v>46237</v>
      </c>
      <c r="C220" s="75" t="str">
        <f>IF(H220=0,"",'[8]2025-2026'!C219)</f>
        <v/>
      </c>
      <c r="D220" s="68" t="str">
        <f>'[8]2025'!C220</f>
        <v/>
      </c>
      <c r="E220" s="68" t="str">
        <f>'[8]2025'!D220</f>
        <v/>
      </c>
      <c r="F220" s="20" t="str">
        <f>'[8]2025'!E220</f>
        <v/>
      </c>
      <c r="G220" s="73" t="str">
        <f>'[8]2025'!F220</f>
        <v/>
      </c>
      <c r="H220" s="42">
        <f>'[8]2025'!G220</f>
        <v>0</v>
      </c>
      <c r="I220" s="13">
        <f>'[8]2025'!H220</f>
        <v>0</v>
      </c>
      <c r="J220" s="14">
        <f>'[8]2025'!I220</f>
        <v>0</v>
      </c>
      <c r="K220" s="15">
        <f>'[8]2025'!J220</f>
        <v>0</v>
      </c>
      <c r="L220" s="15">
        <f>'[8]2025'!K220</f>
        <v>0</v>
      </c>
      <c r="M220" s="15">
        <f>'[8]2025'!L220</f>
        <v>0</v>
      </c>
      <c r="N220" s="16" t="str">
        <f t="shared" si="12"/>
        <v/>
      </c>
      <c r="O220" s="17" t="str">
        <f t="shared" si="13"/>
        <v/>
      </c>
      <c r="P220" s="17" t="str">
        <f t="shared" si="13"/>
        <v/>
      </c>
      <c r="Q220" s="18" t="str">
        <f t="shared" si="14"/>
        <v/>
      </c>
      <c r="R220" s="18" t="e">
        <f t="shared" si="15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19">
        <f>CHAMNORD!B221</f>
        <v>46238</v>
      </c>
      <c r="C221" s="75" t="str">
        <f>IF(H221=0,"",'[8]2025-2026'!C220)</f>
        <v/>
      </c>
      <c r="D221" s="68" t="str">
        <f>'[8]2025'!C221</f>
        <v/>
      </c>
      <c r="E221" s="68" t="str">
        <f>'[8]2025'!D221</f>
        <v/>
      </c>
      <c r="F221" s="20" t="str">
        <f>'[8]2025'!E221</f>
        <v/>
      </c>
      <c r="G221" s="73" t="str">
        <f>'[8]2025'!F221</f>
        <v/>
      </c>
      <c r="H221" s="42">
        <f>'[8]2025'!G221</f>
        <v>0</v>
      </c>
      <c r="I221" s="13">
        <f>'[8]2025'!H221</f>
        <v>0</v>
      </c>
      <c r="J221" s="14">
        <f>'[8]2025'!I221</f>
        <v>0</v>
      </c>
      <c r="K221" s="15">
        <f>'[8]2025'!J221</f>
        <v>0</v>
      </c>
      <c r="L221" s="15">
        <f>'[8]2025'!K221</f>
        <v>0</v>
      </c>
      <c r="M221" s="15">
        <f>'[8]2025'!L221</f>
        <v>0</v>
      </c>
      <c r="N221" s="16" t="str">
        <f t="shared" si="12"/>
        <v/>
      </c>
      <c r="O221" s="17" t="str">
        <f t="shared" si="13"/>
        <v/>
      </c>
      <c r="P221" s="17" t="str">
        <f t="shared" si="13"/>
        <v/>
      </c>
      <c r="Q221" s="18" t="str">
        <f t="shared" si="14"/>
        <v/>
      </c>
      <c r="R221" s="18" t="e">
        <f t="shared" si="15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19">
        <f>CHAMNORD!B222</f>
        <v>46239</v>
      </c>
      <c r="C222" s="75" t="str">
        <f>IF(H222=0,"",'[8]2025-2026'!C221)</f>
        <v/>
      </c>
      <c r="D222" s="68" t="str">
        <f>'[8]2025'!C222</f>
        <v/>
      </c>
      <c r="E222" s="68" t="str">
        <f>'[8]2025'!D222</f>
        <v/>
      </c>
      <c r="F222" s="20" t="str">
        <f>'[8]2025'!E222</f>
        <v/>
      </c>
      <c r="G222" s="73" t="str">
        <f>'[8]2025'!F222</f>
        <v/>
      </c>
      <c r="H222" s="42">
        <f>'[8]2025'!G222</f>
        <v>0</v>
      </c>
      <c r="I222" s="13">
        <f>'[8]2025'!H222</f>
        <v>0</v>
      </c>
      <c r="J222" s="14">
        <f>'[8]2025'!I222</f>
        <v>0</v>
      </c>
      <c r="K222" s="15">
        <f>'[8]2025'!J222</f>
        <v>0</v>
      </c>
      <c r="L222" s="15">
        <f>'[8]2025'!K222</f>
        <v>0</v>
      </c>
      <c r="M222" s="15">
        <f>'[8]2025'!L222</f>
        <v>0</v>
      </c>
      <c r="N222" s="16" t="str">
        <f t="shared" si="12"/>
        <v/>
      </c>
      <c r="O222" s="17" t="str">
        <f t="shared" si="13"/>
        <v/>
      </c>
      <c r="P222" s="17" t="str">
        <f t="shared" si="13"/>
        <v/>
      </c>
      <c r="Q222" s="18" t="str">
        <f t="shared" si="14"/>
        <v/>
      </c>
      <c r="R222" s="18" t="e">
        <f t="shared" si="15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19">
        <f>CHAMNORD!B223</f>
        <v>46240</v>
      </c>
      <c r="C223" s="75" t="str">
        <f>IF(H223=0,"",'[8]2025-2026'!C222)</f>
        <v/>
      </c>
      <c r="D223" s="68" t="str">
        <f>'[8]2025'!C223</f>
        <v/>
      </c>
      <c r="E223" s="68" t="str">
        <f>'[8]2025'!D223</f>
        <v/>
      </c>
      <c r="F223" s="20" t="str">
        <f>'[8]2025'!E223</f>
        <v/>
      </c>
      <c r="G223" s="73" t="str">
        <f>'[8]2025'!F223</f>
        <v/>
      </c>
      <c r="H223" s="42">
        <f>'[8]2025'!G223</f>
        <v>0</v>
      </c>
      <c r="I223" s="13">
        <f>'[8]2025'!H223</f>
        <v>0</v>
      </c>
      <c r="J223" s="14">
        <f>'[8]2025'!I223</f>
        <v>0</v>
      </c>
      <c r="K223" s="15">
        <f>'[8]2025'!J223</f>
        <v>0</v>
      </c>
      <c r="L223" s="15">
        <f>'[8]2025'!K223</f>
        <v>0</v>
      </c>
      <c r="M223" s="15">
        <f>'[8]2025'!L223</f>
        <v>0</v>
      </c>
      <c r="N223" s="16" t="str">
        <f t="shared" si="12"/>
        <v/>
      </c>
      <c r="O223" s="17" t="str">
        <f t="shared" si="13"/>
        <v/>
      </c>
      <c r="P223" s="17" t="str">
        <f t="shared" si="13"/>
        <v/>
      </c>
      <c r="Q223" s="18" t="str">
        <f t="shared" si="14"/>
        <v/>
      </c>
      <c r="R223" s="18" t="e">
        <f t="shared" si="15"/>
        <v>#DIV/0!</v>
      </c>
      <c r="S223" s="34"/>
      <c r="T223" s="29" t="s">
        <v>8</v>
      </c>
      <c r="U223" s="1738"/>
    </row>
    <row r="224" spans="1:21">
      <c r="A224" s="10" t="s">
        <v>14</v>
      </c>
      <c r="B224" s="19">
        <f>CHAMNORD!B224</f>
        <v>46241</v>
      </c>
      <c r="C224" s="75" t="str">
        <f>IF(H224=0,"",'[8]2025-2026'!C223)</f>
        <v/>
      </c>
      <c r="D224" s="68" t="str">
        <f>'[8]2025'!C224</f>
        <v/>
      </c>
      <c r="E224" s="68" t="str">
        <f>'[8]2025'!D224</f>
        <v/>
      </c>
      <c r="F224" s="20" t="str">
        <f>'[8]2025'!E224</f>
        <v/>
      </c>
      <c r="G224" s="73" t="str">
        <f>'[8]2025'!F224</f>
        <v/>
      </c>
      <c r="H224" s="42">
        <f>'[8]2025'!G224</f>
        <v>0</v>
      </c>
      <c r="I224" s="13">
        <f>'[8]2025'!H224</f>
        <v>0</v>
      </c>
      <c r="J224" s="14">
        <f>'[8]2025'!I224</f>
        <v>0</v>
      </c>
      <c r="K224" s="15">
        <f>'[8]2025'!J224</f>
        <v>0</v>
      </c>
      <c r="L224" s="15">
        <f>'[8]2025'!K224</f>
        <v>0</v>
      </c>
      <c r="M224" s="15">
        <f>'[8]2025'!L224</f>
        <v>0</v>
      </c>
      <c r="N224" s="16" t="str">
        <f t="shared" si="12"/>
        <v/>
      </c>
      <c r="O224" s="17" t="str">
        <f t="shared" si="13"/>
        <v/>
      </c>
      <c r="P224" s="17" t="str">
        <f t="shared" si="13"/>
        <v/>
      </c>
      <c r="Q224" s="18" t="str">
        <f t="shared" si="14"/>
        <v/>
      </c>
      <c r="R224" s="18" t="e">
        <f t="shared" si="15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19">
        <f>CHAMNORD!B225</f>
        <v>46242</v>
      </c>
      <c r="C225" s="75" t="str">
        <f>IF(H225=0,"",'[8]2025-2026'!C224)</f>
        <v/>
      </c>
      <c r="D225" s="68" t="str">
        <f>'[8]2025'!C225</f>
        <v/>
      </c>
      <c r="E225" s="68" t="str">
        <f>'[8]2025'!D225</f>
        <v/>
      </c>
      <c r="F225" s="20" t="str">
        <f>'[8]2025'!E225</f>
        <v/>
      </c>
      <c r="G225" s="73" t="str">
        <f>'[8]2025'!F225</f>
        <v/>
      </c>
      <c r="H225" s="42">
        <f>'[8]2025'!G225</f>
        <v>0</v>
      </c>
      <c r="I225" s="13">
        <f>'[8]2025'!H225</f>
        <v>0</v>
      </c>
      <c r="J225" s="14">
        <f>'[8]2025'!I225</f>
        <v>0</v>
      </c>
      <c r="K225" s="15">
        <f>'[8]2025'!J225</f>
        <v>0</v>
      </c>
      <c r="L225" s="15">
        <f>'[8]2025'!K225</f>
        <v>0</v>
      </c>
      <c r="M225" s="15">
        <f>'[8]2025'!L225</f>
        <v>0</v>
      </c>
      <c r="N225" s="16" t="str">
        <f t="shared" si="12"/>
        <v/>
      </c>
      <c r="O225" s="17" t="str">
        <f t="shared" si="13"/>
        <v/>
      </c>
      <c r="P225" s="17" t="str">
        <f t="shared" si="13"/>
        <v/>
      </c>
      <c r="Q225" s="18" t="str">
        <f t="shared" si="14"/>
        <v/>
      </c>
      <c r="R225" s="18" t="e">
        <f t="shared" si="15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19">
        <f>CHAMNORD!B226</f>
        <v>46243</v>
      </c>
      <c r="C226" s="75" t="str">
        <f>IF(H226=0,"",'[8]2025-2026'!C225)</f>
        <v/>
      </c>
      <c r="D226" s="68" t="str">
        <f>'[8]2025'!C226</f>
        <v/>
      </c>
      <c r="E226" s="68" t="str">
        <f>'[8]2025'!D226</f>
        <v/>
      </c>
      <c r="F226" s="20" t="str">
        <f>'[8]2025'!E226</f>
        <v/>
      </c>
      <c r="G226" s="73" t="str">
        <f>'[8]2025'!F226</f>
        <v/>
      </c>
      <c r="H226" s="42">
        <f>'[8]2025'!G226</f>
        <v>0</v>
      </c>
      <c r="I226" s="13">
        <f>'[8]2025'!H226</f>
        <v>0</v>
      </c>
      <c r="J226" s="14">
        <f>'[8]2025'!I226</f>
        <v>0</v>
      </c>
      <c r="K226" s="15">
        <f>'[8]2025'!J226</f>
        <v>0</v>
      </c>
      <c r="L226" s="15">
        <f>'[8]2025'!K226</f>
        <v>0</v>
      </c>
      <c r="M226" s="15">
        <f>'[8]2025'!L226</f>
        <v>0</v>
      </c>
      <c r="N226" s="16" t="str">
        <f t="shared" si="12"/>
        <v/>
      </c>
      <c r="O226" s="17" t="str">
        <f t="shared" si="13"/>
        <v/>
      </c>
      <c r="P226" s="17" t="str">
        <f t="shared" si="13"/>
        <v/>
      </c>
      <c r="Q226" s="18" t="str">
        <f t="shared" si="14"/>
        <v/>
      </c>
      <c r="R226" s="18" t="e">
        <f t="shared" si="15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19">
        <f>CHAMNORD!B227</f>
        <v>46244</v>
      </c>
      <c r="C227" s="75" t="str">
        <f>IF(H227=0,"",'[8]2025-2026'!C226)</f>
        <v/>
      </c>
      <c r="D227" s="68" t="str">
        <f>'[8]2025'!C227</f>
        <v/>
      </c>
      <c r="E227" s="68" t="str">
        <f>'[8]2025'!D227</f>
        <v/>
      </c>
      <c r="F227" s="20" t="str">
        <f>'[8]2025'!E227</f>
        <v/>
      </c>
      <c r="G227" s="73" t="str">
        <f>'[8]2025'!F227</f>
        <v/>
      </c>
      <c r="H227" s="42">
        <f>'[8]2025'!G227</f>
        <v>0</v>
      </c>
      <c r="I227" s="13">
        <f>'[8]2025'!H227</f>
        <v>0</v>
      </c>
      <c r="J227" s="14">
        <f>'[8]2025'!I227</f>
        <v>0</v>
      </c>
      <c r="K227" s="15">
        <f>'[8]2025'!J227</f>
        <v>0</v>
      </c>
      <c r="L227" s="15">
        <f>'[8]2025'!K227</f>
        <v>0</v>
      </c>
      <c r="M227" s="15">
        <f>'[8]2025'!L227</f>
        <v>0</v>
      </c>
      <c r="N227" s="16" t="str">
        <f t="shared" si="12"/>
        <v/>
      </c>
      <c r="O227" s="17" t="str">
        <f t="shared" si="13"/>
        <v/>
      </c>
      <c r="P227" s="17" t="str">
        <f t="shared" si="13"/>
        <v/>
      </c>
      <c r="Q227" s="18" t="str">
        <f t="shared" si="14"/>
        <v/>
      </c>
      <c r="R227" s="18" t="e">
        <f t="shared" si="15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19">
        <f>CHAMNORD!B228</f>
        <v>46245</v>
      </c>
      <c r="C228" s="75" t="str">
        <f>IF(H228=0,"",'[8]2025-2026'!C227)</f>
        <v/>
      </c>
      <c r="D228" s="68" t="str">
        <f>'[8]2025'!C228</f>
        <v/>
      </c>
      <c r="E228" s="68" t="str">
        <f>'[8]2025'!D228</f>
        <v/>
      </c>
      <c r="F228" s="20" t="str">
        <f>'[8]2025'!E228</f>
        <v/>
      </c>
      <c r="G228" s="73" t="str">
        <f>'[8]2025'!F228</f>
        <v/>
      </c>
      <c r="H228" s="42">
        <f>'[8]2025'!G228</f>
        <v>0</v>
      </c>
      <c r="I228" s="13">
        <f>'[8]2025'!H228</f>
        <v>0</v>
      </c>
      <c r="J228" s="14">
        <f>'[8]2025'!I228</f>
        <v>0</v>
      </c>
      <c r="K228" s="15">
        <f>'[8]2025'!J228</f>
        <v>0</v>
      </c>
      <c r="L228" s="15">
        <f>'[8]2025'!K228</f>
        <v>0</v>
      </c>
      <c r="M228" s="15">
        <f>'[8]2025'!L228</f>
        <v>0</v>
      </c>
      <c r="N228" s="16" t="str">
        <f t="shared" si="12"/>
        <v/>
      </c>
      <c r="O228" s="17" t="str">
        <f t="shared" si="13"/>
        <v/>
      </c>
      <c r="P228" s="17" t="str">
        <f t="shared" si="13"/>
        <v/>
      </c>
      <c r="Q228" s="18" t="str">
        <f t="shared" si="14"/>
        <v/>
      </c>
      <c r="R228" s="18" t="e">
        <f t="shared" si="15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19">
        <f>CHAMNORD!B229</f>
        <v>46246</v>
      </c>
      <c r="C229" s="75" t="str">
        <f>IF(H229=0,"",'[8]2025-2026'!C228)</f>
        <v/>
      </c>
      <c r="D229" s="68" t="str">
        <f>'[8]2025'!C229</f>
        <v/>
      </c>
      <c r="E229" s="68" t="str">
        <f>'[8]2025'!D229</f>
        <v/>
      </c>
      <c r="F229" s="20" t="str">
        <f>'[8]2025'!E229</f>
        <v/>
      </c>
      <c r="G229" s="73" t="str">
        <f>'[8]2025'!F229</f>
        <v/>
      </c>
      <c r="H229" s="42">
        <f>'[8]2025'!G229</f>
        <v>0</v>
      </c>
      <c r="I229" s="13">
        <f>'[8]2025'!H229</f>
        <v>0</v>
      </c>
      <c r="J229" s="14">
        <f>'[8]2025'!I229</f>
        <v>0</v>
      </c>
      <c r="K229" s="15">
        <f>'[8]2025'!J229</f>
        <v>0</v>
      </c>
      <c r="L229" s="15">
        <f>'[8]2025'!K229</f>
        <v>0</v>
      </c>
      <c r="M229" s="15">
        <f>'[8]2025'!L229</f>
        <v>0</v>
      </c>
      <c r="N229" s="16" t="str">
        <f t="shared" si="12"/>
        <v/>
      </c>
      <c r="O229" s="17" t="str">
        <f t="shared" si="13"/>
        <v/>
      </c>
      <c r="P229" s="17" t="str">
        <f t="shared" si="13"/>
        <v/>
      </c>
      <c r="Q229" s="18" t="str">
        <f t="shared" si="14"/>
        <v/>
      </c>
      <c r="R229" s="18" t="e">
        <f t="shared" si="15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19">
        <f>CHAMNORD!B230</f>
        <v>46247</v>
      </c>
      <c r="C230" s="75" t="str">
        <f>IF(H230=0,"",'[8]2025-2026'!C229)</f>
        <v/>
      </c>
      <c r="D230" s="68" t="str">
        <f>'[8]2025'!C230</f>
        <v/>
      </c>
      <c r="E230" s="68" t="str">
        <f>'[8]2025'!D230</f>
        <v/>
      </c>
      <c r="F230" s="20" t="str">
        <f>'[8]2025'!E230</f>
        <v/>
      </c>
      <c r="G230" s="73" t="str">
        <f>'[8]2025'!F230</f>
        <v/>
      </c>
      <c r="H230" s="42">
        <f>'[8]2025'!G230</f>
        <v>0</v>
      </c>
      <c r="I230" s="13">
        <f>'[8]2025'!H230</f>
        <v>0</v>
      </c>
      <c r="J230" s="14">
        <f>'[8]2025'!I230</f>
        <v>0</v>
      </c>
      <c r="K230" s="15">
        <f>'[8]2025'!J230</f>
        <v>0</v>
      </c>
      <c r="L230" s="15">
        <f>'[8]2025'!K230</f>
        <v>0</v>
      </c>
      <c r="M230" s="15">
        <f>'[8]2025'!L230</f>
        <v>0</v>
      </c>
      <c r="N230" s="16" t="str">
        <f t="shared" si="12"/>
        <v/>
      </c>
      <c r="O230" s="17" t="str">
        <f t="shared" si="13"/>
        <v/>
      </c>
      <c r="P230" s="17" t="str">
        <f t="shared" si="13"/>
        <v/>
      </c>
      <c r="Q230" s="18" t="str">
        <f t="shared" si="14"/>
        <v/>
      </c>
      <c r="R230" s="18" t="e">
        <f t="shared" si="15"/>
        <v>#DIV/0!</v>
      </c>
      <c r="S230" s="34"/>
      <c r="T230" s="29" t="s">
        <v>8</v>
      </c>
      <c r="U230" s="1738"/>
    </row>
    <row r="231" spans="1:21">
      <c r="A231" s="10" t="s">
        <v>14</v>
      </c>
      <c r="B231" s="19">
        <f>CHAMNORD!B231</f>
        <v>46248</v>
      </c>
      <c r="C231" s="75" t="str">
        <f>IF(H231=0,"",'[8]2025-2026'!C230)</f>
        <v/>
      </c>
      <c r="D231" s="68" t="str">
        <f>'[8]2025'!C231</f>
        <v/>
      </c>
      <c r="E231" s="68" t="str">
        <f>'[8]2025'!D231</f>
        <v/>
      </c>
      <c r="F231" s="20" t="str">
        <f>'[8]2025'!E231</f>
        <v/>
      </c>
      <c r="G231" s="73" t="str">
        <f>'[8]2025'!F231</f>
        <v/>
      </c>
      <c r="H231" s="42">
        <f>'[8]2025'!G231</f>
        <v>0</v>
      </c>
      <c r="I231" s="13">
        <f>'[8]2025'!H231</f>
        <v>0</v>
      </c>
      <c r="J231" s="14">
        <f>'[8]2025'!I231</f>
        <v>0</v>
      </c>
      <c r="K231" s="15">
        <f>'[8]2025'!J231</f>
        <v>0</v>
      </c>
      <c r="L231" s="15">
        <f>'[8]2025'!K231</f>
        <v>0</v>
      </c>
      <c r="M231" s="15">
        <f>'[8]2025'!L231</f>
        <v>0</v>
      </c>
      <c r="N231" s="16" t="str">
        <f t="shared" si="12"/>
        <v/>
      </c>
      <c r="O231" s="17" t="str">
        <f t="shared" si="13"/>
        <v/>
      </c>
      <c r="P231" s="17" t="str">
        <f t="shared" si="13"/>
        <v/>
      </c>
      <c r="Q231" s="18" t="str">
        <f t="shared" si="14"/>
        <v/>
      </c>
      <c r="R231" s="18" t="e">
        <f t="shared" si="15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19">
        <f>CHAMNORD!B232</f>
        <v>46249</v>
      </c>
      <c r="C232" s="75" t="str">
        <f>IF(H232=0,"",'[8]2025-2026'!C231)</f>
        <v/>
      </c>
      <c r="D232" s="68" t="str">
        <f>'[8]2025'!C232</f>
        <v/>
      </c>
      <c r="E232" s="68" t="str">
        <f>'[8]2025'!D232</f>
        <v/>
      </c>
      <c r="F232" s="20" t="str">
        <f>'[8]2025'!E232</f>
        <v/>
      </c>
      <c r="G232" s="73" t="str">
        <f>'[8]2025'!F232</f>
        <v/>
      </c>
      <c r="H232" s="42">
        <f>'[8]2025'!G232</f>
        <v>0</v>
      </c>
      <c r="I232" s="13">
        <f>'[8]2025'!H232</f>
        <v>0</v>
      </c>
      <c r="J232" s="14">
        <f>'[8]2025'!I232</f>
        <v>0</v>
      </c>
      <c r="K232" s="15">
        <f>'[8]2025'!J232</f>
        <v>0</v>
      </c>
      <c r="L232" s="15">
        <f>'[8]2025'!K232</f>
        <v>0</v>
      </c>
      <c r="M232" s="15">
        <f>'[8]2025'!L232</f>
        <v>0</v>
      </c>
      <c r="N232" s="16" t="str">
        <f t="shared" si="12"/>
        <v/>
      </c>
      <c r="O232" s="17" t="str">
        <f t="shared" si="13"/>
        <v/>
      </c>
      <c r="P232" s="17" t="str">
        <f t="shared" si="13"/>
        <v/>
      </c>
      <c r="Q232" s="18" t="str">
        <f t="shared" si="14"/>
        <v/>
      </c>
      <c r="R232" s="18" t="e">
        <f t="shared" si="15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19">
        <f>CHAMNORD!B233</f>
        <v>46250</v>
      </c>
      <c r="C233" s="75" t="str">
        <f>IF(H233=0,"",'[8]2025-2026'!C232)</f>
        <v/>
      </c>
      <c r="D233" s="68" t="str">
        <f>'[8]2025'!C233</f>
        <v/>
      </c>
      <c r="E233" s="68" t="str">
        <f>'[8]2025'!D233</f>
        <v/>
      </c>
      <c r="F233" s="20" t="str">
        <f>'[8]2025'!E233</f>
        <v/>
      </c>
      <c r="G233" s="73" t="str">
        <f>'[8]2025'!F233</f>
        <v/>
      </c>
      <c r="H233" s="42">
        <f>'[8]2025'!G233</f>
        <v>0</v>
      </c>
      <c r="I233" s="13">
        <f>'[8]2025'!H233</f>
        <v>0</v>
      </c>
      <c r="J233" s="14">
        <f>'[8]2025'!I233</f>
        <v>0</v>
      </c>
      <c r="K233" s="15">
        <f>'[8]2025'!J233</f>
        <v>0</v>
      </c>
      <c r="L233" s="15">
        <f>'[8]2025'!K233</f>
        <v>0</v>
      </c>
      <c r="M233" s="15">
        <f>'[8]2025'!L233</f>
        <v>0</v>
      </c>
      <c r="N233" s="16" t="str">
        <f t="shared" si="12"/>
        <v/>
      </c>
      <c r="O233" s="17" t="str">
        <f t="shared" si="13"/>
        <v/>
      </c>
      <c r="P233" s="17" t="str">
        <f t="shared" si="13"/>
        <v/>
      </c>
      <c r="Q233" s="18" t="str">
        <f t="shared" si="14"/>
        <v/>
      </c>
      <c r="R233" s="18" t="e">
        <f t="shared" si="15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19">
        <f>CHAMNORD!B234</f>
        <v>46251</v>
      </c>
      <c r="C234" s="75" t="str">
        <f>IF(H234=0,"",'[8]2025-2026'!C233)</f>
        <v/>
      </c>
      <c r="D234" s="68" t="str">
        <f>'[8]2025'!C234</f>
        <v/>
      </c>
      <c r="E234" s="68" t="str">
        <f>'[8]2025'!D234</f>
        <v/>
      </c>
      <c r="F234" s="20" t="str">
        <f>'[8]2025'!E234</f>
        <v/>
      </c>
      <c r="G234" s="73" t="str">
        <f>'[8]2025'!F234</f>
        <v/>
      </c>
      <c r="H234" s="42">
        <f>'[8]2025'!G234</f>
        <v>0</v>
      </c>
      <c r="I234" s="13">
        <f>'[8]2025'!H234</f>
        <v>0</v>
      </c>
      <c r="J234" s="14">
        <f>'[8]2025'!I234</f>
        <v>0</v>
      </c>
      <c r="K234" s="15">
        <f>'[8]2025'!J234</f>
        <v>0</v>
      </c>
      <c r="L234" s="15">
        <f>'[8]2025'!K234</f>
        <v>0</v>
      </c>
      <c r="M234" s="15">
        <f>'[8]2025'!L234</f>
        <v>0</v>
      </c>
      <c r="N234" s="16" t="str">
        <f t="shared" si="12"/>
        <v/>
      </c>
      <c r="O234" s="17" t="str">
        <f t="shared" si="13"/>
        <v/>
      </c>
      <c r="P234" s="17" t="str">
        <f t="shared" si="13"/>
        <v/>
      </c>
      <c r="Q234" s="18" t="str">
        <f t="shared" si="14"/>
        <v/>
      </c>
      <c r="R234" s="18" t="e">
        <f t="shared" si="15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19">
        <f>CHAMNORD!B235</f>
        <v>46252</v>
      </c>
      <c r="C235" s="75" t="str">
        <f>IF(H235=0,"",'[8]2025-2026'!C234)</f>
        <v/>
      </c>
      <c r="D235" s="68" t="str">
        <f>'[8]2025'!C235</f>
        <v/>
      </c>
      <c r="E235" s="68" t="str">
        <f>'[8]2025'!D235</f>
        <v/>
      </c>
      <c r="F235" s="20" t="str">
        <f>'[8]2025'!E235</f>
        <v/>
      </c>
      <c r="G235" s="73" t="str">
        <f>'[8]2025'!F235</f>
        <v/>
      </c>
      <c r="H235" s="42">
        <f>'[8]2025'!G235</f>
        <v>0</v>
      </c>
      <c r="I235" s="13">
        <f>'[8]2025'!H235</f>
        <v>0</v>
      </c>
      <c r="J235" s="14">
        <f>'[8]2025'!I235</f>
        <v>0</v>
      </c>
      <c r="K235" s="15">
        <f>'[8]2025'!J235</f>
        <v>0</v>
      </c>
      <c r="L235" s="15">
        <f>'[8]2025'!K235</f>
        <v>0</v>
      </c>
      <c r="M235" s="15">
        <f>'[8]2025'!L235</f>
        <v>0</v>
      </c>
      <c r="N235" s="16" t="str">
        <f t="shared" si="12"/>
        <v/>
      </c>
      <c r="O235" s="17" t="str">
        <f t="shared" si="13"/>
        <v/>
      </c>
      <c r="P235" s="17" t="str">
        <f t="shared" si="13"/>
        <v/>
      </c>
      <c r="Q235" s="18" t="str">
        <f t="shared" si="14"/>
        <v/>
      </c>
      <c r="R235" s="18" t="e">
        <f t="shared" si="15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19">
        <f>CHAMNORD!B236</f>
        <v>46253</v>
      </c>
      <c r="C236" s="75" t="str">
        <f>IF(H236=0,"",'[8]2025-2026'!C235)</f>
        <v/>
      </c>
      <c r="D236" s="68" t="str">
        <f>'[8]2025'!C236</f>
        <v/>
      </c>
      <c r="E236" s="68" t="str">
        <f>'[8]2025'!D236</f>
        <v/>
      </c>
      <c r="F236" s="20" t="str">
        <f>'[8]2025'!E236</f>
        <v/>
      </c>
      <c r="G236" s="73" t="str">
        <f>'[8]2025'!F236</f>
        <v/>
      </c>
      <c r="H236" s="42">
        <f>'[8]2025'!G236</f>
        <v>0</v>
      </c>
      <c r="I236" s="13">
        <f>'[8]2025'!H236</f>
        <v>0</v>
      </c>
      <c r="J236" s="14">
        <f>'[8]2025'!I236</f>
        <v>0</v>
      </c>
      <c r="K236" s="15">
        <f>'[8]2025'!J236</f>
        <v>0</v>
      </c>
      <c r="L236" s="15">
        <f>'[8]2025'!K236</f>
        <v>0</v>
      </c>
      <c r="M236" s="15">
        <f>'[8]2025'!L236</f>
        <v>0</v>
      </c>
      <c r="N236" s="16" t="str">
        <f t="shared" si="12"/>
        <v/>
      </c>
      <c r="O236" s="17" t="str">
        <f t="shared" si="13"/>
        <v/>
      </c>
      <c r="P236" s="17" t="str">
        <f t="shared" si="13"/>
        <v/>
      </c>
      <c r="Q236" s="18" t="str">
        <f t="shared" si="14"/>
        <v/>
      </c>
      <c r="R236" s="18" t="e">
        <f t="shared" si="15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19">
        <f>CHAMNORD!B237</f>
        <v>46254</v>
      </c>
      <c r="C237" s="75" t="str">
        <f>IF(H237=0,"",'[8]2025-2026'!C236)</f>
        <v/>
      </c>
      <c r="D237" s="68" t="str">
        <f>'[8]2025'!C237</f>
        <v/>
      </c>
      <c r="E237" s="68" t="str">
        <f>'[8]2025'!D237</f>
        <v/>
      </c>
      <c r="F237" s="20" t="str">
        <f>'[8]2025'!E237</f>
        <v/>
      </c>
      <c r="G237" s="73" t="str">
        <f>'[8]2025'!F237</f>
        <v/>
      </c>
      <c r="H237" s="42">
        <f>'[8]2025'!G237</f>
        <v>0</v>
      </c>
      <c r="I237" s="13">
        <f>'[8]2025'!H237</f>
        <v>0</v>
      </c>
      <c r="J237" s="14">
        <f>'[8]2025'!I237</f>
        <v>0</v>
      </c>
      <c r="K237" s="15">
        <f>'[8]2025'!J237</f>
        <v>0</v>
      </c>
      <c r="L237" s="15">
        <f>'[8]2025'!K237</f>
        <v>0</v>
      </c>
      <c r="M237" s="15">
        <f>'[8]2025'!L237</f>
        <v>0</v>
      </c>
      <c r="N237" s="16" t="str">
        <f t="shared" si="12"/>
        <v/>
      </c>
      <c r="O237" s="17" t="str">
        <f t="shared" si="13"/>
        <v/>
      </c>
      <c r="P237" s="17" t="str">
        <f t="shared" si="13"/>
        <v/>
      </c>
      <c r="Q237" s="18" t="str">
        <f t="shared" si="14"/>
        <v/>
      </c>
      <c r="R237" s="18" t="e">
        <f t="shared" si="15"/>
        <v>#DIV/0!</v>
      </c>
      <c r="S237" s="34"/>
      <c r="T237" s="29" t="s">
        <v>8</v>
      </c>
      <c r="U237" s="1738"/>
    </row>
    <row r="238" spans="1:21">
      <c r="A238" s="10" t="s">
        <v>14</v>
      </c>
      <c r="B238" s="19">
        <f>CHAMNORD!B238</f>
        <v>46255</v>
      </c>
      <c r="C238" s="75" t="str">
        <f>IF(H238=0,"",'[8]2025-2026'!C237)</f>
        <v/>
      </c>
      <c r="D238" s="68" t="str">
        <f>'[8]2025'!C238</f>
        <v/>
      </c>
      <c r="E238" s="68" t="str">
        <f>'[8]2025'!D238</f>
        <v/>
      </c>
      <c r="F238" s="20" t="str">
        <f>'[8]2025'!E238</f>
        <v/>
      </c>
      <c r="G238" s="73" t="str">
        <f>'[8]2025'!F238</f>
        <v/>
      </c>
      <c r="H238" s="42">
        <f>'[8]2025'!G238</f>
        <v>0</v>
      </c>
      <c r="I238" s="13">
        <f>'[8]2025'!H238</f>
        <v>0</v>
      </c>
      <c r="J238" s="14">
        <f>'[8]2025'!I238</f>
        <v>0</v>
      </c>
      <c r="K238" s="15">
        <f>'[8]2025'!J238</f>
        <v>0</v>
      </c>
      <c r="L238" s="15">
        <f>'[8]2025'!K238</f>
        <v>0</v>
      </c>
      <c r="M238" s="15">
        <f>'[8]2025'!L238</f>
        <v>0</v>
      </c>
      <c r="N238" s="16" t="str">
        <f t="shared" si="12"/>
        <v/>
      </c>
      <c r="O238" s="17" t="str">
        <f t="shared" si="13"/>
        <v/>
      </c>
      <c r="P238" s="17" t="str">
        <f t="shared" si="13"/>
        <v/>
      </c>
      <c r="Q238" s="18" t="str">
        <f t="shared" si="14"/>
        <v/>
      </c>
      <c r="R238" s="18" t="e">
        <f t="shared" si="15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19">
        <f>CHAMNORD!B239</f>
        <v>46256</v>
      </c>
      <c r="C239" s="75" t="str">
        <f>IF(H239=0,"",'[8]2025-2026'!C238)</f>
        <v/>
      </c>
      <c r="D239" s="68" t="str">
        <f>'[8]2025'!C239</f>
        <v/>
      </c>
      <c r="E239" s="68" t="str">
        <f>'[8]2025'!D239</f>
        <v/>
      </c>
      <c r="F239" s="20" t="str">
        <f>'[8]2025'!E239</f>
        <v/>
      </c>
      <c r="G239" s="73" t="str">
        <f>'[8]2025'!F239</f>
        <v/>
      </c>
      <c r="H239" s="42">
        <f>'[8]2025'!G239</f>
        <v>0</v>
      </c>
      <c r="I239" s="13">
        <f>'[8]2025'!H239</f>
        <v>0</v>
      </c>
      <c r="J239" s="14">
        <f>'[8]2025'!I239</f>
        <v>0</v>
      </c>
      <c r="K239" s="15">
        <f>'[8]2025'!J239</f>
        <v>0</v>
      </c>
      <c r="L239" s="15">
        <f>'[8]2025'!K239</f>
        <v>0</v>
      </c>
      <c r="M239" s="15">
        <f>'[8]2025'!L239</f>
        <v>0</v>
      </c>
      <c r="N239" s="16" t="str">
        <f t="shared" si="12"/>
        <v/>
      </c>
      <c r="O239" s="17" t="str">
        <f t="shared" si="13"/>
        <v/>
      </c>
      <c r="P239" s="17" t="str">
        <f t="shared" si="13"/>
        <v/>
      </c>
      <c r="Q239" s="18" t="str">
        <f t="shared" si="14"/>
        <v/>
      </c>
      <c r="R239" s="18" t="e">
        <f t="shared" si="15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19">
        <f>CHAMNORD!B240</f>
        <v>46257</v>
      </c>
      <c r="C240" s="75" t="str">
        <f>IF(H240=0,"",'[8]2025-2026'!C239)</f>
        <v/>
      </c>
      <c r="D240" s="68" t="str">
        <f>'[8]2025'!C240</f>
        <v/>
      </c>
      <c r="E240" s="68" t="str">
        <f>'[8]2025'!D240</f>
        <v/>
      </c>
      <c r="F240" s="20" t="str">
        <f>'[8]2025'!E240</f>
        <v/>
      </c>
      <c r="G240" s="73" t="str">
        <f>'[8]2025'!F240</f>
        <v/>
      </c>
      <c r="H240" s="42">
        <f>'[8]2025'!G240</f>
        <v>0</v>
      </c>
      <c r="I240" s="13">
        <f>'[8]2025'!H240</f>
        <v>0</v>
      </c>
      <c r="J240" s="14">
        <f>'[8]2025'!I240</f>
        <v>0</v>
      </c>
      <c r="K240" s="15">
        <f>'[8]2025'!J240</f>
        <v>0</v>
      </c>
      <c r="L240" s="15">
        <f>'[8]2025'!K240</f>
        <v>0</v>
      </c>
      <c r="M240" s="15">
        <f>'[8]2025'!L240</f>
        <v>0</v>
      </c>
      <c r="N240" s="16" t="str">
        <f t="shared" si="12"/>
        <v/>
      </c>
      <c r="O240" s="17" t="str">
        <f t="shared" si="13"/>
        <v/>
      </c>
      <c r="P240" s="17" t="str">
        <f t="shared" si="13"/>
        <v/>
      </c>
      <c r="Q240" s="18" t="str">
        <f t="shared" si="14"/>
        <v/>
      </c>
      <c r="R240" s="18" t="e">
        <f t="shared" si="15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19">
        <f>CHAMNORD!B241</f>
        <v>46258</v>
      </c>
      <c r="C241" s="75" t="str">
        <f>IF(H241=0,"",'[8]2025-2026'!C240)</f>
        <v/>
      </c>
      <c r="D241" s="68" t="str">
        <f>'[8]2025'!C241</f>
        <v/>
      </c>
      <c r="E241" s="68" t="str">
        <f>'[8]2025'!D241</f>
        <v/>
      </c>
      <c r="F241" s="20" t="str">
        <f>'[8]2025'!E241</f>
        <v/>
      </c>
      <c r="G241" s="73" t="str">
        <f>'[8]2025'!F241</f>
        <v/>
      </c>
      <c r="H241" s="42">
        <f>'[8]2025'!G241</f>
        <v>0</v>
      </c>
      <c r="I241" s="13">
        <f>'[8]2025'!H241</f>
        <v>0</v>
      </c>
      <c r="J241" s="14">
        <f>'[8]2025'!I241</f>
        <v>0</v>
      </c>
      <c r="K241" s="15">
        <f>'[8]2025'!J241</f>
        <v>0</v>
      </c>
      <c r="L241" s="15">
        <f>'[8]2025'!K241</f>
        <v>0</v>
      </c>
      <c r="M241" s="15">
        <f>'[8]2025'!L241</f>
        <v>0</v>
      </c>
      <c r="N241" s="16" t="str">
        <f t="shared" si="12"/>
        <v/>
      </c>
      <c r="O241" s="17" t="str">
        <f t="shared" si="13"/>
        <v/>
      </c>
      <c r="P241" s="17" t="str">
        <f t="shared" si="13"/>
        <v/>
      </c>
      <c r="Q241" s="18" t="str">
        <f t="shared" si="14"/>
        <v/>
      </c>
      <c r="R241" s="18" t="e">
        <f t="shared" si="15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19">
        <f>CHAMNORD!B242</f>
        <v>46259</v>
      </c>
      <c r="C242" s="75" t="str">
        <f>IF(H242=0,"",'[8]2025-2026'!C241)</f>
        <v/>
      </c>
      <c r="D242" s="68" t="str">
        <f>'[8]2025'!C242</f>
        <v/>
      </c>
      <c r="E242" s="68" t="str">
        <f>'[8]2025'!D242</f>
        <v/>
      </c>
      <c r="F242" s="20" t="str">
        <f>'[8]2025'!E242</f>
        <v/>
      </c>
      <c r="G242" s="73" t="str">
        <f>'[8]2025'!F242</f>
        <v/>
      </c>
      <c r="H242" s="42">
        <f>'[8]2025'!G242</f>
        <v>0</v>
      </c>
      <c r="I242" s="13">
        <f>'[8]2025'!H242</f>
        <v>0</v>
      </c>
      <c r="J242" s="14">
        <f>'[8]2025'!I242</f>
        <v>0</v>
      </c>
      <c r="K242" s="15">
        <f>'[8]2025'!J242</f>
        <v>0</v>
      </c>
      <c r="L242" s="15">
        <f>'[8]2025'!K242</f>
        <v>0</v>
      </c>
      <c r="M242" s="15">
        <f>'[8]2025'!L242</f>
        <v>0</v>
      </c>
      <c r="N242" s="16" t="str">
        <f t="shared" si="12"/>
        <v/>
      </c>
      <c r="O242" s="17" t="str">
        <f t="shared" si="13"/>
        <v/>
      </c>
      <c r="P242" s="17" t="str">
        <f t="shared" si="13"/>
        <v/>
      </c>
      <c r="Q242" s="18" t="str">
        <f t="shared" si="14"/>
        <v/>
      </c>
      <c r="R242" s="18" t="e">
        <f t="shared" si="15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19">
        <f>CHAMNORD!B243</f>
        <v>46260</v>
      </c>
      <c r="C243" s="75" t="str">
        <f>IF(H243=0,"",'[8]2025-2026'!C242)</f>
        <v/>
      </c>
      <c r="D243" s="68" t="str">
        <f>'[8]2025'!C243</f>
        <v/>
      </c>
      <c r="E243" s="68" t="str">
        <f>'[8]2025'!D243</f>
        <v/>
      </c>
      <c r="F243" s="20" t="str">
        <f>'[8]2025'!E243</f>
        <v/>
      </c>
      <c r="G243" s="73" t="str">
        <f>'[8]2025'!F243</f>
        <v/>
      </c>
      <c r="H243" s="42">
        <f>'[8]2025'!G243</f>
        <v>0</v>
      </c>
      <c r="I243" s="13">
        <f>'[8]2025'!H243</f>
        <v>0</v>
      </c>
      <c r="J243" s="14">
        <f>'[8]2025'!I243</f>
        <v>0</v>
      </c>
      <c r="K243" s="15">
        <f>'[8]2025'!J243</f>
        <v>0</v>
      </c>
      <c r="L243" s="15">
        <f>'[8]2025'!K243</f>
        <v>0</v>
      </c>
      <c r="M243" s="15">
        <f>'[8]2025'!L243</f>
        <v>0</v>
      </c>
      <c r="N243" s="16" t="str">
        <f t="shared" si="12"/>
        <v/>
      </c>
      <c r="O243" s="17" t="str">
        <f t="shared" si="13"/>
        <v/>
      </c>
      <c r="P243" s="17" t="str">
        <f t="shared" si="13"/>
        <v/>
      </c>
      <c r="Q243" s="18" t="str">
        <f t="shared" si="14"/>
        <v/>
      </c>
      <c r="R243" s="18" t="e">
        <f t="shared" si="15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19">
        <f>CHAMNORD!B244</f>
        <v>46261</v>
      </c>
      <c r="C244" s="75" t="str">
        <f>IF(H244=0,"",'[8]2025-2026'!C243)</f>
        <v/>
      </c>
      <c r="D244" s="68" t="str">
        <f>'[8]2025'!C244</f>
        <v/>
      </c>
      <c r="E244" s="68" t="str">
        <f>'[8]2025'!D244</f>
        <v/>
      </c>
      <c r="F244" s="20" t="str">
        <f>'[8]2025'!E244</f>
        <v/>
      </c>
      <c r="G244" s="73" t="str">
        <f>'[8]2025'!F244</f>
        <v/>
      </c>
      <c r="H244" s="42">
        <f>'[8]2025'!G244</f>
        <v>0</v>
      </c>
      <c r="I244" s="13">
        <f>'[8]2025'!H244</f>
        <v>0</v>
      </c>
      <c r="J244" s="14">
        <f>'[8]2025'!I244</f>
        <v>0</v>
      </c>
      <c r="K244" s="15">
        <f>'[8]2025'!J244</f>
        <v>0</v>
      </c>
      <c r="L244" s="15">
        <f>'[8]2025'!K244</f>
        <v>0</v>
      </c>
      <c r="M244" s="15">
        <f>'[8]2025'!L244</f>
        <v>0</v>
      </c>
      <c r="N244" s="16" t="str">
        <f t="shared" si="12"/>
        <v/>
      </c>
      <c r="O244" s="17" t="str">
        <f t="shared" si="13"/>
        <v/>
      </c>
      <c r="P244" s="17" t="str">
        <f t="shared" si="13"/>
        <v/>
      </c>
      <c r="Q244" s="18" t="str">
        <f t="shared" si="14"/>
        <v/>
      </c>
      <c r="R244" s="18" t="e">
        <f t="shared" si="15"/>
        <v>#DIV/0!</v>
      </c>
      <c r="S244" s="34"/>
      <c r="T244" s="29" t="s">
        <v>8</v>
      </c>
      <c r="U244" s="1738"/>
    </row>
    <row r="245" spans="1:21">
      <c r="A245" s="10" t="s">
        <v>14</v>
      </c>
      <c r="B245" s="19">
        <f>CHAMNORD!B245</f>
        <v>46262</v>
      </c>
      <c r="C245" s="75" t="str">
        <f>IF(H245=0,"",'[8]2025-2026'!C244)</f>
        <v/>
      </c>
      <c r="D245" s="68" t="str">
        <f>'[8]2025'!C245</f>
        <v/>
      </c>
      <c r="E245" s="68" t="str">
        <f>'[8]2025'!D245</f>
        <v/>
      </c>
      <c r="F245" s="20" t="str">
        <f>'[8]2025'!E245</f>
        <v/>
      </c>
      <c r="G245" s="73" t="str">
        <f>'[8]2025'!F245</f>
        <v/>
      </c>
      <c r="H245" s="42">
        <f>'[8]2025'!G245</f>
        <v>0</v>
      </c>
      <c r="I245" s="13">
        <f>'[8]2025'!H245</f>
        <v>0</v>
      </c>
      <c r="J245" s="14">
        <f>'[8]2025'!I245</f>
        <v>0</v>
      </c>
      <c r="K245" s="15">
        <f>'[8]2025'!J245</f>
        <v>0</v>
      </c>
      <c r="L245" s="15">
        <f>'[8]2025'!K245</f>
        <v>0</v>
      </c>
      <c r="M245" s="15">
        <f>'[8]2025'!L245</f>
        <v>0</v>
      </c>
      <c r="N245" s="16" t="str">
        <f t="shared" si="12"/>
        <v/>
      </c>
      <c r="O245" s="17" t="str">
        <f t="shared" si="13"/>
        <v/>
      </c>
      <c r="P245" s="17" t="str">
        <f t="shared" si="13"/>
        <v/>
      </c>
      <c r="Q245" s="18" t="str">
        <f t="shared" si="14"/>
        <v/>
      </c>
      <c r="R245" s="18" t="e">
        <f t="shared" si="15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19">
        <f>CHAMNORD!B246</f>
        <v>46263</v>
      </c>
      <c r="C246" s="75" t="str">
        <f>IF(H246=0,"",'[8]2025-2026'!C245)</f>
        <v/>
      </c>
      <c r="D246" s="68" t="str">
        <f>'[8]2025'!C246</f>
        <v/>
      </c>
      <c r="E246" s="68" t="str">
        <f>'[8]2025'!D246</f>
        <v/>
      </c>
      <c r="F246" s="20" t="str">
        <f>'[8]2025'!E246</f>
        <v/>
      </c>
      <c r="G246" s="73" t="str">
        <f>'[8]2025'!F246</f>
        <v/>
      </c>
      <c r="H246" s="42">
        <f>'[8]2025'!G246</f>
        <v>0</v>
      </c>
      <c r="I246" s="13">
        <f>'[8]2025'!H246</f>
        <v>0</v>
      </c>
      <c r="J246" s="14">
        <f>'[8]2025'!I246</f>
        <v>0</v>
      </c>
      <c r="K246" s="15">
        <f>'[8]2025'!J246</f>
        <v>0</v>
      </c>
      <c r="L246" s="15">
        <f>'[8]2025'!K246</f>
        <v>0</v>
      </c>
      <c r="M246" s="15">
        <f>'[8]2025'!L246</f>
        <v>0</v>
      </c>
      <c r="N246" s="16" t="str">
        <f t="shared" si="12"/>
        <v/>
      </c>
      <c r="O246" s="17" t="str">
        <f t="shared" si="13"/>
        <v/>
      </c>
      <c r="P246" s="17" t="str">
        <f t="shared" si="13"/>
        <v/>
      </c>
      <c r="Q246" s="18" t="str">
        <f t="shared" si="14"/>
        <v/>
      </c>
      <c r="R246" s="18" t="e">
        <f t="shared" si="15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19">
        <f>CHAMNORD!B247</f>
        <v>46264</v>
      </c>
      <c r="C247" s="75" t="str">
        <f>IF(H247=0,"",'[8]2025-2026'!C246)</f>
        <v/>
      </c>
      <c r="D247" s="68" t="str">
        <f>'[8]2025'!C247</f>
        <v/>
      </c>
      <c r="E247" s="68" t="str">
        <f>'[8]2025'!D247</f>
        <v/>
      </c>
      <c r="F247" s="20" t="str">
        <f>'[8]2025'!E247</f>
        <v/>
      </c>
      <c r="G247" s="73" t="str">
        <f>'[8]2025'!F247</f>
        <v/>
      </c>
      <c r="H247" s="42">
        <f>'[8]2025'!G247</f>
        <v>0</v>
      </c>
      <c r="I247" s="13">
        <f>'[8]2025'!H247</f>
        <v>0</v>
      </c>
      <c r="J247" s="14">
        <f>'[8]2025'!I247</f>
        <v>0</v>
      </c>
      <c r="K247" s="15">
        <f>'[8]2025'!J247</f>
        <v>0</v>
      </c>
      <c r="L247" s="15">
        <f>'[8]2025'!K247</f>
        <v>0</v>
      </c>
      <c r="M247" s="15">
        <f>'[8]2025'!L247</f>
        <v>0</v>
      </c>
      <c r="N247" s="16" t="str">
        <f t="shared" si="12"/>
        <v/>
      </c>
      <c r="O247" s="17" t="str">
        <f t="shared" si="13"/>
        <v/>
      </c>
      <c r="P247" s="17" t="str">
        <f t="shared" si="13"/>
        <v/>
      </c>
      <c r="Q247" s="18" t="str">
        <f t="shared" si="14"/>
        <v/>
      </c>
      <c r="R247" s="18" t="e">
        <f t="shared" si="15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19">
        <f>CHAMNORD!B248</f>
        <v>46265</v>
      </c>
      <c r="C248" s="75" t="str">
        <f>IF(H248=0,"",'[8]2025-2026'!C247)</f>
        <v/>
      </c>
      <c r="D248" s="68" t="str">
        <f>'[8]2025'!C248</f>
        <v/>
      </c>
      <c r="E248" s="68" t="str">
        <f>'[8]2025'!D248</f>
        <v/>
      </c>
      <c r="F248" s="20" t="str">
        <f>'[8]2025'!E248</f>
        <v/>
      </c>
      <c r="G248" s="73" t="str">
        <f>'[8]2025'!F248</f>
        <v/>
      </c>
      <c r="H248" s="42">
        <f>'[8]2025'!G248</f>
        <v>0</v>
      </c>
      <c r="I248" s="13">
        <f>'[8]2025'!H248</f>
        <v>0</v>
      </c>
      <c r="J248" s="14">
        <f>'[8]2025'!I248</f>
        <v>0</v>
      </c>
      <c r="K248" s="15">
        <f>'[8]2025'!J248</f>
        <v>0</v>
      </c>
      <c r="L248" s="15">
        <f>'[8]2025'!K248</f>
        <v>0</v>
      </c>
      <c r="M248" s="15">
        <f>'[8]2025'!L248</f>
        <v>0</v>
      </c>
      <c r="N248" s="16" t="str">
        <f t="shared" si="12"/>
        <v/>
      </c>
      <c r="O248" s="17" t="str">
        <f t="shared" si="13"/>
        <v/>
      </c>
      <c r="P248" s="17" t="str">
        <f t="shared" si="13"/>
        <v/>
      </c>
      <c r="Q248" s="18" t="str">
        <f t="shared" si="14"/>
        <v/>
      </c>
      <c r="R248" s="18" t="e">
        <f t="shared" si="15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19">
        <f>CHAMNORD!B249</f>
        <v>46266</v>
      </c>
      <c r="C249" s="75" t="str">
        <f>IF(H249=0,"",'[8]2025-2026'!C248)</f>
        <v/>
      </c>
      <c r="D249" s="68" t="str">
        <f>'[8]2025'!C249</f>
        <v/>
      </c>
      <c r="E249" s="68" t="str">
        <f>'[8]2025'!D249</f>
        <v/>
      </c>
      <c r="F249" s="20" t="str">
        <f>'[8]2025'!E249</f>
        <v/>
      </c>
      <c r="G249" s="73" t="str">
        <f>'[8]2025'!F249</f>
        <v/>
      </c>
      <c r="H249" s="42">
        <f>'[8]2025'!G249</f>
        <v>0</v>
      </c>
      <c r="I249" s="13">
        <f>'[8]2025'!H249</f>
        <v>0</v>
      </c>
      <c r="J249" s="14">
        <f>'[8]2025'!I249</f>
        <v>0</v>
      </c>
      <c r="K249" s="15">
        <f>'[8]2025'!J249</f>
        <v>0</v>
      </c>
      <c r="L249" s="15">
        <f>'[8]2025'!K249</f>
        <v>0</v>
      </c>
      <c r="M249" s="15">
        <f>'[8]2025'!L249</f>
        <v>0</v>
      </c>
      <c r="N249" s="16" t="str">
        <f t="shared" si="12"/>
        <v/>
      </c>
      <c r="O249" s="17" t="str">
        <f t="shared" si="13"/>
        <v/>
      </c>
      <c r="P249" s="17" t="str">
        <f t="shared" si="13"/>
        <v/>
      </c>
      <c r="Q249" s="18" t="str">
        <f t="shared" si="14"/>
        <v/>
      </c>
      <c r="R249" s="18" t="e">
        <f t="shared" si="15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19">
        <f>CHAMNORD!B250</f>
        <v>46267</v>
      </c>
      <c r="C250" s="75" t="str">
        <f>IF(H250=0,"",'[8]2025-2026'!C249)</f>
        <v/>
      </c>
      <c r="D250" s="68" t="str">
        <f>'[8]2025'!C250</f>
        <v/>
      </c>
      <c r="E250" s="68" t="str">
        <f>'[8]2025'!D250</f>
        <v/>
      </c>
      <c r="F250" s="20" t="str">
        <f>'[8]2025'!E250</f>
        <v/>
      </c>
      <c r="G250" s="73" t="str">
        <f>'[8]2025'!F250</f>
        <v/>
      </c>
      <c r="H250" s="42">
        <f>'[8]2025'!G250</f>
        <v>0</v>
      </c>
      <c r="I250" s="13">
        <f>'[8]2025'!H250</f>
        <v>0</v>
      </c>
      <c r="J250" s="14">
        <f>'[8]2025'!I250</f>
        <v>0</v>
      </c>
      <c r="K250" s="15">
        <f>'[8]2025'!J250</f>
        <v>0</v>
      </c>
      <c r="L250" s="15">
        <f>'[8]2025'!K250</f>
        <v>0</v>
      </c>
      <c r="M250" s="15">
        <f>'[8]2025'!L250</f>
        <v>0</v>
      </c>
      <c r="N250" s="16" t="str">
        <f t="shared" si="12"/>
        <v/>
      </c>
      <c r="O250" s="17" t="str">
        <f t="shared" si="13"/>
        <v/>
      </c>
      <c r="P250" s="17" t="str">
        <f t="shared" si="13"/>
        <v/>
      </c>
      <c r="Q250" s="18" t="str">
        <f t="shared" si="14"/>
        <v/>
      </c>
      <c r="R250" s="18" t="e">
        <f t="shared" si="15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19">
        <f>CHAMNORD!B251</f>
        <v>46268</v>
      </c>
      <c r="C251" s="75" t="str">
        <f>IF(H251=0,"",'[8]2025-2026'!C250)</f>
        <v/>
      </c>
      <c r="D251" s="68" t="str">
        <f>'[8]2025'!C251</f>
        <v/>
      </c>
      <c r="E251" s="68" t="str">
        <f>'[8]2025'!D251</f>
        <v/>
      </c>
      <c r="F251" s="20" t="str">
        <f>'[8]2025'!E251</f>
        <v/>
      </c>
      <c r="G251" s="73" t="str">
        <f>'[8]2025'!F251</f>
        <v/>
      </c>
      <c r="H251" s="42">
        <f>'[8]2025'!G251</f>
        <v>0</v>
      </c>
      <c r="I251" s="13">
        <f>'[8]2025'!H251</f>
        <v>0</v>
      </c>
      <c r="J251" s="14">
        <f>'[8]2025'!I251</f>
        <v>0</v>
      </c>
      <c r="K251" s="15">
        <f>'[8]2025'!J251</f>
        <v>0</v>
      </c>
      <c r="L251" s="15">
        <f>'[8]2025'!K251</f>
        <v>0</v>
      </c>
      <c r="M251" s="15">
        <f>'[8]2025'!L251</f>
        <v>0</v>
      </c>
      <c r="N251" s="16" t="str">
        <f t="shared" si="12"/>
        <v/>
      </c>
      <c r="O251" s="17" t="str">
        <f t="shared" si="13"/>
        <v/>
      </c>
      <c r="P251" s="17" t="str">
        <f t="shared" si="13"/>
        <v/>
      </c>
      <c r="Q251" s="18" t="str">
        <f t="shared" si="14"/>
        <v/>
      </c>
      <c r="R251" s="18" t="e">
        <f t="shared" si="15"/>
        <v>#DIV/0!</v>
      </c>
      <c r="S251" s="34"/>
      <c r="T251" s="29" t="s">
        <v>8</v>
      </c>
      <c r="U251" s="1738"/>
    </row>
    <row r="252" spans="1:21">
      <c r="A252" s="10" t="s">
        <v>14</v>
      </c>
      <c r="B252" s="19">
        <f>CHAMNORD!B252</f>
        <v>46269</v>
      </c>
      <c r="C252" s="75" t="str">
        <f>IF(H252=0,"",'[8]2025-2026'!C251)</f>
        <v/>
      </c>
      <c r="D252" s="68" t="str">
        <f>'[8]2025'!C252</f>
        <v/>
      </c>
      <c r="E252" s="68" t="str">
        <f>'[8]2025'!D252</f>
        <v/>
      </c>
      <c r="F252" s="20" t="str">
        <f>'[8]2025'!E252</f>
        <v/>
      </c>
      <c r="G252" s="73" t="str">
        <f>'[8]2025'!F252</f>
        <v/>
      </c>
      <c r="H252" s="42">
        <f>'[8]2025'!G252</f>
        <v>0</v>
      </c>
      <c r="I252" s="13">
        <f>'[8]2025'!H252</f>
        <v>0</v>
      </c>
      <c r="J252" s="14">
        <f>'[8]2025'!I252</f>
        <v>0</v>
      </c>
      <c r="K252" s="15">
        <f>'[8]2025'!J252</f>
        <v>0</v>
      </c>
      <c r="L252" s="15">
        <f>'[8]2025'!K252</f>
        <v>0</v>
      </c>
      <c r="M252" s="15">
        <f>'[8]2025'!L252</f>
        <v>0</v>
      </c>
      <c r="N252" s="16" t="str">
        <f t="shared" si="12"/>
        <v/>
      </c>
      <c r="O252" s="17" t="str">
        <f t="shared" si="13"/>
        <v/>
      </c>
      <c r="P252" s="17" t="str">
        <f t="shared" si="13"/>
        <v/>
      </c>
      <c r="Q252" s="18" t="str">
        <f t="shared" si="14"/>
        <v/>
      </c>
      <c r="R252" s="18" t="e">
        <f t="shared" si="15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19">
        <f>CHAMNORD!B253</f>
        <v>46270</v>
      </c>
      <c r="C253" s="75" t="str">
        <f>IF(H253=0,"",'[8]2025-2026'!C252)</f>
        <v/>
      </c>
      <c r="D253" s="68" t="str">
        <f>'[8]2025'!C253</f>
        <v/>
      </c>
      <c r="E253" s="68" t="str">
        <f>'[8]2025'!D253</f>
        <v/>
      </c>
      <c r="F253" s="20" t="str">
        <f>'[8]2025'!E253</f>
        <v/>
      </c>
      <c r="G253" s="73" t="str">
        <f>'[8]2025'!F253</f>
        <v/>
      </c>
      <c r="H253" s="42">
        <f>'[8]2025'!G253</f>
        <v>0</v>
      </c>
      <c r="I253" s="13">
        <f>'[8]2025'!H253</f>
        <v>0</v>
      </c>
      <c r="J253" s="14">
        <f>'[8]2025'!I253</f>
        <v>0</v>
      </c>
      <c r="K253" s="15">
        <f>'[8]2025'!J253</f>
        <v>0</v>
      </c>
      <c r="L253" s="15">
        <f>'[8]2025'!K253</f>
        <v>0</v>
      </c>
      <c r="M253" s="15">
        <f>'[8]2025'!L253</f>
        <v>0</v>
      </c>
      <c r="N253" s="16" t="str">
        <f t="shared" si="12"/>
        <v/>
      </c>
      <c r="O253" s="17" t="str">
        <f t="shared" si="13"/>
        <v/>
      </c>
      <c r="P253" s="17" t="str">
        <f t="shared" si="13"/>
        <v/>
      </c>
      <c r="Q253" s="18" t="str">
        <f t="shared" si="14"/>
        <v/>
      </c>
      <c r="R253" s="18" t="e">
        <f t="shared" si="15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19">
        <f>CHAMNORD!B254</f>
        <v>46271</v>
      </c>
      <c r="C254" s="75" t="str">
        <f>IF(H254=0,"",'[8]2025-2026'!C253)</f>
        <v/>
      </c>
      <c r="D254" s="68" t="str">
        <f>'[8]2025'!C254</f>
        <v/>
      </c>
      <c r="E254" s="68" t="str">
        <f>'[8]2025'!D254</f>
        <v/>
      </c>
      <c r="F254" s="20" t="str">
        <f>'[8]2025'!E254</f>
        <v/>
      </c>
      <c r="G254" s="73" t="str">
        <f>'[8]2025'!F254</f>
        <v/>
      </c>
      <c r="H254" s="42">
        <f>'[8]2025'!G254</f>
        <v>0</v>
      </c>
      <c r="I254" s="13">
        <f>'[8]2025'!H254</f>
        <v>0</v>
      </c>
      <c r="J254" s="14">
        <f>'[8]2025'!I254</f>
        <v>0</v>
      </c>
      <c r="K254" s="15">
        <f>'[8]2025'!J254</f>
        <v>0</v>
      </c>
      <c r="L254" s="15">
        <f>'[8]2025'!K254</f>
        <v>0</v>
      </c>
      <c r="M254" s="15">
        <f>'[8]2025'!L254</f>
        <v>0</v>
      </c>
      <c r="N254" s="16" t="str">
        <f t="shared" si="12"/>
        <v/>
      </c>
      <c r="O254" s="17" t="str">
        <f t="shared" si="13"/>
        <v/>
      </c>
      <c r="P254" s="17" t="str">
        <f t="shared" si="13"/>
        <v/>
      </c>
      <c r="Q254" s="18" t="str">
        <f t="shared" si="14"/>
        <v/>
      </c>
      <c r="R254" s="18" t="e">
        <f t="shared" si="15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19">
        <f>CHAMNORD!B255</f>
        <v>46272</v>
      </c>
      <c r="C255" s="75" t="str">
        <f>IF(H255=0,"",'[8]2025-2026'!C254)</f>
        <v/>
      </c>
      <c r="D255" s="68" t="str">
        <f>'[8]2025'!C255</f>
        <v/>
      </c>
      <c r="E255" s="68" t="str">
        <f>'[8]2025'!D255</f>
        <v/>
      </c>
      <c r="F255" s="20" t="str">
        <f>'[8]2025'!E255</f>
        <v/>
      </c>
      <c r="G255" s="73" t="str">
        <f>'[8]2025'!F255</f>
        <v/>
      </c>
      <c r="H255" s="42">
        <f>'[8]2025'!G255</f>
        <v>0</v>
      </c>
      <c r="I255" s="13">
        <f>'[8]2025'!H255</f>
        <v>0</v>
      </c>
      <c r="J255" s="14">
        <f>'[8]2025'!I255</f>
        <v>0</v>
      </c>
      <c r="K255" s="15">
        <f>'[8]2025'!J255</f>
        <v>0</v>
      </c>
      <c r="L255" s="15">
        <f>'[8]2025'!K255</f>
        <v>0</v>
      </c>
      <c r="M255" s="15">
        <f>'[8]2025'!L255</f>
        <v>0</v>
      </c>
      <c r="N255" s="16" t="str">
        <f t="shared" si="12"/>
        <v/>
      </c>
      <c r="O255" s="17" t="str">
        <f t="shared" si="13"/>
        <v/>
      </c>
      <c r="P255" s="17" t="str">
        <f t="shared" si="13"/>
        <v/>
      </c>
      <c r="Q255" s="18" t="str">
        <f t="shared" si="14"/>
        <v/>
      </c>
      <c r="R255" s="18" t="e">
        <f t="shared" si="15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19">
        <f>CHAMNORD!B256</f>
        <v>46273</v>
      </c>
      <c r="C256" s="75" t="str">
        <f>IF(H256=0,"",'[8]2025-2026'!C255)</f>
        <v/>
      </c>
      <c r="D256" s="68" t="str">
        <f>'[8]2025'!C256</f>
        <v/>
      </c>
      <c r="E256" s="68" t="str">
        <f>'[8]2025'!D256</f>
        <v/>
      </c>
      <c r="F256" s="20" t="str">
        <f>'[8]2025'!E256</f>
        <v/>
      </c>
      <c r="G256" s="73" t="str">
        <f>'[8]2025'!F256</f>
        <v/>
      </c>
      <c r="H256" s="42">
        <f>'[8]2025'!G256</f>
        <v>0</v>
      </c>
      <c r="I256" s="13">
        <f>'[8]2025'!H256</f>
        <v>0</v>
      </c>
      <c r="J256" s="14">
        <f>'[8]2025'!I256</f>
        <v>0</v>
      </c>
      <c r="K256" s="15">
        <f>'[8]2025'!J256</f>
        <v>0</v>
      </c>
      <c r="L256" s="15">
        <f>'[8]2025'!K256</f>
        <v>0</v>
      </c>
      <c r="M256" s="15">
        <f>'[8]2025'!L256</f>
        <v>0</v>
      </c>
      <c r="N256" s="16" t="str">
        <f t="shared" si="12"/>
        <v/>
      </c>
      <c r="O256" s="17" t="str">
        <f t="shared" si="13"/>
        <v/>
      </c>
      <c r="P256" s="17" t="str">
        <f t="shared" si="13"/>
        <v/>
      </c>
      <c r="Q256" s="18" t="str">
        <f t="shared" si="14"/>
        <v/>
      </c>
      <c r="R256" s="18" t="e">
        <f t="shared" si="15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19">
        <f>CHAMNORD!B257</f>
        <v>46274</v>
      </c>
      <c r="C257" s="75" t="str">
        <f>IF(H257=0,"",'[8]2025-2026'!C256)</f>
        <v/>
      </c>
      <c r="D257" s="68" t="str">
        <f>'[8]2025'!C257</f>
        <v/>
      </c>
      <c r="E257" s="68" t="str">
        <f>'[8]2025'!D257</f>
        <v/>
      </c>
      <c r="F257" s="20" t="str">
        <f>'[8]2025'!E257</f>
        <v/>
      </c>
      <c r="G257" s="73" t="str">
        <f>'[8]2025'!F257</f>
        <v/>
      </c>
      <c r="H257" s="42">
        <f>'[8]2025'!G257</f>
        <v>0</v>
      </c>
      <c r="I257" s="13">
        <f>'[8]2025'!H257</f>
        <v>0</v>
      </c>
      <c r="J257" s="14">
        <f>'[8]2025'!I257</f>
        <v>0</v>
      </c>
      <c r="K257" s="15">
        <f>'[8]2025'!J257</f>
        <v>0</v>
      </c>
      <c r="L257" s="15">
        <f>'[8]2025'!K257</f>
        <v>0</v>
      </c>
      <c r="M257" s="15">
        <f>'[8]2025'!L257</f>
        <v>0</v>
      </c>
      <c r="N257" s="16" t="str">
        <f t="shared" si="12"/>
        <v/>
      </c>
      <c r="O257" s="17" t="str">
        <f t="shared" si="13"/>
        <v/>
      </c>
      <c r="P257" s="17" t="str">
        <f t="shared" si="13"/>
        <v/>
      </c>
      <c r="Q257" s="18" t="str">
        <f t="shared" si="14"/>
        <v/>
      </c>
      <c r="R257" s="18" t="e">
        <f t="shared" si="15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19">
        <f>CHAMNORD!B258</f>
        <v>46275</v>
      </c>
      <c r="C258" s="75" t="str">
        <f>IF(H258=0,"",'[8]2025-2026'!C257)</f>
        <v/>
      </c>
      <c r="D258" s="68" t="str">
        <f>'[8]2025'!C258</f>
        <v/>
      </c>
      <c r="E258" s="68" t="str">
        <f>'[8]2025'!D258</f>
        <v/>
      </c>
      <c r="F258" s="20" t="str">
        <f>'[8]2025'!E258</f>
        <v/>
      </c>
      <c r="G258" s="73" t="str">
        <f>'[8]2025'!F258</f>
        <v/>
      </c>
      <c r="H258" s="42">
        <f>'[8]2025'!G258</f>
        <v>0</v>
      </c>
      <c r="I258" s="13">
        <f>'[8]2025'!H258</f>
        <v>0</v>
      </c>
      <c r="J258" s="14">
        <f>'[8]2025'!I258</f>
        <v>0</v>
      </c>
      <c r="K258" s="15">
        <f>'[8]2025'!J258</f>
        <v>0</v>
      </c>
      <c r="L258" s="15">
        <f>'[8]2025'!K258</f>
        <v>0</v>
      </c>
      <c r="M258" s="15">
        <f>'[8]2025'!L258</f>
        <v>0</v>
      </c>
      <c r="N258" s="16" t="str">
        <f t="shared" si="12"/>
        <v/>
      </c>
      <c r="O258" s="17" t="str">
        <f t="shared" si="13"/>
        <v/>
      </c>
      <c r="P258" s="17" t="str">
        <f t="shared" si="13"/>
        <v/>
      </c>
      <c r="Q258" s="18" t="str">
        <f t="shared" si="14"/>
        <v/>
      </c>
      <c r="R258" s="18" t="e">
        <f t="shared" si="15"/>
        <v>#DIV/0!</v>
      </c>
      <c r="S258" s="34"/>
      <c r="T258" s="29" t="s">
        <v>8</v>
      </c>
      <c r="U258" s="1738"/>
    </row>
    <row r="259" spans="1:21">
      <c r="A259" s="10" t="s">
        <v>14</v>
      </c>
      <c r="B259" s="19">
        <f>CHAMNORD!B259</f>
        <v>46276</v>
      </c>
      <c r="C259" s="75" t="str">
        <f>IF(H259=0,"",'[8]2025-2026'!C258)</f>
        <v/>
      </c>
      <c r="D259" s="68" t="str">
        <f>'[8]2025'!C259</f>
        <v/>
      </c>
      <c r="E259" s="68" t="str">
        <f>'[8]2025'!D259</f>
        <v/>
      </c>
      <c r="F259" s="20" t="str">
        <f>'[8]2025'!E259</f>
        <v/>
      </c>
      <c r="G259" s="73" t="str">
        <f>'[8]2025'!F259</f>
        <v/>
      </c>
      <c r="H259" s="42">
        <f>'[8]2025'!G259</f>
        <v>0</v>
      </c>
      <c r="I259" s="13">
        <f>'[8]2025'!H259</f>
        <v>0</v>
      </c>
      <c r="J259" s="14">
        <f>'[8]2025'!I259</f>
        <v>0</v>
      </c>
      <c r="K259" s="15">
        <f>'[8]2025'!J259</f>
        <v>0</v>
      </c>
      <c r="L259" s="15">
        <f>'[8]2025'!K259</f>
        <v>0</v>
      </c>
      <c r="M259" s="15">
        <f>'[8]2025'!L259</f>
        <v>0</v>
      </c>
      <c r="N259" s="16" t="str">
        <f t="shared" si="12"/>
        <v/>
      </c>
      <c r="O259" s="17" t="str">
        <f t="shared" si="13"/>
        <v/>
      </c>
      <c r="P259" s="17" t="str">
        <f t="shared" si="13"/>
        <v/>
      </c>
      <c r="Q259" s="18" t="str">
        <f t="shared" si="14"/>
        <v/>
      </c>
      <c r="R259" s="18" t="e">
        <f t="shared" si="15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19">
        <f>CHAMNORD!B260</f>
        <v>46277</v>
      </c>
      <c r="C260" s="75" t="str">
        <f>IF(H260=0,"",'[8]2025-2026'!C259)</f>
        <v/>
      </c>
      <c r="D260" s="68" t="str">
        <f>'[8]2025'!C260</f>
        <v/>
      </c>
      <c r="E260" s="68" t="str">
        <f>'[8]2025'!D260</f>
        <v/>
      </c>
      <c r="F260" s="20" t="str">
        <f>'[8]2025'!E260</f>
        <v/>
      </c>
      <c r="G260" s="73" t="str">
        <f>'[8]2025'!F260</f>
        <v/>
      </c>
      <c r="H260" s="42">
        <f>'[8]2025'!G260</f>
        <v>0</v>
      </c>
      <c r="I260" s="13">
        <f>'[8]2025'!H260</f>
        <v>0</v>
      </c>
      <c r="J260" s="14">
        <f>'[8]2025'!I260</f>
        <v>0</v>
      </c>
      <c r="K260" s="15">
        <f>'[8]2025'!J260</f>
        <v>0</v>
      </c>
      <c r="L260" s="15">
        <f>'[8]2025'!K260</f>
        <v>0</v>
      </c>
      <c r="M260" s="15">
        <f>'[8]2025'!L260</f>
        <v>0</v>
      </c>
      <c r="N260" s="16" t="str">
        <f t="shared" ref="N260:N323" si="16">IF(M260=0,"",M260/I260)</f>
        <v/>
      </c>
      <c r="O260" s="17" t="str">
        <f t="shared" ref="O260:P323" si="17">IF(I260=0,"",(I260-E260)/E260)</f>
        <v/>
      </c>
      <c r="P260" s="17" t="str">
        <f t="shared" si="17"/>
        <v/>
      </c>
      <c r="Q260" s="18" t="str">
        <f t="shared" ref="Q260:Q323" si="18">IF(I260=0,"",I260/K260)</f>
        <v/>
      </c>
      <c r="R260" s="18" t="e">
        <f t="shared" ref="R260:R323" si="19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19">
        <f>CHAMNORD!B261</f>
        <v>46278</v>
      </c>
      <c r="C261" s="75" t="str">
        <f>IF(H261=0,"",'[8]2025-2026'!C260)</f>
        <v/>
      </c>
      <c r="D261" s="68" t="str">
        <f>'[8]2025'!C261</f>
        <v/>
      </c>
      <c r="E261" s="68" t="str">
        <f>'[8]2025'!D261</f>
        <v/>
      </c>
      <c r="F261" s="20" t="str">
        <f>'[8]2025'!E261</f>
        <v/>
      </c>
      <c r="G261" s="73" t="str">
        <f>'[8]2025'!F261</f>
        <v/>
      </c>
      <c r="H261" s="42">
        <f>'[8]2025'!G261</f>
        <v>0</v>
      </c>
      <c r="I261" s="13">
        <f>'[8]2025'!H261</f>
        <v>0</v>
      </c>
      <c r="J261" s="14">
        <f>'[8]2025'!I261</f>
        <v>0</v>
      </c>
      <c r="K261" s="15">
        <f>'[8]2025'!J261</f>
        <v>0</v>
      </c>
      <c r="L261" s="15">
        <f>'[8]2025'!K261</f>
        <v>0</v>
      </c>
      <c r="M261" s="15">
        <f>'[8]2025'!L261</f>
        <v>0</v>
      </c>
      <c r="N261" s="16" t="str">
        <f t="shared" si="16"/>
        <v/>
      </c>
      <c r="O261" s="17" t="str">
        <f t="shared" si="17"/>
        <v/>
      </c>
      <c r="P261" s="17" t="str">
        <f t="shared" si="17"/>
        <v/>
      </c>
      <c r="Q261" s="18" t="str">
        <f t="shared" si="18"/>
        <v/>
      </c>
      <c r="R261" s="18" t="e">
        <f t="shared" si="19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19">
        <f>CHAMNORD!B262</f>
        <v>46279</v>
      </c>
      <c r="C262" s="75" t="str">
        <f>IF(H262=0,"",'[8]2025-2026'!C261)</f>
        <v/>
      </c>
      <c r="D262" s="68" t="str">
        <f>'[8]2025'!C262</f>
        <v/>
      </c>
      <c r="E262" s="68" t="str">
        <f>'[8]2025'!D262</f>
        <v/>
      </c>
      <c r="F262" s="20" t="str">
        <f>'[8]2025'!E262</f>
        <v/>
      </c>
      <c r="G262" s="73" t="str">
        <f>'[8]2025'!F262</f>
        <v/>
      </c>
      <c r="H262" s="42">
        <f>'[8]2025'!G262</f>
        <v>0</v>
      </c>
      <c r="I262" s="13">
        <f>'[8]2025'!H262</f>
        <v>0</v>
      </c>
      <c r="J262" s="14">
        <f>'[8]2025'!I262</f>
        <v>0</v>
      </c>
      <c r="K262" s="15">
        <f>'[8]2025'!J262</f>
        <v>0</v>
      </c>
      <c r="L262" s="15">
        <f>'[8]2025'!K262</f>
        <v>0</v>
      </c>
      <c r="M262" s="15">
        <f>'[8]2025'!L262</f>
        <v>0</v>
      </c>
      <c r="N262" s="16" t="str">
        <f t="shared" si="16"/>
        <v/>
      </c>
      <c r="O262" s="17" t="str">
        <f t="shared" si="17"/>
        <v/>
      </c>
      <c r="P262" s="17" t="str">
        <f t="shared" si="17"/>
        <v/>
      </c>
      <c r="Q262" s="18" t="str">
        <f t="shared" si="18"/>
        <v/>
      </c>
      <c r="R262" s="18" t="e">
        <f t="shared" si="19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19">
        <f>CHAMNORD!B263</f>
        <v>46280</v>
      </c>
      <c r="C263" s="75" t="str">
        <f>IF(H263=0,"",'[8]2025-2026'!C262)</f>
        <v/>
      </c>
      <c r="D263" s="68" t="str">
        <f>'[8]2025'!C263</f>
        <v/>
      </c>
      <c r="E263" s="68" t="str">
        <f>'[8]2025'!D263</f>
        <v/>
      </c>
      <c r="F263" s="20" t="str">
        <f>'[8]2025'!E263</f>
        <v/>
      </c>
      <c r="G263" s="73" t="str">
        <f>'[8]2025'!F263</f>
        <v/>
      </c>
      <c r="H263" s="42">
        <f>'[8]2025'!G263</f>
        <v>0</v>
      </c>
      <c r="I263" s="13">
        <f>'[8]2025'!H263</f>
        <v>0</v>
      </c>
      <c r="J263" s="14">
        <f>'[8]2025'!I263</f>
        <v>0</v>
      </c>
      <c r="K263" s="15">
        <f>'[8]2025'!J263</f>
        <v>0</v>
      </c>
      <c r="L263" s="15">
        <f>'[8]2025'!K263</f>
        <v>0</v>
      </c>
      <c r="M263" s="15">
        <f>'[8]2025'!L263</f>
        <v>0</v>
      </c>
      <c r="N263" s="16" t="str">
        <f t="shared" si="16"/>
        <v/>
      </c>
      <c r="O263" s="17" t="str">
        <f t="shared" si="17"/>
        <v/>
      </c>
      <c r="P263" s="17" t="str">
        <f t="shared" si="17"/>
        <v/>
      </c>
      <c r="Q263" s="18" t="str">
        <f t="shared" si="18"/>
        <v/>
      </c>
      <c r="R263" s="18" t="e">
        <f t="shared" si="19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19">
        <f>CHAMNORD!B264</f>
        <v>46281</v>
      </c>
      <c r="C264" s="75" t="str">
        <f>IF(H264=0,"",'[8]2025-2026'!C263)</f>
        <v/>
      </c>
      <c r="D264" s="68" t="str">
        <f>'[8]2025'!C264</f>
        <v/>
      </c>
      <c r="E264" s="68" t="str">
        <f>'[8]2025'!D264</f>
        <v/>
      </c>
      <c r="F264" s="20" t="str">
        <f>'[8]2025'!E264</f>
        <v/>
      </c>
      <c r="G264" s="73" t="str">
        <f>'[8]2025'!F264</f>
        <v/>
      </c>
      <c r="H264" s="42">
        <f>'[8]2025'!G264</f>
        <v>0</v>
      </c>
      <c r="I264" s="13">
        <f>'[8]2025'!H264</f>
        <v>0</v>
      </c>
      <c r="J264" s="14">
        <f>'[8]2025'!I264</f>
        <v>0</v>
      </c>
      <c r="K264" s="15">
        <f>'[8]2025'!J264</f>
        <v>0</v>
      </c>
      <c r="L264" s="15">
        <f>'[8]2025'!K264</f>
        <v>0</v>
      </c>
      <c r="M264" s="15">
        <f>'[8]2025'!L264</f>
        <v>0</v>
      </c>
      <c r="N264" s="16" t="str">
        <f t="shared" si="16"/>
        <v/>
      </c>
      <c r="O264" s="17" t="str">
        <f t="shared" si="17"/>
        <v/>
      </c>
      <c r="P264" s="17" t="str">
        <f t="shared" si="17"/>
        <v/>
      </c>
      <c r="Q264" s="18" t="str">
        <f t="shared" si="18"/>
        <v/>
      </c>
      <c r="R264" s="18" t="e">
        <f t="shared" si="19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19">
        <f>CHAMNORD!B265</f>
        <v>46282</v>
      </c>
      <c r="C265" s="75" t="str">
        <f>IF(H265=0,"",'[8]2025-2026'!C264)</f>
        <v/>
      </c>
      <c r="D265" s="68" t="str">
        <f>'[8]2025'!C265</f>
        <v/>
      </c>
      <c r="E265" s="68" t="str">
        <f>'[8]2025'!D265</f>
        <v/>
      </c>
      <c r="F265" s="20" t="str">
        <f>'[8]2025'!E265</f>
        <v/>
      </c>
      <c r="G265" s="73" t="str">
        <f>'[8]2025'!F265</f>
        <v/>
      </c>
      <c r="H265" s="42">
        <f>'[8]2025'!G265</f>
        <v>0</v>
      </c>
      <c r="I265" s="13">
        <f>'[8]2025'!H265</f>
        <v>0</v>
      </c>
      <c r="J265" s="14">
        <f>'[8]2025'!I265</f>
        <v>0</v>
      </c>
      <c r="K265" s="15">
        <f>'[8]2025'!J265</f>
        <v>0</v>
      </c>
      <c r="L265" s="15">
        <f>'[8]2025'!K265</f>
        <v>0</v>
      </c>
      <c r="M265" s="15">
        <f>'[8]2025'!L265</f>
        <v>0</v>
      </c>
      <c r="N265" s="16" t="str">
        <f t="shared" si="16"/>
        <v/>
      </c>
      <c r="O265" s="17" t="str">
        <f t="shared" si="17"/>
        <v/>
      </c>
      <c r="P265" s="17" t="str">
        <f t="shared" si="17"/>
        <v/>
      </c>
      <c r="Q265" s="18" t="str">
        <f t="shared" si="18"/>
        <v/>
      </c>
      <c r="R265" s="18" t="e">
        <f t="shared" si="19"/>
        <v>#DIV/0!</v>
      </c>
      <c r="S265" s="34"/>
      <c r="T265" s="29" t="s">
        <v>8</v>
      </c>
      <c r="U265" s="1738"/>
    </row>
    <row r="266" spans="1:21">
      <c r="A266" s="10" t="s">
        <v>14</v>
      </c>
      <c r="B266" s="19">
        <f>CHAMNORD!B266</f>
        <v>46283</v>
      </c>
      <c r="C266" s="75" t="str">
        <f>IF(H266=0,"",'[8]2025-2026'!C265)</f>
        <v/>
      </c>
      <c r="D266" s="68" t="str">
        <f>'[8]2025'!C266</f>
        <v/>
      </c>
      <c r="E266" s="68" t="str">
        <f>'[8]2025'!D266</f>
        <v/>
      </c>
      <c r="F266" s="20" t="str">
        <f>'[8]2025'!E266</f>
        <v/>
      </c>
      <c r="G266" s="73" t="str">
        <f>'[8]2025'!F266</f>
        <v/>
      </c>
      <c r="H266" s="42">
        <f>'[8]2025'!G266</f>
        <v>0</v>
      </c>
      <c r="I266" s="13">
        <f>'[8]2025'!H266</f>
        <v>0</v>
      </c>
      <c r="J266" s="14">
        <f>'[8]2025'!I266</f>
        <v>0</v>
      </c>
      <c r="K266" s="15">
        <f>'[8]2025'!J266</f>
        <v>0</v>
      </c>
      <c r="L266" s="15">
        <f>'[8]2025'!K266</f>
        <v>0</v>
      </c>
      <c r="M266" s="15">
        <f>'[8]2025'!L266</f>
        <v>0</v>
      </c>
      <c r="N266" s="16" t="str">
        <f t="shared" si="16"/>
        <v/>
      </c>
      <c r="O266" s="17" t="str">
        <f t="shared" si="17"/>
        <v/>
      </c>
      <c r="P266" s="17" t="str">
        <f t="shared" si="17"/>
        <v/>
      </c>
      <c r="Q266" s="18" t="str">
        <f t="shared" si="18"/>
        <v/>
      </c>
      <c r="R266" s="18" t="e">
        <f t="shared" si="19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19">
        <f>CHAMNORD!B267</f>
        <v>46284</v>
      </c>
      <c r="C267" s="75" t="str">
        <f>IF(H267=0,"",'[8]2025-2026'!C266)</f>
        <v/>
      </c>
      <c r="D267" s="68" t="str">
        <f>'[8]2025'!C267</f>
        <v/>
      </c>
      <c r="E267" s="68" t="str">
        <f>'[8]2025'!D267</f>
        <v/>
      </c>
      <c r="F267" s="20" t="str">
        <f>'[8]2025'!E267</f>
        <v/>
      </c>
      <c r="G267" s="73" t="str">
        <f>'[8]2025'!F267</f>
        <v/>
      </c>
      <c r="H267" s="42">
        <f>'[8]2025'!G267</f>
        <v>0</v>
      </c>
      <c r="I267" s="13">
        <f>'[8]2025'!H267</f>
        <v>0</v>
      </c>
      <c r="J267" s="14">
        <f>'[8]2025'!I267</f>
        <v>0</v>
      </c>
      <c r="K267" s="15">
        <f>'[8]2025'!J267</f>
        <v>0</v>
      </c>
      <c r="L267" s="15">
        <f>'[8]2025'!K267</f>
        <v>0</v>
      </c>
      <c r="M267" s="15">
        <f>'[8]2025'!L267</f>
        <v>0</v>
      </c>
      <c r="N267" s="16" t="str">
        <f t="shared" si="16"/>
        <v/>
      </c>
      <c r="O267" s="17" t="str">
        <f t="shared" si="17"/>
        <v/>
      </c>
      <c r="P267" s="17" t="str">
        <f t="shared" si="17"/>
        <v/>
      </c>
      <c r="Q267" s="18" t="str">
        <f t="shared" si="18"/>
        <v/>
      </c>
      <c r="R267" s="18" t="e">
        <f t="shared" si="19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19">
        <f>CHAMNORD!B268</f>
        <v>46285</v>
      </c>
      <c r="C268" s="75" t="str">
        <f>IF(H268=0,"",'[8]2025-2026'!C267)</f>
        <v/>
      </c>
      <c r="D268" s="68" t="str">
        <f>'[8]2025'!C268</f>
        <v/>
      </c>
      <c r="E268" s="68" t="str">
        <f>'[8]2025'!D268</f>
        <v/>
      </c>
      <c r="F268" s="20" t="str">
        <f>'[8]2025'!E268</f>
        <v/>
      </c>
      <c r="G268" s="73" t="str">
        <f>'[8]2025'!F268</f>
        <v/>
      </c>
      <c r="H268" s="42">
        <f>'[8]2025'!G268</f>
        <v>0</v>
      </c>
      <c r="I268" s="13">
        <f>'[8]2025'!H268</f>
        <v>0</v>
      </c>
      <c r="J268" s="14">
        <f>'[8]2025'!I268</f>
        <v>0</v>
      </c>
      <c r="K268" s="15">
        <f>'[8]2025'!J268</f>
        <v>0</v>
      </c>
      <c r="L268" s="15">
        <f>'[8]2025'!K268</f>
        <v>0</v>
      </c>
      <c r="M268" s="15">
        <f>'[8]2025'!L268</f>
        <v>0</v>
      </c>
      <c r="N268" s="16" t="str">
        <f t="shared" si="16"/>
        <v/>
      </c>
      <c r="O268" s="17" t="str">
        <f t="shared" si="17"/>
        <v/>
      </c>
      <c r="P268" s="17" t="str">
        <f t="shared" si="17"/>
        <v/>
      </c>
      <c r="Q268" s="18" t="str">
        <f t="shared" si="18"/>
        <v/>
      </c>
      <c r="R268" s="18" t="e">
        <f t="shared" si="19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19">
        <f>CHAMNORD!B269</f>
        <v>46286</v>
      </c>
      <c r="C269" s="75" t="str">
        <f>IF(H269=0,"",'[8]2025-2026'!C268)</f>
        <v/>
      </c>
      <c r="D269" s="68" t="str">
        <f>'[8]2025'!C269</f>
        <v/>
      </c>
      <c r="E269" s="68" t="str">
        <f>'[8]2025'!D269</f>
        <v/>
      </c>
      <c r="F269" s="20" t="str">
        <f>'[8]2025'!E269</f>
        <v/>
      </c>
      <c r="G269" s="73" t="str">
        <f>'[8]2025'!F269</f>
        <v/>
      </c>
      <c r="H269" s="42">
        <f>'[8]2025'!G269</f>
        <v>0</v>
      </c>
      <c r="I269" s="13">
        <f>'[8]2025'!H269</f>
        <v>0</v>
      </c>
      <c r="J269" s="14">
        <f>'[8]2025'!I269</f>
        <v>0</v>
      </c>
      <c r="K269" s="15">
        <f>'[8]2025'!J269</f>
        <v>0</v>
      </c>
      <c r="L269" s="15">
        <f>'[8]2025'!K269</f>
        <v>0</v>
      </c>
      <c r="M269" s="15">
        <f>'[8]2025'!L269</f>
        <v>0</v>
      </c>
      <c r="N269" s="16" t="str">
        <f t="shared" si="16"/>
        <v/>
      </c>
      <c r="O269" s="17" t="str">
        <f t="shared" si="17"/>
        <v/>
      </c>
      <c r="P269" s="17" t="str">
        <f t="shared" si="17"/>
        <v/>
      </c>
      <c r="Q269" s="18" t="str">
        <f t="shared" si="18"/>
        <v/>
      </c>
      <c r="R269" s="18" t="e">
        <f t="shared" si="19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19">
        <f>CHAMNORD!B270</f>
        <v>46287</v>
      </c>
      <c r="C270" s="75" t="str">
        <f>IF(H270=0,"",'[8]2025-2026'!C269)</f>
        <v/>
      </c>
      <c r="D270" s="68" t="str">
        <f>'[8]2025'!C270</f>
        <v/>
      </c>
      <c r="E270" s="68" t="str">
        <f>'[8]2025'!D270</f>
        <v/>
      </c>
      <c r="F270" s="20" t="str">
        <f>'[8]2025'!E270</f>
        <v/>
      </c>
      <c r="G270" s="73" t="str">
        <f>'[8]2025'!F270</f>
        <v/>
      </c>
      <c r="H270" s="42">
        <f>'[8]2025'!G270</f>
        <v>0</v>
      </c>
      <c r="I270" s="13">
        <f>'[8]2025'!H270</f>
        <v>0</v>
      </c>
      <c r="J270" s="14">
        <f>'[8]2025'!I270</f>
        <v>0</v>
      </c>
      <c r="K270" s="15">
        <f>'[8]2025'!J270</f>
        <v>0</v>
      </c>
      <c r="L270" s="15">
        <f>'[8]2025'!K270</f>
        <v>0</v>
      </c>
      <c r="M270" s="15">
        <f>'[8]2025'!L270</f>
        <v>0</v>
      </c>
      <c r="N270" s="16" t="str">
        <f t="shared" si="16"/>
        <v/>
      </c>
      <c r="O270" s="17" t="str">
        <f t="shared" si="17"/>
        <v/>
      </c>
      <c r="P270" s="17" t="str">
        <f t="shared" si="17"/>
        <v/>
      </c>
      <c r="Q270" s="18" t="str">
        <f t="shared" si="18"/>
        <v/>
      </c>
      <c r="R270" s="18" t="e">
        <f t="shared" si="19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19">
        <f>CHAMNORD!B271</f>
        <v>46288</v>
      </c>
      <c r="C271" s="75" t="str">
        <f>IF(H271=0,"",'[8]2025-2026'!C270)</f>
        <v/>
      </c>
      <c r="D271" s="68" t="str">
        <f>'[8]2025'!C271</f>
        <v/>
      </c>
      <c r="E271" s="68" t="str">
        <f>'[8]2025'!D271</f>
        <v/>
      </c>
      <c r="F271" s="20" t="str">
        <f>'[8]2025'!E271</f>
        <v/>
      </c>
      <c r="G271" s="73" t="str">
        <f>'[8]2025'!F271</f>
        <v/>
      </c>
      <c r="H271" s="42">
        <f>'[8]2025'!G271</f>
        <v>0</v>
      </c>
      <c r="I271" s="13">
        <f>'[8]2025'!H271</f>
        <v>0</v>
      </c>
      <c r="J271" s="14">
        <f>'[8]2025'!I271</f>
        <v>0</v>
      </c>
      <c r="K271" s="15">
        <f>'[8]2025'!J271</f>
        <v>0</v>
      </c>
      <c r="L271" s="15">
        <f>'[8]2025'!K271</f>
        <v>0</v>
      </c>
      <c r="M271" s="15">
        <f>'[8]2025'!L271</f>
        <v>0</v>
      </c>
      <c r="N271" s="16" t="str">
        <f t="shared" si="16"/>
        <v/>
      </c>
      <c r="O271" s="17" t="str">
        <f t="shared" si="17"/>
        <v/>
      </c>
      <c r="P271" s="17" t="str">
        <f t="shared" si="17"/>
        <v/>
      </c>
      <c r="Q271" s="18" t="str">
        <f t="shared" si="18"/>
        <v/>
      </c>
      <c r="R271" s="18" t="e">
        <f t="shared" si="19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19">
        <f>CHAMNORD!B272</f>
        <v>46289</v>
      </c>
      <c r="C272" s="75" t="str">
        <f>IF(H272=0,"",'[8]2025-2026'!C271)</f>
        <v/>
      </c>
      <c r="D272" s="68" t="str">
        <f>'[8]2025'!C272</f>
        <v/>
      </c>
      <c r="E272" s="68" t="str">
        <f>'[8]2025'!D272</f>
        <v/>
      </c>
      <c r="F272" s="20" t="str">
        <f>'[8]2025'!E272</f>
        <v/>
      </c>
      <c r="G272" s="73" t="str">
        <f>'[8]2025'!F272</f>
        <v/>
      </c>
      <c r="H272" s="42">
        <f>'[8]2025'!G272</f>
        <v>0</v>
      </c>
      <c r="I272" s="13">
        <f>'[8]2025'!H272</f>
        <v>0</v>
      </c>
      <c r="J272" s="14">
        <f>'[8]2025'!I272</f>
        <v>0</v>
      </c>
      <c r="K272" s="15">
        <f>'[8]2025'!J272</f>
        <v>0</v>
      </c>
      <c r="L272" s="15">
        <f>'[8]2025'!K272</f>
        <v>0</v>
      </c>
      <c r="M272" s="15">
        <f>'[8]2025'!L272</f>
        <v>0</v>
      </c>
      <c r="N272" s="16" t="str">
        <f t="shared" si="16"/>
        <v/>
      </c>
      <c r="O272" s="17" t="str">
        <f t="shared" si="17"/>
        <v/>
      </c>
      <c r="P272" s="17" t="str">
        <f t="shared" si="17"/>
        <v/>
      </c>
      <c r="Q272" s="18" t="str">
        <f t="shared" si="18"/>
        <v/>
      </c>
      <c r="R272" s="18" t="e">
        <f t="shared" si="19"/>
        <v>#DIV/0!</v>
      </c>
      <c r="S272" s="34"/>
      <c r="T272" s="29" t="s">
        <v>8</v>
      </c>
      <c r="U272" s="1738"/>
    </row>
    <row r="273" spans="1:21">
      <c r="A273" s="10" t="s">
        <v>14</v>
      </c>
      <c r="B273" s="19">
        <f>CHAMNORD!B273</f>
        <v>46290</v>
      </c>
      <c r="C273" s="75" t="str">
        <f>IF(H273=0,"",'[8]2025-2026'!C272)</f>
        <v/>
      </c>
      <c r="D273" s="68" t="str">
        <f>'[8]2025'!C273</f>
        <v/>
      </c>
      <c r="E273" s="68" t="str">
        <f>'[8]2025'!D273</f>
        <v/>
      </c>
      <c r="F273" s="20" t="str">
        <f>'[8]2025'!E273</f>
        <v/>
      </c>
      <c r="G273" s="73" t="str">
        <f>'[8]2025'!F273</f>
        <v/>
      </c>
      <c r="H273" s="42">
        <f>'[8]2025'!G273</f>
        <v>0</v>
      </c>
      <c r="I273" s="13">
        <f>'[8]2025'!H273</f>
        <v>0</v>
      </c>
      <c r="J273" s="14">
        <f>'[8]2025'!I273</f>
        <v>0</v>
      </c>
      <c r="K273" s="15">
        <f>'[8]2025'!J273</f>
        <v>0</v>
      </c>
      <c r="L273" s="15">
        <f>'[8]2025'!K273</f>
        <v>0</v>
      </c>
      <c r="M273" s="15">
        <f>'[8]2025'!L273</f>
        <v>0</v>
      </c>
      <c r="N273" s="16" t="str">
        <f t="shared" si="16"/>
        <v/>
      </c>
      <c r="O273" s="17" t="str">
        <f t="shared" si="17"/>
        <v/>
      </c>
      <c r="P273" s="17" t="str">
        <f t="shared" si="17"/>
        <v/>
      </c>
      <c r="Q273" s="18" t="str">
        <f t="shared" si="18"/>
        <v/>
      </c>
      <c r="R273" s="18" t="e">
        <f t="shared" si="19"/>
        <v>#DIV/0!</v>
      </c>
      <c r="S273" s="36" t="s">
        <v>40</v>
      </c>
      <c r="T273" s="48" t="e">
        <f>SUM(I269:I275)/SUM(L269:L275)</f>
        <v>#DIV/0!</v>
      </c>
      <c r="U273" s="1738"/>
    </row>
    <row r="274" spans="1:21">
      <c r="A274" s="10" t="s">
        <v>15</v>
      </c>
      <c r="B274" s="19">
        <f>CHAMNORD!B274</f>
        <v>46291</v>
      </c>
      <c r="C274" s="75" t="str">
        <f>IF(H274=0,"",'[8]2025-2026'!C273)</f>
        <v/>
      </c>
      <c r="D274" s="68" t="str">
        <f>'[8]2025'!C274</f>
        <v/>
      </c>
      <c r="E274" s="68" t="str">
        <f>'[8]2025'!D274</f>
        <v/>
      </c>
      <c r="F274" s="20" t="str">
        <f>'[8]2025'!E274</f>
        <v/>
      </c>
      <c r="G274" s="73" t="str">
        <f>'[8]2025'!F274</f>
        <v/>
      </c>
      <c r="H274" s="42">
        <f>'[8]2025'!G274</f>
        <v>0</v>
      </c>
      <c r="I274" s="13">
        <f>'[8]2025'!H274</f>
        <v>0</v>
      </c>
      <c r="J274" s="14">
        <f>'[8]2025'!I274</f>
        <v>0</v>
      </c>
      <c r="K274" s="15">
        <f>'[8]2025'!J274</f>
        <v>0</v>
      </c>
      <c r="L274" s="15">
        <f>'[8]2025'!K274</f>
        <v>0</v>
      </c>
      <c r="M274" s="15">
        <f>'[8]2025'!L274</f>
        <v>0</v>
      </c>
      <c r="N274" s="16" t="str">
        <f t="shared" si="16"/>
        <v/>
      </c>
      <c r="O274" s="17" t="str">
        <f t="shared" si="17"/>
        <v/>
      </c>
      <c r="P274" s="17" t="str">
        <f t="shared" si="17"/>
        <v/>
      </c>
      <c r="Q274" s="18" t="str">
        <f t="shared" si="18"/>
        <v/>
      </c>
      <c r="R274" s="18" t="e">
        <f t="shared" si="19"/>
        <v>#DIV/0!</v>
      </c>
      <c r="S274" s="36">
        <f>SUM(J269:J275)</f>
        <v>0</v>
      </c>
      <c r="T274" s="30" t="s">
        <v>3</v>
      </c>
      <c r="U274" s="1738"/>
    </row>
    <row r="275" spans="1:21" ht="18" thickBot="1">
      <c r="A275" s="10" t="s">
        <v>16</v>
      </c>
      <c r="B275" s="19">
        <f>CHAMNORD!B275</f>
        <v>46292</v>
      </c>
      <c r="C275" s="75" t="str">
        <f>IF(H275=0,"",'[8]2025-2026'!C274)</f>
        <v/>
      </c>
      <c r="D275" s="68" t="str">
        <f>'[8]2025'!C275</f>
        <v/>
      </c>
      <c r="E275" s="68" t="str">
        <f>'[8]2025'!D275</f>
        <v/>
      </c>
      <c r="F275" s="20" t="str">
        <f>'[8]2025'!E275</f>
        <v/>
      </c>
      <c r="G275" s="73" t="str">
        <f>'[8]2025'!F275</f>
        <v/>
      </c>
      <c r="H275" s="42">
        <f>'[8]2025'!G275</f>
        <v>0</v>
      </c>
      <c r="I275" s="13">
        <f>'[8]2025'!H275</f>
        <v>0</v>
      </c>
      <c r="J275" s="14">
        <f>'[8]2025'!I275</f>
        <v>0</v>
      </c>
      <c r="K275" s="15">
        <f>'[8]2025'!J275</f>
        <v>0</v>
      </c>
      <c r="L275" s="15">
        <f>'[8]2025'!K275</f>
        <v>0</v>
      </c>
      <c r="M275" s="15">
        <f>'[8]2025'!L275</f>
        <v>0</v>
      </c>
      <c r="N275" s="16" t="str">
        <f t="shared" si="16"/>
        <v/>
      </c>
      <c r="O275" s="17" t="str">
        <f t="shared" si="17"/>
        <v/>
      </c>
      <c r="P275" s="17" t="str">
        <f t="shared" si="17"/>
        <v/>
      </c>
      <c r="Q275" s="18" t="str">
        <f t="shared" si="18"/>
        <v/>
      </c>
      <c r="R275" s="18" t="e">
        <f t="shared" si="19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1" ht="17" customHeight="1" thickTop="1">
      <c r="A276" s="10" t="s">
        <v>9</v>
      </c>
      <c r="B276" s="19">
        <f>CHAMNORD!B276</f>
        <v>46293</v>
      </c>
      <c r="C276" s="75" t="str">
        <f>IF(H276=0,"",'[8]2025-2026'!C275)</f>
        <v/>
      </c>
      <c r="D276" s="68" t="str">
        <f>'[8]2025'!C276</f>
        <v/>
      </c>
      <c r="E276" s="68" t="str">
        <f>'[8]2025'!D276</f>
        <v/>
      </c>
      <c r="F276" s="20" t="str">
        <f>'[8]2025'!E276</f>
        <v/>
      </c>
      <c r="G276" s="73" t="str">
        <f>'[8]2025'!F276</f>
        <v/>
      </c>
      <c r="H276" s="42">
        <f>'[8]2025'!G276</f>
        <v>0</v>
      </c>
      <c r="I276" s="13">
        <f>'[8]2025'!H276</f>
        <v>0</v>
      </c>
      <c r="J276" s="14">
        <f>'[8]2025'!I276</f>
        <v>0</v>
      </c>
      <c r="K276" s="15">
        <f>'[8]2025'!J276</f>
        <v>0</v>
      </c>
      <c r="L276" s="15">
        <f>'[8]2025'!K276</f>
        <v>0</v>
      </c>
      <c r="M276" s="15">
        <f>'[8]2025'!L276</f>
        <v>0</v>
      </c>
      <c r="N276" s="16" t="str">
        <f t="shared" si="16"/>
        <v/>
      </c>
      <c r="O276" s="17" t="str">
        <f t="shared" si="17"/>
        <v/>
      </c>
      <c r="P276" s="17" t="str">
        <f t="shared" si="17"/>
        <v/>
      </c>
      <c r="Q276" s="18" t="str">
        <f t="shared" si="18"/>
        <v/>
      </c>
      <c r="R276" s="18" t="e">
        <f t="shared" si="19"/>
        <v>#DIV/0!</v>
      </c>
      <c r="S276" s="33" t="s">
        <v>39</v>
      </c>
      <c r="T276" s="31" t="s">
        <v>42</v>
      </c>
      <c r="U276" s="1737" t="s">
        <v>122</v>
      </c>
    </row>
    <row r="277" spans="1:21">
      <c r="A277" s="10" t="s">
        <v>11</v>
      </c>
      <c r="B277" s="19">
        <f>CHAMNORD!B277</f>
        <v>46294</v>
      </c>
      <c r="C277" s="75" t="str">
        <f>IF(H277=0,"",'[8]2025-2026'!C276)</f>
        <v/>
      </c>
      <c r="D277" s="68" t="str">
        <f>'[8]2025'!C277</f>
        <v/>
      </c>
      <c r="E277" s="68" t="str">
        <f>'[8]2025'!D277</f>
        <v/>
      </c>
      <c r="F277" s="20" t="str">
        <f>'[8]2025'!E277</f>
        <v/>
      </c>
      <c r="G277" s="73" t="str">
        <f>'[8]2025'!F277</f>
        <v/>
      </c>
      <c r="H277" s="42">
        <f>'[8]2025'!G277</f>
        <v>0</v>
      </c>
      <c r="I277" s="13">
        <f>'[8]2025'!H277</f>
        <v>0</v>
      </c>
      <c r="J277" s="14">
        <f>'[8]2025'!I277</f>
        <v>0</v>
      </c>
      <c r="K277" s="15">
        <f>'[8]2025'!J277</f>
        <v>0</v>
      </c>
      <c r="L277" s="15">
        <f>'[8]2025'!K277</f>
        <v>0</v>
      </c>
      <c r="M277" s="15">
        <f>'[8]2025'!L277</f>
        <v>0</v>
      </c>
      <c r="N277" s="16" t="str">
        <f t="shared" si="16"/>
        <v/>
      </c>
      <c r="O277" s="17" t="str">
        <f t="shared" si="17"/>
        <v/>
      </c>
      <c r="P277" s="17" t="str">
        <f t="shared" si="17"/>
        <v/>
      </c>
      <c r="Q277" s="18" t="str">
        <f t="shared" si="18"/>
        <v/>
      </c>
      <c r="R277" s="18" t="e">
        <f t="shared" si="19"/>
        <v>#DIV/0!</v>
      </c>
      <c r="S277" s="34">
        <f>SUM(I276:I282)</f>
        <v>0</v>
      </c>
      <c r="T277" s="45" t="s">
        <v>41</v>
      </c>
      <c r="U277" s="1738"/>
    </row>
    <row r="278" spans="1:21">
      <c r="A278" s="10" t="s">
        <v>12</v>
      </c>
      <c r="B278" s="19">
        <f>CHAMNORD!B278</f>
        <v>46295</v>
      </c>
      <c r="C278" s="75" t="str">
        <f>IF(H278=0,"",'[8]2025-2026'!C277)</f>
        <v/>
      </c>
      <c r="D278" s="68" t="str">
        <f>'[8]2025'!C278</f>
        <v/>
      </c>
      <c r="E278" s="68" t="str">
        <f>'[8]2025'!D278</f>
        <v/>
      </c>
      <c r="F278" s="20" t="str">
        <f>'[8]2025'!E278</f>
        <v/>
      </c>
      <c r="G278" s="73" t="str">
        <f>'[8]2025'!F278</f>
        <v/>
      </c>
      <c r="H278" s="42">
        <f>'[8]2025'!G278</f>
        <v>0</v>
      </c>
      <c r="I278" s="13">
        <f>'[8]2025'!H278</f>
        <v>0</v>
      </c>
      <c r="J278" s="14">
        <f>'[8]2025'!I278</f>
        <v>0</v>
      </c>
      <c r="K278" s="15">
        <f>'[8]2025'!J278</f>
        <v>0</v>
      </c>
      <c r="L278" s="15">
        <f>'[8]2025'!K278</f>
        <v>0</v>
      </c>
      <c r="M278" s="15">
        <f>'[8]2025'!L278</f>
        <v>0</v>
      </c>
      <c r="N278" s="16" t="str">
        <f t="shared" si="16"/>
        <v/>
      </c>
      <c r="O278" s="17" t="str">
        <f t="shared" si="17"/>
        <v/>
      </c>
      <c r="P278" s="17" t="str">
        <f t="shared" si="17"/>
        <v/>
      </c>
      <c r="Q278" s="18" t="str">
        <f t="shared" si="18"/>
        <v/>
      </c>
      <c r="R278" s="18" t="e">
        <f t="shared" si="19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</row>
    <row r="279" spans="1:21">
      <c r="A279" s="10" t="s">
        <v>13</v>
      </c>
      <c r="B279" s="19">
        <f>CHAMNORD!B279</f>
        <v>46296</v>
      </c>
      <c r="C279" s="75" t="str">
        <f>IF(H279=0,"",'[8]2025-2026'!C278)</f>
        <v/>
      </c>
      <c r="D279" s="68" t="str">
        <f>'[8]2025'!C279</f>
        <v/>
      </c>
      <c r="E279" s="68" t="str">
        <f>'[8]2025'!D279</f>
        <v/>
      </c>
      <c r="F279" s="20" t="str">
        <f>'[8]2025'!E279</f>
        <v/>
      </c>
      <c r="G279" s="73" t="str">
        <f>'[8]2025'!F279</f>
        <v/>
      </c>
      <c r="H279" s="42">
        <f>'[8]2025'!G279</f>
        <v>0</v>
      </c>
      <c r="I279" s="13">
        <f>'[8]2025'!H279</f>
        <v>0</v>
      </c>
      <c r="J279" s="14">
        <f>'[8]2025'!I279</f>
        <v>0</v>
      </c>
      <c r="K279" s="15">
        <f>'[8]2025'!J279</f>
        <v>0</v>
      </c>
      <c r="L279" s="15">
        <f>'[8]2025'!K279</f>
        <v>0</v>
      </c>
      <c r="M279" s="15">
        <f>'[8]2025'!L279</f>
        <v>0</v>
      </c>
      <c r="N279" s="16" t="str">
        <f t="shared" si="16"/>
        <v/>
      </c>
      <c r="O279" s="17" t="str">
        <f t="shared" si="17"/>
        <v/>
      </c>
      <c r="P279" s="17" t="str">
        <f t="shared" si="17"/>
        <v/>
      </c>
      <c r="Q279" s="18" t="str">
        <f t="shared" si="18"/>
        <v/>
      </c>
      <c r="R279" s="18" t="e">
        <f t="shared" si="19"/>
        <v>#DIV/0!</v>
      </c>
      <c r="S279" s="34"/>
      <c r="T279" s="29" t="s">
        <v>8</v>
      </c>
      <c r="U279" s="1738"/>
    </row>
    <row r="280" spans="1:21">
      <c r="A280" s="10" t="s">
        <v>14</v>
      </c>
      <c r="B280" s="19">
        <f>CHAMNORD!B280</f>
        <v>46297</v>
      </c>
      <c r="C280" s="75" t="str">
        <f>IF(H280=0,"",'[8]2025-2026'!C279)</f>
        <v/>
      </c>
      <c r="D280" s="68" t="str">
        <f>'[8]2025'!C280</f>
        <v/>
      </c>
      <c r="E280" s="68" t="str">
        <f>'[8]2025'!D280</f>
        <v/>
      </c>
      <c r="F280" s="20" t="str">
        <f>'[8]2025'!E280</f>
        <v/>
      </c>
      <c r="G280" s="73" t="str">
        <f>'[8]2025'!F280</f>
        <v/>
      </c>
      <c r="H280" s="42">
        <f>'[8]2025'!G280</f>
        <v>0</v>
      </c>
      <c r="I280" s="13">
        <f>'[8]2025'!H280</f>
        <v>0</v>
      </c>
      <c r="J280" s="14">
        <f>'[8]2025'!I280</f>
        <v>0</v>
      </c>
      <c r="K280" s="15">
        <f>'[8]2025'!J280</f>
        <v>0</v>
      </c>
      <c r="L280" s="15">
        <f>'[8]2025'!K280</f>
        <v>0</v>
      </c>
      <c r="M280" s="15">
        <f>'[8]2025'!L280</f>
        <v>0</v>
      </c>
      <c r="N280" s="16" t="str">
        <f t="shared" si="16"/>
        <v/>
      </c>
      <c r="O280" s="17" t="str">
        <f t="shared" si="17"/>
        <v/>
      </c>
      <c r="P280" s="17" t="str">
        <f t="shared" si="17"/>
        <v/>
      </c>
      <c r="Q280" s="18" t="str">
        <f t="shared" si="18"/>
        <v/>
      </c>
      <c r="R280" s="18" t="e">
        <f t="shared" si="19"/>
        <v>#DIV/0!</v>
      </c>
      <c r="S280" s="36" t="s">
        <v>40</v>
      </c>
      <c r="T280" s="48" t="e">
        <f>SUM(I276:I282)/SUM(L276:L282)</f>
        <v>#DIV/0!</v>
      </c>
      <c r="U280" s="1738"/>
    </row>
    <row r="281" spans="1:21">
      <c r="A281" s="10" t="s">
        <v>15</v>
      </c>
      <c r="B281" s="19">
        <f>CHAMNORD!B281</f>
        <v>46298</v>
      </c>
      <c r="C281" s="75" t="str">
        <f>IF(H281=0,"",'[8]2025-2026'!C280)</f>
        <v/>
      </c>
      <c r="D281" s="68" t="str">
        <f>'[8]2025'!C281</f>
        <v/>
      </c>
      <c r="E281" s="68" t="str">
        <f>'[8]2025'!D281</f>
        <v/>
      </c>
      <c r="F281" s="20" t="str">
        <f>'[8]2025'!E281</f>
        <v/>
      </c>
      <c r="G281" s="73" t="str">
        <f>'[8]2025'!F281</f>
        <v/>
      </c>
      <c r="H281" s="42">
        <f>'[8]2025'!G281</f>
        <v>0</v>
      </c>
      <c r="I281" s="13">
        <f>'[8]2025'!H281</f>
        <v>0</v>
      </c>
      <c r="J281" s="14">
        <f>'[8]2025'!I281</f>
        <v>0</v>
      </c>
      <c r="K281" s="15">
        <f>'[8]2025'!J281</f>
        <v>0</v>
      </c>
      <c r="L281" s="15">
        <f>'[8]2025'!K281</f>
        <v>0</v>
      </c>
      <c r="M281" s="15">
        <f>'[8]2025'!L281</f>
        <v>0</v>
      </c>
      <c r="N281" s="16" t="str">
        <f t="shared" si="16"/>
        <v/>
      </c>
      <c r="O281" s="17" t="str">
        <f t="shared" si="17"/>
        <v/>
      </c>
      <c r="P281" s="17" t="str">
        <f t="shared" si="17"/>
        <v/>
      </c>
      <c r="Q281" s="18" t="str">
        <f t="shared" si="18"/>
        <v/>
      </c>
      <c r="R281" s="18" t="e">
        <f t="shared" si="19"/>
        <v>#DIV/0!</v>
      </c>
      <c r="S281" s="36">
        <f>SUM(J276:J282)</f>
        <v>0</v>
      </c>
      <c r="T281" s="30" t="s">
        <v>3</v>
      </c>
      <c r="U281" s="1738"/>
    </row>
    <row r="282" spans="1:21" ht="18" thickBot="1">
      <c r="A282" s="10" t="s">
        <v>16</v>
      </c>
      <c r="B282" s="19">
        <f>CHAMNORD!B282</f>
        <v>46299</v>
      </c>
      <c r="C282" s="75" t="str">
        <f>IF(H282=0,"",'[8]2025-2026'!C281)</f>
        <v/>
      </c>
      <c r="D282" s="68" t="str">
        <f>'[8]2025'!C282</f>
        <v/>
      </c>
      <c r="E282" s="68" t="str">
        <f>'[8]2025'!D282</f>
        <v/>
      </c>
      <c r="F282" s="20" t="str">
        <f>'[8]2025'!E282</f>
        <v/>
      </c>
      <c r="G282" s="73" t="str">
        <f>'[8]2025'!F282</f>
        <v/>
      </c>
      <c r="H282" s="42">
        <f>'[8]2025'!G282</f>
        <v>0</v>
      </c>
      <c r="I282" s="13">
        <f>'[8]2025'!H282</f>
        <v>0</v>
      </c>
      <c r="J282" s="14">
        <f>'[8]2025'!I282</f>
        <v>0</v>
      </c>
      <c r="K282" s="15">
        <f>'[8]2025'!J282</f>
        <v>0</v>
      </c>
      <c r="L282" s="15">
        <f>'[8]2025'!K282</f>
        <v>0</v>
      </c>
      <c r="M282" s="15">
        <f>'[8]2025'!L282</f>
        <v>0</v>
      </c>
      <c r="N282" s="16" t="str">
        <f t="shared" si="16"/>
        <v/>
      </c>
      <c r="O282" s="17" t="str">
        <f t="shared" si="17"/>
        <v/>
      </c>
      <c r="P282" s="17" t="str">
        <f t="shared" si="17"/>
        <v/>
      </c>
      <c r="Q282" s="18" t="str">
        <f t="shared" si="18"/>
        <v/>
      </c>
      <c r="R282" s="18" t="e">
        <f t="shared" si="19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</row>
    <row r="283" spans="1:21" ht="17" customHeight="1" thickTop="1">
      <c r="A283" s="10" t="s">
        <v>9</v>
      </c>
      <c r="B283" s="19">
        <f>CHAMNORD!B283</f>
        <v>46300</v>
      </c>
      <c r="C283" s="75" t="str">
        <f>IF(H283=0,"",'[8]2025-2026'!C282)</f>
        <v/>
      </c>
      <c r="D283" s="68" t="str">
        <f>'[8]2025'!C283</f>
        <v/>
      </c>
      <c r="E283" s="68" t="str">
        <f>'[8]2025'!D283</f>
        <v/>
      </c>
      <c r="F283" s="20" t="str">
        <f>'[8]2025'!E283</f>
        <v/>
      </c>
      <c r="G283" s="73" t="str">
        <f>'[8]2025'!F283</f>
        <v/>
      </c>
      <c r="H283" s="42">
        <f>'[8]2025'!G283</f>
        <v>0</v>
      </c>
      <c r="I283" s="13">
        <f>'[8]2025'!H283</f>
        <v>0</v>
      </c>
      <c r="J283" s="14">
        <f>'[8]2025'!I283</f>
        <v>0</v>
      </c>
      <c r="K283" s="15">
        <f>'[8]2025'!J283</f>
        <v>0</v>
      </c>
      <c r="L283" s="15">
        <f>'[8]2025'!K283</f>
        <v>0</v>
      </c>
      <c r="M283" s="15">
        <f>'[8]2025'!L283</f>
        <v>0</v>
      </c>
      <c r="N283" s="16" t="str">
        <f t="shared" si="16"/>
        <v/>
      </c>
      <c r="O283" s="17" t="str">
        <f t="shared" si="17"/>
        <v/>
      </c>
      <c r="P283" s="17" t="str">
        <f t="shared" si="17"/>
        <v/>
      </c>
      <c r="Q283" s="18" t="str">
        <f t="shared" si="18"/>
        <v/>
      </c>
      <c r="R283" s="18" t="e">
        <f t="shared" si="19"/>
        <v>#DIV/0!</v>
      </c>
      <c r="S283" s="33" t="s">
        <v>39</v>
      </c>
      <c r="T283" s="31" t="s">
        <v>42</v>
      </c>
      <c r="U283" s="1737" t="s">
        <v>123</v>
      </c>
    </row>
    <row r="284" spans="1:21">
      <c r="A284" s="10" t="s">
        <v>11</v>
      </c>
      <c r="B284" s="19">
        <f>CHAMNORD!B284</f>
        <v>46301</v>
      </c>
      <c r="C284" s="75" t="str">
        <f>IF(H284=0,"",'[8]2025-2026'!C283)</f>
        <v/>
      </c>
      <c r="D284" s="68" t="str">
        <f>'[8]2025'!C284</f>
        <v/>
      </c>
      <c r="E284" s="68" t="str">
        <f>'[8]2025'!D284</f>
        <v/>
      </c>
      <c r="F284" s="20" t="str">
        <f>'[8]2025'!E284</f>
        <v/>
      </c>
      <c r="G284" s="73" t="str">
        <f>'[8]2025'!F284</f>
        <v/>
      </c>
      <c r="H284" s="42">
        <f>'[8]2025'!G284</f>
        <v>0</v>
      </c>
      <c r="I284" s="13">
        <f>'[8]2025'!H284</f>
        <v>0</v>
      </c>
      <c r="J284" s="14">
        <f>'[8]2025'!I284</f>
        <v>0</v>
      </c>
      <c r="K284" s="15">
        <f>'[8]2025'!J284</f>
        <v>0</v>
      </c>
      <c r="L284" s="15">
        <f>'[8]2025'!K284</f>
        <v>0</v>
      </c>
      <c r="M284" s="15">
        <f>'[8]2025'!L284</f>
        <v>0</v>
      </c>
      <c r="N284" s="16" t="str">
        <f t="shared" si="16"/>
        <v/>
      </c>
      <c r="O284" s="17" t="str">
        <f t="shared" si="17"/>
        <v/>
      </c>
      <c r="P284" s="17" t="str">
        <f t="shared" si="17"/>
        <v/>
      </c>
      <c r="Q284" s="18" t="str">
        <f t="shared" si="18"/>
        <v/>
      </c>
      <c r="R284" s="18" t="e">
        <f t="shared" si="19"/>
        <v>#DIV/0!</v>
      </c>
      <c r="S284" s="34">
        <f>SUM(I283:I289)</f>
        <v>0</v>
      </c>
      <c r="T284" s="45" t="s">
        <v>41</v>
      </c>
      <c r="U284" s="1738"/>
    </row>
    <row r="285" spans="1:21">
      <c r="A285" s="10" t="s">
        <v>12</v>
      </c>
      <c r="B285" s="19">
        <f>CHAMNORD!B285</f>
        <v>46302</v>
      </c>
      <c r="C285" s="75" t="str">
        <f>IF(H285=0,"",'[8]2025-2026'!C284)</f>
        <v/>
      </c>
      <c r="D285" s="68" t="str">
        <f>'[8]2025'!C285</f>
        <v/>
      </c>
      <c r="E285" s="68" t="str">
        <f>'[8]2025'!D285</f>
        <v/>
      </c>
      <c r="F285" s="20" t="str">
        <f>'[8]2025'!E285</f>
        <v/>
      </c>
      <c r="G285" s="73" t="str">
        <f>'[8]2025'!F285</f>
        <v/>
      </c>
      <c r="H285" s="42">
        <f>'[8]2025'!G285</f>
        <v>0</v>
      </c>
      <c r="I285" s="13">
        <f>'[8]2025'!H285</f>
        <v>0</v>
      </c>
      <c r="J285" s="14">
        <f>'[8]2025'!I285</f>
        <v>0</v>
      </c>
      <c r="K285" s="15">
        <f>'[8]2025'!J285</f>
        <v>0</v>
      </c>
      <c r="L285" s="15">
        <f>'[8]2025'!K285</f>
        <v>0</v>
      </c>
      <c r="M285" s="15">
        <f>'[8]2025'!L285</f>
        <v>0</v>
      </c>
      <c r="N285" s="16" t="str">
        <f t="shared" si="16"/>
        <v/>
      </c>
      <c r="O285" s="17" t="str">
        <f t="shared" si="17"/>
        <v/>
      </c>
      <c r="P285" s="17" t="str">
        <f t="shared" si="17"/>
        <v/>
      </c>
      <c r="Q285" s="18" t="str">
        <f t="shared" si="18"/>
        <v/>
      </c>
      <c r="R285" s="18" t="e">
        <f t="shared" si="19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</row>
    <row r="286" spans="1:21">
      <c r="A286" s="10" t="s">
        <v>13</v>
      </c>
      <c r="B286" s="19">
        <f>CHAMNORD!B286</f>
        <v>46303</v>
      </c>
      <c r="C286" s="75" t="str">
        <f>IF(H286=0,"",'[8]2025-2026'!C285)</f>
        <v/>
      </c>
      <c r="D286" s="68" t="str">
        <f>'[8]2025'!C286</f>
        <v/>
      </c>
      <c r="E286" s="68" t="str">
        <f>'[8]2025'!D286</f>
        <v/>
      </c>
      <c r="F286" s="20" t="str">
        <f>'[8]2025'!E286</f>
        <v/>
      </c>
      <c r="G286" s="73" t="str">
        <f>'[8]2025'!F286</f>
        <v/>
      </c>
      <c r="H286" s="42">
        <f>'[8]2025'!G286</f>
        <v>0</v>
      </c>
      <c r="I286" s="13">
        <f>'[8]2025'!H286</f>
        <v>0</v>
      </c>
      <c r="J286" s="14">
        <f>'[8]2025'!I286</f>
        <v>0</v>
      </c>
      <c r="K286" s="15">
        <f>'[8]2025'!J286</f>
        <v>0</v>
      </c>
      <c r="L286" s="15">
        <f>'[8]2025'!K286</f>
        <v>0</v>
      </c>
      <c r="M286" s="15">
        <f>'[8]2025'!L286</f>
        <v>0</v>
      </c>
      <c r="N286" s="16" t="str">
        <f t="shared" si="16"/>
        <v/>
      </c>
      <c r="O286" s="17" t="str">
        <f t="shared" si="17"/>
        <v/>
      </c>
      <c r="P286" s="17" t="str">
        <f t="shared" si="17"/>
        <v/>
      </c>
      <c r="Q286" s="18" t="str">
        <f t="shared" si="18"/>
        <v/>
      </c>
      <c r="R286" s="18" t="e">
        <f t="shared" si="19"/>
        <v>#DIV/0!</v>
      </c>
      <c r="S286" s="34"/>
      <c r="T286" s="29" t="s">
        <v>8</v>
      </c>
      <c r="U286" s="1738"/>
    </row>
    <row r="287" spans="1:21">
      <c r="A287" s="10" t="s">
        <v>14</v>
      </c>
      <c r="B287" s="19">
        <f>CHAMNORD!B287</f>
        <v>46304</v>
      </c>
      <c r="C287" s="75" t="str">
        <f>IF(H287=0,"",'[8]2025-2026'!C286)</f>
        <v/>
      </c>
      <c r="D287" s="68" t="str">
        <f>'[8]2025'!C287</f>
        <v/>
      </c>
      <c r="E287" s="68" t="str">
        <f>'[8]2025'!D287</f>
        <v/>
      </c>
      <c r="F287" s="20" t="str">
        <f>'[8]2025'!E287</f>
        <v/>
      </c>
      <c r="G287" s="73" t="str">
        <f>'[8]2025'!F287</f>
        <v/>
      </c>
      <c r="H287" s="42">
        <f>'[8]2025'!G287</f>
        <v>0</v>
      </c>
      <c r="I287" s="13">
        <f>'[8]2025'!H287</f>
        <v>0</v>
      </c>
      <c r="J287" s="14">
        <f>'[8]2025'!I287</f>
        <v>0</v>
      </c>
      <c r="K287" s="15">
        <f>'[8]2025'!J287</f>
        <v>0</v>
      </c>
      <c r="L287" s="15">
        <f>'[8]2025'!K287</f>
        <v>0</v>
      </c>
      <c r="M287" s="15">
        <f>'[8]2025'!L287</f>
        <v>0</v>
      </c>
      <c r="N287" s="16" t="str">
        <f t="shared" si="16"/>
        <v/>
      </c>
      <c r="O287" s="17" t="str">
        <f t="shared" si="17"/>
        <v/>
      </c>
      <c r="P287" s="17" t="str">
        <f t="shared" si="17"/>
        <v/>
      </c>
      <c r="Q287" s="18" t="str">
        <f t="shared" si="18"/>
        <v/>
      </c>
      <c r="R287" s="18" t="e">
        <f t="shared" si="19"/>
        <v>#DIV/0!</v>
      </c>
      <c r="S287" s="36" t="s">
        <v>40</v>
      </c>
      <c r="T287" s="48" t="e">
        <f>SUM(I283:I289)/SUM(L283:L289)</f>
        <v>#DIV/0!</v>
      </c>
      <c r="U287" s="1738"/>
    </row>
    <row r="288" spans="1:21">
      <c r="A288" s="10" t="s">
        <v>15</v>
      </c>
      <c r="B288" s="19">
        <f>CHAMNORD!B288</f>
        <v>46305</v>
      </c>
      <c r="C288" s="75" t="str">
        <f>IF(H288=0,"",'[8]2025-2026'!C287)</f>
        <v/>
      </c>
      <c r="D288" s="68" t="str">
        <f>'[8]2025'!C288</f>
        <v/>
      </c>
      <c r="E288" s="68" t="str">
        <f>'[8]2025'!D288</f>
        <v/>
      </c>
      <c r="F288" s="20" t="str">
        <f>'[8]2025'!E288</f>
        <v/>
      </c>
      <c r="G288" s="73" t="str">
        <f>'[8]2025'!F288</f>
        <v/>
      </c>
      <c r="H288" s="42">
        <f>'[8]2025'!G288</f>
        <v>0</v>
      </c>
      <c r="I288" s="13">
        <f>'[8]2025'!H288</f>
        <v>0</v>
      </c>
      <c r="J288" s="14">
        <f>'[8]2025'!I288</f>
        <v>0</v>
      </c>
      <c r="K288" s="15">
        <f>'[8]2025'!J288</f>
        <v>0</v>
      </c>
      <c r="L288" s="15">
        <f>'[8]2025'!K288</f>
        <v>0</v>
      </c>
      <c r="M288" s="15">
        <f>'[8]2025'!L288</f>
        <v>0</v>
      </c>
      <c r="N288" s="16" t="str">
        <f t="shared" si="16"/>
        <v/>
      </c>
      <c r="O288" s="17" t="str">
        <f t="shared" si="17"/>
        <v/>
      </c>
      <c r="P288" s="17" t="str">
        <f t="shared" si="17"/>
        <v/>
      </c>
      <c r="Q288" s="18" t="str">
        <f t="shared" si="18"/>
        <v/>
      </c>
      <c r="R288" s="18" t="e">
        <f t="shared" si="19"/>
        <v>#DIV/0!</v>
      </c>
      <c r="S288" s="36">
        <f>SUM(J283:J289)</f>
        <v>0</v>
      </c>
      <c r="T288" s="30" t="s">
        <v>3</v>
      </c>
      <c r="U288" s="1738"/>
    </row>
    <row r="289" spans="1:21" ht="18" thickBot="1">
      <c r="A289" s="10" t="s">
        <v>16</v>
      </c>
      <c r="B289" s="19">
        <f>CHAMNORD!B289</f>
        <v>46306</v>
      </c>
      <c r="C289" s="75" t="str">
        <f>IF(H289=0,"",'[8]2025-2026'!C288)</f>
        <v/>
      </c>
      <c r="D289" s="68" t="str">
        <f>'[8]2025'!C289</f>
        <v/>
      </c>
      <c r="E289" s="68" t="str">
        <f>'[8]2025'!D289</f>
        <v/>
      </c>
      <c r="F289" s="20" t="str">
        <f>'[8]2025'!E289</f>
        <v/>
      </c>
      <c r="G289" s="73" t="str">
        <f>'[8]2025'!F289</f>
        <v/>
      </c>
      <c r="H289" s="42">
        <f>'[8]2025'!G289</f>
        <v>0</v>
      </c>
      <c r="I289" s="13">
        <f>'[8]2025'!H289</f>
        <v>0</v>
      </c>
      <c r="J289" s="14">
        <f>'[8]2025'!I289</f>
        <v>0</v>
      </c>
      <c r="K289" s="15">
        <f>'[8]2025'!J289</f>
        <v>0</v>
      </c>
      <c r="L289" s="15">
        <f>'[8]2025'!K289</f>
        <v>0</v>
      </c>
      <c r="M289" s="15">
        <f>'[8]2025'!L289</f>
        <v>0</v>
      </c>
      <c r="N289" s="16" t="str">
        <f t="shared" si="16"/>
        <v/>
      </c>
      <c r="O289" s="17" t="str">
        <f t="shared" si="17"/>
        <v/>
      </c>
      <c r="P289" s="17" t="str">
        <f t="shared" si="17"/>
        <v/>
      </c>
      <c r="Q289" s="18" t="str">
        <f t="shared" si="18"/>
        <v/>
      </c>
      <c r="R289" s="18" t="e">
        <f t="shared" si="19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</row>
    <row r="290" spans="1:21" ht="17" customHeight="1" thickTop="1">
      <c r="A290" s="10" t="s">
        <v>9</v>
      </c>
      <c r="B290" s="19">
        <f>CHAMNORD!B290</f>
        <v>46307</v>
      </c>
      <c r="C290" s="75" t="str">
        <f>IF(H290=0,"",'[8]2025-2026'!C289)</f>
        <v/>
      </c>
      <c r="D290" s="68" t="str">
        <f>'[8]2025'!C290</f>
        <v/>
      </c>
      <c r="E290" s="68" t="str">
        <f>'[8]2025'!D290</f>
        <v/>
      </c>
      <c r="F290" s="20" t="str">
        <f>'[8]2025'!E290</f>
        <v/>
      </c>
      <c r="G290" s="73" t="str">
        <f>'[8]2025'!F290</f>
        <v/>
      </c>
      <c r="H290" s="42">
        <f>'[8]2025'!G290</f>
        <v>0</v>
      </c>
      <c r="I290" s="13">
        <f>'[8]2025'!H290</f>
        <v>0</v>
      </c>
      <c r="J290" s="14">
        <f>'[8]2025'!I290</f>
        <v>0</v>
      </c>
      <c r="K290" s="15">
        <f>'[8]2025'!J290</f>
        <v>0</v>
      </c>
      <c r="L290" s="15">
        <f>'[8]2025'!K290</f>
        <v>0</v>
      </c>
      <c r="M290" s="15">
        <f>'[8]2025'!L290</f>
        <v>0</v>
      </c>
      <c r="N290" s="16" t="str">
        <f t="shared" si="16"/>
        <v/>
      </c>
      <c r="O290" s="17" t="str">
        <f t="shared" si="17"/>
        <v/>
      </c>
      <c r="P290" s="17" t="str">
        <f t="shared" si="17"/>
        <v/>
      </c>
      <c r="Q290" s="18" t="str">
        <f t="shared" si="18"/>
        <v/>
      </c>
      <c r="R290" s="18" t="e">
        <f t="shared" si="19"/>
        <v>#DIV/0!</v>
      </c>
      <c r="S290" s="33" t="s">
        <v>39</v>
      </c>
      <c r="T290" s="31" t="s">
        <v>42</v>
      </c>
      <c r="U290" s="1737" t="s">
        <v>124</v>
      </c>
    </row>
    <row r="291" spans="1:21">
      <c r="A291" s="10" t="s">
        <v>11</v>
      </c>
      <c r="B291" s="19">
        <f>CHAMNORD!B291</f>
        <v>46308</v>
      </c>
      <c r="C291" s="75" t="str">
        <f>IF(H291=0,"",'[8]2025-2026'!C290)</f>
        <v/>
      </c>
      <c r="D291" s="68" t="str">
        <f>'[8]2025'!C291</f>
        <v/>
      </c>
      <c r="E291" s="68" t="str">
        <f>'[8]2025'!D291</f>
        <v/>
      </c>
      <c r="F291" s="20" t="str">
        <f>'[8]2025'!E291</f>
        <v/>
      </c>
      <c r="G291" s="73" t="str">
        <f>'[8]2025'!F291</f>
        <v/>
      </c>
      <c r="H291" s="42">
        <f>'[8]2025'!G291</f>
        <v>0</v>
      </c>
      <c r="I291" s="13">
        <f>'[8]2025'!H291</f>
        <v>0</v>
      </c>
      <c r="J291" s="14">
        <f>'[8]2025'!I291</f>
        <v>0</v>
      </c>
      <c r="K291" s="15">
        <f>'[8]2025'!J291</f>
        <v>0</v>
      </c>
      <c r="L291" s="15">
        <f>'[8]2025'!K291</f>
        <v>0</v>
      </c>
      <c r="M291" s="15">
        <f>'[8]2025'!L291</f>
        <v>0</v>
      </c>
      <c r="N291" s="16" t="str">
        <f t="shared" si="16"/>
        <v/>
      </c>
      <c r="O291" s="17" t="str">
        <f t="shared" si="17"/>
        <v/>
      </c>
      <c r="P291" s="17" t="str">
        <f t="shared" si="17"/>
        <v/>
      </c>
      <c r="Q291" s="18" t="str">
        <f t="shared" si="18"/>
        <v/>
      </c>
      <c r="R291" s="18" t="e">
        <f t="shared" si="19"/>
        <v>#DIV/0!</v>
      </c>
      <c r="S291" s="34">
        <f>SUM(I290:I296)</f>
        <v>0</v>
      </c>
      <c r="T291" s="45" t="s">
        <v>41</v>
      </c>
      <c r="U291" s="1738"/>
    </row>
    <row r="292" spans="1:21">
      <c r="A292" s="10" t="s">
        <v>12</v>
      </c>
      <c r="B292" s="19">
        <f>CHAMNORD!B292</f>
        <v>46309</v>
      </c>
      <c r="C292" s="75" t="str">
        <f>IF(H292=0,"",'[8]2025-2026'!C291)</f>
        <v/>
      </c>
      <c r="D292" s="68" t="str">
        <f>'[8]2025'!C292</f>
        <v/>
      </c>
      <c r="E292" s="68" t="str">
        <f>'[8]2025'!D292</f>
        <v/>
      </c>
      <c r="F292" s="20" t="str">
        <f>'[8]2025'!E292</f>
        <v/>
      </c>
      <c r="G292" s="73" t="str">
        <f>'[8]2025'!F292</f>
        <v/>
      </c>
      <c r="H292" s="42">
        <f>'[8]2025'!G292</f>
        <v>0</v>
      </c>
      <c r="I292" s="13">
        <f>'[8]2025'!H292</f>
        <v>0</v>
      </c>
      <c r="J292" s="14">
        <f>'[8]2025'!I292</f>
        <v>0</v>
      </c>
      <c r="K292" s="15">
        <f>'[8]2025'!J292</f>
        <v>0</v>
      </c>
      <c r="L292" s="15">
        <f>'[8]2025'!K292</f>
        <v>0</v>
      </c>
      <c r="M292" s="15">
        <f>'[8]2025'!L292</f>
        <v>0</v>
      </c>
      <c r="N292" s="16" t="str">
        <f t="shared" si="16"/>
        <v/>
      </c>
      <c r="O292" s="17" t="str">
        <f t="shared" si="17"/>
        <v/>
      </c>
      <c r="P292" s="17" t="str">
        <f t="shared" si="17"/>
        <v/>
      </c>
      <c r="Q292" s="18" t="str">
        <f t="shared" si="18"/>
        <v/>
      </c>
      <c r="R292" s="18" t="e">
        <f t="shared" si="19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</row>
    <row r="293" spans="1:21">
      <c r="A293" s="10" t="s">
        <v>13</v>
      </c>
      <c r="B293" s="19">
        <f>CHAMNORD!B293</f>
        <v>46310</v>
      </c>
      <c r="C293" s="75" t="str">
        <f>IF(H293=0,"",'[8]2025-2026'!C292)</f>
        <v/>
      </c>
      <c r="D293" s="68" t="str">
        <f>'[8]2025'!C293</f>
        <v/>
      </c>
      <c r="E293" s="68" t="str">
        <f>'[8]2025'!D293</f>
        <v/>
      </c>
      <c r="F293" s="20" t="str">
        <f>'[8]2025'!E293</f>
        <v/>
      </c>
      <c r="G293" s="73" t="str">
        <f>'[8]2025'!F293</f>
        <v/>
      </c>
      <c r="H293" s="42">
        <f>'[8]2025'!G293</f>
        <v>0</v>
      </c>
      <c r="I293" s="13">
        <f>'[8]2025'!H293</f>
        <v>0</v>
      </c>
      <c r="J293" s="14">
        <f>'[8]2025'!I293</f>
        <v>0</v>
      </c>
      <c r="K293" s="15">
        <f>'[8]2025'!J293</f>
        <v>0</v>
      </c>
      <c r="L293" s="15">
        <f>'[8]2025'!K293</f>
        <v>0</v>
      </c>
      <c r="M293" s="15">
        <f>'[8]2025'!L293</f>
        <v>0</v>
      </c>
      <c r="N293" s="16" t="str">
        <f t="shared" si="16"/>
        <v/>
      </c>
      <c r="O293" s="17" t="str">
        <f t="shared" si="17"/>
        <v/>
      </c>
      <c r="P293" s="17" t="str">
        <f t="shared" si="17"/>
        <v/>
      </c>
      <c r="Q293" s="18" t="str">
        <f t="shared" si="18"/>
        <v/>
      </c>
      <c r="R293" s="18" t="e">
        <f t="shared" si="19"/>
        <v>#DIV/0!</v>
      </c>
      <c r="S293" s="34"/>
      <c r="T293" s="29" t="s">
        <v>8</v>
      </c>
      <c r="U293" s="1738"/>
    </row>
    <row r="294" spans="1:21">
      <c r="A294" s="10" t="s">
        <v>14</v>
      </c>
      <c r="B294" s="19">
        <f>CHAMNORD!B294</f>
        <v>46311</v>
      </c>
      <c r="C294" s="75" t="str">
        <f>IF(H294=0,"",'[8]2025-2026'!C293)</f>
        <v/>
      </c>
      <c r="D294" s="68" t="str">
        <f>'[8]2025'!C294</f>
        <v/>
      </c>
      <c r="E294" s="68" t="str">
        <f>'[8]2025'!D294</f>
        <v/>
      </c>
      <c r="F294" s="20" t="str">
        <f>'[8]2025'!E294</f>
        <v/>
      </c>
      <c r="G294" s="73" t="str">
        <f>'[8]2025'!F294</f>
        <v/>
      </c>
      <c r="H294" s="42">
        <f>'[8]2025'!G294</f>
        <v>0</v>
      </c>
      <c r="I294" s="13">
        <f>'[8]2025'!H294</f>
        <v>0</v>
      </c>
      <c r="J294" s="14">
        <f>'[8]2025'!I294</f>
        <v>0</v>
      </c>
      <c r="K294" s="15">
        <f>'[8]2025'!J294</f>
        <v>0</v>
      </c>
      <c r="L294" s="15">
        <f>'[8]2025'!K294</f>
        <v>0</v>
      </c>
      <c r="M294" s="15">
        <f>'[8]2025'!L294</f>
        <v>0</v>
      </c>
      <c r="N294" s="16" t="str">
        <f t="shared" si="16"/>
        <v/>
      </c>
      <c r="O294" s="17" t="str">
        <f t="shared" si="17"/>
        <v/>
      </c>
      <c r="P294" s="17" t="str">
        <f t="shared" si="17"/>
        <v/>
      </c>
      <c r="Q294" s="18" t="str">
        <f t="shared" si="18"/>
        <v/>
      </c>
      <c r="R294" s="18" t="e">
        <f t="shared" si="19"/>
        <v>#DIV/0!</v>
      </c>
      <c r="S294" s="36" t="s">
        <v>40</v>
      </c>
      <c r="T294" s="48" t="e">
        <f>SUM(I290:I296)/SUM(L290:L296)</f>
        <v>#DIV/0!</v>
      </c>
      <c r="U294" s="1738"/>
    </row>
    <row r="295" spans="1:21">
      <c r="A295" s="10" t="s">
        <v>15</v>
      </c>
      <c r="B295" s="19">
        <f>CHAMNORD!B295</f>
        <v>46312</v>
      </c>
      <c r="C295" s="75" t="str">
        <f>IF(H295=0,"",'[8]2025-2026'!C294)</f>
        <v/>
      </c>
      <c r="D295" s="68" t="str">
        <f>'[8]2025'!C295</f>
        <v/>
      </c>
      <c r="E295" s="68" t="str">
        <f>'[8]2025'!D295</f>
        <v/>
      </c>
      <c r="F295" s="20" t="str">
        <f>'[8]2025'!E295</f>
        <v/>
      </c>
      <c r="G295" s="73" t="str">
        <f>'[8]2025'!F295</f>
        <v/>
      </c>
      <c r="H295" s="42">
        <f>'[8]2025'!G295</f>
        <v>0</v>
      </c>
      <c r="I295" s="13">
        <f>'[8]2025'!H295</f>
        <v>0</v>
      </c>
      <c r="J295" s="14">
        <f>'[8]2025'!I295</f>
        <v>0</v>
      </c>
      <c r="K295" s="15">
        <f>'[8]2025'!J295</f>
        <v>0</v>
      </c>
      <c r="L295" s="15">
        <f>'[8]2025'!K295</f>
        <v>0</v>
      </c>
      <c r="M295" s="15">
        <f>'[8]2025'!L295</f>
        <v>0</v>
      </c>
      <c r="N295" s="16" t="str">
        <f t="shared" si="16"/>
        <v/>
      </c>
      <c r="O295" s="17" t="str">
        <f t="shared" si="17"/>
        <v/>
      </c>
      <c r="P295" s="17" t="str">
        <f t="shared" si="17"/>
        <v/>
      </c>
      <c r="Q295" s="18" t="str">
        <f t="shared" si="18"/>
        <v/>
      </c>
      <c r="R295" s="18" t="e">
        <f t="shared" si="19"/>
        <v>#DIV/0!</v>
      </c>
      <c r="S295" s="36">
        <f>SUM(J290:J296)</f>
        <v>0</v>
      </c>
      <c r="T295" s="30" t="s">
        <v>3</v>
      </c>
      <c r="U295" s="1738"/>
    </row>
    <row r="296" spans="1:21" ht="18" thickBot="1">
      <c r="A296" s="10" t="s">
        <v>16</v>
      </c>
      <c r="B296" s="19">
        <f>CHAMNORD!B296</f>
        <v>46313</v>
      </c>
      <c r="C296" s="75" t="str">
        <f>IF(H296=0,"",'[8]2025-2026'!C295)</f>
        <v/>
      </c>
      <c r="D296" s="68" t="str">
        <f>'[8]2025'!C296</f>
        <v/>
      </c>
      <c r="E296" s="68" t="str">
        <f>'[8]2025'!D296</f>
        <v/>
      </c>
      <c r="F296" s="20" t="str">
        <f>'[8]2025'!E296</f>
        <v/>
      </c>
      <c r="G296" s="73" t="str">
        <f>'[8]2025'!F296</f>
        <v/>
      </c>
      <c r="H296" s="42">
        <f>'[8]2025'!G296</f>
        <v>0</v>
      </c>
      <c r="I296" s="13">
        <f>'[8]2025'!H296</f>
        <v>0</v>
      </c>
      <c r="J296" s="14">
        <f>'[8]2025'!I296</f>
        <v>0</v>
      </c>
      <c r="K296" s="15">
        <f>'[8]2025'!J296</f>
        <v>0</v>
      </c>
      <c r="L296" s="15">
        <f>'[8]2025'!K296</f>
        <v>0</v>
      </c>
      <c r="M296" s="15">
        <f>'[8]2025'!L296</f>
        <v>0</v>
      </c>
      <c r="N296" s="16" t="str">
        <f t="shared" si="16"/>
        <v/>
      </c>
      <c r="O296" s="17" t="str">
        <f t="shared" si="17"/>
        <v/>
      </c>
      <c r="P296" s="17" t="str">
        <f t="shared" si="17"/>
        <v/>
      </c>
      <c r="Q296" s="18" t="str">
        <f t="shared" si="18"/>
        <v/>
      </c>
      <c r="R296" s="18" t="e">
        <f t="shared" si="19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</row>
    <row r="297" spans="1:21" ht="17" customHeight="1" thickTop="1">
      <c r="A297" s="10" t="s">
        <v>9</v>
      </c>
      <c r="B297" s="19">
        <f>CHAMNORD!B297</f>
        <v>46314</v>
      </c>
      <c r="C297" s="75" t="str">
        <f>IF(H297=0,"",'[8]2025-2026'!C296)</f>
        <v/>
      </c>
      <c r="D297" s="68" t="str">
        <f>'[8]2025'!C297</f>
        <v/>
      </c>
      <c r="E297" s="68" t="str">
        <f>'[8]2025'!D297</f>
        <v/>
      </c>
      <c r="F297" s="20" t="str">
        <f>'[8]2025'!E297</f>
        <v/>
      </c>
      <c r="G297" s="73" t="str">
        <f>'[8]2025'!F297</f>
        <v/>
      </c>
      <c r="H297" s="42">
        <f>'[8]2025'!G297</f>
        <v>0</v>
      </c>
      <c r="I297" s="13">
        <f>'[8]2025'!H297</f>
        <v>0</v>
      </c>
      <c r="J297" s="14">
        <f>'[8]2025'!I297</f>
        <v>0</v>
      </c>
      <c r="K297" s="15">
        <f>'[8]2025'!J297</f>
        <v>0</v>
      </c>
      <c r="L297" s="15">
        <f>'[8]2025'!K297</f>
        <v>0</v>
      </c>
      <c r="M297" s="15">
        <f>'[8]2025'!L297</f>
        <v>0</v>
      </c>
      <c r="N297" s="16" t="str">
        <f t="shared" si="16"/>
        <v/>
      </c>
      <c r="O297" s="17" t="str">
        <f t="shared" si="17"/>
        <v/>
      </c>
      <c r="P297" s="17" t="str">
        <f t="shared" si="17"/>
        <v/>
      </c>
      <c r="Q297" s="18" t="str">
        <f t="shared" si="18"/>
        <v/>
      </c>
      <c r="R297" s="18" t="e">
        <f t="shared" si="19"/>
        <v>#DIV/0!</v>
      </c>
      <c r="S297" s="33" t="s">
        <v>39</v>
      </c>
      <c r="T297" s="31" t="s">
        <v>42</v>
      </c>
      <c r="U297" s="1737" t="s">
        <v>125</v>
      </c>
    </row>
    <row r="298" spans="1:21">
      <c r="A298" s="10" t="s">
        <v>11</v>
      </c>
      <c r="B298" s="19">
        <f>CHAMNORD!B298</f>
        <v>46315</v>
      </c>
      <c r="C298" s="75" t="str">
        <f>IF(H298=0,"",'[8]2025-2026'!C297)</f>
        <v/>
      </c>
      <c r="D298" s="68" t="str">
        <f>'[8]2025'!C298</f>
        <v/>
      </c>
      <c r="E298" s="68" t="str">
        <f>'[8]2025'!D298</f>
        <v/>
      </c>
      <c r="F298" s="20" t="str">
        <f>'[8]2025'!E298</f>
        <v/>
      </c>
      <c r="G298" s="73" t="str">
        <f>'[8]2025'!F298</f>
        <v/>
      </c>
      <c r="H298" s="42">
        <f>'[8]2025'!G298</f>
        <v>0</v>
      </c>
      <c r="I298" s="13">
        <f>'[8]2025'!H298</f>
        <v>0</v>
      </c>
      <c r="J298" s="14">
        <f>'[8]2025'!I298</f>
        <v>0</v>
      </c>
      <c r="K298" s="15">
        <f>'[8]2025'!J298</f>
        <v>0</v>
      </c>
      <c r="L298" s="15">
        <f>'[8]2025'!K298</f>
        <v>0</v>
      </c>
      <c r="M298" s="15">
        <f>'[8]2025'!L298</f>
        <v>0</v>
      </c>
      <c r="N298" s="16" t="str">
        <f t="shared" si="16"/>
        <v/>
      </c>
      <c r="O298" s="17" t="str">
        <f t="shared" si="17"/>
        <v/>
      </c>
      <c r="P298" s="17" t="str">
        <f t="shared" si="17"/>
        <v/>
      </c>
      <c r="Q298" s="18" t="str">
        <f t="shared" si="18"/>
        <v/>
      </c>
      <c r="R298" s="18" t="e">
        <f t="shared" si="19"/>
        <v>#DIV/0!</v>
      </c>
      <c r="S298" s="34">
        <f>SUM(I297:I303)</f>
        <v>0</v>
      </c>
      <c r="T298" s="45" t="s">
        <v>41</v>
      </c>
      <c r="U298" s="1738"/>
    </row>
    <row r="299" spans="1:21">
      <c r="A299" s="10" t="s">
        <v>12</v>
      </c>
      <c r="B299" s="19">
        <f>CHAMNORD!B299</f>
        <v>46316</v>
      </c>
      <c r="C299" s="75" t="str">
        <f>IF(H299=0,"",'[8]2025-2026'!C298)</f>
        <v/>
      </c>
      <c r="D299" s="68" t="str">
        <f>'[8]2025'!C299</f>
        <v/>
      </c>
      <c r="E299" s="68" t="str">
        <f>'[8]2025'!D299</f>
        <v/>
      </c>
      <c r="F299" s="20" t="str">
        <f>'[8]2025'!E299</f>
        <v/>
      </c>
      <c r="G299" s="73" t="str">
        <f>'[8]2025'!F299</f>
        <v/>
      </c>
      <c r="H299" s="42">
        <f>'[8]2025'!G299</f>
        <v>0</v>
      </c>
      <c r="I299" s="13">
        <f>'[8]2025'!H299</f>
        <v>0</v>
      </c>
      <c r="J299" s="14">
        <f>'[8]2025'!I299</f>
        <v>0</v>
      </c>
      <c r="K299" s="15">
        <f>'[8]2025'!J299</f>
        <v>0</v>
      </c>
      <c r="L299" s="15">
        <f>'[8]2025'!K299</f>
        <v>0</v>
      </c>
      <c r="M299" s="15">
        <f>'[8]2025'!L299</f>
        <v>0</v>
      </c>
      <c r="N299" s="16" t="str">
        <f t="shared" si="16"/>
        <v/>
      </c>
      <c r="O299" s="17" t="str">
        <f t="shared" si="17"/>
        <v/>
      </c>
      <c r="P299" s="17" t="str">
        <f t="shared" si="17"/>
        <v/>
      </c>
      <c r="Q299" s="18" t="str">
        <f t="shared" si="18"/>
        <v/>
      </c>
      <c r="R299" s="18" t="e">
        <f t="shared" si="19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</row>
    <row r="300" spans="1:21">
      <c r="A300" s="10" t="s">
        <v>13</v>
      </c>
      <c r="B300" s="19">
        <f>CHAMNORD!B300</f>
        <v>46317</v>
      </c>
      <c r="C300" s="75" t="str">
        <f>IF(H300=0,"",'[8]2025-2026'!C299)</f>
        <v/>
      </c>
      <c r="D300" s="68" t="str">
        <f>'[8]2025'!C300</f>
        <v/>
      </c>
      <c r="E300" s="68" t="str">
        <f>'[8]2025'!D300</f>
        <v/>
      </c>
      <c r="F300" s="20" t="str">
        <f>'[8]2025'!E300</f>
        <v/>
      </c>
      <c r="G300" s="73" t="str">
        <f>'[8]2025'!F300</f>
        <v/>
      </c>
      <c r="H300" s="42">
        <f>'[8]2025'!G300</f>
        <v>0</v>
      </c>
      <c r="I300" s="13">
        <f>'[8]2025'!H300</f>
        <v>0</v>
      </c>
      <c r="J300" s="14">
        <f>'[8]2025'!I300</f>
        <v>0</v>
      </c>
      <c r="K300" s="15">
        <f>'[8]2025'!J300</f>
        <v>0</v>
      </c>
      <c r="L300" s="15">
        <f>'[8]2025'!K300</f>
        <v>0</v>
      </c>
      <c r="M300" s="15">
        <f>'[8]2025'!L300</f>
        <v>0</v>
      </c>
      <c r="N300" s="16" t="str">
        <f t="shared" si="16"/>
        <v/>
      </c>
      <c r="O300" s="17" t="str">
        <f t="shared" si="17"/>
        <v/>
      </c>
      <c r="P300" s="17" t="str">
        <f t="shared" si="17"/>
        <v/>
      </c>
      <c r="Q300" s="18" t="str">
        <f t="shared" si="18"/>
        <v/>
      </c>
      <c r="R300" s="18" t="e">
        <f t="shared" si="19"/>
        <v>#DIV/0!</v>
      </c>
      <c r="S300" s="34"/>
      <c r="T300" s="29" t="s">
        <v>8</v>
      </c>
      <c r="U300" s="1738"/>
    </row>
    <row r="301" spans="1:21">
      <c r="A301" s="10" t="s">
        <v>14</v>
      </c>
      <c r="B301" s="19">
        <f>CHAMNORD!B301</f>
        <v>46318</v>
      </c>
      <c r="C301" s="75" t="str">
        <f>IF(H301=0,"",'[8]2025-2026'!C300)</f>
        <v/>
      </c>
      <c r="D301" s="68" t="str">
        <f>'[8]2025'!C301</f>
        <v/>
      </c>
      <c r="E301" s="68" t="str">
        <f>'[8]2025'!D301</f>
        <v/>
      </c>
      <c r="F301" s="20" t="str">
        <f>'[8]2025'!E301</f>
        <v/>
      </c>
      <c r="G301" s="73" t="str">
        <f>'[8]2025'!F301</f>
        <v/>
      </c>
      <c r="H301" s="42">
        <f>'[8]2025'!G301</f>
        <v>0</v>
      </c>
      <c r="I301" s="13">
        <f>'[8]2025'!H301</f>
        <v>0</v>
      </c>
      <c r="J301" s="14">
        <f>'[8]2025'!I301</f>
        <v>0</v>
      </c>
      <c r="K301" s="15">
        <f>'[8]2025'!J301</f>
        <v>0</v>
      </c>
      <c r="L301" s="15">
        <f>'[8]2025'!K301</f>
        <v>0</v>
      </c>
      <c r="M301" s="15">
        <f>'[8]2025'!L301</f>
        <v>0</v>
      </c>
      <c r="N301" s="16" t="str">
        <f t="shared" si="16"/>
        <v/>
      </c>
      <c r="O301" s="17" t="str">
        <f t="shared" si="17"/>
        <v/>
      </c>
      <c r="P301" s="17" t="str">
        <f t="shared" si="17"/>
        <v/>
      </c>
      <c r="Q301" s="18" t="str">
        <f t="shared" si="18"/>
        <v/>
      </c>
      <c r="R301" s="18" t="e">
        <f t="shared" si="19"/>
        <v>#DIV/0!</v>
      </c>
      <c r="S301" s="36" t="s">
        <v>40</v>
      </c>
      <c r="T301" s="48" t="e">
        <f>SUM(I297:I303)/SUM(L297:L303)</f>
        <v>#DIV/0!</v>
      </c>
      <c r="U301" s="1738"/>
    </row>
    <row r="302" spans="1:21">
      <c r="A302" s="10" t="s">
        <v>15</v>
      </c>
      <c r="B302" s="19">
        <f>CHAMNORD!B302</f>
        <v>46319</v>
      </c>
      <c r="C302" s="75" t="str">
        <f>IF(H302=0,"",'[8]2025-2026'!C301)</f>
        <v/>
      </c>
      <c r="D302" s="68" t="str">
        <f>'[8]2025'!C302</f>
        <v/>
      </c>
      <c r="E302" s="68" t="str">
        <f>'[8]2025'!D302</f>
        <v/>
      </c>
      <c r="F302" s="20" t="str">
        <f>'[8]2025'!E302</f>
        <v/>
      </c>
      <c r="G302" s="73" t="str">
        <f>'[8]2025'!F302</f>
        <v/>
      </c>
      <c r="H302" s="42">
        <f>'[8]2025'!G302</f>
        <v>0</v>
      </c>
      <c r="I302" s="13">
        <f>'[8]2025'!H302</f>
        <v>0</v>
      </c>
      <c r="J302" s="14">
        <f>'[8]2025'!I302</f>
        <v>0</v>
      </c>
      <c r="K302" s="15">
        <f>'[8]2025'!J302</f>
        <v>0</v>
      </c>
      <c r="L302" s="15">
        <f>'[8]2025'!K302</f>
        <v>0</v>
      </c>
      <c r="M302" s="15">
        <f>'[8]2025'!L302</f>
        <v>0</v>
      </c>
      <c r="N302" s="16" t="str">
        <f t="shared" si="16"/>
        <v/>
      </c>
      <c r="O302" s="17" t="str">
        <f t="shared" si="17"/>
        <v/>
      </c>
      <c r="P302" s="17" t="str">
        <f t="shared" si="17"/>
        <v/>
      </c>
      <c r="Q302" s="18" t="str">
        <f t="shared" si="18"/>
        <v/>
      </c>
      <c r="R302" s="18" t="e">
        <f t="shared" si="19"/>
        <v>#DIV/0!</v>
      </c>
      <c r="S302" s="36">
        <f>SUM(J297:J303)</f>
        <v>0</v>
      </c>
      <c r="T302" s="30" t="s">
        <v>3</v>
      </c>
      <c r="U302" s="1738"/>
    </row>
    <row r="303" spans="1:21" ht="18" thickBot="1">
      <c r="A303" s="10" t="s">
        <v>16</v>
      </c>
      <c r="B303" s="19">
        <f>CHAMNORD!B303</f>
        <v>46320</v>
      </c>
      <c r="C303" s="75" t="str">
        <f>IF(H303=0,"",'[8]2025-2026'!C302)</f>
        <v/>
      </c>
      <c r="D303" s="68" t="str">
        <f>'[8]2025'!C303</f>
        <v/>
      </c>
      <c r="E303" s="68" t="str">
        <f>'[8]2025'!D303</f>
        <v/>
      </c>
      <c r="F303" s="20" t="str">
        <f>'[8]2025'!E303</f>
        <v/>
      </c>
      <c r="G303" s="73" t="str">
        <f>'[8]2025'!F303</f>
        <v/>
      </c>
      <c r="H303" s="42">
        <f>'[8]2025'!G303</f>
        <v>0</v>
      </c>
      <c r="I303" s="13">
        <f>'[8]2025'!H303</f>
        <v>0</v>
      </c>
      <c r="J303" s="14">
        <f>'[8]2025'!I303</f>
        <v>0</v>
      </c>
      <c r="K303" s="15">
        <f>'[8]2025'!J303</f>
        <v>0</v>
      </c>
      <c r="L303" s="15">
        <f>'[8]2025'!K303</f>
        <v>0</v>
      </c>
      <c r="M303" s="15">
        <f>'[8]2025'!L303</f>
        <v>0</v>
      </c>
      <c r="N303" s="16" t="str">
        <f t="shared" si="16"/>
        <v/>
      </c>
      <c r="O303" s="17" t="str">
        <f t="shared" si="17"/>
        <v/>
      </c>
      <c r="P303" s="17" t="str">
        <f t="shared" si="17"/>
        <v/>
      </c>
      <c r="Q303" s="18" t="str">
        <f t="shared" si="18"/>
        <v/>
      </c>
      <c r="R303" s="18" t="e">
        <f t="shared" si="19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</row>
    <row r="304" spans="1:21" ht="17" customHeight="1" thickTop="1">
      <c r="A304" s="10" t="s">
        <v>9</v>
      </c>
      <c r="B304" s="19">
        <f>CHAMNORD!B304</f>
        <v>46321</v>
      </c>
      <c r="C304" s="75" t="str">
        <f>IF(H304=0,"",'[8]2025-2026'!C303)</f>
        <v/>
      </c>
      <c r="D304" s="68" t="str">
        <f>'[8]2025'!C304</f>
        <v/>
      </c>
      <c r="E304" s="68" t="str">
        <f>'[8]2025'!D304</f>
        <v/>
      </c>
      <c r="F304" s="20" t="str">
        <f>'[8]2025'!E304</f>
        <v/>
      </c>
      <c r="G304" s="73" t="str">
        <f>'[8]2025'!F304</f>
        <v/>
      </c>
      <c r="H304" s="42">
        <f>'[8]2025'!G304</f>
        <v>0</v>
      </c>
      <c r="I304" s="13">
        <f>'[8]2025'!H304</f>
        <v>0</v>
      </c>
      <c r="J304" s="14">
        <f>'[8]2025'!I304</f>
        <v>0</v>
      </c>
      <c r="K304" s="15">
        <f>'[8]2025'!J304</f>
        <v>0</v>
      </c>
      <c r="L304" s="15">
        <f>'[8]2025'!K304</f>
        <v>0</v>
      </c>
      <c r="M304" s="15">
        <f>'[8]2025'!L304</f>
        <v>0</v>
      </c>
      <c r="N304" s="16" t="str">
        <f t="shared" si="16"/>
        <v/>
      </c>
      <c r="O304" s="17" t="str">
        <f t="shared" si="17"/>
        <v/>
      </c>
      <c r="P304" s="17" t="str">
        <f t="shared" si="17"/>
        <v/>
      </c>
      <c r="Q304" s="18" t="str">
        <f t="shared" si="18"/>
        <v/>
      </c>
      <c r="R304" s="18" t="e">
        <f t="shared" si="19"/>
        <v>#DIV/0!</v>
      </c>
      <c r="S304" s="33" t="s">
        <v>39</v>
      </c>
      <c r="T304" s="31" t="s">
        <v>42</v>
      </c>
      <c r="U304" s="1737" t="s">
        <v>126</v>
      </c>
    </row>
    <row r="305" spans="1:21">
      <c r="A305" s="10" t="s">
        <v>11</v>
      </c>
      <c r="B305" s="19">
        <f>CHAMNORD!B305</f>
        <v>46322</v>
      </c>
      <c r="C305" s="75" t="str">
        <f>IF(H305=0,"",'[8]2025-2026'!C304)</f>
        <v/>
      </c>
      <c r="D305" s="68" t="str">
        <f>'[8]2025'!C305</f>
        <v/>
      </c>
      <c r="E305" s="68" t="str">
        <f>'[8]2025'!D305</f>
        <v/>
      </c>
      <c r="F305" s="20" t="str">
        <f>'[8]2025'!E305</f>
        <v/>
      </c>
      <c r="G305" s="73" t="str">
        <f>'[8]2025'!F305</f>
        <v/>
      </c>
      <c r="H305" s="42">
        <f>'[8]2025'!G305</f>
        <v>0</v>
      </c>
      <c r="I305" s="13">
        <f>'[8]2025'!H305</f>
        <v>0</v>
      </c>
      <c r="J305" s="14">
        <f>'[8]2025'!I305</f>
        <v>0</v>
      </c>
      <c r="K305" s="15">
        <f>'[8]2025'!J305</f>
        <v>0</v>
      </c>
      <c r="L305" s="15">
        <f>'[8]2025'!K305</f>
        <v>0</v>
      </c>
      <c r="M305" s="15">
        <f>'[8]2025'!L305</f>
        <v>0</v>
      </c>
      <c r="N305" s="16" t="str">
        <f t="shared" si="16"/>
        <v/>
      </c>
      <c r="O305" s="17" t="str">
        <f t="shared" si="17"/>
        <v/>
      </c>
      <c r="P305" s="17" t="str">
        <f t="shared" si="17"/>
        <v/>
      </c>
      <c r="Q305" s="18" t="str">
        <f t="shared" si="18"/>
        <v/>
      </c>
      <c r="R305" s="18" t="e">
        <f t="shared" si="19"/>
        <v>#DIV/0!</v>
      </c>
      <c r="S305" s="34">
        <f>SUM(I304:I310)</f>
        <v>0</v>
      </c>
      <c r="T305" s="45" t="s">
        <v>41</v>
      </c>
      <c r="U305" s="1738"/>
    </row>
    <row r="306" spans="1:21">
      <c r="A306" s="10" t="s">
        <v>12</v>
      </c>
      <c r="B306" s="19">
        <f>CHAMNORD!B306</f>
        <v>46323</v>
      </c>
      <c r="C306" s="75" t="str">
        <f>IF(H306=0,"",'[8]2025-2026'!C305)</f>
        <v/>
      </c>
      <c r="D306" s="68" t="str">
        <f>'[8]2025'!C306</f>
        <v/>
      </c>
      <c r="E306" s="68" t="str">
        <f>'[8]2025'!D306</f>
        <v/>
      </c>
      <c r="F306" s="20" t="str">
        <f>'[8]2025'!E306</f>
        <v/>
      </c>
      <c r="G306" s="73" t="str">
        <f>'[8]2025'!F306</f>
        <v/>
      </c>
      <c r="H306" s="42">
        <f>'[8]2025'!G306</f>
        <v>0</v>
      </c>
      <c r="I306" s="13">
        <f>'[8]2025'!H306</f>
        <v>0</v>
      </c>
      <c r="J306" s="14">
        <f>'[8]2025'!I306</f>
        <v>0</v>
      </c>
      <c r="K306" s="15">
        <f>'[8]2025'!J306</f>
        <v>0</v>
      </c>
      <c r="L306" s="15">
        <f>'[8]2025'!K306</f>
        <v>0</v>
      </c>
      <c r="M306" s="15">
        <f>'[8]2025'!L306</f>
        <v>0</v>
      </c>
      <c r="N306" s="16" t="str">
        <f t="shared" si="16"/>
        <v/>
      </c>
      <c r="O306" s="17" t="str">
        <f t="shared" si="17"/>
        <v/>
      </c>
      <c r="P306" s="17" t="str">
        <f t="shared" si="17"/>
        <v/>
      </c>
      <c r="Q306" s="18" t="str">
        <f t="shared" si="18"/>
        <v/>
      </c>
      <c r="R306" s="18" t="e">
        <f t="shared" si="19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</row>
    <row r="307" spans="1:21">
      <c r="A307" s="10" t="s">
        <v>13</v>
      </c>
      <c r="B307" s="19">
        <f>CHAMNORD!B307</f>
        <v>46324</v>
      </c>
      <c r="C307" s="75" t="str">
        <f>IF(H307=0,"",'[8]2025-2026'!C306)</f>
        <v/>
      </c>
      <c r="D307" s="68" t="str">
        <f>'[8]2025'!C307</f>
        <v/>
      </c>
      <c r="E307" s="68" t="str">
        <f>'[8]2025'!D307</f>
        <v/>
      </c>
      <c r="F307" s="20" t="str">
        <f>'[8]2025'!E307</f>
        <v/>
      </c>
      <c r="G307" s="73" t="str">
        <f>'[8]2025'!F307</f>
        <v/>
      </c>
      <c r="H307" s="42">
        <f>'[8]2025'!G307</f>
        <v>0</v>
      </c>
      <c r="I307" s="13">
        <f>'[8]2025'!H307</f>
        <v>0</v>
      </c>
      <c r="J307" s="14">
        <f>'[8]2025'!I307</f>
        <v>0</v>
      </c>
      <c r="K307" s="15">
        <f>'[8]2025'!J307</f>
        <v>0</v>
      </c>
      <c r="L307" s="15">
        <f>'[8]2025'!K307</f>
        <v>0</v>
      </c>
      <c r="M307" s="15">
        <f>'[8]2025'!L307</f>
        <v>0</v>
      </c>
      <c r="N307" s="16" t="str">
        <f t="shared" si="16"/>
        <v/>
      </c>
      <c r="O307" s="17" t="str">
        <f t="shared" si="17"/>
        <v/>
      </c>
      <c r="P307" s="17" t="str">
        <f t="shared" si="17"/>
        <v/>
      </c>
      <c r="Q307" s="18" t="str">
        <f t="shared" si="18"/>
        <v/>
      </c>
      <c r="R307" s="18" t="e">
        <f t="shared" si="19"/>
        <v>#DIV/0!</v>
      </c>
      <c r="S307" s="34"/>
      <c r="T307" s="29" t="s">
        <v>8</v>
      </c>
      <c r="U307" s="1738"/>
    </row>
    <row r="308" spans="1:21">
      <c r="A308" s="10" t="s">
        <v>14</v>
      </c>
      <c r="B308" s="19">
        <f>CHAMNORD!B308</f>
        <v>46325</v>
      </c>
      <c r="C308" s="75" t="str">
        <f>IF(H308=0,"",'[8]2025-2026'!C307)</f>
        <v/>
      </c>
      <c r="D308" s="68" t="str">
        <f>'[8]2025'!C308</f>
        <v/>
      </c>
      <c r="E308" s="68" t="str">
        <f>'[8]2025'!D308</f>
        <v/>
      </c>
      <c r="F308" s="20" t="str">
        <f>'[8]2025'!E308</f>
        <v/>
      </c>
      <c r="G308" s="73" t="str">
        <f>'[8]2025'!F308</f>
        <v/>
      </c>
      <c r="H308" s="42">
        <f>'[8]2025'!G308</f>
        <v>0</v>
      </c>
      <c r="I308" s="13">
        <f>'[8]2025'!H308</f>
        <v>0</v>
      </c>
      <c r="J308" s="14">
        <f>'[8]2025'!I308</f>
        <v>0</v>
      </c>
      <c r="K308" s="15">
        <f>'[8]2025'!J308</f>
        <v>0</v>
      </c>
      <c r="L308" s="15">
        <f>'[8]2025'!K308</f>
        <v>0</v>
      </c>
      <c r="M308" s="15">
        <f>'[8]2025'!L308</f>
        <v>0</v>
      </c>
      <c r="N308" s="16" t="str">
        <f t="shared" si="16"/>
        <v/>
      </c>
      <c r="O308" s="17" t="str">
        <f t="shared" si="17"/>
        <v/>
      </c>
      <c r="P308" s="17" t="str">
        <f t="shared" si="17"/>
        <v/>
      </c>
      <c r="Q308" s="18" t="str">
        <f t="shared" si="18"/>
        <v/>
      </c>
      <c r="R308" s="18" t="e">
        <f t="shared" si="19"/>
        <v>#DIV/0!</v>
      </c>
      <c r="S308" s="36" t="s">
        <v>40</v>
      </c>
      <c r="T308" s="48" t="e">
        <f>SUM(I304:I310)/SUM(L304:L310)</f>
        <v>#DIV/0!</v>
      </c>
      <c r="U308" s="1738"/>
    </row>
    <row r="309" spans="1:21">
      <c r="A309" s="10" t="s">
        <v>15</v>
      </c>
      <c r="B309" s="19">
        <f>CHAMNORD!B309</f>
        <v>46326</v>
      </c>
      <c r="C309" s="75" t="str">
        <f>IF(H309=0,"",'[8]2025-2026'!C308)</f>
        <v/>
      </c>
      <c r="D309" s="68" t="str">
        <f>'[8]2025'!C309</f>
        <v/>
      </c>
      <c r="E309" s="68" t="str">
        <f>'[8]2025'!D309</f>
        <v/>
      </c>
      <c r="F309" s="20" t="str">
        <f>'[8]2025'!E309</f>
        <v/>
      </c>
      <c r="G309" s="73" t="str">
        <f>'[8]2025'!F309</f>
        <v/>
      </c>
      <c r="H309" s="42">
        <f>'[8]2025'!G309</f>
        <v>0</v>
      </c>
      <c r="I309" s="13">
        <f>'[8]2025'!H309</f>
        <v>0</v>
      </c>
      <c r="J309" s="14">
        <f>'[8]2025'!I309</f>
        <v>0</v>
      </c>
      <c r="K309" s="15">
        <f>'[8]2025'!J309</f>
        <v>0</v>
      </c>
      <c r="L309" s="15">
        <f>'[8]2025'!K309</f>
        <v>0</v>
      </c>
      <c r="M309" s="15">
        <f>'[8]2025'!L309</f>
        <v>0</v>
      </c>
      <c r="N309" s="16" t="str">
        <f t="shared" si="16"/>
        <v/>
      </c>
      <c r="O309" s="17" t="str">
        <f t="shared" si="17"/>
        <v/>
      </c>
      <c r="P309" s="17" t="str">
        <f t="shared" si="17"/>
        <v/>
      </c>
      <c r="Q309" s="18" t="str">
        <f t="shared" si="18"/>
        <v/>
      </c>
      <c r="R309" s="18" t="e">
        <f t="shared" si="19"/>
        <v>#DIV/0!</v>
      </c>
      <c r="S309" s="36">
        <f>SUM(J304:J310)</f>
        <v>0</v>
      </c>
      <c r="T309" s="30" t="s">
        <v>3</v>
      </c>
      <c r="U309" s="1738"/>
    </row>
    <row r="310" spans="1:21" ht="18" thickBot="1">
      <c r="A310" s="10" t="s">
        <v>16</v>
      </c>
      <c r="B310" s="19">
        <f>CHAMNORD!B310</f>
        <v>46327</v>
      </c>
      <c r="C310" s="75" t="str">
        <f>IF(H310=0,"",'[8]2025-2026'!C309)</f>
        <v/>
      </c>
      <c r="D310" s="68" t="str">
        <f>'[8]2025'!C310</f>
        <v/>
      </c>
      <c r="E310" s="68" t="str">
        <f>'[8]2025'!D310</f>
        <v/>
      </c>
      <c r="F310" s="20" t="str">
        <f>'[8]2025'!E310</f>
        <v/>
      </c>
      <c r="G310" s="73" t="str">
        <f>'[8]2025'!F310</f>
        <v/>
      </c>
      <c r="H310" s="42">
        <f>'[8]2025'!G310</f>
        <v>0</v>
      </c>
      <c r="I310" s="13">
        <f>'[8]2025'!H310</f>
        <v>0</v>
      </c>
      <c r="J310" s="14">
        <f>'[8]2025'!I310</f>
        <v>0</v>
      </c>
      <c r="K310" s="15">
        <f>'[8]2025'!J310</f>
        <v>0</v>
      </c>
      <c r="L310" s="15">
        <f>'[8]2025'!K310</f>
        <v>0</v>
      </c>
      <c r="M310" s="15">
        <f>'[8]2025'!L310</f>
        <v>0</v>
      </c>
      <c r="N310" s="16" t="str">
        <f t="shared" si="16"/>
        <v/>
      </c>
      <c r="O310" s="17" t="str">
        <f t="shared" si="17"/>
        <v/>
      </c>
      <c r="P310" s="17" t="str">
        <f t="shared" si="17"/>
        <v/>
      </c>
      <c r="Q310" s="18" t="str">
        <f t="shared" si="18"/>
        <v/>
      </c>
      <c r="R310" s="18" t="e">
        <f t="shared" si="19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</row>
    <row r="311" spans="1:21" ht="17" customHeight="1" thickTop="1">
      <c r="A311" s="10" t="s">
        <v>9</v>
      </c>
      <c r="B311" s="19">
        <f>CHAMNORD!B311</f>
        <v>46328</v>
      </c>
      <c r="C311" s="75" t="str">
        <f>IF(H311=0,"",'[8]2025-2026'!C310)</f>
        <v/>
      </c>
      <c r="D311" s="68" t="str">
        <f>'[8]2025'!C311</f>
        <v/>
      </c>
      <c r="E311" s="68" t="str">
        <f>'[8]2025'!D311</f>
        <v/>
      </c>
      <c r="F311" s="20" t="str">
        <f>'[8]2025'!E311</f>
        <v/>
      </c>
      <c r="G311" s="73" t="str">
        <f>'[8]2025'!F311</f>
        <v/>
      </c>
      <c r="H311" s="42">
        <f>'[8]2025'!G311</f>
        <v>0</v>
      </c>
      <c r="I311" s="13">
        <f>'[8]2025'!H311</f>
        <v>0</v>
      </c>
      <c r="J311" s="14">
        <f>'[8]2025'!I311</f>
        <v>0</v>
      </c>
      <c r="K311" s="15">
        <f>'[8]2025'!J311</f>
        <v>0</v>
      </c>
      <c r="L311" s="15">
        <f>'[8]2025'!K311</f>
        <v>0</v>
      </c>
      <c r="M311" s="15">
        <f>'[8]2025'!L311</f>
        <v>0</v>
      </c>
      <c r="N311" s="16" t="str">
        <f t="shared" si="16"/>
        <v/>
      </c>
      <c r="O311" s="17" t="str">
        <f t="shared" si="17"/>
        <v/>
      </c>
      <c r="P311" s="17" t="str">
        <f t="shared" si="17"/>
        <v/>
      </c>
      <c r="Q311" s="18" t="str">
        <f t="shared" si="18"/>
        <v/>
      </c>
      <c r="R311" s="18" t="e">
        <f t="shared" si="19"/>
        <v>#DIV/0!</v>
      </c>
      <c r="S311" s="33" t="s">
        <v>39</v>
      </c>
      <c r="T311" s="31" t="s">
        <v>42</v>
      </c>
      <c r="U311" s="1737" t="s">
        <v>127</v>
      </c>
    </row>
    <row r="312" spans="1:21">
      <c r="A312" s="10" t="s">
        <v>11</v>
      </c>
      <c r="B312" s="19">
        <f>CHAMNORD!B312</f>
        <v>46329</v>
      </c>
      <c r="C312" s="75" t="str">
        <f>IF(H312=0,"",'[8]2025-2026'!C311)</f>
        <v/>
      </c>
      <c r="D312" s="68" t="str">
        <f>'[8]2025'!C312</f>
        <v/>
      </c>
      <c r="E312" s="68" t="str">
        <f>'[8]2025'!D312</f>
        <v/>
      </c>
      <c r="F312" s="20" t="str">
        <f>'[8]2025'!E312</f>
        <v/>
      </c>
      <c r="G312" s="73" t="str">
        <f>'[8]2025'!F312</f>
        <v/>
      </c>
      <c r="H312" s="42">
        <f>'[8]2025'!G312</f>
        <v>0</v>
      </c>
      <c r="I312" s="13">
        <f>'[8]2025'!H312</f>
        <v>0</v>
      </c>
      <c r="J312" s="14">
        <f>'[8]2025'!I312</f>
        <v>0</v>
      </c>
      <c r="K312" s="15">
        <f>'[8]2025'!J312</f>
        <v>0</v>
      </c>
      <c r="L312" s="15">
        <f>'[8]2025'!K312</f>
        <v>0</v>
      </c>
      <c r="M312" s="15">
        <f>'[8]2025'!L312</f>
        <v>0</v>
      </c>
      <c r="N312" s="16" t="str">
        <f t="shared" si="16"/>
        <v/>
      </c>
      <c r="O312" s="17" t="str">
        <f t="shared" si="17"/>
        <v/>
      </c>
      <c r="P312" s="17" t="str">
        <f t="shared" si="17"/>
        <v/>
      </c>
      <c r="Q312" s="18" t="str">
        <f t="shared" si="18"/>
        <v/>
      </c>
      <c r="R312" s="18" t="e">
        <f t="shared" si="19"/>
        <v>#DIV/0!</v>
      </c>
      <c r="S312" s="34">
        <f>SUM(I311:I317)</f>
        <v>0</v>
      </c>
      <c r="T312" s="45" t="s">
        <v>41</v>
      </c>
      <c r="U312" s="1738"/>
    </row>
    <row r="313" spans="1:21">
      <c r="A313" s="10" t="s">
        <v>12</v>
      </c>
      <c r="B313" s="19">
        <f>CHAMNORD!B313</f>
        <v>46330</v>
      </c>
      <c r="C313" s="75" t="str">
        <f>IF(H313=0,"",'[8]2025-2026'!C312)</f>
        <v/>
      </c>
      <c r="D313" s="68" t="str">
        <f>'[8]2025'!C313</f>
        <v/>
      </c>
      <c r="E313" s="68" t="str">
        <f>'[8]2025'!D313</f>
        <v/>
      </c>
      <c r="F313" s="20" t="str">
        <f>'[8]2025'!E313</f>
        <v/>
      </c>
      <c r="G313" s="73" t="str">
        <f>'[8]2025'!F313</f>
        <v/>
      </c>
      <c r="H313" s="42">
        <f>'[8]2025'!G313</f>
        <v>0</v>
      </c>
      <c r="I313" s="13">
        <f>'[8]2025'!H313</f>
        <v>0</v>
      </c>
      <c r="J313" s="14">
        <f>'[8]2025'!I313</f>
        <v>0</v>
      </c>
      <c r="K313" s="15">
        <f>'[8]2025'!J313</f>
        <v>0</v>
      </c>
      <c r="L313" s="15">
        <f>'[8]2025'!K313</f>
        <v>0</v>
      </c>
      <c r="M313" s="15">
        <f>'[8]2025'!L313</f>
        <v>0</v>
      </c>
      <c r="N313" s="16" t="str">
        <f t="shared" si="16"/>
        <v/>
      </c>
      <c r="O313" s="17" t="str">
        <f t="shared" si="17"/>
        <v/>
      </c>
      <c r="P313" s="17" t="str">
        <f t="shared" si="17"/>
        <v/>
      </c>
      <c r="Q313" s="18" t="str">
        <f t="shared" si="18"/>
        <v/>
      </c>
      <c r="R313" s="18" t="e">
        <f t="shared" si="19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</row>
    <row r="314" spans="1:21">
      <c r="A314" s="10" t="s">
        <v>13</v>
      </c>
      <c r="B314" s="19">
        <f>CHAMNORD!B314</f>
        <v>46331</v>
      </c>
      <c r="C314" s="75" t="str">
        <f>IF(H314=0,"",'[8]2025-2026'!C313)</f>
        <v/>
      </c>
      <c r="D314" s="68" t="str">
        <f>'[8]2025'!C314</f>
        <v/>
      </c>
      <c r="E314" s="68" t="str">
        <f>'[8]2025'!D314</f>
        <v/>
      </c>
      <c r="F314" s="20" t="str">
        <f>'[8]2025'!E314</f>
        <v/>
      </c>
      <c r="G314" s="73" t="str">
        <f>'[8]2025'!F314</f>
        <v/>
      </c>
      <c r="H314" s="42">
        <f>'[8]2025'!G314</f>
        <v>0</v>
      </c>
      <c r="I314" s="13">
        <f>'[8]2025'!H314</f>
        <v>0</v>
      </c>
      <c r="J314" s="14">
        <f>'[8]2025'!I314</f>
        <v>0</v>
      </c>
      <c r="K314" s="15">
        <f>'[8]2025'!J314</f>
        <v>0</v>
      </c>
      <c r="L314" s="15">
        <f>'[8]2025'!K314</f>
        <v>0</v>
      </c>
      <c r="M314" s="15">
        <f>'[8]2025'!L314</f>
        <v>0</v>
      </c>
      <c r="N314" s="16" t="str">
        <f t="shared" si="16"/>
        <v/>
      </c>
      <c r="O314" s="17" t="str">
        <f t="shared" si="17"/>
        <v/>
      </c>
      <c r="P314" s="17" t="str">
        <f t="shared" si="17"/>
        <v/>
      </c>
      <c r="Q314" s="18" t="str">
        <f t="shared" si="18"/>
        <v/>
      </c>
      <c r="R314" s="18" t="e">
        <f t="shared" si="19"/>
        <v>#DIV/0!</v>
      </c>
      <c r="S314" s="34"/>
      <c r="T314" s="29" t="s">
        <v>8</v>
      </c>
      <c r="U314" s="1738"/>
    </row>
    <row r="315" spans="1:21">
      <c r="A315" s="10" t="s">
        <v>14</v>
      </c>
      <c r="B315" s="19">
        <f>CHAMNORD!B315</f>
        <v>46332</v>
      </c>
      <c r="C315" s="75" t="str">
        <f>IF(H315=0,"",'[8]2025-2026'!C314)</f>
        <v/>
      </c>
      <c r="D315" s="68" t="str">
        <f>'[8]2025'!C315</f>
        <v/>
      </c>
      <c r="E315" s="68" t="str">
        <f>'[8]2025'!D315</f>
        <v/>
      </c>
      <c r="F315" s="20" t="str">
        <f>'[8]2025'!E315</f>
        <v/>
      </c>
      <c r="G315" s="73" t="str">
        <f>'[8]2025'!F315</f>
        <v/>
      </c>
      <c r="H315" s="42">
        <f>'[8]2025'!G315</f>
        <v>0</v>
      </c>
      <c r="I315" s="13">
        <f>'[8]2025'!H315</f>
        <v>0</v>
      </c>
      <c r="J315" s="14">
        <f>'[8]2025'!I315</f>
        <v>0</v>
      </c>
      <c r="K315" s="15">
        <f>'[8]2025'!J315</f>
        <v>0</v>
      </c>
      <c r="L315" s="15">
        <f>'[8]2025'!K315</f>
        <v>0</v>
      </c>
      <c r="M315" s="15">
        <f>'[8]2025'!L315</f>
        <v>0</v>
      </c>
      <c r="N315" s="16" t="str">
        <f t="shared" si="16"/>
        <v/>
      </c>
      <c r="O315" s="17" t="str">
        <f t="shared" si="17"/>
        <v/>
      </c>
      <c r="P315" s="17" t="str">
        <f t="shared" si="17"/>
        <v/>
      </c>
      <c r="Q315" s="18" t="str">
        <f t="shared" si="18"/>
        <v/>
      </c>
      <c r="R315" s="18" t="e">
        <f t="shared" si="19"/>
        <v>#DIV/0!</v>
      </c>
      <c r="S315" s="36" t="s">
        <v>40</v>
      </c>
      <c r="T315" s="48" t="e">
        <f>SUM(I311:I317)/SUM(L311:L317)</f>
        <v>#DIV/0!</v>
      </c>
      <c r="U315" s="1738"/>
    </row>
    <row r="316" spans="1:21">
      <c r="A316" s="10" t="s">
        <v>15</v>
      </c>
      <c r="B316" s="19">
        <f>CHAMNORD!B316</f>
        <v>46333</v>
      </c>
      <c r="C316" s="75" t="str">
        <f>IF(H316=0,"",'[8]2025-2026'!C315)</f>
        <v/>
      </c>
      <c r="D316" s="68" t="str">
        <f>'[8]2025'!C316</f>
        <v/>
      </c>
      <c r="E316" s="68" t="str">
        <f>'[8]2025'!D316</f>
        <v/>
      </c>
      <c r="F316" s="20" t="str">
        <f>'[8]2025'!E316</f>
        <v/>
      </c>
      <c r="G316" s="73" t="str">
        <f>'[8]2025'!F316</f>
        <v/>
      </c>
      <c r="H316" s="42">
        <f>'[8]2025'!G316</f>
        <v>0</v>
      </c>
      <c r="I316" s="13">
        <f>'[8]2025'!H316</f>
        <v>0</v>
      </c>
      <c r="J316" s="14">
        <f>'[8]2025'!I316</f>
        <v>0</v>
      </c>
      <c r="K316" s="15">
        <f>'[8]2025'!J316</f>
        <v>0</v>
      </c>
      <c r="L316" s="15">
        <f>'[8]2025'!K316</f>
        <v>0</v>
      </c>
      <c r="M316" s="15">
        <f>'[8]2025'!L316</f>
        <v>0</v>
      </c>
      <c r="N316" s="16" t="str">
        <f t="shared" si="16"/>
        <v/>
      </c>
      <c r="O316" s="17" t="str">
        <f t="shared" si="17"/>
        <v/>
      </c>
      <c r="P316" s="17" t="str">
        <f t="shared" si="17"/>
        <v/>
      </c>
      <c r="Q316" s="18" t="str">
        <f t="shared" si="18"/>
        <v/>
      </c>
      <c r="R316" s="18" t="e">
        <f t="shared" si="19"/>
        <v>#DIV/0!</v>
      </c>
      <c r="S316" s="36">
        <f>SUM(J311:J317)</f>
        <v>0</v>
      </c>
      <c r="T316" s="30" t="s">
        <v>3</v>
      </c>
      <c r="U316" s="1738"/>
    </row>
    <row r="317" spans="1:21" ht="18" thickBot="1">
      <c r="A317" s="10" t="s">
        <v>16</v>
      </c>
      <c r="B317" s="19">
        <f>CHAMNORD!B317</f>
        <v>46334</v>
      </c>
      <c r="C317" s="75" t="str">
        <f>IF(H317=0,"",'[8]2025-2026'!C316)</f>
        <v/>
      </c>
      <c r="D317" s="68" t="str">
        <f>'[8]2025'!C317</f>
        <v/>
      </c>
      <c r="E317" s="68" t="str">
        <f>'[8]2025'!D317</f>
        <v/>
      </c>
      <c r="F317" s="20" t="str">
        <f>'[8]2025'!E317</f>
        <v/>
      </c>
      <c r="G317" s="73" t="str">
        <f>'[8]2025'!F317</f>
        <v/>
      </c>
      <c r="H317" s="42">
        <f>'[8]2025'!G317</f>
        <v>0</v>
      </c>
      <c r="I317" s="13">
        <f>'[8]2025'!H317</f>
        <v>0</v>
      </c>
      <c r="J317" s="14">
        <f>'[8]2025'!I317</f>
        <v>0</v>
      </c>
      <c r="K317" s="15">
        <f>'[8]2025'!J317</f>
        <v>0</v>
      </c>
      <c r="L317" s="15">
        <f>'[8]2025'!K317</f>
        <v>0</v>
      </c>
      <c r="M317" s="15">
        <f>'[8]2025'!L317</f>
        <v>0</v>
      </c>
      <c r="N317" s="16" t="str">
        <f t="shared" si="16"/>
        <v/>
      </c>
      <c r="O317" s="17" t="str">
        <f t="shared" si="17"/>
        <v/>
      </c>
      <c r="P317" s="17" t="str">
        <f t="shared" si="17"/>
        <v/>
      </c>
      <c r="Q317" s="18" t="str">
        <f t="shared" si="18"/>
        <v/>
      </c>
      <c r="R317" s="18" t="e">
        <f t="shared" si="19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</row>
    <row r="318" spans="1:21" ht="17" customHeight="1" thickTop="1">
      <c r="A318" s="10" t="s">
        <v>9</v>
      </c>
      <c r="B318" s="19">
        <f>CHAMNORD!B318</f>
        <v>46335</v>
      </c>
      <c r="C318" s="75" t="str">
        <f>IF(H318=0,"",'[8]2025-2026'!C317)</f>
        <v/>
      </c>
      <c r="D318" s="68" t="str">
        <f>'[8]2025'!C318</f>
        <v/>
      </c>
      <c r="E318" s="68" t="str">
        <f>'[8]2025'!D318</f>
        <v/>
      </c>
      <c r="F318" s="20" t="str">
        <f>'[8]2025'!E318</f>
        <v/>
      </c>
      <c r="G318" s="73" t="str">
        <f>'[8]2025'!F318</f>
        <v/>
      </c>
      <c r="H318" s="42">
        <f>'[8]2025'!G318</f>
        <v>0</v>
      </c>
      <c r="I318" s="13">
        <f>'[8]2025'!H318</f>
        <v>0</v>
      </c>
      <c r="J318" s="14">
        <f>'[8]2025'!I318</f>
        <v>0</v>
      </c>
      <c r="K318" s="15">
        <f>'[8]2025'!J318</f>
        <v>0</v>
      </c>
      <c r="L318" s="15">
        <f>'[8]2025'!K318</f>
        <v>0</v>
      </c>
      <c r="M318" s="15">
        <f>'[8]2025'!L318</f>
        <v>0</v>
      </c>
      <c r="N318" s="16" t="str">
        <f t="shared" si="16"/>
        <v/>
      </c>
      <c r="O318" s="17" t="str">
        <f t="shared" si="17"/>
        <v/>
      </c>
      <c r="P318" s="17" t="str">
        <f t="shared" si="17"/>
        <v/>
      </c>
      <c r="Q318" s="18" t="str">
        <f t="shared" si="18"/>
        <v/>
      </c>
      <c r="R318" s="18" t="e">
        <f t="shared" si="19"/>
        <v>#DIV/0!</v>
      </c>
      <c r="S318" s="33" t="s">
        <v>39</v>
      </c>
      <c r="T318" s="31" t="s">
        <v>42</v>
      </c>
      <c r="U318" s="1737" t="s">
        <v>128</v>
      </c>
    </row>
    <row r="319" spans="1:21">
      <c r="A319" s="10" t="s">
        <v>11</v>
      </c>
      <c r="B319" s="19">
        <f>CHAMNORD!B319</f>
        <v>46336</v>
      </c>
      <c r="C319" s="75" t="str">
        <f>IF(H319=0,"",'[8]2025-2026'!C318)</f>
        <v/>
      </c>
      <c r="D319" s="68" t="str">
        <f>'[8]2025'!C319</f>
        <v/>
      </c>
      <c r="E319" s="68" t="str">
        <f>'[8]2025'!D319</f>
        <v/>
      </c>
      <c r="F319" s="20" t="str">
        <f>'[8]2025'!E319</f>
        <v/>
      </c>
      <c r="G319" s="73" t="str">
        <f>'[8]2025'!F319</f>
        <v/>
      </c>
      <c r="H319" s="42">
        <f>'[8]2025'!G319</f>
        <v>0</v>
      </c>
      <c r="I319" s="13">
        <f>'[8]2025'!H319</f>
        <v>0</v>
      </c>
      <c r="J319" s="14">
        <f>'[8]2025'!I319</f>
        <v>0</v>
      </c>
      <c r="K319" s="15">
        <f>'[8]2025'!J319</f>
        <v>0</v>
      </c>
      <c r="L319" s="15">
        <f>'[8]2025'!K319</f>
        <v>0</v>
      </c>
      <c r="M319" s="15">
        <f>'[8]2025'!L319</f>
        <v>0</v>
      </c>
      <c r="N319" s="16" t="str">
        <f t="shared" si="16"/>
        <v/>
      </c>
      <c r="O319" s="17" t="str">
        <f t="shared" si="17"/>
        <v/>
      </c>
      <c r="P319" s="17" t="str">
        <f t="shared" si="17"/>
        <v/>
      </c>
      <c r="Q319" s="18" t="str">
        <f t="shared" si="18"/>
        <v/>
      </c>
      <c r="R319" s="18" t="e">
        <f t="shared" si="19"/>
        <v>#DIV/0!</v>
      </c>
      <c r="S319" s="34">
        <f>SUM(I318:I324)</f>
        <v>0</v>
      </c>
      <c r="T319" s="45" t="s">
        <v>41</v>
      </c>
      <c r="U319" s="1738"/>
    </row>
    <row r="320" spans="1:21">
      <c r="A320" s="10" t="s">
        <v>12</v>
      </c>
      <c r="B320" s="19">
        <f>CHAMNORD!B320</f>
        <v>46337</v>
      </c>
      <c r="C320" s="75" t="str">
        <f>IF(H320=0,"",'[8]2025-2026'!C319)</f>
        <v/>
      </c>
      <c r="D320" s="68" t="str">
        <f>'[8]2025'!C320</f>
        <v/>
      </c>
      <c r="E320" s="68" t="str">
        <f>'[8]2025'!D320</f>
        <v/>
      </c>
      <c r="F320" s="20" t="str">
        <f>'[8]2025'!E320</f>
        <v/>
      </c>
      <c r="G320" s="73" t="str">
        <f>'[8]2025'!F320</f>
        <v/>
      </c>
      <c r="H320" s="42">
        <f>'[8]2025'!G320</f>
        <v>0</v>
      </c>
      <c r="I320" s="13">
        <f>'[8]2025'!H320</f>
        <v>0</v>
      </c>
      <c r="J320" s="14">
        <f>'[8]2025'!I320</f>
        <v>0</v>
      </c>
      <c r="K320" s="15">
        <f>'[8]2025'!J320</f>
        <v>0</v>
      </c>
      <c r="L320" s="15">
        <f>'[8]2025'!K320</f>
        <v>0</v>
      </c>
      <c r="M320" s="15">
        <f>'[8]2025'!L320</f>
        <v>0</v>
      </c>
      <c r="N320" s="16" t="str">
        <f t="shared" si="16"/>
        <v/>
      </c>
      <c r="O320" s="17" t="str">
        <f t="shared" si="17"/>
        <v/>
      </c>
      <c r="P320" s="17" t="str">
        <f t="shared" si="17"/>
        <v/>
      </c>
      <c r="Q320" s="18" t="str">
        <f t="shared" si="18"/>
        <v/>
      </c>
      <c r="R320" s="18" t="e">
        <f t="shared" si="19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</row>
    <row r="321" spans="1:21">
      <c r="A321" s="10" t="s">
        <v>13</v>
      </c>
      <c r="B321" s="19">
        <f>CHAMNORD!B321</f>
        <v>46338</v>
      </c>
      <c r="C321" s="75" t="str">
        <f>IF(H321=0,"",'[8]2025-2026'!C320)</f>
        <v/>
      </c>
      <c r="D321" s="68" t="str">
        <f>'[8]2025'!C321</f>
        <v/>
      </c>
      <c r="E321" s="68" t="str">
        <f>'[8]2025'!D321</f>
        <v/>
      </c>
      <c r="F321" s="20" t="str">
        <f>'[8]2025'!E321</f>
        <v/>
      </c>
      <c r="G321" s="73" t="str">
        <f>'[8]2025'!F321</f>
        <v/>
      </c>
      <c r="H321" s="42">
        <f>'[8]2025'!G321</f>
        <v>0</v>
      </c>
      <c r="I321" s="13">
        <f>'[8]2025'!H321</f>
        <v>0</v>
      </c>
      <c r="J321" s="14">
        <f>'[8]2025'!I321</f>
        <v>0</v>
      </c>
      <c r="K321" s="15">
        <f>'[8]2025'!J321</f>
        <v>0</v>
      </c>
      <c r="L321" s="15">
        <f>'[8]2025'!K321</f>
        <v>0</v>
      </c>
      <c r="M321" s="15">
        <f>'[8]2025'!L321</f>
        <v>0</v>
      </c>
      <c r="N321" s="16" t="str">
        <f t="shared" si="16"/>
        <v/>
      </c>
      <c r="O321" s="17" t="str">
        <f t="shared" si="17"/>
        <v/>
      </c>
      <c r="P321" s="17" t="str">
        <f t="shared" si="17"/>
        <v/>
      </c>
      <c r="Q321" s="18" t="str">
        <f t="shared" si="18"/>
        <v/>
      </c>
      <c r="R321" s="18" t="e">
        <f t="shared" si="19"/>
        <v>#DIV/0!</v>
      </c>
      <c r="S321" s="34"/>
      <c r="T321" s="29" t="s">
        <v>8</v>
      </c>
      <c r="U321" s="1738"/>
    </row>
    <row r="322" spans="1:21">
      <c r="A322" s="10" t="s">
        <v>14</v>
      </c>
      <c r="B322" s="19">
        <f>CHAMNORD!B322</f>
        <v>46339</v>
      </c>
      <c r="C322" s="75" t="str">
        <f>IF(H322=0,"",'[8]2025-2026'!C321)</f>
        <v/>
      </c>
      <c r="D322" s="68" t="str">
        <f>'[8]2025'!C322</f>
        <v/>
      </c>
      <c r="E322" s="68" t="str">
        <f>'[8]2025'!D322</f>
        <v/>
      </c>
      <c r="F322" s="20" t="str">
        <f>'[8]2025'!E322</f>
        <v/>
      </c>
      <c r="G322" s="73" t="str">
        <f>'[8]2025'!F322</f>
        <v/>
      </c>
      <c r="H322" s="42">
        <f>'[8]2025'!G322</f>
        <v>0</v>
      </c>
      <c r="I322" s="13">
        <f>'[8]2025'!H322</f>
        <v>0</v>
      </c>
      <c r="J322" s="14">
        <f>'[8]2025'!I322</f>
        <v>0</v>
      </c>
      <c r="K322" s="15">
        <f>'[8]2025'!J322</f>
        <v>0</v>
      </c>
      <c r="L322" s="15">
        <f>'[8]2025'!K322</f>
        <v>0</v>
      </c>
      <c r="M322" s="15">
        <f>'[8]2025'!L322</f>
        <v>0</v>
      </c>
      <c r="N322" s="16" t="str">
        <f t="shared" si="16"/>
        <v/>
      </c>
      <c r="O322" s="17" t="str">
        <f t="shared" si="17"/>
        <v/>
      </c>
      <c r="P322" s="17" t="str">
        <f t="shared" si="17"/>
        <v/>
      </c>
      <c r="Q322" s="18" t="str">
        <f t="shared" si="18"/>
        <v/>
      </c>
      <c r="R322" s="18" t="e">
        <f t="shared" si="19"/>
        <v>#DIV/0!</v>
      </c>
      <c r="S322" s="36" t="s">
        <v>40</v>
      </c>
      <c r="T322" s="48" t="e">
        <f>SUM(I318:I324)/SUM(L318:L324)</f>
        <v>#DIV/0!</v>
      </c>
      <c r="U322" s="1738"/>
    </row>
    <row r="323" spans="1:21">
      <c r="A323" s="10" t="s">
        <v>15</v>
      </c>
      <c r="B323" s="19">
        <f>CHAMNORD!B323</f>
        <v>46340</v>
      </c>
      <c r="C323" s="75" t="str">
        <f>IF(H323=0,"",'[8]2025-2026'!C322)</f>
        <v/>
      </c>
      <c r="D323" s="68" t="str">
        <f>'[8]2025'!C323</f>
        <v/>
      </c>
      <c r="E323" s="68" t="str">
        <f>'[8]2025'!D323</f>
        <v/>
      </c>
      <c r="F323" s="20" t="str">
        <f>'[8]2025'!E323</f>
        <v/>
      </c>
      <c r="G323" s="73" t="str">
        <f>'[8]2025'!F323</f>
        <v/>
      </c>
      <c r="H323" s="42">
        <f>'[8]2025'!G323</f>
        <v>0</v>
      </c>
      <c r="I323" s="13">
        <f>'[8]2025'!H323</f>
        <v>0</v>
      </c>
      <c r="J323" s="14">
        <f>'[8]2025'!I323</f>
        <v>0</v>
      </c>
      <c r="K323" s="15">
        <f>'[8]2025'!J323</f>
        <v>0</v>
      </c>
      <c r="L323" s="15">
        <f>'[8]2025'!K323</f>
        <v>0</v>
      </c>
      <c r="M323" s="15">
        <f>'[8]2025'!L323</f>
        <v>0</v>
      </c>
      <c r="N323" s="16" t="str">
        <f t="shared" si="16"/>
        <v/>
      </c>
      <c r="O323" s="17" t="str">
        <f t="shared" si="17"/>
        <v/>
      </c>
      <c r="P323" s="17" t="str">
        <f t="shared" si="17"/>
        <v/>
      </c>
      <c r="Q323" s="18" t="str">
        <f t="shared" si="18"/>
        <v/>
      </c>
      <c r="R323" s="18" t="e">
        <f t="shared" si="19"/>
        <v>#DIV/0!</v>
      </c>
      <c r="S323" s="36">
        <f>SUM(J318:J324)</f>
        <v>0</v>
      </c>
      <c r="T323" s="30" t="s">
        <v>3</v>
      </c>
      <c r="U323" s="1738"/>
    </row>
    <row r="324" spans="1:21" ht="18" thickBot="1">
      <c r="A324" s="10" t="s">
        <v>16</v>
      </c>
      <c r="B324" s="19">
        <f>CHAMNORD!B324</f>
        <v>46341</v>
      </c>
      <c r="C324" s="75" t="str">
        <f>IF(H324=0,"",'[8]2025-2026'!C323)</f>
        <v/>
      </c>
      <c r="D324" s="68" t="str">
        <f>'[8]2025'!C324</f>
        <v/>
      </c>
      <c r="E324" s="68" t="str">
        <f>'[8]2025'!D324</f>
        <v/>
      </c>
      <c r="F324" s="20" t="str">
        <f>'[8]2025'!E324</f>
        <v/>
      </c>
      <c r="G324" s="73" t="str">
        <f>'[8]2025'!F324</f>
        <v/>
      </c>
      <c r="H324" s="42">
        <f>'[8]2025'!G324</f>
        <v>0</v>
      </c>
      <c r="I324" s="13">
        <f>'[8]2025'!H324</f>
        <v>0</v>
      </c>
      <c r="J324" s="14">
        <f>'[8]2025'!I324</f>
        <v>0</v>
      </c>
      <c r="K324" s="15">
        <f>'[8]2025'!J324</f>
        <v>0</v>
      </c>
      <c r="L324" s="15">
        <f>'[8]2025'!K324</f>
        <v>0</v>
      </c>
      <c r="M324" s="15">
        <f>'[8]2025'!L324</f>
        <v>0</v>
      </c>
      <c r="N324" s="16" t="str">
        <f t="shared" ref="N324:N368" si="20">IF(M324=0,"",M324/I324)</f>
        <v/>
      </c>
      <c r="O324" s="17" t="str">
        <f t="shared" ref="O324:P368" si="21">IF(I324=0,"",(I324-E324)/E324)</f>
        <v/>
      </c>
      <c r="P324" s="17" t="str">
        <f t="shared" si="21"/>
        <v/>
      </c>
      <c r="Q324" s="18" t="str">
        <f t="shared" ref="Q324:Q368" si="22">IF(I324=0,"",I324/K324)</f>
        <v/>
      </c>
      <c r="R324" s="18" t="e">
        <f t="shared" ref="R324:R368" si="23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</row>
    <row r="325" spans="1:21" ht="17" customHeight="1" thickTop="1">
      <c r="A325" s="10" t="s">
        <v>9</v>
      </c>
      <c r="B325" s="19">
        <f>CHAMNORD!B325</f>
        <v>46342</v>
      </c>
      <c r="C325" s="75" t="str">
        <f>IF(H325=0,"",'[8]2025-2026'!C324)</f>
        <v/>
      </c>
      <c r="D325" s="68" t="str">
        <f>'[8]2025'!C325</f>
        <v/>
      </c>
      <c r="E325" s="68" t="str">
        <f>'[8]2025'!D325</f>
        <v/>
      </c>
      <c r="F325" s="20" t="str">
        <f>'[8]2025'!E325</f>
        <v/>
      </c>
      <c r="G325" s="73" t="str">
        <f>'[8]2025'!F325</f>
        <v/>
      </c>
      <c r="H325" s="42">
        <f>'[8]2025'!G325</f>
        <v>0</v>
      </c>
      <c r="I325" s="13">
        <f>'[8]2025'!H325</f>
        <v>0</v>
      </c>
      <c r="J325" s="14">
        <f>'[8]2025'!I325</f>
        <v>0</v>
      </c>
      <c r="K325" s="15">
        <f>'[8]2025'!J325</f>
        <v>0</v>
      </c>
      <c r="L325" s="15">
        <f>'[8]2025'!K325</f>
        <v>0</v>
      </c>
      <c r="M325" s="15">
        <f>'[8]2025'!L325</f>
        <v>0</v>
      </c>
      <c r="N325" s="16" t="str">
        <f t="shared" si="20"/>
        <v/>
      </c>
      <c r="O325" s="17" t="str">
        <f t="shared" si="21"/>
        <v/>
      </c>
      <c r="P325" s="17" t="str">
        <f t="shared" si="21"/>
        <v/>
      </c>
      <c r="Q325" s="18" t="str">
        <f t="shared" si="22"/>
        <v/>
      </c>
      <c r="R325" s="18" t="e">
        <f t="shared" si="23"/>
        <v>#DIV/0!</v>
      </c>
      <c r="S325" s="33" t="s">
        <v>39</v>
      </c>
      <c r="T325" s="31" t="s">
        <v>42</v>
      </c>
      <c r="U325" s="1737" t="s">
        <v>129</v>
      </c>
    </row>
    <row r="326" spans="1:21">
      <c r="A326" s="10" t="s">
        <v>11</v>
      </c>
      <c r="B326" s="19">
        <f>CHAMNORD!B326</f>
        <v>46343</v>
      </c>
      <c r="C326" s="75" t="str">
        <f>IF(H326=0,"",'[8]2025-2026'!C325)</f>
        <v/>
      </c>
      <c r="D326" s="68" t="str">
        <f>'[8]2025'!C326</f>
        <v/>
      </c>
      <c r="E326" s="68" t="str">
        <f>'[8]2025'!D326</f>
        <v/>
      </c>
      <c r="F326" s="20" t="str">
        <f>'[8]2025'!E326</f>
        <v/>
      </c>
      <c r="G326" s="73" t="str">
        <f>'[8]2025'!F326</f>
        <v/>
      </c>
      <c r="H326" s="42">
        <f>'[8]2025'!G326</f>
        <v>0</v>
      </c>
      <c r="I326" s="13">
        <f>'[8]2025'!H326</f>
        <v>0</v>
      </c>
      <c r="J326" s="14">
        <f>'[8]2025'!I326</f>
        <v>0</v>
      </c>
      <c r="K326" s="15">
        <f>'[8]2025'!J326</f>
        <v>0</v>
      </c>
      <c r="L326" s="15">
        <f>'[8]2025'!K326</f>
        <v>0</v>
      </c>
      <c r="M326" s="15">
        <f>'[8]2025'!L326</f>
        <v>0</v>
      </c>
      <c r="N326" s="16" t="str">
        <f t="shared" si="20"/>
        <v/>
      </c>
      <c r="O326" s="17" t="str">
        <f t="shared" si="21"/>
        <v/>
      </c>
      <c r="P326" s="17" t="str">
        <f t="shared" si="21"/>
        <v/>
      </c>
      <c r="Q326" s="18" t="str">
        <f t="shared" si="22"/>
        <v/>
      </c>
      <c r="R326" s="18" t="e">
        <f t="shared" si="23"/>
        <v>#DIV/0!</v>
      </c>
      <c r="S326" s="34">
        <f>SUM(I325:I331)</f>
        <v>0</v>
      </c>
      <c r="T326" s="45" t="s">
        <v>41</v>
      </c>
      <c r="U326" s="1738"/>
    </row>
    <row r="327" spans="1:21">
      <c r="A327" s="10" t="s">
        <v>12</v>
      </c>
      <c r="B327" s="19">
        <f>CHAMNORD!B327</f>
        <v>46344</v>
      </c>
      <c r="C327" s="75" t="str">
        <f>IF(H327=0,"",'[8]2025-2026'!C326)</f>
        <v/>
      </c>
      <c r="D327" s="68" t="str">
        <f>'[8]2025'!C327</f>
        <v/>
      </c>
      <c r="E327" s="68" t="str">
        <f>'[8]2025'!D327</f>
        <v/>
      </c>
      <c r="F327" s="20" t="str">
        <f>'[8]2025'!E327</f>
        <v/>
      </c>
      <c r="G327" s="73" t="str">
        <f>'[8]2025'!F327</f>
        <v/>
      </c>
      <c r="H327" s="42">
        <f>'[8]2025'!G327</f>
        <v>0</v>
      </c>
      <c r="I327" s="13">
        <f>'[8]2025'!H327</f>
        <v>0</v>
      </c>
      <c r="J327" s="14">
        <f>'[8]2025'!I327</f>
        <v>0</v>
      </c>
      <c r="K327" s="15">
        <f>'[8]2025'!J327</f>
        <v>0</v>
      </c>
      <c r="L327" s="15">
        <f>'[8]2025'!K327</f>
        <v>0</v>
      </c>
      <c r="M327" s="15">
        <f>'[8]2025'!L327</f>
        <v>0</v>
      </c>
      <c r="N327" s="16" t="str">
        <f t="shared" si="20"/>
        <v/>
      </c>
      <c r="O327" s="17" t="str">
        <f t="shared" si="21"/>
        <v/>
      </c>
      <c r="P327" s="17" t="str">
        <f t="shared" si="21"/>
        <v/>
      </c>
      <c r="Q327" s="18" t="str">
        <f t="shared" si="22"/>
        <v/>
      </c>
      <c r="R327" s="18" t="e">
        <f t="shared" si="23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</row>
    <row r="328" spans="1:21">
      <c r="A328" s="10" t="s">
        <v>13</v>
      </c>
      <c r="B328" s="19">
        <f>CHAMNORD!B328</f>
        <v>46345</v>
      </c>
      <c r="C328" s="75" t="str">
        <f>IF(H328=0,"",'[8]2025-2026'!C327)</f>
        <v/>
      </c>
      <c r="D328" s="68" t="str">
        <f>'[8]2025'!C328</f>
        <v/>
      </c>
      <c r="E328" s="68" t="str">
        <f>'[8]2025'!D328</f>
        <v/>
      </c>
      <c r="F328" s="20" t="str">
        <f>'[8]2025'!E328</f>
        <v/>
      </c>
      <c r="G328" s="73" t="str">
        <f>'[8]2025'!F328</f>
        <v/>
      </c>
      <c r="H328" s="42">
        <f>'[8]2025'!G328</f>
        <v>0</v>
      </c>
      <c r="I328" s="13">
        <f>'[8]2025'!H328</f>
        <v>0</v>
      </c>
      <c r="J328" s="14">
        <f>'[8]2025'!I328</f>
        <v>0</v>
      </c>
      <c r="K328" s="15">
        <f>'[8]2025'!J328</f>
        <v>0</v>
      </c>
      <c r="L328" s="15">
        <f>'[8]2025'!K328</f>
        <v>0</v>
      </c>
      <c r="M328" s="15">
        <f>'[8]2025'!L328</f>
        <v>0</v>
      </c>
      <c r="N328" s="16" t="str">
        <f t="shared" si="20"/>
        <v/>
      </c>
      <c r="O328" s="17" t="str">
        <f t="shared" si="21"/>
        <v/>
      </c>
      <c r="P328" s="17" t="str">
        <f t="shared" si="21"/>
        <v/>
      </c>
      <c r="Q328" s="18" t="str">
        <f t="shared" si="22"/>
        <v/>
      </c>
      <c r="R328" s="18" t="e">
        <f t="shared" si="23"/>
        <v>#DIV/0!</v>
      </c>
      <c r="S328" s="34"/>
      <c r="T328" s="29" t="s">
        <v>8</v>
      </c>
      <c r="U328" s="1738"/>
    </row>
    <row r="329" spans="1:21">
      <c r="A329" s="10" t="s">
        <v>14</v>
      </c>
      <c r="B329" s="19">
        <f>CHAMNORD!B329</f>
        <v>46346</v>
      </c>
      <c r="C329" s="75" t="str">
        <f>IF(H329=0,"",'[8]2025-2026'!C328)</f>
        <v/>
      </c>
      <c r="D329" s="68" t="str">
        <f>'[8]2025'!C329</f>
        <v/>
      </c>
      <c r="E329" s="68" t="str">
        <f>'[8]2025'!D329</f>
        <v/>
      </c>
      <c r="F329" s="20" t="str">
        <f>'[8]2025'!E329</f>
        <v/>
      </c>
      <c r="G329" s="73" t="str">
        <f>'[8]2025'!F329</f>
        <v/>
      </c>
      <c r="H329" s="42">
        <f>'[8]2025'!G329</f>
        <v>0</v>
      </c>
      <c r="I329" s="13">
        <f>'[8]2025'!H329</f>
        <v>0</v>
      </c>
      <c r="J329" s="14">
        <f>'[8]2025'!I329</f>
        <v>0</v>
      </c>
      <c r="K329" s="15">
        <f>'[8]2025'!J329</f>
        <v>0</v>
      </c>
      <c r="L329" s="15">
        <f>'[8]2025'!K329</f>
        <v>0</v>
      </c>
      <c r="M329" s="15">
        <f>'[8]2025'!L329</f>
        <v>0</v>
      </c>
      <c r="N329" s="16" t="str">
        <f t="shared" si="20"/>
        <v/>
      </c>
      <c r="O329" s="17" t="str">
        <f t="shared" si="21"/>
        <v/>
      </c>
      <c r="P329" s="17" t="str">
        <f t="shared" si="21"/>
        <v/>
      </c>
      <c r="Q329" s="18" t="str">
        <f t="shared" si="22"/>
        <v/>
      </c>
      <c r="R329" s="18" t="e">
        <f t="shared" si="23"/>
        <v>#DIV/0!</v>
      </c>
      <c r="S329" s="36" t="s">
        <v>40</v>
      </c>
      <c r="T329" s="48" t="e">
        <f>SUM(I325:I331)/SUM(L325:L331)</f>
        <v>#DIV/0!</v>
      </c>
      <c r="U329" s="1738"/>
    </row>
    <row r="330" spans="1:21">
      <c r="A330" s="10" t="s">
        <v>15</v>
      </c>
      <c r="B330" s="19">
        <f>CHAMNORD!B330</f>
        <v>46347</v>
      </c>
      <c r="C330" s="75" t="str">
        <f>IF(H330=0,"",'[8]2025-2026'!C329)</f>
        <v/>
      </c>
      <c r="D330" s="68" t="str">
        <f>'[8]2025'!C330</f>
        <v/>
      </c>
      <c r="E330" s="68" t="str">
        <f>'[8]2025'!D330</f>
        <v/>
      </c>
      <c r="F330" s="20" t="str">
        <f>'[8]2025'!E330</f>
        <v/>
      </c>
      <c r="G330" s="73" t="str">
        <f>'[8]2025'!F330</f>
        <v/>
      </c>
      <c r="H330" s="42">
        <f>'[8]2025'!G330</f>
        <v>0</v>
      </c>
      <c r="I330" s="13">
        <f>'[8]2025'!H330</f>
        <v>0</v>
      </c>
      <c r="J330" s="14">
        <f>'[8]2025'!I330</f>
        <v>0</v>
      </c>
      <c r="K330" s="15">
        <f>'[8]2025'!J330</f>
        <v>0</v>
      </c>
      <c r="L330" s="15">
        <f>'[8]2025'!K330</f>
        <v>0</v>
      </c>
      <c r="M330" s="15">
        <f>'[8]2025'!L330</f>
        <v>0</v>
      </c>
      <c r="N330" s="16" t="str">
        <f t="shared" si="20"/>
        <v/>
      </c>
      <c r="O330" s="17" t="str">
        <f t="shared" si="21"/>
        <v/>
      </c>
      <c r="P330" s="17" t="str">
        <f t="shared" si="21"/>
        <v/>
      </c>
      <c r="Q330" s="18" t="str">
        <f t="shared" si="22"/>
        <v/>
      </c>
      <c r="R330" s="18" t="e">
        <f t="shared" si="23"/>
        <v>#DIV/0!</v>
      </c>
      <c r="S330" s="36">
        <f>SUM(J325:J331)</f>
        <v>0</v>
      </c>
      <c r="T330" s="30" t="s">
        <v>3</v>
      </c>
      <c r="U330" s="1738"/>
    </row>
    <row r="331" spans="1:21" ht="18" thickBot="1">
      <c r="A331" s="10" t="s">
        <v>16</v>
      </c>
      <c r="B331" s="19">
        <f>CHAMNORD!B331</f>
        <v>46348</v>
      </c>
      <c r="C331" s="75" t="str">
        <f>IF(H331=0,"",'[8]2025-2026'!C330)</f>
        <v/>
      </c>
      <c r="D331" s="68" t="str">
        <f>'[8]2025'!C331</f>
        <v/>
      </c>
      <c r="E331" s="68" t="str">
        <f>'[8]2025'!D331</f>
        <v/>
      </c>
      <c r="F331" s="20" t="str">
        <f>'[8]2025'!E331</f>
        <v/>
      </c>
      <c r="G331" s="73" t="str">
        <f>'[8]2025'!F331</f>
        <v/>
      </c>
      <c r="H331" s="42">
        <f>'[8]2025'!G331</f>
        <v>0</v>
      </c>
      <c r="I331" s="13">
        <f>'[8]2025'!H331</f>
        <v>0</v>
      </c>
      <c r="J331" s="14">
        <f>'[8]2025'!I331</f>
        <v>0</v>
      </c>
      <c r="K331" s="15">
        <f>'[8]2025'!J331</f>
        <v>0</v>
      </c>
      <c r="L331" s="15">
        <f>'[8]2025'!K331</f>
        <v>0</v>
      </c>
      <c r="M331" s="15">
        <f>'[8]2025'!L331</f>
        <v>0</v>
      </c>
      <c r="N331" s="16" t="str">
        <f t="shared" si="20"/>
        <v/>
      </c>
      <c r="O331" s="17" t="str">
        <f t="shared" si="21"/>
        <v/>
      </c>
      <c r="P331" s="17" t="str">
        <f t="shared" si="21"/>
        <v/>
      </c>
      <c r="Q331" s="18" t="str">
        <f t="shared" si="22"/>
        <v/>
      </c>
      <c r="R331" s="18" t="e">
        <f t="shared" si="23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</row>
    <row r="332" spans="1:21" ht="17" customHeight="1" thickTop="1">
      <c r="A332" s="10" t="s">
        <v>9</v>
      </c>
      <c r="B332" s="19">
        <f>CHAMNORD!B332</f>
        <v>46349</v>
      </c>
      <c r="C332" s="75" t="str">
        <f>IF(H332=0,"",'[8]2025-2026'!C331)</f>
        <v/>
      </c>
      <c r="D332" s="68" t="str">
        <f>'[8]2025'!C332</f>
        <v/>
      </c>
      <c r="E332" s="68" t="str">
        <f>'[8]2025'!D332</f>
        <v/>
      </c>
      <c r="F332" s="20" t="str">
        <f>'[8]2025'!E332</f>
        <v/>
      </c>
      <c r="G332" s="73" t="str">
        <f>'[8]2025'!F332</f>
        <v/>
      </c>
      <c r="H332" s="42">
        <f>'[8]2025'!G332</f>
        <v>0</v>
      </c>
      <c r="I332" s="13">
        <f>'[8]2025'!H332</f>
        <v>0</v>
      </c>
      <c r="J332" s="14">
        <f>'[8]2025'!I332</f>
        <v>0</v>
      </c>
      <c r="K332" s="15">
        <f>'[8]2025'!J332</f>
        <v>0</v>
      </c>
      <c r="L332" s="15">
        <f>'[8]2025'!K332</f>
        <v>0</v>
      </c>
      <c r="M332" s="15">
        <f>'[8]2025'!L332</f>
        <v>0</v>
      </c>
      <c r="N332" s="16" t="str">
        <f t="shared" si="20"/>
        <v/>
      </c>
      <c r="O332" s="17" t="str">
        <f t="shared" si="21"/>
        <v/>
      </c>
      <c r="P332" s="17" t="str">
        <f t="shared" si="21"/>
        <v/>
      </c>
      <c r="Q332" s="18" t="str">
        <f t="shared" si="22"/>
        <v/>
      </c>
      <c r="R332" s="18" t="e">
        <f t="shared" si="23"/>
        <v>#DIV/0!</v>
      </c>
      <c r="S332" s="33" t="s">
        <v>39</v>
      </c>
      <c r="T332" s="31" t="s">
        <v>42</v>
      </c>
      <c r="U332" s="1737" t="s">
        <v>130</v>
      </c>
    </row>
    <row r="333" spans="1:21">
      <c r="A333" s="10" t="s">
        <v>11</v>
      </c>
      <c r="B333" s="19">
        <f>CHAMNORD!B333</f>
        <v>46350</v>
      </c>
      <c r="C333" s="75" t="str">
        <f>IF(H333=0,"",'[8]2025-2026'!C332)</f>
        <v/>
      </c>
      <c r="D333" s="68" t="str">
        <f>'[8]2025'!C333</f>
        <v/>
      </c>
      <c r="E333" s="68" t="str">
        <f>'[8]2025'!D333</f>
        <v/>
      </c>
      <c r="F333" s="20" t="str">
        <f>'[8]2025'!E333</f>
        <v/>
      </c>
      <c r="G333" s="73" t="str">
        <f>'[8]2025'!F333</f>
        <v/>
      </c>
      <c r="H333" s="42">
        <f>'[8]2025'!G333</f>
        <v>0</v>
      </c>
      <c r="I333" s="13">
        <f>'[8]2025'!H333</f>
        <v>0</v>
      </c>
      <c r="J333" s="14">
        <f>'[8]2025'!I333</f>
        <v>0</v>
      </c>
      <c r="K333" s="15">
        <f>'[8]2025'!J333</f>
        <v>0</v>
      </c>
      <c r="L333" s="15">
        <f>'[8]2025'!K333</f>
        <v>0</v>
      </c>
      <c r="M333" s="15">
        <f>'[8]2025'!L333</f>
        <v>0</v>
      </c>
      <c r="N333" s="16" t="str">
        <f t="shared" si="20"/>
        <v/>
      </c>
      <c r="O333" s="17" t="str">
        <f t="shared" si="21"/>
        <v/>
      </c>
      <c r="P333" s="17" t="str">
        <f t="shared" si="21"/>
        <v/>
      </c>
      <c r="Q333" s="18" t="str">
        <f t="shared" si="22"/>
        <v/>
      </c>
      <c r="R333" s="18" t="e">
        <f t="shared" si="23"/>
        <v>#DIV/0!</v>
      </c>
      <c r="S333" s="34">
        <f>SUM(I332:I338)</f>
        <v>0</v>
      </c>
      <c r="T333" s="45" t="s">
        <v>41</v>
      </c>
      <c r="U333" s="1738"/>
    </row>
    <row r="334" spans="1:21">
      <c r="A334" s="10" t="s">
        <v>12</v>
      </c>
      <c r="B334" s="19">
        <f>CHAMNORD!B334</f>
        <v>46351</v>
      </c>
      <c r="C334" s="75" t="str">
        <f>IF(H334=0,"",'[8]2025-2026'!C333)</f>
        <v/>
      </c>
      <c r="D334" s="68" t="str">
        <f>'[8]2025'!C334</f>
        <v/>
      </c>
      <c r="E334" s="68" t="str">
        <f>'[8]2025'!D334</f>
        <v/>
      </c>
      <c r="F334" s="20" t="str">
        <f>'[8]2025'!E334</f>
        <v/>
      </c>
      <c r="G334" s="73" t="str">
        <f>'[8]2025'!F334</f>
        <v/>
      </c>
      <c r="H334" s="42">
        <f>'[8]2025'!G334</f>
        <v>0</v>
      </c>
      <c r="I334" s="13">
        <f>'[8]2025'!H334</f>
        <v>0</v>
      </c>
      <c r="J334" s="14">
        <f>'[8]2025'!I334</f>
        <v>0</v>
      </c>
      <c r="K334" s="15">
        <f>'[8]2025'!J334</f>
        <v>0</v>
      </c>
      <c r="L334" s="15">
        <f>'[8]2025'!K334</f>
        <v>0</v>
      </c>
      <c r="M334" s="15">
        <f>'[8]2025'!L334</f>
        <v>0</v>
      </c>
      <c r="N334" s="16" t="str">
        <f t="shared" si="20"/>
        <v/>
      </c>
      <c r="O334" s="17" t="str">
        <f t="shared" si="21"/>
        <v/>
      </c>
      <c r="P334" s="17" t="str">
        <f t="shared" si="21"/>
        <v/>
      </c>
      <c r="Q334" s="18" t="str">
        <f t="shared" si="22"/>
        <v/>
      </c>
      <c r="R334" s="18" t="e">
        <f t="shared" si="23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</row>
    <row r="335" spans="1:21">
      <c r="A335" s="10" t="s">
        <v>13</v>
      </c>
      <c r="B335" s="19">
        <f>CHAMNORD!B335</f>
        <v>46352</v>
      </c>
      <c r="C335" s="75" t="str">
        <f>IF(H335=0,"",'[8]2025-2026'!C334)</f>
        <v/>
      </c>
      <c r="D335" s="68" t="str">
        <f>'[8]2025'!C335</f>
        <v/>
      </c>
      <c r="E335" s="68" t="str">
        <f>'[8]2025'!D335</f>
        <v/>
      </c>
      <c r="F335" s="20" t="str">
        <f>'[8]2025'!E335</f>
        <v/>
      </c>
      <c r="G335" s="73" t="str">
        <f>'[8]2025'!F335</f>
        <v/>
      </c>
      <c r="H335" s="42">
        <f>'[8]2025'!G335</f>
        <v>0</v>
      </c>
      <c r="I335" s="13">
        <f>'[8]2025'!H335</f>
        <v>0</v>
      </c>
      <c r="J335" s="14">
        <f>'[8]2025'!I335</f>
        <v>0</v>
      </c>
      <c r="K335" s="15">
        <f>'[8]2025'!J335</f>
        <v>0</v>
      </c>
      <c r="L335" s="15">
        <f>'[8]2025'!K335</f>
        <v>0</v>
      </c>
      <c r="M335" s="15">
        <f>'[8]2025'!L335</f>
        <v>0</v>
      </c>
      <c r="N335" s="16" t="str">
        <f t="shared" si="20"/>
        <v/>
      </c>
      <c r="O335" s="17" t="str">
        <f t="shared" si="21"/>
        <v/>
      </c>
      <c r="P335" s="17" t="str">
        <f t="shared" si="21"/>
        <v/>
      </c>
      <c r="Q335" s="18" t="str">
        <f t="shared" si="22"/>
        <v/>
      </c>
      <c r="R335" s="18" t="e">
        <f t="shared" si="23"/>
        <v>#DIV/0!</v>
      </c>
      <c r="S335" s="34"/>
      <c r="T335" s="29" t="s">
        <v>8</v>
      </c>
      <c r="U335" s="1738"/>
    </row>
    <row r="336" spans="1:21">
      <c r="A336" s="10" t="s">
        <v>14</v>
      </c>
      <c r="B336" s="19">
        <f>CHAMNORD!B336</f>
        <v>46353</v>
      </c>
      <c r="C336" s="75" t="str">
        <f>IF(H336=0,"",'[8]2025-2026'!C335)</f>
        <v/>
      </c>
      <c r="D336" s="68" t="str">
        <f>'[8]2025'!C336</f>
        <v/>
      </c>
      <c r="E336" s="68" t="str">
        <f>'[8]2025'!D336</f>
        <v/>
      </c>
      <c r="F336" s="20" t="str">
        <f>'[8]2025'!E336</f>
        <v/>
      </c>
      <c r="G336" s="73" t="str">
        <f>'[8]2025'!F336</f>
        <v/>
      </c>
      <c r="H336" s="42">
        <f>'[8]2025'!G336</f>
        <v>0</v>
      </c>
      <c r="I336" s="13">
        <f>'[8]2025'!H336</f>
        <v>0</v>
      </c>
      <c r="J336" s="14">
        <f>'[8]2025'!I336</f>
        <v>0</v>
      </c>
      <c r="K336" s="15">
        <f>'[8]2025'!J336</f>
        <v>0</v>
      </c>
      <c r="L336" s="15">
        <f>'[8]2025'!K336</f>
        <v>0</v>
      </c>
      <c r="M336" s="15">
        <f>'[8]2025'!L336</f>
        <v>0</v>
      </c>
      <c r="N336" s="16" t="str">
        <f t="shared" si="20"/>
        <v/>
      </c>
      <c r="O336" s="17" t="str">
        <f t="shared" si="21"/>
        <v/>
      </c>
      <c r="P336" s="17" t="str">
        <f t="shared" si="21"/>
        <v/>
      </c>
      <c r="Q336" s="18" t="str">
        <f t="shared" si="22"/>
        <v/>
      </c>
      <c r="R336" s="18" t="e">
        <f t="shared" si="23"/>
        <v>#DIV/0!</v>
      </c>
      <c r="S336" s="36" t="s">
        <v>40</v>
      </c>
      <c r="T336" s="48" t="e">
        <f>SUM(I332:I338)/SUM(L332:L338)</f>
        <v>#DIV/0!</v>
      </c>
      <c r="U336" s="1738"/>
    </row>
    <row r="337" spans="1:21">
      <c r="A337" s="10" t="s">
        <v>15</v>
      </c>
      <c r="B337" s="19">
        <f>CHAMNORD!B337</f>
        <v>46354</v>
      </c>
      <c r="C337" s="75" t="str">
        <f>IF(H337=0,"",'[8]2025-2026'!C336)</f>
        <v/>
      </c>
      <c r="D337" s="68" t="str">
        <f>'[8]2025'!C337</f>
        <v/>
      </c>
      <c r="E337" s="68" t="str">
        <f>'[8]2025'!D337</f>
        <v/>
      </c>
      <c r="F337" s="20" t="str">
        <f>'[8]2025'!E337</f>
        <v/>
      </c>
      <c r="G337" s="73" t="str">
        <f>'[8]2025'!F337</f>
        <v/>
      </c>
      <c r="H337" s="42">
        <f>'[8]2025'!G337</f>
        <v>0</v>
      </c>
      <c r="I337" s="13">
        <f>'[8]2025'!H337</f>
        <v>0</v>
      </c>
      <c r="J337" s="14">
        <f>'[8]2025'!I337</f>
        <v>0</v>
      </c>
      <c r="K337" s="15">
        <f>'[8]2025'!J337</f>
        <v>0</v>
      </c>
      <c r="L337" s="15">
        <f>'[8]2025'!K337</f>
        <v>0</v>
      </c>
      <c r="M337" s="15">
        <f>'[8]2025'!L337</f>
        <v>0</v>
      </c>
      <c r="N337" s="16" t="str">
        <f t="shared" si="20"/>
        <v/>
      </c>
      <c r="O337" s="17" t="str">
        <f t="shared" si="21"/>
        <v/>
      </c>
      <c r="P337" s="17" t="str">
        <f t="shared" si="21"/>
        <v/>
      </c>
      <c r="Q337" s="18" t="str">
        <f t="shared" si="22"/>
        <v/>
      </c>
      <c r="R337" s="18" t="e">
        <f t="shared" si="23"/>
        <v>#DIV/0!</v>
      </c>
      <c r="S337" s="36">
        <f>SUM(J332:J338)</f>
        <v>0</v>
      </c>
      <c r="T337" s="30" t="s">
        <v>3</v>
      </c>
      <c r="U337" s="1738"/>
    </row>
    <row r="338" spans="1:21" ht="18" thickBot="1">
      <c r="A338" s="10" t="s">
        <v>16</v>
      </c>
      <c r="B338" s="19">
        <f>CHAMNORD!B338</f>
        <v>46355</v>
      </c>
      <c r="C338" s="75" t="str">
        <f>IF(H338=0,"",'[8]2025-2026'!C337)</f>
        <v/>
      </c>
      <c r="D338" s="68" t="str">
        <f>'[8]2025'!C338</f>
        <v/>
      </c>
      <c r="E338" s="68" t="str">
        <f>'[8]2025'!D338</f>
        <v/>
      </c>
      <c r="F338" s="20" t="str">
        <f>'[8]2025'!E338</f>
        <v/>
      </c>
      <c r="G338" s="73" t="str">
        <f>'[8]2025'!F338</f>
        <v/>
      </c>
      <c r="H338" s="42">
        <f>'[8]2025'!G338</f>
        <v>0</v>
      </c>
      <c r="I338" s="13">
        <f>'[8]2025'!H338</f>
        <v>0</v>
      </c>
      <c r="J338" s="14">
        <f>'[8]2025'!I338</f>
        <v>0</v>
      </c>
      <c r="K338" s="15">
        <f>'[8]2025'!J338</f>
        <v>0</v>
      </c>
      <c r="L338" s="15">
        <f>'[8]2025'!K338</f>
        <v>0</v>
      </c>
      <c r="M338" s="15">
        <f>'[8]2025'!L338</f>
        <v>0</v>
      </c>
      <c r="N338" s="16" t="str">
        <f t="shared" si="20"/>
        <v/>
      </c>
      <c r="O338" s="17" t="str">
        <f t="shared" si="21"/>
        <v/>
      </c>
      <c r="P338" s="17" t="str">
        <f t="shared" si="21"/>
        <v/>
      </c>
      <c r="Q338" s="18" t="str">
        <f t="shared" si="22"/>
        <v/>
      </c>
      <c r="R338" s="18" t="e">
        <f t="shared" si="23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1" ht="17" customHeight="1" thickTop="1">
      <c r="A339" s="10" t="s">
        <v>9</v>
      </c>
      <c r="B339" s="19">
        <f>CHAMNORD!B339</f>
        <v>46356</v>
      </c>
      <c r="C339" s="75" t="str">
        <f>IF(H339=0,"",'[8]2025-2026'!C338)</f>
        <v/>
      </c>
      <c r="D339" s="68" t="str">
        <f>'[8]2025'!C339</f>
        <v/>
      </c>
      <c r="E339" s="68" t="str">
        <f>'[8]2025'!D339</f>
        <v/>
      </c>
      <c r="F339" s="20" t="str">
        <f>'[8]2025'!E339</f>
        <v/>
      </c>
      <c r="G339" s="73" t="str">
        <f>'[8]2025'!F339</f>
        <v/>
      </c>
      <c r="H339" s="42">
        <f>'[8]2025'!G339</f>
        <v>0</v>
      </c>
      <c r="I339" s="13">
        <f>'[8]2025'!H339</f>
        <v>0</v>
      </c>
      <c r="J339" s="14">
        <f>'[8]2025'!I339</f>
        <v>0</v>
      </c>
      <c r="K339" s="15">
        <f>'[8]2025'!J339</f>
        <v>0</v>
      </c>
      <c r="L339" s="15">
        <f>'[8]2025'!K339</f>
        <v>0</v>
      </c>
      <c r="M339" s="15">
        <f>'[8]2025'!L339</f>
        <v>0</v>
      </c>
      <c r="N339" s="16" t="str">
        <f t="shared" si="20"/>
        <v/>
      </c>
      <c r="O339" s="17" t="str">
        <f t="shared" si="21"/>
        <v/>
      </c>
      <c r="P339" s="17" t="str">
        <f t="shared" si="21"/>
        <v/>
      </c>
      <c r="Q339" s="18" t="str">
        <f t="shared" si="22"/>
        <v/>
      </c>
      <c r="R339" s="18" t="e">
        <f t="shared" si="23"/>
        <v>#DIV/0!</v>
      </c>
      <c r="S339" s="33" t="s">
        <v>39</v>
      </c>
      <c r="T339" s="31" t="s">
        <v>42</v>
      </c>
      <c r="U339" s="1737" t="s">
        <v>131</v>
      </c>
    </row>
    <row r="340" spans="1:21">
      <c r="A340" s="10" t="s">
        <v>11</v>
      </c>
      <c r="B340" s="19">
        <f>CHAMNORD!B340</f>
        <v>46357</v>
      </c>
      <c r="C340" s="75" t="str">
        <f>IF(H340=0,"",'[8]2025-2026'!C339)</f>
        <v/>
      </c>
      <c r="D340" s="68" t="str">
        <f>'[8]2025'!C340</f>
        <v/>
      </c>
      <c r="E340" s="68" t="str">
        <f>'[8]2025'!D340</f>
        <v/>
      </c>
      <c r="F340" s="20" t="str">
        <f>'[8]2025'!E340</f>
        <v/>
      </c>
      <c r="G340" s="73" t="str">
        <f>'[8]2025'!F340</f>
        <v/>
      </c>
      <c r="H340" s="42">
        <f>'[8]2025'!G340</f>
        <v>0</v>
      </c>
      <c r="I340" s="13">
        <f>'[8]2025'!H340</f>
        <v>0</v>
      </c>
      <c r="J340" s="14">
        <f>'[8]2025'!I340</f>
        <v>0</v>
      </c>
      <c r="K340" s="15">
        <f>'[8]2025'!J340</f>
        <v>0</v>
      </c>
      <c r="L340" s="15">
        <f>'[8]2025'!K340</f>
        <v>0</v>
      </c>
      <c r="M340" s="15">
        <f>'[8]2025'!L340</f>
        <v>0</v>
      </c>
      <c r="N340" s="16" t="str">
        <f t="shared" si="20"/>
        <v/>
      </c>
      <c r="O340" s="17" t="str">
        <f t="shared" si="21"/>
        <v/>
      </c>
      <c r="P340" s="17" t="str">
        <f t="shared" si="21"/>
        <v/>
      </c>
      <c r="Q340" s="18" t="str">
        <f t="shared" si="22"/>
        <v/>
      </c>
      <c r="R340" s="18" t="e">
        <f t="shared" si="23"/>
        <v>#DIV/0!</v>
      </c>
      <c r="S340" s="34">
        <f>SUM(I339:I345)</f>
        <v>0</v>
      </c>
      <c r="T340" s="45" t="s">
        <v>41</v>
      </c>
      <c r="U340" s="1738"/>
    </row>
    <row r="341" spans="1:21">
      <c r="A341" s="10" t="s">
        <v>12</v>
      </c>
      <c r="B341" s="19">
        <f>CHAMNORD!B341</f>
        <v>46358</v>
      </c>
      <c r="C341" s="75" t="str">
        <f>IF(H341=0,"",'[8]2025-2026'!C340)</f>
        <v/>
      </c>
      <c r="D341" s="68" t="str">
        <f>'[8]2025'!C341</f>
        <v/>
      </c>
      <c r="E341" s="68" t="str">
        <f>'[8]2025'!D341</f>
        <v/>
      </c>
      <c r="F341" s="20" t="str">
        <f>'[8]2025'!E341</f>
        <v/>
      </c>
      <c r="G341" s="73" t="str">
        <f>'[8]2025'!F341</f>
        <v/>
      </c>
      <c r="H341" s="42">
        <f>'[8]2025'!G341</f>
        <v>0</v>
      </c>
      <c r="I341" s="13">
        <f>'[8]2025'!H341</f>
        <v>0</v>
      </c>
      <c r="J341" s="14">
        <f>'[8]2025'!I341</f>
        <v>0</v>
      </c>
      <c r="K341" s="15">
        <f>'[8]2025'!J341</f>
        <v>0</v>
      </c>
      <c r="L341" s="15">
        <f>'[8]2025'!K341</f>
        <v>0</v>
      </c>
      <c r="M341" s="15">
        <f>'[8]2025'!L341</f>
        <v>0</v>
      </c>
      <c r="N341" s="16" t="str">
        <f t="shared" si="20"/>
        <v/>
      </c>
      <c r="O341" s="17" t="str">
        <f t="shared" si="21"/>
        <v/>
      </c>
      <c r="P341" s="17" t="str">
        <f t="shared" si="21"/>
        <v/>
      </c>
      <c r="Q341" s="18" t="str">
        <f t="shared" si="22"/>
        <v/>
      </c>
      <c r="R341" s="18" t="e">
        <f t="shared" si="23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1">
      <c r="A342" s="10" t="s">
        <v>13</v>
      </c>
      <c r="B342" s="19">
        <f>CHAMNORD!B342</f>
        <v>46359</v>
      </c>
      <c r="C342" s="75" t="str">
        <f>IF(H342=0,"",'[8]2025-2026'!C341)</f>
        <v/>
      </c>
      <c r="D342" s="68" t="str">
        <f>'[8]2025'!C342</f>
        <v/>
      </c>
      <c r="E342" s="68" t="str">
        <f>'[8]2025'!D342</f>
        <v/>
      </c>
      <c r="F342" s="20" t="str">
        <f>'[8]2025'!E342</f>
        <v/>
      </c>
      <c r="G342" s="73" t="str">
        <f>'[8]2025'!F342</f>
        <v/>
      </c>
      <c r="H342" s="42">
        <f>'[8]2025'!G342</f>
        <v>0</v>
      </c>
      <c r="I342" s="13">
        <f>'[8]2025'!H342</f>
        <v>0</v>
      </c>
      <c r="J342" s="14">
        <f>'[8]2025'!I342</f>
        <v>0</v>
      </c>
      <c r="K342" s="15">
        <f>'[8]2025'!J342</f>
        <v>0</v>
      </c>
      <c r="L342" s="15">
        <f>'[8]2025'!K342</f>
        <v>0</v>
      </c>
      <c r="M342" s="15">
        <f>'[8]2025'!L342</f>
        <v>0</v>
      </c>
      <c r="N342" s="16" t="str">
        <f t="shared" si="20"/>
        <v/>
      </c>
      <c r="O342" s="17" t="str">
        <f t="shared" si="21"/>
        <v/>
      </c>
      <c r="P342" s="17" t="str">
        <f t="shared" si="21"/>
        <v/>
      </c>
      <c r="Q342" s="18" t="str">
        <f t="shared" si="22"/>
        <v/>
      </c>
      <c r="R342" s="18" t="e">
        <f t="shared" si="23"/>
        <v>#DIV/0!</v>
      </c>
      <c r="S342" s="34"/>
      <c r="T342" s="29" t="s">
        <v>8</v>
      </c>
      <c r="U342" s="1738"/>
    </row>
    <row r="343" spans="1:21">
      <c r="A343" s="10" t="s">
        <v>14</v>
      </c>
      <c r="B343" s="19">
        <f>CHAMNORD!B343</f>
        <v>46360</v>
      </c>
      <c r="C343" s="75" t="str">
        <f>IF(H343=0,"",'[8]2025-2026'!C342)</f>
        <v/>
      </c>
      <c r="D343" s="68" t="str">
        <f>'[8]2025'!C343</f>
        <v/>
      </c>
      <c r="E343" s="68" t="str">
        <f>'[8]2025'!D343</f>
        <v/>
      </c>
      <c r="F343" s="20" t="str">
        <f>'[8]2025'!E343</f>
        <v/>
      </c>
      <c r="G343" s="73" t="str">
        <f>'[8]2025'!F343</f>
        <v/>
      </c>
      <c r="H343" s="42">
        <f>'[8]2025'!G343</f>
        <v>0</v>
      </c>
      <c r="I343" s="13">
        <f>'[8]2025'!H343</f>
        <v>0</v>
      </c>
      <c r="J343" s="14">
        <f>'[8]2025'!I343</f>
        <v>0</v>
      </c>
      <c r="K343" s="15">
        <f>'[8]2025'!J343</f>
        <v>0</v>
      </c>
      <c r="L343" s="15">
        <f>'[8]2025'!K343</f>
        <v>0</v>
      </c>
      <c r="M343" s="15">
        <f>'[8]2025'!L343</f>
        <v>0</v>
      </c>
      <c r="N343" s="16" t="str">
        <f t="shared" si="20"/>
        <v/>
      </c>
      <c r="O343" s="17" t="str">
        <f t="shared" si="21"/>
        <v/>
      </c>
      <c r="P343" s="17" t="str">
        <f t="shared" si="21"/>
        <v/>
      </c>
      <c r="Q343" s="18" t="str">
        <f t="shared" si="22"/>
        <v/>
      </c>
      <c r="R343" s="18" t="e">
        <f t="shared" si="23"/>
        <v>#DIV/0!</v>
      </c>
      <c r="S343" s="36" t="s">
        <v>40</v>
      </c>
      <c r="T343" s="48" t="e">
        <f>SUM(I339:I345)/SUM(L339:L345)</f>
        <v>#DIV/0!</v>
      </c>
      <c r="U343" s="1738"/>
    </row>
    <row r="344" spans="1:21">
      <c r="A344" s="10" t="s">
        <v>15</v>
      </c>
      <c r="B344" s="19">
        <f>CHAMNORD!B344</f>
        <v>46361</v>
      </c>
      <c r="C344" s="75" t="str">
        <f>IF(H344=0,"",'[8]2025-2026'!C343)</f>
        <v/>
      </c>
      <c r="D344" s="68" t="str">
        <f>'[8]2025'!C344</f>
        <v/>
      </c>
      <c r="E344" s="68" t="str">
        <f>'[8]2025'!D344</f>
        <v/>
      </c>
      <c r="F344" s="20" t="str">
        <f>'[8]2025'!E344</f>
        <v/>
      </c>
      <c r="G344" s="73" t="str">
        <f>'[8]2025'!F344</f>
        <v/>
      </c>
      <c r="H344" s="42">
        <f>'[8]2025'!G344</f>
        <v>0</v>
      </c>
      <c r="I344" s="13">
        <f>'[8]2025'!H344</f>
        <v>0</v>
      </c>
      <c r="J344" s="14">
        <f>'[8]2025'!I344</f>
        <v>0</v>
      </c>
      <c r="K344" s="15">
        <f>'[8]2025'!J344</f>
        <v>0</v>
      </c>
      <c r="L344" s="15">
        <f>'[8]2025'!K344</f>
        <v>0</v>
      </c>
      <c r="M344" s="15">
        <f>'[8]2025'!L344</f>
        <v>0</v>
      </c>
      <c r="N344" s="16" t="str">
        <f t="shared" si="20"/>
        <v/>
      </c>
      <c r="O344" s="17" t="str">
        <f t="shared" si="21"/>
        <v/>
      </c>
      <c r="P344" s="17" t="str">
        <f t="shared" si="21"/>
        <v/>
      </c>
      <c r="Q344" s="18" t="str">
        <f t="shared" si="22"/>
        <v/>
      </c>
      <c r="R344" s="18" t="e">
        <f t="shared" si="23"/>
        <v>#DIV/0!</v>
      </c>
      <c r="S344" s="36">
        <f>SUM(J339:J345)</f>
        <v>0</v>
      </c>
      <c r="T344" s="30" t="s">
        <v>3</v>
      </c>
      <c r="U344" s="1738"/>
    </row>
    <row r="345" spans="1:21" ht="18" thickBot="1">
      <c r="A345" s="10" t="s">
        <v>16</v>
      </c>
      <c r="B345" s="19">
        <f>CHAMNORD!B345</f>
        <v>46362</v>
      </c>
      <c r="C345" s="75" t="str">
        <f>IF(H345=0,"",'[8]2025-2026'!C344)</f>
        <v/>
      </c>
      <c r="D345" s="68" t="str">
        <f>'[8]2025'!C345</f>
        <v/>
      </c>
      <c r="E345" s="68" t="str">
        <f>'[8]2025'!D345</f>
        <v/>
      </c>
      <c r="F345" s="20" t="str">
        <f>'[8]2025'!E345</f>
        <v/>
      </c>
      <c r="G345" s="73" t="str">
        <f>'[8]2025'!F345</f>
        <v/>
      </c>
      <c r="H345" s="42">
        <f>'[8]2025'!G345</f>
        <v>0</v>
      </c>
      <c r="I345" s="13">
        <f>'[8]2025'!H345</f>
        <v>0</v>
      </c>
      <c r="J345" s="14">
        <f>'[8]2025'!I345</f>
        <v>0</v>
      </c>
      <c r="K345" s="15">
        <f>'[8]2025'!J345</f>
        <v>0</v>
      </c>
      <c r="L345" s="15">
        <f>'[8]2025'!K345</f>
        <v>0</v>
      </c>
      <c r="M345" s="15">
        <f>'[8]2025'!L345</f>
        <v>0</v>
      </c>
      <c r="N345" s="16" t="str">
        <f t="shared" si="20"/>
        <v/>
      </c>
      <c r="O345" s="17" t="str">
        <f t="shared" si="21"/>
        <v/>
      </c>
      <c r="P345" s="17" t="str">
        <f t="shared" si="21"/>
        <v/>
      </c>
      <c r="Q345" s="18" t="str">
        <f t="shared" si="22"/>
        <v/>
      </c>
      <c r="R345" s="18" t="e">
        <f t="shared" si="23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1" ht="17" customHeight="1" thickTop="1">
      <c r="A346" s="10" t="s">
        <v>9</v>
      </c>
      <c r="B346" s="19">
        <f>CHAMNORD!B346</f>
        <v>46363</v>
      </c>
      <c r="C346" s="75" t="str">
        <f>IF(H346=0,"",'[8]2025-2026'!C345)</f>
        <v/>
      </c>
      <c r="D346" s="68" t="str">
        <f>'[8]2025'!C346</f>
        <v/>
      </c>
      <c r="E346" s="68" t="str">
        <f>'[8]2025'!D346</f>
        <v/>
      </c>
      <c r="F346" s="20" t="str">
        <f>'[8]2025'!E346</f>
        <v/>
      </c>
      <c r="G346" s="73" t="str">
        <f>'[8]2025'!F346</f>
        <v/>
      </c>
      <c r="H346" s="42">
        <f>'[8]2025'!G346</f>
        <v>0</v>
      </c>
      <c r="I346" s="13">
        <f>'[8]2025'!H346</f>
        <v>0</v>
      </c>
      <c r="J346" s="14">
        <f>'[8]2025'!I346</f>
        <v>0</v>
      </c>
      <c r="K346" s="15">
        <f>'[8]2025'!J346</f>
        <v>0</v>
      </c>
      <c r="L346" s="15">
        <f>'[8]2025'!K346</f>
        <v>0</v>
      </c>
      <c r="M346" s="15">
        <f>'[8]2025'!L346</f>
        <v>0</v>
      </c>
      <c r="N346" s="16" t="str">
        <f t="shared" si="20"/>
        <v/>
      </c>
      <c r="O346" s="17" t="str">
        <f t="shared" si="21"/>
        <v/>
      </c>
      <c r="P346" s="17" t="str">
        <f t="shared" si="21"/>
        <v/>
      </c>
      <c r="Q346" s="18" t="str">
        <f t="shared" si="22"/>
        <v/>
      </c>
      <c r="R346" s="18" t="e">
        <f t="shared" si="23"/>
        <v>#DIV/0!</v>
      </c>
      <c r="S346" s="33" t="s">
        <v>39</v>
      </c>
      <c r="T346" s="31" t="s">
        <v>42</v>
      </c>
      <c r="U346" s="1737" t="s">
        <v>132</v>
      </c>
    </row>
    <row r="347" spans="1:21">
      <c r="A347" s="10" t="s">
        <v>11</v>
      </c>
      <c r="B347" s="19">
        <f>CHAMNORD!B347</f>
        <v>46364</v>
      </c>
      <c r="C347" s="75" t="str">
        <f>IF(H347=0,"",'[8]2025-2026'!C346)</f>
        <v/>
      </c>
      <c r="D347" s="68" t="str">
        <f>'[8]2025'!C347</f>
        <v/>
      </c>
      <c r="E347" s="68" t="str">
        <f>'[8]2025'!D347</f>
        <v/>
      </c>
      <c r="F347" s="20" t="str">
        <f>'[8]2025'!E347</f>
        <v/>
      </c>
      <c r="G347" s="73" t="str">
        <f>'[8]2025'!F347</f>
        <v/>
      </c>
      <c r="H347" s="42">
        <f>'[8]2025'!G347</f>
        <v>0</v>
      </c>
      <c r="I347" s="13">
        <f>'[8]2025'!H347</f>
        <v>0</v>
      </c>
      <c r="J347" s="14">
        <f>'[8]2025'!I347</f>
        <v>0</v>
      </c>
      <c r="K347" s="15">
        <f>'[8]2025'!J347</f>
        <v>0</v>
      </c>
      <c r="L347" s="15">
        <f>'[8]2025'!K347</f>
        <v>0</v>
      </c>
      <c r="M347" s="15">
        <f>'[8]2025'!L347</f>
        <v>0</v>
      </c>
      <c r="N347" s="16" t="str">
        <f t="shared" si="20"/>
        <v/>
      </c>
      <c r="O347" s="17" t="str">
        <f t="shared" si="21"/>
        <v/>
      </c>
      <c r="P347" s="17" t="str">
        <f t="shared" si="21"/>
        <v/>
      </c>
      <c r="Q347" s="18" t="str">
        <f t="shared" si="22"/>
        <v/>
      </c>
      <c r="R347" s="18" t="e">
        <f t="shared" si="23"/>
        <v>#DIV/0!</v>
      </c>
      <c r="S347" s="34">
        <f>SUM(I346:I352)</f>
        <v>0</v>
      </c>
      <c r="T347" s="45" t="s">
        <v>41</v>
      </c>
      <c r="U347" s="1738"/>
    </row>
    <row r="348" spans="1:21">
      <c r="A348" s="10" t="s">
        <v>12</v>
      </c>
      <c r="B348" s="19">
        <f>CHAMNORD!B348</f>
        <v>46365</v>
      </c>
      <c r="C348" s="75" t="str">
        <f>IF(H348=0,"",'[8]2025-2026'!C347)</f>
        <v/>
      </c>
      <c r="D348" s="68" t="str">
        <f>'[8]2025'!C348</f>
        <v/>
      </c>
      <c r="E348" s="68" t="str">
        <f>'[8]2025'!D348</f>
        <v/>
      </c>
      <c r="F348" s="20" t="str">
        <f>'[8]2025'!E348</f>
        <v/>
      </c>
      <c r="G348" s="73" t="str">
        <f>'[8]2025'!F348</f>
        <v/>
      </c>
      <c r="H348" s="42">
        <f>'[8]2025'!G348</f>
        <v>0</v>
      </c>
      <c r="I348" s="13">
        <f>'[8]2025'!H348</f>
        <v>0</v>
      </c>
      <c r="J348" s="14">
        <f>'[8]2025'!I348</f>
        <v>0</v>
      </c>
      <c r="K348" s="15">
        <f>'[8]2025'!J348</f>
        <v>0</v>
      </c>
      <c r="L348" s="15">
        <f>'[8]2025'!K348</f>
        <v>0</v>
      </c>
      <c r="M348" s="15">
        <f>'[8]2025'!L348</f>
        <v>0</v>
      </c>
      <c r="N348" s="16" t="str">
        <f t="shared" si="20"/>
        <v/>
      </c>
      <c r="O348" s="17" t="str">
        <f t="shared" si="21"/>
        <v/>
      </c>
      <c r="P348" s="17" t="str">
        <f t="shared" si="21"/>
        <v/>
      </c>
      <c r="Q348" s="18" t="str">
        <f t="shared" si="22"/>
        <v/>
      </c>
      <c r="R348" s="18" t="e">
        <f t="shared" si="23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1">
      <c r="A349" s="10" t="s">
        <v>13</v>
      </c>
      <c r="B349" s="19">
        <f>CHAMNORD!B349</f>
        <v>46366</v>
      </c>
      <c r="C349" s="75" t="str">
        <f>IF(H349=0,"",'[8]2025-2026'!C348)</f>
        <v/>
      </c>
      <c r="D349" s="68" t="str">
        <f>'[8]2025'!C349</f>
        <v/>
      </c>
      <c r="E349" s="68" t="str">
        <f>'[8]2025'!D349</f>
        <v/>
      </c>
      <c r="F349" s="20" t="str">
        <f>'[8]2025'!E349</f>
        <v/>
      </c>
      <c r="G349" s="73" t="str">
        <f>'[8]2025'!F349</f>
        <v/>
      </c>
      <c r="H349" s="42">
        <f>'[8]2025'!G349</f>
        <v>0</v>
      </c>
      <c r="I349" s="13">
        <f>'[8]2025'!H349</f>
        <v>0</v>
      </c>
      <c r="J349" s="14">
        <f>'[8]2025'!I349</f>
        <v>0</v>
      </c>
      <c r="K349" s="15">
        <f>'[8]2025'!J349</f>
        <v>0</v>
      </c>
      <c r="L349" s="15">
        <f>'[8]2025'!K349</f>
        <v>0</v>
      </c>
      <c r="M349" s="15">
        <f>'[8]2025'!L349</f>
        <v>0</v>
      </c>
      <c r="N349" s="16" t="str">
        <f t="shared" si="20"/>
        <v/>
      </c>
      <c r="O349" s="17" t="str">
        <f t="shared" si="21"/>
        <v/>
      </c>
      <c r="P349" s="17" t="str">
        <f t="shared" si="21"/>
        <v/>
      </c>
      <c r="Q349" s="18" t="str">
        <f t="shared" si="22"/>
        <v/>
      </c>
      <c r="R349" s="18" t="e">
        <f t="shared" si="23"/>
        <v>#DIV/0!</v>
      </c>
      <c r="S349" s="34"/>
      <c r="T349" s="29" t="s">
        <v>8</v>
      </c>
      <c r="U349" s="1738"/>
    </row>
    <row r="350" spans="1:21">
      <c r="A350" s="10" t="s">
        <v>14</v>
      </c>
      <c r="B350" s="19">
        <f>CHAMNORD!B350</f>
        <v>46367</v>
      </c>
      <c r="C350" s="75" t="str">
        <f>IF(H350=0,"",'[8]2025-2026'!C349)</f>
        <v/>
      </c>
      <c r="D350" s="68" t="str">
        <f>'[8]2025'!C350</f>
        <v/>
      </c>
      <c r="E350" s="68" t="str">
        <f>'[8]2025'!D350</f>
        <v/>
      </c>
      <c r="F350" s="20" t="str">
        <f>'[8]2025'!E350</f>
        <v/>
      </c>
      <c r="G350" s="73" t="str">
        <f>'[8]2025'!F350</f>
        <v/>
      </c>
      <c r="H350" s="42">
        <f>'[8]2025'!G350</f>
        <v>0</v>
      </c>
      <c r="I350" s="13">
        <f>'[8]2025'!H350</f>
        <v>0</v>
      </c>
      <c r="J350" s="14">
        <f>'[8]2025'!I350</f>
        <v>0</v>
      </c>
      <c r="K350" s="15">
        <f>'[8]2025'!J350</f>
        <v>0</v>
      </c>
      <c r="L350" s="15">
        <f>'[8]2025'!K350</f>
        <v>0</v>
      </c>
      <c r="M350" s="15">
        <f>'[8]2025'!L350</f>
        <v>0</v>
      </c>
      <c r="N350" s="16" t="str">
        <f t="shared" si="20"/>
        <v/>
      </c>
      <c r="O350" s="17" t="str">
        <f t="shared" si="21"/>
        <v/>
      </c>
      <c r="P350" s="17" t="str">
        <f t="shared" si="21"/>
        <v/>
      </c>
      <c r="Q350" s="18" t="str">
        <f t="shared" si="22"/>
        <v/>
      </c>
      <c r="R350" s="18" t="e">
        <f t="shared" si="23"/>
        <v>#DIV/0!</v>
      </c>
      <c r="S350" s="36" t="s">
        <v>40</v>
      </c>
      <c r="T350" s="48" t="e">
        <f>SUM(I346:I352)/SUM(L346:L352)</f>
        <v>#DIV/0!</v>
      </c>
      <c r="U350" s="1738"/>
    </row>
    <row r="351" spans="1:21">
      <c r="A351" s="10" t="s">
        <v>15</v>
      </c>
      <c r="B351" s="19">
        <f>CHAMNORD!B351</f>
        <v>46368</v>
      </c>
      <c r="C351" s="75" t="str">
        <f>IF(H351=0,"",'[8]2025-2026'!C350)</f>
        <v/>
      </c>
      <c r="D351" s="68" t="str">
        <f>'[8]2025'!C351</f>
        <v/>
      </c>
      <c r="E351" s="68" t="str">
        <f>'[8]2025'!D351</f>
        <v/>
      </c>
      <c r="F351" s="20" t="str">
        <f>'[8]2025'!E351</f>
        <v/>
      </c>
      <c r="G351" s="73" t="str">
        <f>'[8]2025'!F351</f>
        <v/>
      </c>
      <c r="H351" s="42">
        <f>'[8]2025'!G351</f>
        <v>0</v>
      </c>
      <c r="I351" s="13">
        <f>'[8]2025'!H351</f>
        <v>0</v>
      </c>
      <c r="J351" s="14">
        <f>'[8]2025'!I351</f>
        <v>0</v>
      </c>
      <c r="K351" s="15">
        <f>'[8]2025'!J351</f>
        <v>0</v>
      </c>
      <c r="L351" s="15">
        <f>'[8]2025'!K351</f>
        <v>0</v>
      </c>
      <c r="M351" s="15">
        <f>'[8]2025'!L351</f>
        <v>0</v>
      </c>
      <c r="N351" s="16" t="str">
        <f t="shared" si="20"/>
        <v/>
      </c>
      <c r="O351" s="17" t="str">
        <f t="shared" si="21"/>
        <v/>
      </c>
      <c r="P351" s="17" t="str">
        <f t="shared" si="21"/>
        <v/>
      </c>
      <c r="Q351" s="18" t="str">
        <f t="shared" si="22"/>
        <v/>
      </c>
      <c r="R351" s="18" t="e">
        <f t="shared" si="23"/>
        <v>#DIV/0!</v>
      </c>
      <c r="S351" s="36">
        <f>SUM(J346:J352)</f>
        <v>0</v>
      </c>
      <c r="T351" s="30" t="s">
        <v>3</v>
      </c>
      <c r="U351" s="1738"/>
    </row>
    <row r="352" spans="1:21" ht="18" thickBot="1">
      <c r="A352" s="10" t="s">
        <v>16</v>
      </c>
      <c r="B352" s="19">
        <f>CHAMNORD!B352</f>
        <v>46369</v>
      </c>
      <c r="C352" s="75" t="str">
        <f>IF(H352=0,"",'[8]2025-2026'!C351)</f>
        <v/>
      </c>
      <c r="D352" s="68" t="str">
        <f>'[8]2025'!C352</f>
        <v/>
      </c>
      <c r="E352" s="68" t="str">
        <f>'[8]2025'!D352</f>
        <v/>
      </c>
      <c r="F352" s="20" t="str">
        <f>'[8]2025'!E352</f>
        <v/>
      </c>
      <c r="G352" s="73" t="str">
        <f>'[8]2025'!F352</f>
        <v/>
      </c>
      <c r="H352" s="42">
        <f>'[8]2025'!G352</f>
        <v>0</v>
      </c>
      <c r="I352" s="13">
        <f>'[8]2025'!H352</f>
        <v>0</v>
      </c>
      <c r="J352" s="14">
        <f>'[8]2025'!I352</f>
        <v>0</v>
      </c>
      <c r="K352" s="15">
        <f>'[8]2025'!J352</f>
        <v>0</v>
      </c>
      <c r="L352" s="15">
        <f>'[8]2025'!K352</f>
        <v>0</v>
      </c>
      <c r="M352" s="15">
        <f>'[8]2025'!L352</f>
        <v>0</v>
      </c>
      <c r="N352" s="16" t="str">
        <f t="shared" si="20"/>
        <v/>
      </c>
      <c r="O352" s="17" t="str">
        <f t="shared" si="21"/>
        <v/>
      </c>
      <c r="P352" s="17" t="str">
        <f t="shared" si="21"/>
        <v/>
      </c>
      <c r="Q352" s="18" t="str">
        <f t="shared" si="22"/>
        <v/>
      </c>
      <c r="R352" s="18" t="e">
        <f t="shared" si="23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19">
        <f>CHAMNORD!B353</f>
        <v>46370</v>
      </c>
      <c r="C353" s="75" t="str">
        <f>IF(H353=0,"",'[8]2025-2026'!C352)</f>
        <v/>
      </c>
      <c r="D353" s="68" t="str">
        <f>'[8]2025'!C353</f>
        <v/>
      </c>
      <c r="E353" s="68" t="str">
        <f>'[8]2025'!D353</f>
        <v/>
      </c>
      <c r="F353" s="20" t="str">
        <f>'[8]2025'!E353</f>
        <v/>
      </c>
      <c r="G353" s="73" t="str">
        <f>'[8]2025'!F353</f>
        <v/>
      </c>
      <c r="H353" s="42">
        <f>'[8]2025'!G353</f>
        <v>0</v>
      </c>
      <c r="I353" s="13">
        <f>'[8]2025'!H353</f>
        <v>0</v>
      </c>
      <c r="J353" s="14">
        <f>'[8]2025'!I353</f>
        <v>0</v>
      </c>
      <c r="K353" s="15">
        <f>'[8]2025'!J353</f>
        <v>0</v>
      </c>
      <c r="L353" s="15">
        <f>'[8]2025'!K353</f>
        <v>0</v>
      </c>
      <c r="M353" s="15">
        <f>'[8]2025'!L353</f>
        <v>0</v>
      </c>
      <c r="N353" s="16" t="str">
        <f t="shared" si="20"/>
        <v/>
      </c>
      <c r="O353" s="17" t="str">
        <f t="shared" si="21"/>
        <v/>
      </c>
      <c r="P353" s="17" t="str">
        <f t="shared" si="21"/>
        <v/>
      </c>
      <c r="Q353" s="18" t="str">
        <f t="shared" si="22"/>
        <v/>
      </c>
      <c r="R353" s="18" t="e">
        <f t="shared" si="23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19">
        <f>CHAMNORD!B354</f>
        <v>46371</v>
      </c>
      <c r="C354" s="75" t="str">
        <f>IF(H354=0,"",'[8]2025-2026'!C353)</f>
        <v/>
      </c>
      <c r="D354" s="68" t="str">
        <f>'[8]2025'!C354</f>
        <v/>
      </c>
      <c r="E354" s="68" t="str">
        <f>'[8]2025'!D354</f>
        <v/>
      </c>
      <c r="F354" s="20" t="str">
        <f>'[8]2025'!E354</f>
        <v/>
      </c>
      <c r="G354" s="73" t="str">
        <f>'[8]2025'!F354</f>
        <v/>
      </c>
      <c r="H354" s="42">
        <f>'[8]2025'!G354</f>
        <v>0</v>
      </c>
      <c r="I354" s="13">
        <f>'[8]2025'!H354</f>
        <v>0</v>
      </c>
      <c r="J354" s="14">
        <f>'[8]2025'!I354</f>
        <v>0</v>
      </c>
      <c r="K354" s="15">
        <f>'[8]2025'!J354</f>
        <v>0</v>
      </c>
      <c r="L354" s="15">
        <f>'[8]2025'!K354</f>
        <v>0</v>
      </c>
      <c r="M354" s="15">
        <f>'[8]2025'!L354</f>
        <v>0</v>
      </c>
      <c r="N354" s="16" t="str">
        <f t="shared" si="20"/>
        <v/>
      </c>
      <c r="O354" s="17" t="str">
        <f t="shared" si="21"/>
        <v/>
      </c>
      <c r="P354" s="17" t="str">
        <f t="shared" si="21"/>
        <v/>
      </c>
      <c r="Q354" s="18" t="str">
        <f t="shared" si="22"/>
        <v/>
      </c>
      <c r="R354" s="18" t="e">
        <f t="shared" si="23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19">
        <f>CHAMNORD!B355</f>
        <v>46372</v>
      </c>
      <c r="C355" s="75" t="str">
        <f>IF(H355=0,"",'[8]2025-2026'!C354)</f>
        <v/>
      </c>
      <c r="D355" s="68" t="str">
        <f>'[8]2025'!C355</f>
        <v/>
      </c>
      <c r="E355" s="68" t="str">
        <f>'[8]2025'!D355</f>
        <v/>
      </c>
      <c r="F355" s="20" t="str">
        <f>'[8]2025'!E355</f>
        <v/>
      </c>
      <c r="G355" s="73" t="str">
        <f>'[8]2025'!F355</f>
        <v/>
      </c>
      <c r="H355" s="42">
        <f>'[8]2025'!G355</f>
        <v>0</v>
      </c>
      <c r="I355" s="13">
        <f>'[8]2025'!H355</f>
        <v>0</v>
      </c>
      <c r="J355" s="14">
        <f>'[8]2025'!I355</f>
        <v>0</v>
      </c>
      <c r="K355" s="15">
        <f>'[8]2025'!J355</f>
        <v>0</v>
      </c>
      <c r="L355" s="15">
        <f>'[8]2025'!K355</f>
        <v>0</v>
      </c>
      <c r="M355" s="15">
        <f>'[8]2025'!L355</f>
        <v>0</v>
      </c>
      <c r="N355" s="16" t="str">
        <f t="shared" si="20"/>
        <v/>
      </c>
      <c r="O355" s="17" t="str">
        <f t="shared" si="21"/>
        <v/>
      </c>
      <c r="P355" s="17" t="str">
        <f t="shared" si="21"/>
        <v/>
      </c>
      <c r="Q355" s="18" t="str">
        <f t="shared" si="22"/>
        <v/>
      </c>
      <c r="R355" s="18" t="e">
        <f t="shared" si="23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19">
        <f>CHAMNORD!B356</f>
        <v>46373</v>
      </c>
      <c r="C356" s="75" t="str">
        <f>IF(H356=0,"",'[8]2025-2026'!C355)</f>
        <v/>
      </c>
      <c r="D356" s="68" t="str">
        <f>'[8]2025'!C356</f>
        <v/>
      </c>
      <c r="E356" s="68" t="str">
        <f>'[8]2025'!D356</f>
        <v/>
      </c>
      <c r="F356" s="20" t="str">
        <f>'[8]2025'!E356</f>
        <v/>
      </c>
      <c r="G356" s="73" t="str">
        <f>'[8]2025'!F356</f>
        <v/>
      </c>
      <c r="H356" s="42">
        <f>'[8]2025'!G356</f>
        <v>0</v>
      </c>
      <c r="I356" s="13">
        <f>'[8]2025'!H356</f>
        <v>0</v>
      </c>
      <c r="J356" s="14">
        <f>'[8]2025'!I356</f>
        <v>0</v>
      </c>
      <c r="K356" s="15">
        <f>'[8]2025'!J356</f>
        <v>0</v>
      </c>
      <c r="L356" s="15">
        <f>'[8]2025'!K356</f>
        <v>0</v>
      </c>
      <c r="M356" s="15">
        <f>'[8]2025'!L356</f>
        <v>0</v>
      </c>
      <c r="N356" s="16" t="str">
        <f t="shared" si="20"/>
        <v/>
      </c>
      <c r="O356" s="17" t="str">
        <f t="shared" si="21"/>
        <v/>
      </c>
      <c r="P356" s="17" t="str">
        <f t="shared" si="21"/>
        <v/>
      </c>
      <c r="Q356" s="18" t="str">
        <f t="shared" si="22"/>
        <v/>
      </c>
      <c r="R356" s="18" t="e">
        <f t="shared" si="23"/>
        <v>#DIV/0!</v>
      </c>
      <c r="S356" s="34"/>
      <c r="T356" s="29" t="s">
        <v>8</v>
      </c>
      <c r="U356" s="1738"/>
    </row>
    <row r="357" spans="1:21">
      <c r="A357" s="10" t="s">
        <v>14</v>
      </c>
      <c r="B357" s="19">
        <f>CHAMNORD!B357</f>
        <v>46374</v>
      </c>
      <c r="C357" s="75" t="str">
        <f>IF(H357=0,"",'[8]2025-2026'!C356)</f>
        <v/>
      </c>
      <c r="D357" s="68" t="str">
        <f>'[8]2025'!C357</f>
        <v/>
      </c>
      <c r="E357" s="68" t="str">
        <f>'[8]2025'!D357</f>
        <v/>
      </c>
      <c r="F357" s="20" t="str">
        <f>'[8]2025'!E357</f>
        <v/>
      </c>
      <c r="G357" s="73" t="str">
        <f>'[8]2025'!F357</f>
        <v/>
      </c>
      <c r="H357" s="42">
        <f>'[8]2025'!G357</f>
        <v>0</v>
      </c>
      <c r="I357" s="13">
        <f>'[8]2025'!H357</f>
        <v>0</v>
      </c>
      <c r="J357" s="14">
        <f>'[8]2025'!I357</f>
        <v>0</v>
      </c>
      <c r="K357" s="15">
        <f>'[8]2025'!J357</f>
        <v>0</v>
      </c>
      <c r="L357" s="15">
        <f>'[8]2025'!K357</f>
        <v>0</v>
      </c>
      <c r="M357" s="15">
        <f>'[8]2025'!L357</f>
        <v>0</v>
      </c>
      <c r="N357" s="16" t="str">
        <f t="shared" si="20"/>
        <v/>
      </c>
      <c r="O357" s="17" t="str">
        <f t="shared" si="21"/>
        <v/>
      </c>
      <c r="P357" s="17" t="str">
        <f t="shared" si="21"/>
        <v/>
      </c>
      <c r="Q357" s="18" t="str">
        <f t="shared" si="22"/>
        <v/>
      </c>
      <c r="R357" s="18" t="e">
        <f t="shared" si="23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19">
        <f>CHAMNORD!B358</f>
        <v>46375</v>
      </c>
      <c r="C358" s="75" t="str">
        <f>IF(H358=0,"",'[8]2025-2026'!C357)</f>
        <v/>
      </c>
      <c r="D358" s="68" t="str">
        <f>'[8]2025'!C358</f>
        <v/>
      </c>
      <c r="E358" s="68" t="str">
        <f>'[8]2025'!D358</f>
        <v/>
      </c>
      <c r="F358" s="20" t="str">
        <f>'[8]2025'!E358</f>
        <v/>
      </c>
      <c r="G358" s="73" t="str">
        <f>'[8]2025'!F358</f>
        <v/>
      </c>
      <c r="H358" s="42">
        <f>'[8]2025'!G358</f>
        <v>0</v>
      </c>
      <c r="I358" s="13">
        <f>'[8]2025'!H358</f>
        <v>0</v>
      </c>
      <c r="J358" s="14">
        <f>'[8]2025'!I358</f>
        <v>0</v>
      </c>
      <c r="K358" s="15">
        <f>'[8]2025'!J358</f>
        <v>0</v>
      </c>
      <c r="L358" s="15">
        <f>'[8]2025'!K358</f>
        <v>0</v>
      </c>
      <c r="M358" s="15">
        <f>'[8]2025'!L358</f>
        <v>0</v>
      </c>
      <c r="N358" s="16" t="str">
        <f t="shared" si="20"/>
        <v/>
      </c>
      <c r="O358" s="17" t="str">
        <f t="shared" si="21"/>
        <v/>
      </c>
      <c r="P358" s="17" t="str">
        <f t="shared" si="21"/>
        <v/>
      </c>
      <c r="Q358" s="18" t="str">
        <f t="shared" si="22"/>
        <v/>
      </c>
      <c r="R358" s="18" t="e">
        <f t="shared" si="23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19">
        <f>CHAMNORD!B359</f>
        <v>46376</v>
      </c>
      <c r="C359" s="75" t="str">
        <f>IF(H359=0,"",'[8]2025-2026'!C358)</f>
        <v/>
      </c>
      <c r="D359" s="68" t="str">
        <f>'[8]2025'!C359</f>
        <v/>
      </c>
      <c r="E359" s="68" t="str">
        <f>'[8]2025'!D359</f>
        <v/>
      </c>
      <c r="F359" s="20" t="str">
        <f>'[8]2025'!E359</f>
        <v/>
      </c>
      <c r="G359" s="73" t="str">
        <f>'[8]2025'!F359</f>
        <v/>
      </c>
      <c r="H359" s="42">
        <f>'[8]2025'!G359</f>
        <v>0</v>
      </c>
      <c r="I359" s="13">
        <f>'[8]2025'!H359</f>
        <v>0</v>
      </c>
      <c r="J359" s="14">
        <f>'[8]2025'!I359</f>
        <v>0</v>
      </c>
      <c r="K359" s="15">
        <f>'[8]2025'!J359</f>
        <v>0</v>
      </c>
      <c r="L359" s="15">
        <f>'[8]2025'!K359</f>
        <v>0</v>
      </c>
      <c r="M359" s="15">
        <f>'[8]2025'!L359</f>
        <v>0</v>
      </c>
      <c r="N359" s="16" t="str">
        <f t="shared" si="20"/>
        <v/>
      </c>
      <c r="O359" s="17" t="str">
        <f t="shared" si="21"/>
        <v/>
      </c>
      <c r="P359" s="17" t="str">
        <f t="shared" si="21"/>
        <v/>
      </c>
      <c r="Q359" s="18" t="str">
        <f t="shared" si="22"/>
        <v/>
      </c>
      <c r="R359" s="18" t="e">
        <f t="shared" si="23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19">
        <f>CHAMNORD!B360</f>
        <v>46377</v>
      </c>
      <c r="C360" s="75" t="str">
        <f>IF(H360=0,"",'[8]2025-2026'!C359)</f>
        <v/>
      </c>
      <c r="D360" s="68" t="str">
        <f>'[8]2025'!C360</f>
        <v/>
      </c>
      <c r="E360" s="68" t="str">
        <f>'[8]2025'!D360</f>
        <v/>
      </c>
      <c r="F360" s="20" t="str">
        <f>'[8]2025'!E360</f>
        <v/>
      </c>
      <c r="G360" s="73" t="str">
        <f>'[8]2025'!F360</f>
        <v/>
      </c>
      <c r="H360" s="42">
        <f>'[8]2025'!G360</f>
        <v>0</v>
      </c>
      <c r="I360" s="13">
        <f>'[8]2025'!H360</f>
        <v>0</v>
      </c>
      <c r="J360" s="14">
        <f>'[8]2025'!I360</f>
        <v>0</v>
      </c>
      <c r="K360" s="15">
        <f>'[8]2025'!J360</f>
        <v>0</v>
      </c>
      <c r="L360" s="15">
        <f>'[8]2025'!K360</f>
        <v>0</v>
      </c>
      <c r="M360" s="15">
        <f>'[8]2025'!L360</f>
        <v>0</v>
      </c>
      <c r="N360" s="16" t="str">
        <f t="shared" si="20"/>
        <v/>
      </c>
      <c r="O360" s="17" t="str">
        <f t="shared" si="21"/>
        <v/>
      </c>
      <c r="P360" s="17" t="str">
        <f t="shared" si="21"/>
        <v/>
      </c>
      <c r="Q360" s="18" t="str">
        <f t="shared" si="22"/>
        <v/>
      </c>
      <c r="R360" s="18" t="e">
        <f t="shared" si="23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19">
        <f>CHAMNORD!B361</f>
        <v>46378</v>
      </c>
      <c r="C361" s="75" t="str">
        <f>IF(H361=0,"",'[8]2025-2026'!C360)</f>
        <v/>
      </c>
      <c r="D361" s="68" t="str">
        <f>'[8]2025'!C361</f>
        <v/>
      </c>
      <c r="E361" s="68" t="str">
        <f>'[8]2025'!D361</f>
        <v/>
      </c>
      <c r="F361" s="20" t="str">
        <f>'[8]2025'!E361</f>
        <v/>
      </c>
      <c r="G361" s="73" t="str">
        <f>'[8]2025'!F361</f>
        <v/>
      </c>
      <c r="H361" s="42">
        <f>'[8]2025'!G361</f>
        <v>0</v>
      </c>
      <c r="I361" s="13">
        <f>'[8]2025'!H361</f>
        <v>0</v>
      </c>
      <c r="J361" s="14">
        <f>'[8]2025'!I361</f>
        <v>0</v>
      </c>
      <c r="K361" s="15">
        <f>'[8]2025'!J361</f>
        <v>0</v>
      </c>
      <c r="L361" s="15">
        <f>'[8]2025'!K361</f>
        <v>0</v>
      </c>
      <c r="M361" s="15">
        <f>'[8]2025'!L361</f>
        <v>0</v>
      </c>
      <c r="N361" s="16" t="str">
        <f t="shared" si="20"/>
        <v/>
      </c>
      <c r="O361" s="17" t="str">
        <f t="shared" si="21"/>
        <v/>
      </c>
      <c r="P361" s="17" t="str">
        <f t="shared" si="21"/>
        <v/>
      </c>
      <c r="Q361" s="18" t="str">
        <f t="shared" si="22"/>
        <v/>
      </c>
      <c r="R361" s="18" t="e">
        <f t="shared" si="23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19">
        <f>CHAMNORD!B362</f>
        <v>46379</v>
      </c>
      <c r="C362" s="75" t="str">
        <f>IF(H362=0,"",'[8]2025-2026'!C361)</f>
        <v/>
      </c>
      <c r="D362" s="68" t="str">
        <f>'[8]2025'!C362</f>
        <v/>
      </c>
      <c r="E362" s="68" t="str">
        <f>'[8]2025'!D362</f>
        <v/>
      </c>
      <c r="F362" s="20" t="str">
        <f>'[8]2025'!E362</f>
        <v/>
      </c>
      <c r="G362" s="73" t="str">
        <f>'[8]2025'!F362</f>
        <v/>
      </c>
      <c r="H362" s="42">
        <f>'[8]2025'!G362</f>
        <v>0</v>
      </c>
      <c r="I362" s="13">
        <f>'[8]2025'!H362</f>
        <v>0</v>
      </c>
      <c r="J362" s="14">
        <f>'[8]2025'!I362</f>
        <v>0</v>
      </c>
      <c r="K362" s="15">
        <f>'[8]2025'!J362</f>
        <v>0</v>
      </c>
      <c r="L362" s="15">
        <f>'[8]2025'!K362</f>
        <v>0</v>
      </c>
      <c r="M362" s="15">
        <f>'[8]2025'!L362</f>
        <v>0</v>
      </c>
      <c r="N362" s="16" t="str">
        <f t="shared" si="20"/>
        <v/>
      </c>
      <c r="O362" s="17" t="str">
        <f t="shared" si="21"/>
        <v/>
      </c>
      <c r="P362" s="17" t="str">
        <f t="shared" si="21"/>
        <v/>
      </c>
      <c r="Q362" s="18" t="str">
        <f t="shared" si="22"/>
        <v/>
      </c>
      <c r="R362" s="18" t="e">
        <f t="shared" si="23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19">
        <f>CHAMNORD!B363</f>
        <v>46380</v>
      </c>
      <c r="C363" s="75" t="str">
        <f>IF(H363=0,"",'[8]2025-2026'!C362)</f>
        <v/>
      </c>
      <c r="D363" s="68" t="str">
        <f>'[8]2025'!C363</f>
        <v/>
      </c>
      <c r="E363" s="68" t="str">
        <f>'[8]2025'!D363</f>
        <v/>
      </c>
      <c r="F363" s="20" t="str">
        <f>'[8]2025'!E363</f>
        <v/>
      </c>
      <c r="G363" s="73" t="str">
        <f>'[8]2025'!F363</f>
        <v/>
      </c>
      <c r="H363" s="42">
        <f>'[8]2025'!G363</f>
        <v>0</v>
      </c>
      <c r="I363" s="13">
        <f>'[8]2025'!H363</f>
        <v>0</v>
      </c>
      <c r="J363" s="14">
        <f>'[8]2025'!I363</f>
        <v>0</v>
      </c>
      <c r="K363" s="15">
        <f>'[8]2025'!J363</f>
        <v>0</v>
      </c>
      <c r="L363" s="15">
        <f>'[8]2025'!K363</f>
        <v>0</v>
      </c>
      <c r="M363" s="15">
        <f>'[8]2025'!L363</f>
        <v>0</v>
      </c>
      <c r="N363" s="16" t="str">
        <f t="shared" si="20"/>
        <v/>
      </c>
      <c r="O363" s="17" t="str">
        <f t="shared" si="21"/>
        <v/>
      </c>
      <c r="P363" s="17" t="str">
        <f t="shared" si="21"/>
        <v/>
      </c>
      <c r="Q363" s="18" t="str">
        <f t="shared" si="22"/>
        <v/>
      </c>
      <c r="R363" s="18" t="e">
        <f t="shared" si="23"/>
        <v>#DIV/0!</v>
      </c>
      <c r="S363" s="34"/>
      <c r="T363" s="29" t="s">
        <v>8</v>
      </c>
      <c r="U363" s="1738"/>
    </row>
    <row r="364" spans="1:21">
      <c r="A364" s="10" t="s">
        <v>14</v>
      </c>
      <c r="B364" s="19">
        <f>CHAMNORD!B364</f>
        <v>46381</v>
      </c>
      <c r="C364" s="75" t="str">
        <f>IF(H364=0,"",'[8]2025-2026'!C363)</f>
        <v/>
      </c>
      <c r="D364" s="68" t="str">
        <f>'[8]2025'!C364</f>
        <v/>
      </c>
      <c r="E364" s="68" t="str">
        <f>'[8]2025'!D364</f>
        <v/>
      </c>
      <c r="F364" s="20" t="str">
        <f>'[8]2025'!E364</f>
        <v/>
      </c>
      <c r="G364" s="73" t="str">
        <f>'[8]2025'!F364</f>
        <v/>
      </c>
      <c r="H364" s="42">
        <f>'[8]2025'!G364</f>
        <v>0</v>
      </c>
      <c r="I364" s="13">
        <f>'[8]2025'!H364</f>
        <v>0</v>
      </c>
      <c r="J364" s="14">
        <f>'[8]2025'!I364</f>
        <v>0</v>
      </c>
      <c r="K364" s="15">
        <f>'[8]2025'!J364</f>
        <v>0</v>
      </c>
      <c r="L364" s="15">
        <f>'[8]2025'!K364</f>
        <v>0</v>
      </c>
      <c r="M364" s="15">
        <f>'[8]2025'!L364</f>
        <v>0</v>
      </c>
      <c r="N364" s="16" t="str">
        <f t="shared" si="20"/>
        <v/>
      </c>
      <c r="O364" s="17" t="str">
        <f t="shared" si="21"/>
        <v/>
      </c>
      <c r="P364" s="17" t="str">
        <f t="shared" si="21"/>
        <v/>
      </c>
      <c r="Q364" s="18" t="str">
        <f t="shared" si="22"/>
        <v/>
      </c>
      <c r="R364" s="18" t="e">
        <f t="shared" si="23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19">
        <f>CHAMNORD!B365</f>
        <v>46382</v>
      </c>
      <c r="C365" s="75" t="str">
        <f>IF(H365=0,"",'[8]2025-2026'!C364)</f>
        <v/>
      </c>
      <c r="D365" s="68" t="str">
        <f>'[8]2025'!C365</f>
        <v/>
      </c>
      <c r="E365" s="68" t="str">
        <f>'[8]2025'!D365</f>
        <v/>
      </c>
      <c r="F365" s="20" t="str">
        <f>'[8]2025'!E365</f>
        <v/>
      </c>
      <c r="G365" s="73" t="str">
        <f>'[8]2025'!F365</f>
        <v/>
      </c>
      <c r="H365" s="42">
        <f>'[8]2025'!G365</f>
        <v>0</v>
      </c>
      <c r="I365" s="13">
        <f>'[8]2025'!H365</f>
        <v>0</v>
      </c>
      <c r="J365" s="14">
        <f>'[8]2025'!I365</f>
        <v>0</v>
      </c>
      <c r="K365" s="15">
        <f>'[8]2025'!J365</f>
        <v>0</v>
      </c>
      <c r="L365" s="15">
        <f>'[8]2025'!K365</f>
        <v>0</v>
      </c>
      <c r="M365" s="15">
        <f>'[8]2025'!L365</f>
        <v>0</v>
      </c>
      <c r="N365" s="16" t="str">
        <f t="shared" si="20"/>
        <v/>
      </c>
      <c r="O365" s="17" t="str">
        <f t="shared" si="21"/>
        <v/>
      </c>
      <c r="P365" s="17" t="str">
        <f t="shared" si="21"/>
        <v/>
      </c>
      <c r="Q365" s="18" t="str">
        <f t="shared" si="22"/>
        <v/>
      </c>
      <c r="R365" s="18" t="e">
        <f t="shared" si="23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19">
        <f>CHAMNORD!B366</f>
        <v>46383</v>
      </c>
      <c r="C366" s="75" t="str">
        <f>IF(H366=0,"",'[8]2025-2026'!C365)</f>
        <v/>
      </c>
      <c r="D366" s="68" t="str">
        <f>'[8]2025'!C366</f>
        <v/>
      </c>
      <c r="E366" s="68" t="str">
        <f>'[8]2025'!D366</f>
        <v/>
      </c>
      <c r="F366" s="20" t="str">
        <f>'[8]2025'!E366</f>
        <v/>
      </c>
      <c r="G366" s="73" t="str">
        <f>'[8]2025'!F366</f>
        <v/>
      </c>
      <c r="H366" s="42">
        <f>'[8]2025'!G366</f>
        <v>0</v>
      </c>
      <c r="I366" s="13">
        <f>'[8]2025'!H366</f>
        <v>0</v>
      </c>
      <c r="J366" s="14">
        <f>'[8]2025'!I366</f>
        <v>0</v>
      </c>
      <c r="K366" s="15">
        <f>'[8]2025'!J366</f>
        <v>0</v>
      </c>
      <c r="L366" s="15">
        <f>'[8]2025'!K366</f>
        <v>0</v>
      </c>
      <c r="M366" s="15">
        <f>'[8]2025'!L366</f>
        <v>0</v>
      </c>
      <c r="N366" s="16" t="str">
        <f t="shared" si="20"/>
        <v/>
      </c>
      <c r="O366" s="17" t="str">
        <f t="shared" si="21"/>
        <v/>
      </c>
      <c r="P366" s="17" t="str">
        <f t="shared" si="21"/>
        <v/>
      </c>
      <c r="Q366" s="18" t="str">
        <f t="shared" si="22"/>
        <v/>
      </c>
      <c r="R366" s="18" t="e">
        <f t="shared" si="23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19">
        <f>CHAMNORD!B367</f>
        <v>46384</v>
      </c>
      <c r="C367" s="75" t="str">
        <f>IF(H367=0,"",'[8]2025-2026'!C366)</f>
        <v/>
      </c>
      <c r="D367" s="68" t="str">
        <f>'[8]2025'!C367</f>
        <v/>
      </c>
      <c r="E367" s="68"/>
      <c r="F367" s="20"/>
      <c r="G367" s="73" t="str">
        <f>'[8]2025'!F367</f>
        <v/>
      </c>
      <c r="H367" s="42">
        <f>'[8]2025'!G367</f>
        <v>0</v>
      </c>
      <c r="I367" s="13">
        <f>'[8]2025'!H367</f>
        <v>0</v>
      </c>
      <c r="J367" s="14">
        <f>'[8]2025'!I367</f>
        <v>0</v>
      </c>
      <c r="K367" s="15">
        <f>'[8]2025'!J367</f>
        <v>0</v>
      </c>
      <c r="L367" s="15">
        <f>'[8]2025'!K367</f>
        <v>0</v>
      </c>
      <c r="M367" s="15">
        <f>'[8]2025'!L367</f>
        <v>0</v>
      </c>
      <c r="N367" s="16" t="str">
        <f t="shared" si="20"/>
        <v/>
      </c>
      <c r="O367" s="17" t="str">
        <f t="shared" si="21"/>
        <v/>
      </c>
      <c r="P367" s="17" t="str">
        <f t="shared" si="21"/>
        <v/>
      </c>
      <c r="Q367" s="18" t="str">
        <f t="shared" si="22"/>
        <v/>
      </c>
      <c r="R367" s="18" t="e">
        <f t="shared" si="23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19">
        <f>CHAMNORD!B368</f>
        <v>46385</v>
      </c>
      <c r="C368" s="75" t="str">
        <f>IF(H368=0,"",'[8]2025-2026'!C367)</f>
        <v/>
      </c>
      <c r="D368" s="68" t="str">
        <f>'[8]2025'!C368</f>
        <v/>
      </c>
      <c r="E368" s="68"/>
      <c r="F368" s="20"/>
      <c r="G368" s="73" t="str">
        <f>'[8]2025'!F368</f>
        <v/>
      </c>
      <c r="H368" s="42">
        <f>'[8]2025'!G368</f>
        <v>0</v>
      </c>
      <c r="I368" s="13">
        <f>'[8]2025'!H368</f>
        <v>0</v>
      </c>
      <c r="J368" s="14">
        <f>'[8]2025'!I368</f>
        <v>0</v>
      </c>
      <c r="K368" s="15">
        <f>'[8]2025'!J368</f>
        <v>0</v>
      </c>
      <c r="L368" s="15">
        <f>'[8]2025'!K368</f>
        <v>0</v>
      </c>
      <c r="M368" s="15">
        <f>'[8]2025'!L368</f>
        <v>0</v>
      </c>
      <c r="N368" s="17" t="str">
        <f t="shared" si="20"/>
        <v/>
      </c>
      <c r="O368" s="17" t="str">
        <f t="shared" si="21"/>
        <v/>
      </c>
      <c r="P368" s="17" t="str">
        <f t="shared" si="21"/>
        <v/>
      </c>
      <c r="Q368" s="18" t="str">
        <f t="shared" si="22"/>
        <v/>
      </c>
      <c r="R368" s="18" t="e">
        <f t="shared" si="23"/>
        <v>#DIV/0!</v>
      </c>
      <c r="S368" s="34">
        <f>SUM(I367:I373)</f>
        <v>0</v>
      </c>
      <c r="T368" s="45" t="s">
        <v>41</v>
      </c>
      <c r="U368" s="1738"/>
    </row>
    <row r="369" spans="1:26">
      <c r="A369" s="63" t="s">
        <v>12</v>
      </c>
      <c r="B369" s="64">
        <f>CHAMNORD!B369</f>
        <v>46386</v>
      </c>
      <c r="C369" s="75" t="str">
        <f>IF(H369=0,"",'[8]2025-2026'!C368)</f>
        <v/>
      </c>
      <c r="D369" s="68"/>
      <c r="E369" s="68"/>
      <c r="F369" s="20"/>
      <c r="G369" s="73"/>
      <c r="H369" s="42"/>
      <c r="I369" s="13"/>
      <c r="J369" s="14"/>
      <c r="K369" s="60"/>
      <c r="L369" s="60"/>
      <c r="M369" s="60"/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64">
        <f>CHAMNORD!B370</f>
        <v>46387</v>
      </c>
      <c r="C370" s="75" t="str">
        <f>IF(H370=0,"",'[8]2025-2026'!C369)</f>
        <v/>
      </c>
      <c r="D370" s="68"/>
      <c r="E370" s="68"/>
      <c r="F370" s="20"/>
      <c r="G370" s="73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64">
        <f>CHAMNORD!B371</f>
        <v>46388</v>
      </c>
      <c r="C371" s="75" t="str">
        <f>IF(H371=0,"",'[8]2025-2026'!C370)</f>
        <v/>
      </c>
      <c r="D371" s="68"/>
      <c r="E371" s="68"/>
      <c r="F371" s="20"/>
      <c r="G371" s="73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64">
        <f>CHAMNORD!B372</f>
        <v>46389</v>
      </c>
      <c r="C372" s="75" t="str">
        <f>IF(H372=0,"",'[8]2025-2026'!C371)</f>
        <v/>
      </c>
      <c r="D372" s="68"/>
      <c r="E372" s="68"/>
      <c r="F372" s="20"/>
      <c r="G372" s="73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64">
        <f>CHAMNORD!B373</f>
        <v>46390</v>
      </c>
      <c r="C373" s="75" t="str">
        <f>IF(H373=0,"",'[8]2025-2026'!C372)</f>
        <v/>
      </c>
      <c r="D373" s="71"/>
      <c r="E373" s="71"/>
      <c r="F373" s="21"/>
      <c r="G373" s="74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69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281437.88000000006</v>
      </c>
      <c r="E377" s="104"/>
      <c r="F377" s="102">
        <v>94</v>
      </c>
      <c r="G377" s="105">
        <f>M377/F377</f>
        <v>3053.5094680851057</v>
      </c>
      <c r="H377" s="84">
        <f>SUM(D$6:D$36)</f>
        <v>283201.23000000004</v>
      </c>
      <c r="I377" s="84">
        <f t="shared" ref="I377:Q377" si="24">SUM(E$6:E$36)</f>
        <v>279588.2699999999</v>
      </c>
      <c r="J377" s="89">
        <f t="shared" si="24"/>
        <v>14325</v>
      </c>
      <c r="K377" s="84">
        <f t="shared" si="24"/>
        <v>289000</v>
      </c>
      <c r="L377" s="84">
        <f t="shared" si="24"/>
        <v>289041.29999999993</v>
      </c>
      <c r="M377" s="84">
        <f t="shared" si="24"/>
        <v>287029.88999999996</v>
      </c>
      <c r="N377" s="89">
        <f t="shared" si="24"/>
        <v>13796</v>
      </c>
      <c r="O377" s="89">
        <f t="shared" si="24"/>
        <v>2927.0500000000006</v>
      </c>
      <c r="P377" s="89">
        <f t="shared" si="24"/>
        <v>3332.1000000000008</v>
      </c>
      <c r="Q377" s="87">
        <f t="shared" si="24"/>
        <v>898.93000000000006</v>
      </c>
      <c r="R377" s="87">
        <f>'[8]2025'!$G$387</f>
        <v>533.21999999999991</v>
      </c>
      <c r="S377" s="87">
        <f>'[8]2025'!$G$388</f>
        <v>-6.2899999999999974</v>
      </c>
      <c r="T377" s="87">
        <f>'[8]2025'!$G$389</f>
        <v>26.23</v>
      </c>
      <c r="U377" s="27"/>
      <c r="V377" s="1502">
        <f>(L377-D377)/D377</f>
        <v>2.7016334830264731E-2</v>
      </c>
      <c r="W377" s="1502">
        <f>(L377-H377)/H377</f>
        <v>2.0621626537426725E-2</v>
      </c>
      <c r="X377" s="1502">
        <f>(M377-I377)/I377</f>
        <v>2.6616352681748973E-2</v>
      </c>
      <c r="Y377" s="1502">
        <f>(N377-J377)/J377</f>
        <v>-3.6928446771378708E-2</v>
      </c>
    </row>
    <row r="378" spans="1:26" ht="17" customHeight="1">
      <c r="B378" s="98" t="s">
        <v>25</v>
      </c>
      <c r="C378" s="204"/>
      <c r="D378" s="84">
        <f>SUM(C$37:C$64)</f>
        <v>277847.56</v>
      </c>
      <c r="E378" s="104"/>
      <c r="F378" s="102">
        <v>94</v>
      </c>
      <c r="G378" s="105">
        <f t="shared" ref="G378:G388" si="25">M378/F378</f>
        <v>2907.3618085106382</v>
      </c>
      <c r="H378" s="83">
        <f>SUM(D$37:D$64)</f>
        <v>276931.53999999992</v>
      </c>
      <c r="I378" s="83">
        <f t="shared" ref="I378:Q378" si="26">SUM(E$37:E$64)</f>
        <v>274918.60000000003</v>
      </c>
      <c r="J378" s="89">
        <f t="shared" si="26"/>
        <v>13535</v>
      </c>
      <c r="K378" s="84">
        <f t="shared" si="26"/>
        <v>277600</v>
      </c>
      <c r="L378" s="88">
        <f t="shared" si="26"/>
        <v>275546.76</v>
      </c>
      <c r="M378" s="88">
        <f t="shared" si="26"/>
        <v>273292.01</v>
      </c>
      <c r="N378" s="93">
        <f t="shared" si="26"/>
        <v>13026</v>
      </c>
      <c r="O378" s="93">
        <f t="shared" si="26"/>
        <v>2764.43</v>
      </c>
      <c r="P378" s="93">
        <f t="shared" si="26"/>
        <v>3145.3</v>
      </c>
      <c r="Q378" s="87">
        <f t="shared" si="26"/>
        <v>877.82999999999993</v>
      </c>
      <c r="R378" s="87">
        <f>'[8]2025'!$H$387</f>
        <v>469.21</v>
      </c>
      <c r="S378" s="87">
        <f>'[8]2025'!$H$388</f>
        <v>-65.38000000000001</v>
      </c>
      <c r="T378" s="87">
        <f>'[8]2025'!$H$389</f>
        <v>25.099999999999998</v>
      </c>
      <c r="U378" s="27"/>
      <c r="V378" s="1502">
        <f t="shared" ref="V378:V388" si="27">(L378-D378)/D378</f>
        <v>-8.2807997306148327E-3</v>
      </c>
      <c r="W378" s="1502">
        <f t="shared" ref="W378:Y388" si="28">(L378-H378)/H378</f>
        <v>-5.0004416253920086E-3</v>
      </c>
      <c r="X378" s="1502">
        <f t="shared" si="28"/>
        <v>-5.9166240479910249E-3</v>
      </c>
      <c r="Y378" s="1502">
        <f t="shared" si="28"/>
        <v>-3.7606206132249721E-2</v>
      </c>
    </row>
    <row r="379" spans="1:26">
      <c r="B379" s="98" t="s">
        <v>17</v>
      </c>
      <c r="C379" s="204"/>
      <c r="D379" s="84">
        <f>SUM(C$65:C$95)</f>
        <v>287213.43</v>
      </c>
      <c r="E379" s="104"/>
      <c r="F379" s="102">
        <v>94</v>
      </c>
      <c r="G379" s="105">
        <f t="shared" si="25"/>
        <v>2951.6134042553194</v>
      </c>
      <c r="H379" s="83">
        <f>SUM(D$65:D$95)</f>
        <v>278861.28999999998</v>
      </c>
      <c r="I379" s="83">
        <f t="shared" ref="I379:Q379" si="29">SUM(E$65:E$95)</f>
        <v>276278.13</v>
      </c>
      <c r="J379" s="90">
        <f t="shared" si="29"/>
        <v>14075</v>
      </c>
      <c r="K379" s="83">
        <f t="shared" si="29"/>
        <v>273300</v>
      </c>
      <c r="L379" s="83">
        <f t="shared" si="29"/>
        <v>279942.99</v>
      </c>
      <c r="M379" s="83">
        <f t="shared" si="29"/>
        <v>277451.66000000003</v>
      </c>
      <c r="N379" s="90">
        <f t="shared" si="29"/>
        <v>13421</v>
      </c>
      <c r="O379" s="90">
        <f t="shared" si="29"/>
        <v>2924.01</v>
      </c>
      <c r="P379" s="90">
        <f t="shared" si="29"/>
        <v>3383.81</v>
      </c>
      <c r="Q379" s="83">
        <f t="shared" si="29"/>
        <v>1535.69</v>
      </c>
      <c r="R379" s="87">
        <f>'[8]2025'!$I$387</f>
        <v>663.78</v>
      </c>
      <c r="S379" s="87">
        <f>'[8]2025'!$I$388</f>
        <v>-60.960000000000008</v>
      </c>
      <c r="T379" s="87">
        <f>'[8]2025'!$I$389</f>
        <v>41.66</v>
      </c>
      <c r="U379" s="27"/>
      <c r="V379" s="1502">
        <f t="shared" si="27"/>
        <v>-2.5313718790935375E-2</v>
      </c>
      <c r="W379" s="1502">
        <f t="shared" si="28"/>
        <v>3.8789894431027401E-3</v>
      </c>
      <c r="X379" s="1502">
        <f t="shared" si="28"/>
        <v>4.2476398692868952E-3</v>
      </c>
      <c r="Y379" s="1502">
        <f t="shared" si="28"/>
        <v>-4.6465364120781526E-2</v>
      </c>
    </row>
    <row r="380" spans="1:26">
      <c r="B380" s="98" t="s">
        <v>18</v>
      </c>
      <c r="C380" s="204"/>
      <c r="D380" s="84">
        <f>SUM(C$96:C$125)</f>
        <v>275143.60999999993</v>
      </c>
      <c r="E380" s="104"/>
      <c r="F380" s="102">
        <v>94</v>
      </c>
      <c r="G380" s="105">
        <f t="shared" si="25"/>
        <v>2744.955106382979</v>
      </c>
      <c r="H380" s="83">
        <f>SUM(D$96:D$125)</f>
        <v>280718.17000000004</v>
      </c>
      <c r="I380" s="83">
        <f t="shared" ref="I380:Q380" si="30">SUM(E$96:E$125)</f>
        <v>278399.38000000006</v>
      </c>
      <c r="J380" s="90">
        <f t="shared" si="30"/>
        <v>13947</v>
      </c>
      <c r="K380" s="83">
        <f t="shared" si="30"/>
        <v>278900</v>
      </c>
      <c r="L380" s="83">
        <f t="shared" si="30"/>
        <v>261665.66</v>
      </c>
      <c r="M380" s="83">
        <f t="shared" si="30"/>
        <v>258025.78000000003</v>
      </c>
      <c r="N380" s="90">
        <f t="shared" si="30"/>
        <v>12665</v>
      </c>
      <c r="O380" s="90">
        <f t="shared" si="30"/>
        <v>2772.01</v>
      </c>
      <c r="P380" s="90">
        <f t="shared" si="30"/>
        <v>3214.67</v>
      </c>
      <c r="Q380" s="83">
        <f t="shared" si="30"/>
        <v>1083.1700000000003</v>
      </c>
      <c r="R380" s="87">
        <f>'[8]2025'!$J$387</f>
        <v>522.66999999999996</v>
      </c>
      <c r="S380" s="87">
        <f>'[8]2025'!$J$388</f>
        <v>-5.57</v>
      </c>
      <c r="T380" s="87">
        <f>'[8]2025'!$J$389</f>
        <v>38.799999999999997</v>
      </c>
      <c r="U380" s="27"/>
      <c r="V380" s="1502">
        <f t="shared" si="27"/>
        <v>-4.8985146338669933E-2</v>
      </c>
      <c r="W380" s="1502">
        <f t="shared" si="28"/>
        <v>-6.7870597760023993E-2</v>
      </c>
      <c r="X380" s="1502">
        <f t="shared" si="28"/>
        <v>-7.3181197458126637E-2</v>
      </c>
      <c r="Y380" s="1502">
        <f t="shared" si="28"/>
        <v>-9.1919409191940915E-2</v>
      </c>
    </row>
    <row r="381" spans="1:26" ht="17" customHeight="1">
      <c r="B381" s="98" t="s">
        <v>19</v>
      </c>
      <c r="C381" s="204"/>
      <c r="D381" s="84">
        <f>SUM(C$126:C$156)</f>
        <v>272313.37</v>
      </c>
      <c r="E381" s="104"/>
      <c r="F381" s="102">
        <v>94</v>
      </c>
      <c r="G381" s="105">
        <f t="shared" si="25"/>
        <v>2838.1556382978724</v>
      </c>
      <c r="H381" s="84">
        <f>SUM(D$126:D$156)</f>
        <v>272348.04000000004</v>
      </c>
      <c r="I381" s="84">
        <f t="shared" ref="I381:Q381" si="31">SUM(E$126:E$156)</f>
        <v>270461.02</v>
      </c>
      <c r="J381" s="89">
        <f t="shared" si="31"/>
        <v>13518</v>
      </c>
      <c r="K381" s="84">
        <f t="shared" si="31"/>
        <v>278000</v>
      </c>
      <c r="L381" s="84">
        <f t="shared" si="31"/>
        <v>269487.59000000003</v>
      </c>
      <c r="M381" s="84">
        <f t="shared" si="31"/>
        <v>266786.63</v>
      </c>
      <c r="N381" s="89">
        <f t="shared" si="31"/>
        <v>13186</v>
      </c>
      <c r="O381" s="89">
        <f t="shared" si="31"/>
        <v>2696.4900000000007</v>
      </c>
      <c r="P381" s="89">
        <f t="shared" si="31"/>
        <v>3168.58</v>
      </c>
      <c r="Q381" s="87">
        <f t="shared" si="31"/>
        <v>866.28</v>
      </c>
      <c r="R381" s="87">
        <f>'[8]2025'!$K$387</f>
        <v>601.79999999999995</v>
      </c>
      <c r="S381" s="87">
        <f>'[8]2025'!$K$388</f>
        <v>53.110000000000007</v>
      </c>
      <c r="T381" s="87">
        <f>'[8]2025'!$K$389</f>
        <v>79.69</v>
      </c>
      <c r="U381" s="27"/>
      <c r="V381" s="1502">
        <f t="shared" si="27"/>
        <v>-1.0376941829921792E-2</v>
      </c>
      <c r="W381" s="1502">
        <f t="shared" si="28"/>
        <v>-1.0502921188637934E-2</v>
      </c>
      <c r="X381" s="1502">
        <f t="shared" si="28"/>
        <v>-1.3585654598211653E-2</v>
      </c>
      <c r="Y381" s="1502">
        <f t="shared" si="28"/>
        <v>-2.455984613108448E-2</v>
      </c>
    </row>
    <row r="382" spans="1:26" ht="17" customHeight="1">
      <c r="B382" s="98" t="s">
        <v>20</v>
      </c>
      <c r="C382" s="204"/>
      <c r="D382" s="84">
        <f>SUM(C$157:C$186)</f>
        <v>64705.569999999992</v>
      </c>
      <c r="E382" s="104"/>
      <c r="F382" s="102">
        <v>94</v>
      </c>
      <c r="G382" s="105">
        <f>M382/F382</f>
        <v>703.87074468085109</v>
      </c>
      <c r="H382" s="84">
        <f>SUM(D$157:D$186)</f>
        <v>62764.749999999993</v>
      </c>
      <c r="I382" s="84">
        <f t="shared" ref="I382:Q382" si="32">SUM(E$157:E$186)</f>
        <v>62311.30999999999</v>
      </c>
      <c r="J382" s="89">
        <f t="shared" si="32"/>
        <v>3141</v>
      </c>
      <c r="K382" s="84">
        <f t="shared" si="32"/>
        <v>62800</v>
      </c>
      <c r="L382" s="84">
        <f t="shared" si="32"/>
        <v>66934.899999999994</v>
      </c>
      <c r="M382" s="84">
        <f t="shared" si="32"/>
        <v>66163.850000000006</v>
      </c>
      <c r="N382" s="89">
        <f t="shared" si="32"/>
        <v>3190</v>
      </c>
      <c r="O382" s="89">
        <f t="shared" si="32"/>
        <v>658.88</v>
      </c>
      <c r="P382" s="89">
        <f t="shared" si="32"/>
        <v>752.02</v>
      </c>
      <c r="Q382" s="87">
        <f t="shared" si="32"/>
        <v>249.07</v>
      </c>
      <c r="R382" s="87">
        <f>'[8]2025'!$L$387</f>
        <v>106.27000000000001</v>
      </c>
      <c r="S382" s="87">
        <f>'[8]2025'!$L$388</f>
        <v>40.809999999999995</v>
      </c>
      <c r="T382" s="87">
        <f>'[8]2025'!$L$389</f>
        <v>0</v>
      </c>
      <c r="U382" s="27"/>
      <c r="V382" s="1502">
        <f t="shared" si="27"/>
        <v>3.4453448134372386E-2</v>
      </c>
      <c r="W382" s="1502">
        <f t="shared" si="28"/>
        <v>6.6440956109918417E-2</v>
      </c>
      <c r="X382" s="1502">
        <f t="shared" si="28"/>
        <v>6.182729908904204E-2</v>
      </c>
      <c r="Y382" s="1502">
        <f t="shared" si="28"/>
        <v>1.5600127347978351E-2</v>
      </c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94</v>
      </c>
      <c r="G383" s="105">
        <f t="shared" si="25"/>
        <v>0</v>
      </c>
      <c r="H383" s="84">
        <f>SUM(D$187:D$217)</f>
        <v>0</v>
      </c>
      <c r="I383" s="84">
        <f t="shared" ref="I383:Q383" si="33">SUM(E$187:E$217)</f>
        <v>0</v>
      </c>
      <c r="J383" s="89">
        <f t="shared" si="33"/>
        <v>0</v>
      </c>
      <c r="K383" s="84">
        <f t="shared" si="33"/>
        <v>0</v>
      </c>
      <c r="L383" s="84">
        <f t="shared" si="33"/>
        <v>0</v>
      </c>
      <c r="M383" s="84">
        <f t="shared" si="33"/>
        <v>0</v>
      </c>
      <c r="N383" s="89">
        <f t="shared" si="33"/>
        <v>0</v>
      </c>
      <c r="O383" s="89">
        <f t="shared" si="33"/>
        <v>0</v>
      </c>
      <c r="P383" s="89">
        <f t="shared" si="33"/>
        <v>0</v>
      </c>
      <c r="Q383" s="87">
        <f t="shared" si="33"/>
        <v>0</v>
      </c>
      <c r="R383" s="87">
        <f>'[8]2025'!$M$387</f>
        <v>0</v>
      </c>
      <c r="S383" s="87">
        <f>'[8]2025'!$M$388</f>
        <v>0</v>
      </c>
      <c r="T383" s="87">
        <f>'[8]2025'!$M$389</f>
        <v>0</v>
      </c>
      <c r="U383" s="27"/>
      <c r="V383" s="1502" t="e">
        <f t="shared" si="27"/>
        <v>#DIV/0!</v>
      </c>
      <c r="W383" s="1502" t="e">
        <f t="shared" si="28"/>
        <v>#DIV/0!</v>
      </c>
      <c r="X383" s="1502" t="e">
        <f t="shared" si="28"/>
        <v>#DIV/0!</v>
      </c>
      <c r="Y383" s="1502" t="e">
        <f t="shared" si="28"/>
        <v>#DIV/0!</v>
      </c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94</v>
      </c>
      <c r="G384" s="105">
        <f t="shared" si="25"/>
        <v>0</v>
      </c>
      <c r="H384" s="84">
        <f>SUM(D$218:D$248)</f>
        <v>0</v>
      </c>
      <c r="I384" s="84">
        <f t="shared" ref="I384:Q384" si="34">SUM(E$218:E$248)</f>
        <v>0</v>
      </c>
      <c r="J384" s="89">
        <f t="shared" si="34"/>
        <v>0</v>
      </c>
      <c r="K384" s="84">
        <f t="shared" si="34"/>
        <v>0</v>
      </c>
      <c r="L384" s="84">
        <f t="shared" si="34"/>
        <v>0</v>
      </c>
      <c r="M384" s="84">
        <f t="shared" si="34"/>
        <v>0</v>
      </c>
      <c r="N384" s="89">
        <f t="shared" si="34"/>
        <v>0</v>
      </c>
      <c r="O384" s="89">
        <f t="shared" si="34"/>
        <v>0</v>
      </c>
      <c r="P384" s="89">
        <f t="shared" si="34"/>
        <v>0</v>
      </c>
      <c r="Q384" s="84">
        <f t="shared" si="34"/>
        <v>0</v>
      </c>
      <c r="R384" s="87">
        <f>'[8]2025'!$N$387</f>
        <v>0</v>
      </c>
      <c r="S384" s="87">
        <f>'[8]2025'!$N$388</f>
        <v>0</v>
      </c>
      <c r="T384" s="87">
        <f>'[8]2025'!$N$389</f>
        <v>0</v>
      </c>
      <c r="U384" s="27"/>
      <c r="V384" s="1502" t="e">
        <f t="shared" si="27"/>
        <v>#DIV/0!</v>
      </c>
      <c r="W384" s="1502" t="e">
        <f t="shared" si="28"/>
        <v>#DIV/0!</v>
      </c>
      <c r="X384" s="1502" t="e">
        <f t="shared" si="28"/>
        <v>#DIV/0!</v>
      </c>
      <c r="Y384" s="1502" t="e">
        <f t="shared" si="28"/>
        <v>#DIV/0!</v>
      </c>
    </row>
    <row r="385" spans="2:25" ht="17" customHeight="1">
      <c r="B385" s="98" t="s">
        <v>22</v>
      </c>
      <c r="C385" s="204"/>
      <c r="D385" s="84">
        <f>SUM(C$249:C$278)</f>
        <v>0</v>
      </c>
      <c r="E385" s="104"/>
      <c r="F385" s="102">
        <v>94</v>
      </c>
      <c r="G385" s="105">
        <f t="shared" si="25"/>
        <v>0</v>
      </c>
      <c r="H385" s="85">
        <f>SUM(D$249:D$278)</f>
        <v>0</v>
      </c>
      <c r="I385" s="85">
        <f t="shared" ref="I385:Q385" si="35">SUM(E$249:E$278)</f>
        <v>0</v>
      </c>
      <c r="J385" s="91">
        <f t="shared" si="35"/>
        <v>0</v>
      </c>
      <c r="K385" s="85">
        <f t="shared" si="35"/>
        <v>0</v>
      </c>
      <c r="L385" s="85">
        <f t="shared" si="35"/>
        <v>0</v>
      </c>
      <c r="M385" s="85">
        <f t="shared" si="35"/>
        <v>0</v>
      </c>
      <c r="N385" s="91">
        <f t="shared" si="35"/>
        <v>0</v>
      </c>
      <c r="O385" s="91">
        <f t="shared" si="35"/>
        <v>0</v>
      </c>
      <c r="P385" s="91">
        <f t="shared" si="35"/>
        <v>0</v>
      </c>
      <c r="Q385" s="85">
        <f t="shared" si="35"/>
        <v>0</v>
      </c>
      <c r="R385" s="87">
        <f>'[8]2025'!$O$387</f>
        <v>0</v>
      </c>
      <c r="S385" s="87">
        <f>'[8]2025'!$O$388</f>
        <v>0</v>
      </c>
      <c r="T385" s="87">
        <f>'[8]2025'!$O$389</f>
        <v>0</v>
      </c>
      <c r="U385" s="27"/>
      <c r="V385" s="1502" t="e">
        <f t="shared" si="27"/>
        <v>#DIV/0!</v>
      </c>
      <c r="W385" s="1502" t="e">
        <f t="shared" si="28"/>
        <v>#DIV/0!</v>
      </c>
      <c r="X385" s="1502" t="e">
        <f t="shared" si="28"/>
        <v>#DIV/0!</v>
      </c>
      <c r="Y385" s="1502" t="e">
        <f t="shared" si="28"/>
        <v>#DIV/0!</v>
      </c>
    </row>
    <row r="386" spans="2:25">
      <c r="B386" s="98" t="s">
        <v>23</v>
      </c>
      <c r="C386" s="204"/>
      <c r="D386" s="84">
        <f>SUM(C$279:C$309)</f>
        <v>0</v>
      </c>
      <c r="E386" s="104"/>
      <c r="F386" s="102">
        <v>94</v>
      </c>
      <c r="G386" s="105">
        <f t="shared" si="25"/>
        <v>0</v>
      </c>
      <c r="H386" s="84">
        <f>SUM(D$279:D$309)</f>
        <v>0</v>
      </c>
      <c r="I386" s="84">
        <f t="shared" ref="I386:Q386" si="36">SUM(E$279:E$309)</f>
        <v>0</v>
      </c>
      <c r="J386" s="89">
        <f t="shared" si="36"/>
        <v>0</v>
      </c>
      <c r="K386" s="84">
        <f t="shared" si="36"/>
        <v>0</v>
      </c>
      <c r="L386" s="84">
        <f t="shared" si="36"/>
        <v>0</v>
      </c>
      <c r="M386" s="84">
        <f t="shared" si="36"/>
        <v>0</v>
      </c>
      <c r="N386" s="89">
        <f t="shared" si="36"/>
        <v>0</v>
      </c>
      <c r="O386" s="89">
        <f t="shared" si="36"/>
        <v>0</v>
      </c>
      <c r="P386" s="89">
        <f t="shared" si="36"/>
        <v>0</v>
      </c>
      <c r="Q386" s="84">
        <f t="shared" si="36"/>
        <v>0</v>
      </c>
      <c r="R386" s="87">
        <f>'[8]2025'!$P$387</f>
        <v>0</v>
      </c>
      <c r="S386" s="87">
        <f>'[8]2025'!$P$388</f>
        <v>0</v>
      </c>
      <c r="T386" s="87">
        <f>'[8]2025'!$P$389</f>
        <v>0</v>
      </c>
      <c r="U386" s="27"/>
      <c r="V386" s="1502" t="e">
        <f t="shared" si="27"/>
        <v>#DIV/0!</v>
      </c>
      <c r="W386" s="1502" t="e">
        <f t="shared" si="28"/>
        <v>#DIV/0!</v>
      </c>
      <c r="X386" s="1502" t="e">
        <f t="shared" si="28"/>
        <v>#DIV/0!</v>
      </c>
      <c r="Y386" s="1502" t="e">
        <f t="shared" si="28"/>
        <v>#DIV/0!</v>
      </c>
    </row>
    <row r="387" spans="2:25">
      <c r="B387" s="98" t="s">
        <v>24</v>
      </c>
      <c r="C387" s="204"/>
      <c r="D387" s="84">
        <f>SUM(C$310:C$339)</f>
        <v>0</v>
      </c>
      <c r="E387" s="104"/>
      <c r="F387" s="102">
        <v>94</v>
      </c>
      <c r="G387" s="105">
        <f t="shared" si="25"/>
        <v>0</v>
      </c>
      <c r="H387" s="86">
        <f>SUM(D$310:D$339)</f>
        <v>0</v>
      </c>
      <c r="I387" s="86">
        <f t="shared" ref="I387:Q387" si="37">SUM(E$310:E$339)</f>
        <v>0</v>
      </c>
      <c r="J387" s="92">
        <f t="shared" si="37"/>
        <v>0</v>
      </c>
      <c r="K387" s="86">
        <f t="shared" si="37"/>
        <v>0</v>
      </c>
      <c r="L387" s="86">
        <f t="shared" si="37"/>
        <v>0</v>
      </c>
      <c r="M387" s="86">
        <f t="shared" si="37"/>
        <v>0</v>
      </c>
      <c r="N387" s="92">
        <f t="shared" si="37"/>
        <v>0</v>
      </c>
      <c r="O387" s="92">
        <f t="shared" si="37"/>
        <v>0</v>
      </c>
      <c r="P387" s="92">
        <f t="shared" si="37"/>
        <v>0</v>
      </c>
      <c r="Q387" s="86">
        <f t="shared" si="37"/>
        <v>0</v>
      </c>
      <c r="R387" s="87">
        <f>'[8]2025'!$Q$387</f>
        <v>0</v>
      </c>
      <c r="S387" s="87">
        <f>'[8]2025'!$Q$388</f>
        <v>0</v>
      </c>
      <c r="T387" s="87">
        <f>'[8]2025'!$Q$389</f>
        <v>0</v>
      </c>
      <c r="V387" s="1502" t="e">
        <f t="shared" si="27"/>
        <v>#DIV/0!</v>
      </c>
      <c r="W387" s="1502" t="e">
        <f t="shared" si="28"/>
        <v>#DIV/0!</v>
      </c>
      <c r="X387" s="1502" t="e">
        <f t="shared" si="28"/>
        <v>#DIV/0!</v>
      </c>
      <c r="Y387" s="1502" t="e">
        <f t="shared" si="28"/>
        <v>#DIV/0!</v>
      </c>
    </row>
    <row r="388" spans="2:25" ht="17" customHeight="1">
      <c r="B388" s="98" t="s">
        <v>27</v>
      </c>
      <c r="C388" s="204"/>
      <c r="D388" s="84">
        <f>SUM(C$340:C$370)</f>
        <v>0</v>
      </c>
      <c r="E388" s="104"/>
      <c r="F388" s="102">
        <v>94</v>
      </c>
      <c r="G388" s="105">
        <f t="shared" si="25"/>
        <v>0</v>
      </c>
      <c r="H388" s="84">
        <f>SUM(D$340:D$370)</f>
        <v>0</v>
      </c>
      <c r="I388" s="84">
        <f t="shared" ref="I388:Q388" si="38">SUM(E$340:E$370)</f>
        <v>0</v>
      </c>
      <c r="J388" s="89">
        <f t="shared" si="38"/>
        <v>0</v>
      </c>
      <c r="K388" s="84">
        <f t="shared" si="38"/>
        <v>0</v>
      </c>
      <c r="L388" s="84">
        <f t="shared" si="38"/>
        <v>0</v>
      </c>
      <c r="M388" s="84">
        <f t="shared" si="38"/>
        <v>0</v>
      </c>
      <c r="N388" s="89">
        <f t="shared" si="38"/>
        <v>0</v>
      </c>
      <c r="O388" s="89">
        <f t="shared" si="38"/>
        <v>0</v>
      </c>
      <c r="P388" s="89">
        <f t="shared" si="38"/>
        <v>0</v>
      </c>
      <c r="Q388" s="84">
        <f t="shared" si="38"/>
        <v>0</v>
      </c>
      <c r="R388" s="87">
        <f>'[8]2025'!$R$387</f>
        <v>0</v>
      </c>
      <c r="S388" s="87">
        <f>'[8]2025'!$R$388</f>
        <v>0</v>
      </c>
      <c r="T388" s="87">
        <f>'[8]2025'!$R$389</f>
        <v>0</v>
      </c>
      <c r="V388" s="1502" t="e">
        <f t="shared" si="27"/>
        <v>#DIV/0!</v>
      </c>
      <c r="W388" s="1502" t="e">
        <f t="shared" si="28"/>
        <v>#DIV/0!</v>
      </c>
      <c r="X388" s="1502" t="e">
        <f t="shared" si="28"/>
        <v>#DIV/0!</v>
      </c>
      <c r="Y388" s="1502" t="e">
        <f t="shared" si="28"/>
        <v>#DIV/0!</v>
      </c>
    </row>
    <row r="389" spans="2:25" ht="18" customHeight="1" thickBot="1">
      <c r="B389" s="99" t="s">
        <v>45</v>
      </c>
      <c r="C389" s="205"/>
      <c r="D389" s="96">
        <f>SUM(D377:D388)</f>
        <v>1458661.4200000002</v>
      </c>
      <c r="E389" s="106"/>
      <c r="F389" s="100">
        <f>AVERAGE(F377:F388)</f>
        <v>94</v>
      </c>
      <c r="G389" s="106">
        <f>SUM(G377:G388)</f>
        <v>15199.466170212765</v>
      </c>
      <c r="H389" s="96">
        <f>SUM(H377:H388)</f>
        <v>1454825.02</v>
      </c>
      <c r="I389" s="96">
        <f t="shared" ref="I389:T389" si="39">SUM(I377:I388)</f>
        <v>1441956.71</v>
      </c>
      <c r="J389" s="97">
        <f t="shared" si="39"/>
        <v>72541</v>
      </c>
      <c r="K389" s="96">
        <f t="shared" si="39"/>
        <v>1459600</v>
      </c>
      <c r="L389" s="96">
        <f t="shared" si="39"/>
        <v>1442619.2</v>
      </c>
      <c r="M389" s="96">
        <f t="shared" si="39"/>
        <v>1428749.8199999998</v>
      </c>
      <c r="N389" s="97">
        <f t="shared" si="39"/>
        <v>69284</v>
      </c>
      <c r="O389" s="97">
        <f t="shared" si="39"/>
        <v>14742.87</v>
      </c>
      <c r="P389" s="97">
        <f t="shared" si="39"/>
        <v>16996.48</v>
      </c>
      <c r="Q389" s="96">
        <f t="shared" si="39"/>
        <v>5510.9699999999993</v>
      </c>
      <c r="R389" s="96">
        <f t="shared" si="39"/>
        <v>2896.9499999999994</v>
      </c>
      <c r="S389" s="96">
        <f t="shared" si="39"/>
        <v>-44.27999999999998</v>
      </c>
      <c r="T389" s="96">
        <f t="shared" si="39"/>
        <v>211.48</v>
      </c>
      <c r="V389" s="1502">
        <f>(L389-D389)/D389</f>
        <v>-1.0997905188991838E-2</v>
      </c>
      <c r="W389" s="1502">
        <f>(L389-H389)/H389</f>
        <v>-8.3898887029039849E-3</v>
      </c>
      <c r="X389" s="1502">
        <f>(M389-I389)/I389</f>
        <v>-9.1590058899896735E-3</v>
      </c>
      <c r="Y389" s="1502">
        <f>(N389-J389)/J389</f>
        <v>-4.489874691553742E-2</v>
      </c>
    </row>
    <row r="390" spans="2:25">
      <c r="T390" s="28"/>
      <c r="U390" s="38"/>
    </row>
  </sheetData>
  <mergeCells count="55">
    <mergeCell ref="U360:U366"/>
    <mergeCell ref="U367:U373"/>
    <mergeCell ref="U325:U331"/>
    <mergeCell ref="U332:U338"/>
    <mergeCell ref="U339:U345"/>
    <mergeCell ref="U346:U352"/>
    <mergeCell ref="U353:U359"/>
    <mergeCell ref="U318:U324"/>
    <mergeCell ref="U241:U247"/>
    <mergeCell ref="U248:U254"/>
    <mergeCell ref="U255:U261"/>
    <mergeCell ref="U262:U268"/>
    <mergeCell ref="U269:U275"/>
    <mergeCell ref="U276:U282"/>
    <mergeCell ref="U283:U289"/>
    <mergeCell ref="U290:U296"/>
    <mergeCell ref="U297:U303"/>
    <mergeCell ref="U304:U310"/>
    <mergeCell ref="U311:U317"/>
    <mergeCell ref="U234:U240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13:U219"/>
    <mergeCell ref="U220:U226"/>
    <mergeCell ref="U227:U233"/>
    <mergeCell ref="U150:U156"/>
    <mergeCell ref="U73:U79"/>
    <mergeCell ref="U80:U86"/>
    <mergeCell ref="U87:U93"/>
    <mergeCell ref="U94:U100"/>
    <mergeCell ref="U101:U107"/>
    <mergeCell ref="U108:U114"/>
    <mergeCell ref="U115:U121"/>
    <mergeCell ref="U122:U128"/>
    <mergeCell ref="U129:U135"/>
    <mergeCell ref="U136:U142"/>
    <mergeCell ref="U143:U149"/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</mergeCells>
  <conditionalFormatting sqref="N3:N367">
    <cfRule type="cellIs" dxfId="335" priority="1" operator="lessThan">
      <formula>0.006</formula>
    </cfRule>
    <cfRule type="cellIs" dxfId="334" priority="2" operator="greaterThan">
      <formula>0.006</formula>
    </cfRule>
  </conditionalFormatting>
  <conditionalFormatting sqref="O3:P373">
    <cfRule type="cellIs" dxfId="333" priority="3" operator="lessThan">
      <formula>0</formula>
    </cfRule>
    <cfRule type="cellIs" dxfId="332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00DCA-59DC-E348-A252-714313AB3A3A}">
  <sheetPr codeName="Feuil12"/>
  <dimension ref="A1:Z390"/>
  <sheetViews>
    <sheetView showGridLines="0" topLeftCell="A97" workbookViewId="0">
      <selection activeCell="J115" sqref="J115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12" style="38" customWidth="1"/>
    <col min="4" max="5" width="10.83203125" style="70"/>
    <col min="6" max="6" width="10.83203125" style="38"/>
    <col min="7" max="7" width="10.83203125" style="70"/>
    <col min="8" max="8" width="11.6640625" style="44" customWidth="1"/>
    <col min="9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16384" width="10.83203125" style="38"/>
  </cols>
  <sheetData>
    <row r="1" spans="1:21" ht="16" customHeight="1">
      <c r="A1" s="1740"/>
      <c r="B1" s="1"/>
      <c r="C1" s="72"/>
      <c r="D1" s="1743" t="s">
        <v>152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1" s="39" customFormat="1" ht="37" customHeight="1" thickBot="1">
      <c r="A2" s="1740"/>
      <c r="B2" s="2"/>
      <c r="C2" s="3"/>
      <c r="D2" s="67" t="s">
        <v>302</v>
      </c>
      <c r="E2" s="5" t="s">
        <v>303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1" ht="17" customHeight="1" thickTop="1">
      <c r="A3" s="10" t="s">
        <v>9</v>
      </c>
      <c r="B3" s="11"/>
      <c r="C3" s="904"/>
      <c r="D3" s="68"/>
      <c r="E3" s="68"/>
      <c r="F3" s="20"/>
      <c r="G3" s="73"/>
      <c r="H3" s="42"/>
      <c r="I3" s="13"/>
      <c r="J3" s="14"/>
      <c r="K3" s="15"/>
      <c r="L3" s="15"/>
      <c r="M3" s="15"/>
      <c r="N3" s="16"/>
      <c r="O3" s="17" t="str">
        <f>IF(I3=0,"",(I3-E3)/E3)</f>
        <v/>
      </c>
      <c r="P3" s="17" t="str">
        <f>IF(J3=0,"",(J3-F3)/F3)</f>
        <v/>
      </c>
      <c r="Q3" s="18" t="str">
        <f>IF(I3=0,"",I3/K3)</f>
        <v/>
      </c>
      <c r="R3" s="18" t="e">
        <f>I3/L3</f>
        <v>#DIV/0!</v>
      </c>
      <c r="S3" s="33" t="s">
        <v>39</v>
      </c>
      <c r="T3" s="31" t="s">
        <v>42</v>
      </c>
      <c r="U3" s="1737" t="s">
        <v>83</v>
      </c>
    </row>
    <row r="4" spans="1:21">
      <c r="A4" s="10" t="s">
        <v>11</v>
      </c>
      <c r="B4" s="11"/>
      <c r="C4" s="904"/>
      <c r="D4" s="68"/>
      <c r="E4" s="68"/>
      <c r="F4" s="20"/>
      <c r="G4" s="73"/>
      <c r="H4" s="42"/>
      <c r="I4" s="13"/>
      <c r="J4" s="14"/>
      <c r="K4" s="15"/>
      <c r="L4" s="15"/>
      <c r="M4" s="15"/>
      <c r="N4" s="16"/>
      <c r="O4" s="17" t="str">
        <f t="shared" ref="O4:P67" si="0">IF(I4=0,"",(I4-E4)/E4)</f>
        <v/>
      </c>
      <c r="P4" s="17" t="str">
        <f t="shared" si="0"/>
        <v/>
      </c>
      <c r="Q4" s="18" t="str">
        <f t="shared" ref="Q4:Q67" si="1">IF(I4=0,"",I4/K4)</f>
        <v/>
      </c>
      <c r="R4" s="18" t="e">
        <f t="shared" ref="R4:R67" si="2">I4/L4</f>
        <v>#DIV/0!</v>
      </c>
      <c r="S4" s="34">
        <f>SUM(I3:I9)</f>
        <v>44682.95</v>
      </c>
      <c r="T4" s="45" t="s">
        <v>41</v>
      </c>
      <c r="U4" s="1738"/>
    </row>
    <row r="5" spans="1:21">
      <c r="A5" s="10" t="s">
        <v>12</v>
      </c>
      <c r="B5" s="11"/>
      <c r="C5" s="904"/>
      <c r="D5" s="68"/>
      <c r="E5" s="68"/>
      <c r="F5" s="20"/>
      <c r="G5" s="73"/>
      <c r="H5" s="42"/>
      <c r="I5" s="13"/>
      <c r="J5" s="14"/>
      <c r="K5" s="15"/>
      <c r="L5" s="15"/>
      <c r="M5" s="15"/>
      <c r="N5" s="16"/>
      <c r="O5" s="17" t="str">
        <f t="shared" si="0"/>
        <v/>
      </c>
      <c r="P5" s="17" t="str">
        <f t="shared" si="0"/>
        <v/>
      </c>
      <c r="Q5" s="18" t="str">
        <f t="shared" si="1"/>
        <v/>
      </c>
      <c r="R5" s="18" t="e">
        <f t="shared" si="2"/>
        <v>#DIV/0!</v>
      </c>
      <c r="S5" s="35">
        <f>(S4-SUM(E3:E9))/SUM(E3:E9)</f>
        <v>0.39622132709137353</v>
      </c>
      <c r="T5" s="48">
        <f>SUM(I3:I9)/SUM(K3:K9)</f>
        <v>127.75682630450321</v>
      </c>
      <c r="U5" s="1738"/>
    </row>
    <row r="6" spans="1:21">
      <c r="A6" s="10" t="s">
        <v>13</v>
      </c>
      <c r="B6" s="11">
        <f>CHAMNORD!B6</f>
        <v>46023</v>
      </c>
      <c r="C6" s="75">
        <f>IF(H6=0,"",'[9]2025-2026'!C5)</f>
        <v>0</v>
      </c>
      <c r="D6" s="68">
        <f>'[9]2025'!C6</f>
        <v>0</v>
      </c>
      <c r="E6" s="68">
        <f>'[9]2025'!D6</f>
        <v>0</v>
      </c>
      <c r="F6" s="20">
        <f>'[9]2025'!E6</f>
        <v>0</v>
      </c>
      <c r="G6" s="73">
        <f>'[9]2025'!F6</f>
        <v>15000</v>
      </c>
      <c r="H6" s="42">
        <f>'[9]2025'!G6</f>
        <v>15507.19</v>
      </c>
      <c r="I6" s="13">
        <f>'[9]2025'!H6</f>
        <v>15328.09</v>
      </c>
      <c r="J6" s="14">
        <f>'[9]2025'!I6</f>
        <v>637</v>
      </c>
      <c r="K6" s="15">
        <f>'[9]2025'!J6</f>
        <v>106.51</v>
      </c>
      <c r="L6" s="15">
        <f>'[9]2025'!K6</f>
        <v>123.78</v>
      </c>
      <c r="M6" s="15">
        <f>'[9]2025'!L6</f>
        <v>105.23</v>
      </c>
      <c r="N6" s="16">
        <f t="shared" ref="N6:N67" si="3">IF(M6=0,"",M6/I6)</f>
        <v>6.8651736778685413E-3</v>
      </c>
      <c r="O6" s="17" t="e">
        <f t="shared" si="0"/>
        <v>#DIV/0!</v>
      </c>
      <c r="P6" s="17" t="e">
        <f t="shared" si="0"/>
        <v>#DIV/0!</v>
      </c>
      <c r="Q6" s="18">
        <f t="shared" si="1"/>
        <v>143.91221481551028</v>
      </c>
      <c r="R6" s="18">
        <f t="shared" si="2"/>
        <v>123.83333333333333</v>
      </c>
      <c r="S6" s="34"/>
      <c r="T6" s="29" t="s">
        <v>8</v>
      </c>
      <c r="U6" s="1738"/>
    </row>
    <row r="7" spans="1:21">
      <c r="A7" s="10" t="s">
        <v>14</v>
      </c>
      <c r="B7" s="11">
        <f>CHAMNORD!B7</f>
        <v>46024</v>
      </c>
      <c r="C7" s="75">
        <f>IF(H7=0,"",'[9]2025-2026'!C6)</f>
        <v>0</v>
      </c>
      <c r="D7" s="68">
        <f>'[9]2025'!C7</f>
        <v>12839.55</v>
      </c>
      <c r="E7" s="68">
        <f>'[9]2025'!D7</f>
        <v>12697.63</v>
      </c>
      <c r="F7" s="20">
        <f>'[9]2025'!E7</f>
        <v>650</v>
      </c>
      <c r="G7" s="73">
        <f>'[9]2025'!F7</f>
        <v>13100</v>
      </c>
      <c r="H7" s="42">
        <f>'[9]2025'!G7</f>
        <v>10629.32</v>
      </c>
      <c r="I7" s="13">
        <f>'[9]2025'!H7</f>
        <v>10515.37</v>
      </c>
      <c r="J7" s="14">
        <f>'[9]2025'!I7</f>
        <v>468</v>
      </c>
      <c r="K7" s="15">
        <f>'[9]2025'!J7</f>
        <v>100.37</v>
      </c>
      <c r="L7" s="15">
        <f>'[9]2025'!K7</f>
        <v>127.8</v>
      </c>
      <c r="M7" s="15">
        <f>'[9]2025'!L7</f>
        <v>47.79</v>
      </c>
      <c r="N7" s="16">
        <f t="shared" si="3"/>
        <v>4.5447758852042294E-3</v>
      </c>
      <c r="O7" s="17">
        <f t="shared" si="0"/>
        <v>-0.17186356824068733</v>
      </c>
      <c r="P7" s="17">
        <f t="shared" si="0"/>
        <v>-0.28000000000000003</v>
      </c>
      <c r="Q7" s="18">
        <f t="shared" si="1"/>
        <v>104.76606555743749</v>
      </c>
      <c r="R7" s="18">
        <f t="shared" si="2"/>
        <v>82.279890453834128</v>
      </c>
      <c r="S7" s="36" t="s">
        <v>40</v>
      </c>
      <c r="T7" s="48">
        <f>SUM(I3:I9)/SUM(L3:L9)</f>
        <v>102.03916419273807</v>
      </c>
      <c r="U7" s="1738"/>
    </row>
    <row r="8" spans="1:21">
      <c r="A8" s="10" t="s">
        <v>15</v>
      </c>
      <c r="B8" s="11">
        <f>CHAMNORD!B8</f>
        <v>46025</v>
      </c>
      <c r="C8" s="75">
        <f>IF(H8=0,"",'[9]2025-2026'!C7)</f>
        <v>12839.55</v>
      </c>
      <c r="D8" s="68">
        <f>'[9]2025'!C8</f>
        <v>10022.68</v>
      </c>
      <c r="E8" s="68">
        <f>'[9]2025'!D8</f>
        <v>9909.85</v>
      </c>
      <c r="F8" s="20">
        <f>'[9]2025'!E8</f>
        <v>482</v>
      </c>
      <c r="G8" s="73">
        <f>'[9]2025'!F8</f>
        <v>10200</v>
      </c>
      <c r="H8" s="42">
        <f>'[9]2025'!G8</f>
        <v>8947.16</v>
      </c>
      <c r="I8" s="13">
        <f>'[9]2025'!H8</f>
        <v>8859.1</v>
      </c>
      <c r="J8" s="14">
        <f>'[9]2025'!I8</f>
        <v>405</v>
      </c>
      <c r="K8" s="15">
        <f>'[9]2025'!J8</f>
        <v>72.3</v>
      </c>
      <c r="L8" s="15">
        <f>'[9]2025'!K8</f>
        <v>88.75</v>
      </c>
      <c r="M8" s="15">
        <f>'[9]2025'!L8</f>
        <v>37.840000000000003</v>
      </c>
      <c r="N8" s="16">
        <f t="shared" si="3"/>
        <v>4.2713142418530099E-3</v>
      </c>
      <c r="O8" s="17">
        <f t="shared" si="0"/>
        <v>-0.10603086827752185</v>
      </c>
      <c r="P8" s="17">
        <f t="shared" si="0"/>
        <v>-0.15975103734439833</v>
      </c>
      <c r="Q8" s="18">
        <f t="shared" si="1"/>
        <v>122.53250345781467</v>
      </c>
      <c r="R8" s="18">
        <f t="shared" si="2"/>
        <v>99.820845070422536</v>
      </c>
      <c r="S8" s="36">
        <f>SUM(J3:J9)</f>
        <v>1914</v>
      </c>
      <c r="T8" s="30" t="s">
        <v>3</v>
      </c>
      <c r="U8" s="1738"/>
    </row>
    <row r="9" spans="1:21" ht="18" thickBot="1">
      <c r="A9" s="10" t="s">
        <v>16</v>
      </c>
      <c r="B9" s="11">
        <f>CHAMNORD!B9</f>
        <v>46026</v>
      </c>
      <c r="C9" s="75">
        <f>IF(H9=0,"",'[9]2025-2026'!C8)</f>
        <v>10022.68</v>
      </c>
      <c r="D9" s="68">
        <f>'[9]2025'!C9</f>
        <v>9475.9599999999991</v>
      </c>
      <c r="E9" s="68">
        <f>'[9]2025'!D9</f>
        <v>9395.2900000000009</v>
      </c>
      <c r="F9" s="20">
        <f>'[9]2025'!E9</f>
        <v>458</v>
      </c>
      <c r="G9" s="73">
        <f>'[9]2025'!F9</f>
        <v>9700</v>
      </c>
      <c r="H9" s="42">
        <f>'[9]2025'!G9</f>
        <v>10097.65</v>
      </c>
      <c r="I9" s="13">
        <f>'[9]2025'!H9</f>
        <v>9980.39</v>
      </c>
      <c r="J9" s="14">
        <f>'[9]2025'!I9</f>
        <v>404</v>
      </c>
      <c r="K9" s="15">
        <f>'[9]2025'!J9</f>
        <v>70.569999999999993</v>
      </c>
      <c r="L9" s="15">
        <f>'[9]2025'!K9</f>
        <v>97.57</v>
      </c>
      <c r="M9" s="15">
        <f>'[9]2025'!L9</f>
        <v>44.58</v>
      </c>
      <c r="N9" s="16">
        <f t="shared" si="3"/>
        <v>4.4667593150167478E-3</v>
      </c>
      <c r="O9" s="17">
        <f t="shared" si="0"/>
        <v>6.2275885044527468E-2</v>
      </c>
      <c r="P9" s="17">
        <f t="shared" si="0"/>
        <v>-0.11790393013100436</v>
      </c>
      <c r="Q9" s="18">
        <f t="shared" si="1"/>
        <v>141.42539322658354</v>
      </c>
      <c r="R9" s="18">
        <f t="shared" si="2"/>
        <v>102.28953571794609</v>
      </c>
      <c r="S9" s="37">
        <f>(S8-SUM(F3:F9))/SUM(F3:F9)</f>
        <v>0.20377358490566039</v>
      </c>
      <c r="T9" s="47">
        <f>SUM(M3:M9)/SUM(I3:I9)</f>
        <v>5.269123905203215E-3</v>
      </c>
      <c r="U9" s="1739"/>
    </row>
    <row r="10" spans="1:21" ht="17" customHeight="1" thickTop="1">
      <c r="A10" s="10" t="s">
        <v>9</v>
      </c>
      <c r="B10" s="19">
        <f>CHAMNORD!B10</f>
        <v>46027</v>
      </c>
      <c r="C10" s="75">
        <f>IF(H10=0,"",'[9]2025-2026'!C9)</f>
        <v>9475.9599999999991</v>
      </c>
      <c r="D10" s="68">
        <f>'[9]2025'!C10</f>
        <v>6023.78</v>
      </c>
      <c r="E10" s="68">
        <f>'[9]2025'!D10</f>
        <v>5987.36</v>
      </c>
      <c r="F10" s="20">
        <f>'[9]2025'!E10</f>
        <v>386</v>
      </c>
      <c r="G10" s="73">
        <f>'[9]2025'!F10</f>
        <v>6200</v>
      </c>
      <c r="H10" s="42">
        <f>'[9]2025'!G10</f>
        <v>5464.49</v>
      </c>
      <c r="I10" s="13">
        <f>'[9]2025'!H10</f>
        <v>5431.45</v>
      </c>
      <c r="J10" s="14">
        <f>'[9]2025'!I10</f>
        <v>331</v>
      </c>
      <c r="K10" s="15">
        <f>'[9]2025'!J10</f>
        <v>70.430000000000007</v>
      </c>
      <c r="L10" s="15">
        <f>'[9]2025'!K10</f>
        <v>96.17</v>
      </c>
      <c r="M10" s="15">
        <f>'[9]2025'!L10</f>
        <v>37.99</v>
      </c>
      <c r="N10" s="16">
        <f>IF(M10=0,"",M10/I10)</f>
        <v>6.9944489961244237E-3</v>
      </c>
      <c r="O10" s="17">
        <f>IF(I10=0,"",(I10-E10)/E10)</f>
        <v>-9.2847264904732621E-2</v>
      </c>
      <c r="P10" s="17">
        <f>IF(J10=0,"",(J10-F10)/F10)</f>
        <v>-0.14248704663212436</v>
      </c>
      <c r="Q10" s="18">
        <f>IF(I10=0,"",I10/K10)</f>
        <v>77.118415447962505</v>
      </c>
      <c r="R10" s="18">
        <f>I10/L10</f>
        <v>56.477591764583551</v>
      </c>
      <c r="S10" s="33" t="s">
        <v>39</v>
      </c>
      <c r="T10" s="31" t="s">
        <v>42</v>
      </c>
      <c r="U10" s="1737" t="s">
        <v>84</v>
      </c>
    </row>
    <row r="11" spans="1:21">
      <c r="A11" s="10" t="s">
        <v>11</v>
      </c>
      <c r="B11" s="19">
        <f>CHAMNORD!B11</f>
        <v>46028</v>
      </c>
      <c r="C11" s="75">
        <f>IF(H11=0,"",'[9]2025-2026'!C10)</f>
        <v>6023.78</v>
      </c>
      <c r="D11" s="68">
        <f>'[9]2025'!C11</f>
        <v>7687.29</v>
      </c>
      <c r="E11" s="68">
        <f>'[9]2025'!D11</f>
        <v>7632.71</v>
      </c>
      <c r="F11" s="20">
        <f>'[9]2025'!E11</f>
        <v>466</v>
      </c>
      <c r="G11" s="73">
        <f>'[9]2025'!F11</f>
        <v>7900</v>
      </c>
      <c r="H11" s="42">
        <f>'[9]2025'!G11</f>
        <v>6465.05</v>
      </c>
      <c r="I11" s="13">
        <f>'[9]2025'!H11</f>
        <v>6412.49</v>
      </c>
      <c r="J11" s="14">
        <f>'[9]2025'!I11</f>
        <v>363</v>
      </c>
      <c r="K11" s="15">
        <f>'[9]2025'!J11</f>
        <v>84.88</v>
      </c>
      <c r="L11" s="15">
        <f>'[9]2025'!K11</f>
        <v>101.28</v>
      </c>
      <c r="M11" s="15">
        <f>'[9]2025'!L11</f>
        <v>50.68</v>
      </c>
      <c r="N11" s="16">
        <f t="shared" si="3"/>
        <v>7.903326165031057E-3</v>
      </c>
      <c r="O11" s="17">
        <f t="shared" si="0"/>
        <v>-0.15986720312968791</v>
      </c>
      <c r="P11" s="17">
        <f t="shared" si="0"/>
        <v>-0.22103004291845493</v>
      </c>
      <c r="Q11" s="18">
        <f t="shared" si="1"/>
        <v>75.547714420358147</v>
      </c>
      <c r="R11" s="18">
        <f t="shared" si="2"/>
        <v>63.314474723538702</v>
      </c>
      <c r="S11" s="34">
        <f>SUM(I10:I16)</f>
        <v>52734.32</v>
      </c>
      <c r="T11" s="45" t="s">
        <v>41</v>
      </c>
      <c r="U11" s="1738"/>
    </row>
    <row r="12" spans="1:21">
      <c r="A12" s="10" t="s">
        <v>12</v>
      </c>
      <c r="B12" s="19">
        <f>CHAMNORD!B12</f>
        <v>46029</v>
      </c>
      <c r="C12" s="75">
        <f>IF(H12=0,"",'[9]2025-2026'!C11)</f>
        <v>7687.29</v>
      </c>
      <c r="D12" s="68">
        <f>'[9]2025'!C12</f>
        <v>8072.02</v>
      </c>
      <c r="E12" s="68">
        <f>'[9]2025'!D12</f>
        <v>7980.44</v>
      </c>
      <c r="F12" s="20">
        <f>'[9]2025'!E12</f>
        <v>487</v>
      </c>
      <c r="G12" s="73">
        <f>'[9]2025'!F12</f>
        <v>8200</v>
      </c>
      <c r="H12" s="42">
        <f>'[9]2025'!G12</f>
        <v>6671.58</v>
      </c>
      <c r="I12" s="13">
        <f>'[9]2025'!H12</f>
        <v>6602.82</v>
      </c>
      <c r="J12" s="14">
        <f>'[9]2025'!I12</f>
        <v>356</v>
      </c>
      <c r="K12" s="15">
        <f>'[9]2025'!J12</f>
        <v>86.7</v>
      </c>
      <c r="L12" s="15">
        <f>'[9]2025'!K12</f>
        <v>104.03</v>
      </c>
      <c r="M12" s="15">
        <f>'[9]2025'!L12</f>
        <v>41.22</v>
      </c>
      <c r="N12" s="16">
        <f t="shared" si="3"/>
        <v>6.2427871727534596E-3</v>
      </c>
      <c r="O12" s="17">
        <f t="shared" si="0"/>
        <v>-0.17262456706647752</v>
      </c>
      <c r="P12" s="17">
        <f t="shared" si="0"/>
        <v>-0.26899383983572894</v>
      </c>
      <c r="Q12" s="18">
        <f t="shared" si="1"/>
        <v>76.157093425605524</v>
      </c>
      <c r="R12" s="18">
        <f t="shared" si="2"/>
        <v>63.470345092761697</v>
      </c>
      <c r="S12" s="35">
        <f>(S11-SUM(E10:E16))/SUM(E10:E16)</f>
        <v>-0.13770138819848146</v>
      </c>
      <c r="T12" s="48">
        <f>SUM(I10:I16)/SUM(K10:K16)</f>
        <v>87.353310473918739</v>
      </c>
      <c r="U12" s="1738"/>
    </row>
    <row r="13" spans="1:21">
      <c r="A13" s="10" t="s">
        <v>13</v>
      </c>
      <c r="B13" s="19">
        <f>CHAMNORD!B13</f>
        <v>46030</v>
      </c>
      <c r="C13" s="75">
        <f>IF(H13=0,"",'[9]2025-2026'!C12)</f>
        <v>8072.02</v>
      </c>
      <c r="D13" s="68">
        <f>'[9]2025'!C13</f>
        <v>6736.44</v>
      </c>
      <c r="E13" s="68">
        <f>'[9]2025'!D13</f>
        <v>6698.72</v>
      </c>
      <c r="F13" s="20">
        <f>'[9]2025'!E13</f>
        <v>432</v>
      </c>
      <c r="G13" s="73">
        <f>'[9]2025'!F13</f>
        <v>6900</v>
      </c>
      <c r="H13" s="42">
        <f>'[9]2025'!G13</f>
        <v>6028.94</v>
      </c>
      <c r="I13" s="13">
        <f>'[9]2025'!H13</f>
        <v>5970.51</v>
      </c>
      <c r="J13" s="14">
        <f>'[9]2025'!I13</f>
        <v>360</v>
      </c>
      <c r="K13" s="15">
        <f>'[9]2025'!J13</f>
        <v>82.41</v>
      </c>
      <c r="L13" s="15">
        <f>'[9]2025'!K13</f>
        <v>98.33</v>
      </c>
      <c r="M13" s="15">
        <f>'[9]2025'!L13</f>
        <v>72.25</v>
      </c>
      <c r="N13" s="16">
        <f t="shared" si="3"/>
        <v>1.2101143788386587E-2</v>
      </c>
      <c r="O13" s="17">
        <f t="shared" si="0"/>
        <v>-0.10870882795519145</v>
      </c>
      <c r="P13" s="17">
        <f t="shared" si="0"/>
        <v>-0.16666666666666666</v>
      </c>
      <c r="Q13" s="18">
        <f t="shared" si="1"/>
        <v>72.448853294503095</v>
      </c>
      <c r="R13" s="18">
        <f t="shared" si="2"/>
        <v>60.719109122343134</v>
      </c>
      <c r="S13" s="34"/>
      <c r="T13" s="29" t="s">
        <v>8</v>
      </c>
      <c r="U13" s="1738"/>
    </row>
    <row r="14" spans="1:21">
      <c r="A14" s="10" t="s">
        <v>14</v>
      </c>
      <c r="B14" s="19">
        <f>CHAMNORD!B14</f>
        <v>46031</v>
      </c>
      <c r="C14" s="75">
        <f>IF(H14=0,"",'[9]2025-2026'!C13)</f>
        <v>6736.44</v>
      </c>
      <c r="D14" s="68">
        <f>'[9]2025'!C14</f>
        <v>11628.79</v>
      </c>
      <c r="E14" s="68">
        <f>'[9]2025'!D14</f>
        <v>11546.23</v>
      </c>
      <c r="F14" s="20">
        <f>'[9]2025'!E14</f>
        <v>640</v>
      </c>
      <c r="G14" s="73">
        <f>'[9]2025'!F14</f>
        <v>10900</v>
      </c>
      <c r="H14" s="42">
        <f>'[9]2025'!G14</f>
        <v>9684.3799999999992</v>
      </c>
      <c r="I14" s="13">
        <f>'[9]2025'!H14</f>
        <v>9599.4</v>
      </c>
      <c r="J14" s="14">
        <f>'[9]2025'!I14</f>
        <v>515</v>
      </c>
      <c r="K14" s="15">
        <f>'[9]2025'!J14</f>
        <v>102.06</v>
      </c>
      <c r="L14" s="15">
        <f>'[9]2025'!K14</f>
        <v>118.52</v>
      </c>
      <c r="M14" s="15">
        <f>'[9]2025'!L14</f>
        <v>39.72</v>
      </c>
      <c r="N14" s="16">
        <f t="shared" si="3"/>
        <v>4.1377586099131192E-3</v>
      </c>
      <c r="O14" s="17">
        <f t="shared" si="0"/>
        <v>-0.16861174599847742</v>
      </c>
      <c r="P14" s="17">
        <f t="shared" si="0"/>
        <v>-0.1953125</v>
      </c>
      <c r="Q14" s="18">
        <f t="shared" si="1"/>
        <v>94.056437389770721</v>
      </c>
      <c r="R14" s="18">
        <f t="shared" si="2"/>
        <v>80.993925075936545</v>
      </c>
      <c r="S14" s="36" t="s">
        <v>40</v>
      </c>
      <c r="T14" s="48">
        <f>SUM(I10:I16)/SUM(L10:L16)</f>
        <v>71.243339637935691</v>
      </c>
      <c r="U14" s="1738"/>
    </row>
    <row r="15" spans="1:21">
      <c r="A15" s="10" t="s">
        <v>15</v>
      </c>
      <c r="B15" s="19">
        <f>CHAMNORD!B15</f>
        <v>46032</v>
      </c>
      <c r="C15" s="75">
        <f>IF(H15=0,"",'[9]2025-2026'!C14)</f>
        <v>11628.79</v>
      </c>
      <c r="D15" s="68">
        <f>'[9]2025'!C15</f>
        <v>10936.76</v>
      </c>
      <c r="E15" s="68">
        <f>'[9]2025'!D15</f>
        <v>10808.8</v>
      </c>
      <c r="F15" s="20">
        <f>'[9]2025'!E15</f>
        <v>549</v>
      </c>
      <c r="G15" s="73">
        <f>'[9]2025'!F15</f>
        <v>10200</v>
      </c>
      <c r="H15" s="42">
        <f>'[9]2025'!G15</f>
        <v>9838.2099999999991</v>
      </c>
      <c r="I15" s="13">
        <f>'[9]2025'!H15</f>
        <v>9731.25</v>
      </c>
      <c r="J15" s="14">
        <f>'[9]2025'!I15</f>
        <v>498</v>
      </c>
      <c r="K15" s="15">
        <f>'[9]2025'!J15</f>
        <v>91.1</v>
      </c>
      <c r="L15" s="15">
        <f>'[9]2025'!K15</f>
        <v>118.52</v>
      </c>
      <c r="M15" s="15">
        <f>'[9]2025'!L15</f>
        <v>51.27</v>
      </c>
      <c r="N15" s="16">
        <f t="shared" si="3"/>
        <v>5.2685934489402697E-3</v>
      </c>
      <c r="O15" s="17">
        <f t="shared" si="0"/>
        <v>-9.9691917696691529E-2</v>
      </c>
      <c r="P15" s="17">
        <f t="shared" si="0"/>
        <v>-9.2896174863387984E-2</v>
      </c>
      <c r="Q15" s="18">
        <f t="shared" si="1"/>
        <v>106.81942919868277</v>
      </c>
      <c r="R15" s="18">
        <f t="shared" si="2"/>
        <v>82.10639554505569</v>
      </c>
      <c r="S15" s="36">
        <f>SUM(J10:J16)</f>
        <v>2814</v>
      </c>
      <c r="T15" s="30" t="s">
        <v>3</v>
      </c>
      <c r="U15" s="1738"/>
    </row>
    <row r="16" spans="1:21" ht="18" thickBot="1">
      <c r="A16" s="10" t="s">
        <v>16</v>
      </c>
      <c r="B16" s="19">
        <f>CHAMNORD!B16</f>
        <v>46033</v>
      </c>
      <c r="C16" s="75">
        <f>IF(H16=0,"",'[9]2025-2026'!C15)</f>
        <v>10936.76</v>
      </c>
      <c r="D16" s="68">
        <f>'[9]2025'!C16</f>
        <v>10609.82</v>
      </c>
      <c r="E16" s="68">
        <f>'[9]2025'!D16</f>
        <v>10501.26</v>
      </c>
      <c r="F16" s="20">
        <f>'[9]2025'!E16</f>
        <v>470</v>
      </c>
      <c r="G16" s="73">
        <f>'[9]2025'!F16</f>
        <v>9900</v>
      </c>
      <c r="H16" s="42">
        <f>'[9]2025'!G16</f>
        <v>9076.24</v>
      </c>
      <c r="I16" s="13">
        <f>'[9]2025'!H16</f>
        <v>8986.4</v>
      </c>
      <c r="J16" s="14">
        <f>'[9]2025'!I16</f>
        <v>391</v>
      </c>
      <c r="K16" s="15">
        <f>'[9]2025'!J16</f>
        <v>86.11</v>
      </c>
      <c r="L16" s="15">
        <f>'[9]2025'!K16</f>
        <v>103.35</v>
      </c>
      <c r="M16" s="15">
        <f>'[9]2025'!L16</f>
        <v>63.37</v>
      </c>
      <c r="N16" s="16">
        <f t="shared" si="3"/>
        <v>7.0517671147511795E-3</v>
      </c>
      <c r="O16" s="17">
        <f t="shared" si="0"/>
        <v>-0.14425507034393972</v>
      </c>
      <c r="P16" s="17">
        <f t="shared" si="0"/>
        <v>-0.16808510638297872</v>
      </c>
      <c r="Q16" s="18">
        <f t="shared" si="1"/>
        <v>104.35954012309836</v>
      </c>
      <c r="R16" s="18">
        <f t="shared" si="2"/>
        <v>86.951136913401072</v>
      </c>
      <c r="S16" s="37">
        <f>(S15-SUM(F10:F16))/SUM(F10:F16)</f>
        <v>-0.17959183673469387</v>
      </c>
      <c r="T16" s="47">
        <f>SUM(M10:M16)/SUM(I10:I16)</f>
        <v>6.760303347042306E-3</v>
      </c>
      <c r="U16" s="1739"/>
    </row>
    <row r="17" spans="1:21" ht="17" customHeight="1" thickTop="1">
      <c r="A17" s="10" t="s">
        <v>9</v>
      </c>
      <c r="B17" s="19">
        <f>CHAMNORD!B17</f>
        <v>46034</v>
      </c>
      <c r="C17" s="75">
        <f>IF(H17=0,"",'[9]2025-2026'!C16)</f>
        <v>10609.82</v>
      </c>
      <c r="D17" s="68">
        <f>'[9]2025'!C17</f>
        <v>4953.32</v>
      </c>
      <c r="E17" s="68">
        <f>'[9]2025'!D17</f>
        <v>4921.49</v>
      </c>
      <c r="F17" s="20">
        <f>'[9]2025'!E17</f>
        <v>338</v>
      </c>
      <c r="G17" s="73">
        <f>'[9]2025'!F17</f>
        <v>5100</v>
      </c>
      <c r="H17" s="42">
        <f>'[9]2025'!G17</f>
        <v>5188.7</v>
      </c>
      <c r="I17" s="13">
        <f>'[9]2025'!H17</f>
        <v>5131.0600000000004</v>
      </c>
      <c r="J17" s="14">
        <f>'[9]2025'!I17</f>
        <v>297</v>
      </c>
      <c r="K17" s="15">
        <f>'[9]2025'!J17</f>
        <v>66.540000000000006</v>
      </c>
      <c r="L17" s="15">
        <f>'[9]2025'!K17</f>
        <v>83.91</v>
      </c>
      <c r="M17" s="15">
        <f>'[9]2025'!L17</f>
        <v>52.25</v>
      </c>
      <c r="N17" s="16">
        <f t="shared" si="3"/>
        <v>1.0183081078763452E-2</v>
      </c>
      <c r="O17" s="17">
        <f t="shared" si="0"/>
        <v>4.2582632495443577E-2</v>
      </c>
      <c r="P17" s="17">
        <f t="shared" si="0"/>
        <v>-0.12130177514792899</v>
      </c>
      <c r="Q17" s="18">
        <f t="shared" si="1"/>
        <v>77.112413585813044</v>
      </c>
      <c r="R17" s="18">
        <f t="shared" si="2"/>
        <v>61.149565010129905</v>
      </c>
      <c r="S17" s="33" t="s">
        <v>39</v>
      </c>
      <c r="T17" s="31" t="s">
        <v>42</v>
      </c>
      <c r="U17" s="1737" t="s">
        <v>85</v>
      </c>
    </row>
    <row r="18" spans="1:21">
      <c r="A18" s="10" t="s">
        <v>11</v>
      </c>
      <c r="B18" s="19">
        <f>CHAMNORD!B18</f>
        <v>46035</v>
      </c>
      <c r="C18" s="75">
        <f>IF(H18=0,"",'[9]2025-2026'!C17)</f>
        <v>4953.32</v>
      </c>
      <c r="D18" s="68">
        <f>'[9]2025'!C18</f>
        <v>5811.36</v>
      </c>
      <c r="E18" s="68">
        <f>'[9]2025'!D18</f>
        <v>5781.45</v>
      </c>
      <c r="F18" s="20">
        <f>'[9]2025'!E18</f>
        <v>360</v>
      </c>
      <c r="G18" s="73">
        <f>'[9]2025'!F18</f>
        <v>6000</v>
      </c>
      <c r="H18" s="42">
        <f>'[9]2025'!G18</f>
        <v>6391.44</v>
      </c>
      <c r="I18" s="13">
        <f>'[9]2025'!H18</f>
        <v>6342.15</v>
      </c>
      <c r="J18" s="14">
        <f>'[9]2025'!I18</f>
        <v>387</v>
      </c>
      <c r="K18" s="15">
        <f>'[9]2025'!J18</f>
        <v>67.88</v>
      </c>
      <c r="L18" s="15">
        <f>'[9]2025'!K18</f>
        <v>85.35</v>
      </c>
      <c r="M18" s="15">
        <f>'[9]2025'!L18</f>
        <v>31.19</v>
      </c>
      <c r="N18" s="16">
        <f t="shared" si="3"/>
        <v>4.9178906206885685E-3</v>
      </c>
      <c r="O18" s="17">
        <f t="shared" si="0"/>
        <v>9.6982590872531943E-2</v>
      </c>
      <c r="P18" s="17">
        <f t="shared" si="0"/>
        <v>7.4999999999999997E-2</v>
      </c>
      <c r="Q18" s="18">
        <f t="shared" si="1"/>
        <v>93.431791396582199</v>
      </c>
      <c r="R18" s="18">
        <f t="shared" si="2"/>
        <v>74.307557117750434</v>
      </c>
      <c r="S18" s="34">
        <f>SUM(I17:I23)</f>
        <v>54759.67</v>
      </c>
      <c r="T18" s="45" t="s">
        <v>41</v>
      </c>
      <c r="U18" s="1738"/>
    </row>
    <row r="19" spans="1:21">
      <c r="A19" s="10" t="s">
        <v>12</v>
      </c>
      <c r="B19" s="19">
        <f>CHAMNORD!B19</f>
        <v>46036</v>
      </c>
      <c r="C19" s="75">
        <f>IF(H19=0,"",'[9]2025-2026'!C18)</f>
        <v>5811.36</v>
      </c>
      <c r="D19" s="68">
        <f>'[9]2025'!C19</f>
        <v>6914.48</v>
      </c>
      <c r="E19" s="68">
        <f>'[9]2025'!D19</f>
        <v>6828.61</v>
      </c>
      <c r="F19" s="20">
        <f>'[9]2025'!E19</f>
        <v>411</v>
      </c>
      <c r="G19" s="73">
        <f>'[9]2025'!F19</f>
        <v>7000</v>
      </c>
      <c r="H19" s="42">
        <f>'[9]2025'!G19</f>
        <v>7035.78</v>
      </c>
      <c r="I19" s="13">
        <f>'[9]2025'!H19</f>
        <v>6948.61</v>
      </c>
      <c r="J19" s="14">
        <f>'[9]2025'!I19</f>
        <v>385</v>
      </c>
      <c r="K19" s="15">
        <f>'[9]2025'!J19</f>
        <v>78.069999999999993</v>
      </c>
      <c r="L19" s="15">
        <f>'[9]2025'!K19</f>
        <v>94.92</v>
      </c>
      <c r="M19" s="15">
        <f>'[9]2025'!L19</f>
        <v>61.2</v>
      </c>
      <c r="N19" s="16">
        <f t="shared" si="3"/>
        <v>8.8075168990632662E-3</v>
      </c>
      <c r="O19" s="17">
        <f t="shared" si="0"/>
        <v>1.7573122494914779E-2</v>
      </c>
      <c r="P19" s="17">
        <f t="shared" si="0"/>
        <v>-6.3260340632603412E-2</v>
      </c>
      <c r="Q19" s="18">
        <f t="shared" si="1"/>
        <v>89.004867426668383</v>
      </c>
      <c r="R19" s="18">
        <f t="shared" si="2"/>
        <v>73.204909397387269</v>
      </c>
      <c r="S19" s="35">
        <f>(S18-SUM(E17:E23))/SUM(E17:E23)</f>
        <v>-2.7715324157659626E-3</v>
      </c>
      <c r="T19" s="48">
        <f>SUM(I17:I23)/SUM(K17:K23)</f>
        <v>97.255430245981714</v>
      </c>
      <c r="U19" s="1738"/>
    </row>
    <row r="20" spans="1:21">
      <c r="A20" s="10" t="s">
        <v>13</v>
      </c>
      <c r="B20" s="19">
        <f>CHAMNORD!B20</f>
        <v>46037</v>
      </c>
      <c r="C20" s="75">
        <f>IF(H20=0,"",'[9]2025-2026'!C19)</f>
        <v>6914.48</v>
      </c>
      <c r="D20" s="68">
        <f>'[9]2025'!C20</f>
        <v>6677.52</v>
      </c>
      <c r="E20" s="68">
        <f>'[9]2025'!D20</f>
        <v>6629.52</v>
      </c>
      <c r="F20" s="20">
        <f>'[9]2025'!E20</f>
        <v>443</v>
      </c>
      <c r="G20" s="73">
        <f>'[9]2025'!F20</f>
        <v>6800</v>
      </c>
      <c r="H20" s="42">
        <f>'[9]2025'!G20</f>
        <v>6477.41</v>
      </c>
      <c r="I20" s="13">
        <f>'[9]2025'!H20</f>
        <v>6416.37</v>
      </c>
      <c r="J20" s="14">
        <f>'[9]2025'!I20</f>
        <v>375</v>
      </c>
      <c r="K20" s="15">
        <f>'[9]2025'!J20</f>
        <v>79.61</v>
      </c>
      <c r="L20" s="15">
        <f>'[9]2025'!K20</f>
        <v>95.5</v>
      </c>
      <c r="M20" s="15">
        <f>'[9]2025'!L20</f>
        <v>36.35</v>
      </c>
      <c r="N20" s="16">
        <f t="shared" si="3"/>
        <v>5.6651969883282915E-3</v>
      </c>
      <c r="O20" s="17">
        <f t="shared" si="0"/>
        <v>-3.215164898816212E-2</v>
      </c>
      <c r="P20" s="17">
        <f t="shared" si="0"/>
        <v>-0.15349887133182843</v>
      </c>
      <c r="Q20" s="18">
        <f t="shared" si="1"/>
        <v>80.597537997738982</v>
      </c>
      <c r="R20" s="18">
        <f t="shared" si="2"/>
        <v>67.187120418848167</v>
      </c>
      <c r="S20" s="34"/>
      <c r="T20" s="29" t="s">
        <v>8</v>
      </c>
      <c r="U20" s="1738"/>
    </row>
    <row r="21" spans="1:21">
      <c r="A21" s="10" t="s">
        <v>14</v>
      </c>
      <c r="B21" s="19">
        <f>CHAMNORD!B21</f>
        <v>46038</v>
      </c>
      <c r="C21" s="75">
        <f>IF(H21=0,"",'[9]2025-2026'!C20)</f>
        <v>6677.52</v>
      </c>
      <c r="D21" s="68">
        <f>'[9]2025'!C21</f>
        <v>9842.73</v>
      </c>
      <c r="E21" s="68">
        <f>'[9]2025'!D21</f>
        <v>9769.86</v>
      </c>
      <c r="F21" s="20">
        <f>'[9]2025'!E21</f>
        <v>577</v>
      </c>
      <c r="G21" s="73">
        <f>'[9]2025'!F21</f>
        <v>9200</v>
      </c>
      <c r="H21" s="42">
        <f>'[9]2025'!G21</f>
        <v>10029.469999999999</v>
      </c>
      <c r="I21" s="13">
        <f>'[9]2025'!H21</f>
        <v>9886.17</v>
      </c>
      <c r="J21" s="14">
        <f>'[9]2025'!I21</f>
        <v>524</v>
      </c>
      <c r="K21" s="15">
        <f>'[9]2025'!J21</f>
        <v>103.14</v>
      </c>
      <c r="L21" s="15">
        <f>'[9]2025'!K21</f>
        <v>120.27</v>
      </c>
      <c r="M21" s="15">
        <f>'[9]2025'!L21</f>
        <v>57.48</v>
      </c>
      <c r="N21" s="16">
        <f t="shared" si="3"/>
        <v>5.8141828433053442E-3</v>
      </c>
      <c r="O21" s="17">
        <f t="shared" si="0"/>
        <v>1.1904981238216258E-2</v>
      </c>
      <c r="P21" s="17">
        <f t="shared" si="0"/>
        <v>-9.1854419410745236E-2</v>
      </c>
      <c r="Q21" s="18">
        <f t="shared" si="1"/>
        <v>95.851948807446192</v>
      </c>
      <c r="R21" s="18">
        <f t="shared" si="2"/>
        <v>82.199800448989777</v>
      </c>
      <c r="S21" s="36" t="s">
        <v>40</v>
      </c>
      <c r="T21" s="48">
        <f>SUM(I17:I23)/SUM(L17:L23)</f>
        <v>80.176386184277945</v>
      </c>
      <c r="U21" s="1738"/>
    </row>
    <row r="22" spans="1:21">
      <c r="A22" s="10" t="s">
        <v>15</v>
      </c>
      <c r="B22" s="19">
        <f>CHAMNORD!B22</f>
        <v>46039</v>
      </c>
      <c r="C22" s="75">
        <f>IF(H22=0,"",'[9]2025-2026'!C21)</f>
        <v>9842.73</v>
      </c>
      <c r="D22" s="68">
        <f>'[9]2025'!C22</f>
        <v>11066.09</v>
      </c>
      <c r="E22" s="68">
        <f>'[9]2025'!D22</f>
        <v>10962.79</v>
      </c>
      <c r="F22" s="20">
        <f>'[9]2025'!E22</f>
        <v>519</v>
      </c>
      <c r="G22" s="73">
        <f>'[9]2025'!F22</f>
        <v>10400</v>
      </c>
      <c r="H22" s="42">
        <f>'[9]2025'!G22</f>
        <v>9995.5300000000007</v>
      </c>
      <c r="I22" s="13">
        <f>'[9]2025'!H22</f>
        <v>9873.3799999999992</v>
      </c>
      <c r="J22" s="14">
        <f>'[9]2025'!I22</f>
        <v>454</v>
      </c>
      <c r="K22" s="15">
        <f>'[9]2025'!J22</f>
        <v>85.14</v>
      </c>
      <c r="L22" s="15">
        <f>'[9]2025'!K22</f>
        <v>103.17</v>
      </c>
      <c r="M22" s="15">
        <f>'[9]2025'!L22</f>
        <v>67.87</v>
      </c>
      <c r="N22" s="16">
        <f t="shared" si="3"/>
        <v>6.8740390828672662E-3</v>
      </c>
      <c r="O22" s="17">
        <f t="shared" si="0"/>
        <v>-9.9373425925334852E-2</v>
      </c>
      <c r="P22" s="17">
        <f t="shared" si="0"/>
        <v>-0.12524084778420039</v>
      </c>
      <c r="Q22" s="18">
        <f t="shared" si="1"/>
        <v>115.96640826873384</v>
      </c>
      <c r="R22" s="18">
        <f t="shared" si="2"/>
        <v>95.700106620141511</v>
      </c>
      <c r="S22" s="36">
        <f>SUM(J17:J23)</f>
        <v>2846</v>
      </c>
      <c r="T22" s="30" t="s">
        <v>3</v>
      </c>
      <c r="U22" s="1738"/>
    </row>
    <row r="23" spans="1:21" ht="18" thickBot="1">
      <c r="A23" s="10" t="s">
        <v>16</v>
      </c>
      <c r="B23" s="19">
        <f>CHAMNORD!B23</f>
        <v>46040</v>
      </c>
      <c r="C23" s="75">
        <f>IF(H23=0,"",'[9]2025-2026'!C22)</f>
        <v>11066.09</v>
      </c>
      <c r="D23" s="68">
        <f>'[9]2025'!C23</f>
        <v>10097.530000000001</v>
      </c>
      <c r="E23" s="68">
        <f>'[9]2025'!D23</f>
        <v>10018.14</v>
      </c>
      <c r="F23" s="20">
        <f>'[9]2025'!E23</f>
        <v>448</v>
      </c>
      <c r="G23" s="73">
        <f>'[9]2025'!F23</f>
        <v>9500</v>
      </c>
      <c r="H23" s="42">
        <f>'[9]2025'!G23</f>
        <v>10297.08</v>
      </c>
      <c r="I23" s="13">
        <f>'[9]2025'!H23</f>
        <v>10161.93</v>
      </c>
      <c r="J23" s="14">
        <f>'[9]2025'!I23</f>
        <v>424</v>
      </c>
      <c r="K23" s="15">
        <f>'[9]2025'!J23</f>
        <v>82.67</v>
      </c>
      <c r="L23" s="15">
        <f>'[9]2025'!K23</f>
        <v>99.87</v>
      </c>
      <c r="M23" s="15">
        <f>'[9]2025'!L23</f>
        <v>67.599999999999994</v>
      </c>
      <c r="N23" s="16">
        <f t="shared" si="3"/>
        <v>6.6522796358565736E-3</v>
      </c>
      <c r="O23" s="17">
        <f t="shared" si="0"/>
        <v>1.4352963723805106E-2</v>
      </c>
      <c r="P23" s="17">
        <f t="shared" si="0"/>
        <v>-5.3571428571428568E-2</v>
      </c>
      <c r="Q23" s="18">
        <f t="shared" si="1"/>
        <v>122.9216160638684</v>
      </c>
      <c r="R23" s="18">
        <f t="shared" si="2"/>
        <v>101.75157705016521</v>
      </c>
      <c r="S23" s="37">
        <f>(S22-SUM(F17:F23))/SUM(F17:F23)</f>
        <v>-8.0749354005167959E-2</v>
      </c>
      <c r="T23" s="47">
        <f>SUM(M17:M23)/SUM(I17:I23)</f>
        <v>6.8287482375259008E-3</v>
      </c>
      <c r="U23" s="1739"/>
    </row>
    <row r="24" spans="1:21" ht="17" customHeight="1" thickTop="1">
      <c r="A24" s="10" t="s">
        <v>9</v>
      </c>
      <c r="B24" s="19">
        <f>CHAMNORD!B24</f>
        <v>46041</v>
      </c>
      <c r="C24" s="75">
        <f>IF(H24=0,"",'[9]2025-2026'!C23)</f>
        <v>10097.530000000001</v>
      </c>
      <c r="D24" s="68">
        <f>'[9]2025'!C24</f>
        <v>5007.1499999999996</v>
      </c>
      <c r="E24" s="68">
        <f>'[9]2025'!D24</f>
        <v>4974.6000000000004</v>
      </c>
      <c r="F24" s="20">
        <f>'[9]2025'!E24</f>
        <v>309</v>
      </c>
      <c r="G24" s="73">
        <f>'[9]2025'!F24</f>
        <v>5100</v>
      </c>
      <c r="H24" s="42">
        <f>'[9]2025'!G24</f>
        <v>4632.37</v>
      </c>
      <c r="I24" s="13">
        <f>'[9]2025'!H24</f>
        <v>4575.28</v>
      </c>
      <c r="J24" s="14">
        <f>'[9]2025'!I24</f>
        <v>291</v>
      </c>
      <c r="K24" s="15">
        <f>'[9]2025'!J24</f>
        <v>64.569999999999993</v>
      </c>
      <c r="L24" s="15">
        <f>'[9]2025'!K24</f>
        <v>80.849999999999994</v>
      </c>
      <c r="M24" s="15">
        <f>'[9]2025'!L24</f>
        <v>43.86</v>
      </c>
      <c r="N24" s="16">
        <f t="shared" si="3"/>
        <v>9.586298543477121E-3</v>
      </c>
      <c r="O24" s="17">
        <f t="shared" si="0"/>
        <v>-8.0271780645680177E-2</v>
      </c>
      <c r="P24" s="17">
        <f t="shared" si="0"/>
        <v>-5.8252427184466021E-2</v>
      </c>
      <c r="Q24" s="18">
        <f t="shared" si="1"/>
        <v>70.857673842341654</v>
      </c>
      <c r="R24" s="18">
        <f t="shared" si="2"/>
        <v>56.589734075448362</v>
      </c>
      <c r="S24" s="33" t="s">
        <v>39</v>
      </c>
      <c r="T24" s="31" t="s">
        <v>42</v>
      </c>
      <c r="U24" s="1737" t="s">
        <v>86</v>
      </c>
    </row>
    <row r="25" spans="1:21">
      <c r="A25" s="10" t="s">
        <v>11</v>
      </c>
      <c r="B25" s="19">
        <f>CHAMNORD!B25</f>
        <v>46042</v>
      </c>
      <c r="C25" s="75">
        <f>IF(H25=0,"",'[9]2025-2026'!C24)</f>
        <v>5007.1499999999996</v>
      </c>
      <c r="D25" s="68">
        <f>'[9]2025'!C25</f>
        <v>5415.08</v>
      </c>
      <c r="E25" s="68">
        <f>'[9]2025'!D25</f>
        <v>5366.42</v>
      </c>
      <c r="F25" s="20">
        <f>'[9]2025'!E25</f>
        <v>337</v>
      </c>
      <c r="G25" s="73">
        <f>'[9]2025'!F25</f>
        <v>5500</v>
      </c>
      <c r="H25" s="42">
        <f>'[9]2025'!G25</f>
        <v>6141.17</v>
      </c>
      <c r="I25" s="13">
        <f>'[9]2025'!H25</f>
        <v>6087.64</v>
      </c>
      <c r="J25" s="14">
        <f>'[9]2025'!I25</f>
        <v>339</v>
      </c>
      <c r="K25" s="15">
        <f>'[9]2025'!J25</f>
        <v>76.08</v>
      </c>
      <c r="L25" s="15">
        <f>'[9]2025'!K25</f>
        <v>92.45</v>
      </c>
      <c r="M25" s="15">
        <f>'[9]2025'!L25</f>
        <v>49.65</v>
      </c>
      <c r="N25" s="16">
        <f t="shared" si="3"/>
        <v>8.1558699266053841E-3</v>
      </c>
      <c r="O25" s="17">
        <f t="shared" si="0"/>
        <v>0.13439499703713095</v>
      </c>
      <c r="P25" s="17">
        <f t="shared" si="0"/>
        <v>5.9347181008902079E-3</v>
      </c>
      <c r="Q25" s="18">
        <f t="shared" si="1"/>
        <v>80.016298633017882</v>
      </c>
      <c r="R25" s="18">
        <f t="shared" si="2"/>
        <v>65.847917793401834</v>
      </c>
      <c r="S25" s="34">
        <f>SUM(I24:I30)</f>
        <v>53231.12</v>
      </c>
      <c r="T25" s="45" t="s">
        <v>41</v>
      </c>
      <c r="U25" s="1738"/>
    </row>
    <row r="26" spans="1:21">
      <c r="A26" s="10" t="s">
        <v>12</v>
      </c>
      <c r="B26" s="19">
        <f>CHAMNORD!B26</f>
        <v>46043</v>
      </c>
      <c r="C26" s="75">
        <f>IF(H26=0,"",'[9]2025-2026'!C25)</f>
        <v>5415.08</v>
      </c>
      <c r="D26" s="68">
        <f>'[9]2025'!C26</f>
        <v>7307.85</v>
      </c>
      <c r="E26" s="68">
        <f>'[9]2025'!D26</f>
        <v>7225.89</v>
      </c>
      <c r="F26" s="20">
        <f>'[9]2025'!E26</f>
        <v>429</v>
      </c>
      <c r="G26" s="73">
        <f>'[9]2025'!F26</f>
        <v>7400</v>
      </c>
      <c r="H26" s="42">
        <f>'[9]2025'!G26</f>
        <v>7778.2</v>
      </c>
      <c r="I26" s="13">
        <f>'[9]2025'!H26</f>
        <v>7701.21</v>
      </c>
      <c r="J26" s="14">
        <f>'[9]2025'!I26</f>
        <v>431</v>
      </c>
      <c r="K26" s="15">
        <f>'[9]2025'!J26</f>
        <v>115.45</v>
      </c>
      <c r="L26" s="15">
        <f>'[9]2025'!K26</f>
        <v>131.47999999999999</v>
      </c>
      <c r="M26" s="15">
        <f>'[9]2025'!L26</f>
        <v>37.299999999999997</v>
      </c>
      <c r="N26" s="16">
        <f t="shared" si="3"/>
        <v>4.8433947392682447E-3</v>
      </c>
      <c r="O26" s="17">
        <f t="shared" si="0"/>
        <v>6.5780132274363398E-2</v>
      </c>
      <c r="P26" s="17">
        <f t="shared" si="0"/>
        <v>4.662004662004662E-3</v>
      </c>
      <c r="Q26" s="18">
        <f t="shared" si="1"/>
        <v>66.706019922044177</v>
      </c>
      <c r="R26" s="18">
        <f t="shared" si="2"/>
        <v>58.573243078795258</v>
      </c>
      <c r="S26" s="35">
        <f>(S25-SUM(E24:E30))/SUM(E24:E30)</f>
        <v>5.3621537526684034E-2</v>
      </c>
      <c r="T26" s="48">
        <f>SUM(I24:I30)/SUM(K24:K30)</f>
        <v>83.782356181632181</v>
      </c>
      <c r="U26" s="1738"/>
    </row>
    <row r="27" spans="1:21">
      <c r="A27" s="10" t="s">
        <v>13</v>
      </c>
      <c r="B27" s="19">
        <f>CHAMNORD!B27</f>
        <v>46044</v>
      </c>
      <c r="C27" s="75">
        <f>IF(H27=0,"",'[9]2025-2026'!C26)</f>
        <v>7307.85</v>
      </c>
      <c r="D27" s="68">
        <f>'[9]2025'!C27</f>
        <v>5095.41</v>
      </c>
      <c r="E27" s="68">
        <f>'[9]2025'!D27</f>
        <v>5065.5</v>
      </c>
      <c r="F27" s="20">
        <f>'[9]2025'!E27</f>
        <v>335</v>
      </c>
      <c r="G27" s="73">
        <f>'[9]2025'!F27</f>
        <v>5200</v>
      </c>
      <c r="H27" s="42">
        <f>'[9]2025'!G27</f>
        <v>5810</v>
      </c>
      <c r="I27" s="13">
        <f>'[9]2025'!H27</f>
        <v>5741.61</v>
      </c>
      <c r="J27" s="14">
        <f>'[9]2025'!I27</f>
        <v>345</v>
      </c>
      <c r="K27" s="15">
        <f>'[9]2025'!J27</f>
        <v>83.67</v>
      </c>
      <c r="L27" s="15">
        <f>'[9]2025'!K27</f>
        <v>99.52</v>
      </c>
      <c r="M27" s="15">
        <f>'[9]2025'!L27</f>
        <v>55.87</v>
      </c>
      <c r="N27" s="16">
        <f t="shared" si="3"/>
        <v>9.730720129023044E-3</v>
      </c>
      <c r="O27" s="17">
        <f t="shared" si="0"/>
        <v>0.13347349718685217</v>
      </c>
      <c r="P27" s="17">
        <f t="shared" si="0"/>
        <v>2.9850746268656716E-2</v>
      </c>
      <c r="Q27" s="18">
        <f t="shared" si="1"/>
        <v>68.622086769451414</v>
      </c>
      <c r="R27" s="18">
        <f t="shared" si="2"/>
        <v>57.693026527331192</v>
      </c>
      <c r="S27" s="34"/>
      <c r="T27" s="29" t="s">
        <v>8</v>
      </c>
      <c r="U27" s="1738"/>
    </row>
    <row r="28" spans="1:21">
      <c r="A28" s="10" t="s">
        <v>14</v>
      </c>
      <c r="B28" s="19">
        <f>CHAMNORD!B28</f>
        <v>46045</v>
      </c>
      <c r="C28" s="75">
        <f>IF(H28=0,"",'[9]2025-2026'!C27)</f>
        <v>5095.41</v>
      </c>
      <c r="D28" s="68">
        <f>'[9]2025'!C28</f>
        <v>9856.76</v>
      </c>
      <c r="E28" s="68">
        <f>'[9]2025'!D28</f>
        <v>9785.15</v>
      </c>
      <c r="F28" s="20">
        <f>'[9]2025'!E28</f>
        <v>560</v>
      </c>
      <c r="G28" s="73">
        <f>'[9]2025'!F28</f>
        <v>10100</v>
      </c>
      <c r="H28" s="42">
        <f>'[9]2025'!G28</f>
        <v>8972.08</v>
      </c>
      <c r="I28" s="13">
        <f>'[9]2025'!H28</f>
        <v>8906.6</v>
      </c>
      <c r="J28" s="14">
        <f>'[9]2025'!I28</f>
        <v>472</v>
      </c>
      <c r="K28" s="15">
        <f>'[9]2025'!J28</f>
        <v>102.48</v>
      </c>
      <c r="L28" s="15">
        <f>'[9]2025'!K28</f>
        <v>120.78</v>
      </c>
      <c r="M28" s="15">
        <f>'[9]2025'!L28</f>
        <v>44.1</v>
      </c>
      <c r="N28" s="16">
        <f t="shared" si="3"/>
        <v>4.9513843666494509E-3</v>
      </c>
      <c r="O28" s="17">
        <f t="shared" si="0"/>
        <v>-8.9784009442880217E-2</v>
      </c>
      <c r="P28" s="17">
        <f t="shared" si="0"/>
        <v>-0.15714285714285714</v>
      </c>
      <c r="Q28" s="18">
        <f t="shared" si="1"/>
        <v>86.910616705698672</v>
      </c>
      <c r="R28" s="18">
        <f t="shared" si="2"/>
        <v>73.742341447259477</v>
      </c>
      <c r="S28" s="36" t="s">
        <v>40</v>
      </c>
      <c r="T28" s="48">
        <f>SUM(I24:I30)/SUM(L24:L30)</f>
        <v>69.889214206000133</v>
      </c>
      <c r="U28" s="1738"/>
    </row>
    <row r="29" spans="1:21">
      <c r="A29" s="10" t="s">
        <v>15</v>
      </c>
      <c r="B29" s="19">
        <f>CHAMNORD!B29</f>
        <v>46046</v>
      </c>
      <c r="C29" s="75">
        <f>IF(H29=0,"",'[9]2025-2026'!C28)</f>
        <v>9856.76</v>
      </c>
      <c r="D29" s="68">
        <f>'[9]2025'!C29</f>
        <v>9807.58</v>
      </c>
      <c r="E29" s="68">
        <f>'[9]2025'!D29</f>
        <v>9695.06</v>
      </c>
      <c r="F29" s="20">
        <f>'[9]2025'!E29</f>
        <v>521</v>
      </c>
      <c r="G29" s="73">
        <f>'[9]2025'!F29</f>
        <v>10000</v>
      </c>
      <c r="H29" s="42">
        <f>'[9]2025'!G29</f>
        <v>11278.69</v>
      </c>
      <c r="I29" s="13">
        <f>'[9]2025'!H29</f>
        <v>11186.75</v>
      </c>
      <c r="J29" s="14">
        <f>'[9]2025'!I29</f>
        <v>495</v>
      </c>
      <c r="K29" s="15">
        <f>'[9]2025'!J29</f>
        <v>91.03</v>
      </c>
      <c r="L29" s="15">
        <f>'[9]2025'!K29</f>
        <v>117.85</v>
      </c>
      <c r="M29" s="15">
        <f>'[9]2025'!L29</f>
        <v>34.07</v>
      </c>
      <c r="N29" s="16">
        <f t="shared" si="3"/>
        <v>3.0455673006011576E-3</v>
      </c>
      <c r="O29" s="17">
        <f t="shared" si="0"/>
        <v>0.15386083221764493</v>
      </c>
      <c r="P29" s="17">
        <f t="shared" si="0"/>
        <v>-4.9904030710172742E-2</v>
      </c>
      <c r="Q29" s="18">
        <f t="shared" si="1"/>
        <v>122.89080522904537</v>
      </c>
      <c r="R29" s="18">
        <f t="shared" si="2"/>
        <v>94.923631735256691</v>
      </c>
      <c r="S29" s="36">
        <f>SUM(J24:J30)</f>
        <v>2771</v>
      </c>
      <c r="T29" s="30" t="s">
        <v>3</v>
      </c>
      <c r="U29" s="1738"/>
    </row>
    <row r="30" spans="1:21" ht="18" thickBot="1">
      <c r="A30" s="10" t="s">
        <v>16</v>
      </c>
      <c r="B30" s="19">
        <f>CHAMNORD!B30</f>
        <v>46047</v>
      </c>
      <c r="C30" s="75">
        <f>IF(H30=0,"",'[9]2025-2026'!C29)</f>
        <v>9807.58</v>
      </c>
      <c r="D30" s="68">
        <f>'[9]2025'!C30</f>
        <v>8471.93</v>
      </c>
      <c r="E30" s="68">
        <f>'[9]2025'!D30</f>
        <v>8409.43</v>
      </c>
      <c r="F30" s="20">
        <f>'[9]2025'!E30</f>
        <v>397</v>
      </c>
      <c r="G30" s="73">
        <f>'[9]2025'!F30</f>
        <v>8700</v>
      </c>
      <c r="H30" s="42">
        <f>'[9]2025'!G30</f>
        <v>9128.39</v>
      </c>
      <c r="I30" s="13">
        <f>'[9]2025'!H30</f>
        <v>9032.0300000000007</v>
      </c>
      <c r="J30" s="14">
        <f>'[9]2025'!I30</f>
        <v>398</v>
      </c>
      <c r="K30" s="15">
        <f>'[9]2025'!J30</f>
        <v>102.07</v>
      </c>
      <c r="L30" s="15">
        <f>'[9]2025'!K30</f>
        <v>118.72</v>
      </c>
      <c r="M30" s="15">
        <f>'[9]2025'!L30</f>
        <v>58.78</v>
      </c>
      <c r="N30" s="16">
        <f t="shared" si="3"/>
        <v>6.5079500400242246E-3</v>
      </c>
      <c r="O30" s="17">
        <f t="shared" si="0"/>
        <v>7.4035933469926068E-2</v>
      </c>
      <c r="P30" s="17">
        <f t="shared" si="0"/>
        <v>2.5188916876574307E-3</v>
      </c>
      <c r="Q30" s="18">
        <f t="shared" si="1"/>
        <v>88.488586264328418</v>
      </c>
      <c r="R30" s="18">
        <f t="shared" si="2"/>
        <v>76.078419811320757</v>
      </c>
      <c r="S30" s="37">
        <f>(S29-SUM(F24:F30))/SUM(F24:F30)</f>
        <v>-4.0512465373961221E-2</v>
      </c>
      <c r="T30" s="47">
        <f>SUM(M24:M30)/SUM(I24:I30)</f>
        <v>6.0797142724030601E-3</v>
      </c>
      <c r="U30" s="1739"/>
    </row>
    <row r="31" spans="1:21" ht="17" customHeight="1" thickTop="1">
      <c r="A31" s="10" t="s">
        <v>9</v>
      </c>
      <c r="B31" s="19">
        <f>CHAMNORD!B31</f>
        <v>46048</v>
      </c>
      <c r="C31" s="75">
        <f>IF(H31=0,"",'[9]2025-2026'!C30)</f>
        <v>8471.93</v>
      </c>
      <c r="D31" s="68">
        <f>'[9]2025'!C31</f>
        <v>4808.07</v>
      </c>
      <c r="E31" s="68">
        <f>'[9]2025'!D31</f>
        <v>4784.04</v>
      </c>
      <c r="F31" s="20">
        <f>'[9]2025'!E31</f>
        <v>302</v>
      </c>
      <c r="G31" s="73">
        <f>'[9]2025'!F31</f>
        <v>4900</v>
      </c>
      <c r="H31" s="42">
        <f>'[9]2025'!G31</f>
        <v>4798.84</v>
      </c>
      <c r="I31" s="13">
        <f>'[9]2025'!H31</f>
        <v>4745.9799999999996</v>
      </c>
      <c r="J31" s="14">
        <f>'[9]2025'!I31</f>
        <v>296</v>
      </c>
      <c r="K31" s="15">
        <f>'[9]2025'!J31</f>
        <v>74.94</v>
      </c>
      <c r="L31" s="15">
        <f>'[9]2025'!K31</f>
        <v>91.72</v>
      </c>
      <c r="M31" s="15">
        <f>'[9]2025'!L31</f>
        <v>50.66</v>
      </c>
      <c r="N31" s="16">
        <f t="shared" si="3"/>
        <v>1.0674296983973805E-2</v>
      </c>
      <c r="O31" s="17">
        <f t="shared" si="0"/>
        <v>-7.9556191001748308E-3</v>
      </c>
      <c r="P31" s="17">
        <f t="shared" si="0"/>
        <v>-1.9867549668874173E-2</v>
      </c>
      <c r="Q31" s="18">
        <f t="shared" si="1"/>
        <v>63.33039765145449</v>
      </c>
      <c r="R31" s="18">
        <f t="shared" si="2"/>
        <v>51.744221543829042</v>
      </c>
      <c r="S31" s="33" t="s">
        <v>39</v>
      </c>
      <c r="T31" s="31" t="s">
        <v>42</v>
      </c>
      <c r="U31" s="1737" t="s">
        <v>87</v>
      </c>
    </row>
    <row r="32" spans="1:21">
      <c r="A32" s="10" t="s">
        <v>11</v>
      </c>
      <c r="B32" s="19">
        <f>CHAMNORD!B32</f>
        <v>46049</v>
      </c>
      <c r="C32" s="75">
        <f>IF(H32=0,"",'[9]2025-2026'!C31)</f>
        <v>4808.07</v>
      </c>
      <c r="D32" s="68">
        <f>'[9]2025'!C32</f>
        <v>5540.29</v>
      </c>
      <c r="E32" s="68">
        <f>'[9]2025'!D32</f>
        <v>5505.9</v>
      </c>
      <c r="F32" s="20">
        <f>'[9]2025'!E32</f>
        <v>341</v>
      </c>
      <c r="G32" s="73">
        <f>'[9]2025'!F32</f>
        <v>5700</v>
      </c>
      <c r="H32" s="42">
        <f>'[9]2025'!G32</f>
        <v>5548.98</v>
      </c>
      <c r="I32" s="13">
        <f>'[9]2025'!H32</f>
        <v>5498.27</v>
      </c>
      <c r="J32" s="14">
        <f>'[9]2025'!I32</f>
        <v>327</v>
      </c>
      <c r="K32" s="15">
        <f>'[9]2025'!J32</f>
        <v>85.66</v>
      </c>
      <c r="L32" s="15">
        <f>'[9]2025'!K32</f>
        <v>101.55</v>
      </c>
      <c r="M32" s="15">
        <f>'[9]2025'!L32</f>
        <v>43.5</v>
      </c>
      <c r="N32" s="16">
        <f t="shared" si="3"/>
        <v>7.9115794604484677E-3</v>
      </c>
      <c r="O32" s="17">
        <f t="shared" si="0"/>
        <v>-1.3857861566681561E-3</v>
      </c>
      <c r="P32" s="17">
        <f t="shared" si="0"/>
        <v>-4.1055718475073312E-2</v>
      </c>
      <c r="Q32" s="18">
        <f t="shared" si="1"/>
        <v>64.187135185617564</v>
      </c>
      <c r="R32" s="18">
        <f t="shared" si="2"/>
        <v>54.143476120137869</v>
      </c>
      <c r="S32" s="34">
        <f>SUM(I31:I37)</f>
        <v>54301.670000000006</v>
      </c>
      <c r="T32" s="45" t="s">
        <v>41</v>
      </c>
      <c r="U32" s="1738"/>
    </row>
    <row r="33" spans="1:21">
      <c r="A33" s="10" t="s">
        <v>12</v>
      </c>
      <c r="B33" s="19">
        <f>CHAMNORD!B33</f>
        <v>46050</v>
      </c>
      <c r="C33" s="75">
        <f>IF(H33=0,"",'[9]2025-2026'!C32)</f>
        <v>5540.29</v>
      </c>
      <c r="D33" s="68">
        <f>'[9]2025'!C33</f>
        <v>6638.42</v>
      </c>
      <c r="E33" s="68">
        <f>'[9]2025'!D33</f>
        <v>6557.59</v>
      </c>
      <c r="F33" s="20">
        <f>'[9]2025'!E33</f>
        <v>372</v>
      </c>
      <c r="G33" s="73">
        <f>'[9]2025'!F33</f>
        <v>6800</v>
      </c>
      <c r="H33" s="42">
        <f>'[9]2025'!G33</f>
        <v>6631.56</v>
      </c>
      <c r="I33" s="13">
        <f>'[9]2025'!H33</f>
        <v>6552.01</v>
      </c>
      <c r="J33" s="14">
        <f>'[9]2025'!I33</f>
        <v>342</v>
      </c>
      <c r="K33" s="15">
        <f>'[9]2025'!J33</f>
        <v>100.37</v>
      </c>
      <c r="L33" s="15">
        <f>'[9]2025'!K33</f>
        <v>117.77</v>
      </c>
      <c r="M33" s="15">
        <f>'[9]2025'!L33</f>
        <v>38.11</v>
      </c>
      <c r="N33" s="16">
        <f t="shared" si="3"/>
        <v>5.8165356890480932E-3</v>
      </c>
      <c r="O33" s="17">
        <f t="shared" si="0"/>
        <v>-8.5092236629614342E-4</v>
      </c>
      <c r="P33" s="17">
        <f t="shared" si="0"/>
        <v>-8.0645161290322578E-2</v>
      </c>
      <c r="Q33" s="18">
        <f t="shared" si="1"/>
        <v>65.278569293613629</v>
      </c>
      <c r="R33" s="18">
        <f t="shared" si="2"/>
        <v>55.63394752483655</v>
      </c>
      <c r="S33" s="35">
        <f>(S32-SUM(E31:E37))/SUM(E31:E37)</f>
        <v>4.1458157684574316E-2</v>
      </c>
      <c r="T33" s="48">
        <f>SUM(I31:I37)/SUM(K31:K37)</f>
        <v>85.637165071204407</v>
      </c>
      <c r="U33" s="1738"/>
    </row>
    <row r="34" spans="1:21">
      <c r="A34" s="10" t="s">
        <v>13</v>
      </c>
      <c r="B34" s="19">
        <f>CHAMNORD!B34</f>
        <v>46051</v>
      </c>
      <c r="C34" s="75">
        <f>IF(H34=0,"",'[9]2025-2026'!C33)</f>
        <v>6638.42</v>
      </c>
      <c r="D34" s="68">
        <f>'[9]2025'!C34</f>
        <v>6512.83</v>
      </c>
      <c r="E34" s="68">
        <f>'[9]2025'!D34</f>
        <v>6470.64</v>
      </c>
      <c r="F34" s="20">
        <f>'[9]2025'!E34</f>
        <v>394</v>
      </c>
      <c r="G34" s="73">
        <f>'[9]2025'!F34</f>
        <v>6700</v>
      </c>
      <c r="H34" s="42">
        <f>'[9]2025'!G34</f>
        <v>6215.07</v>
      </c>
      <c r="I34" s="13">
        <f>'[9]2025'!H34</f>
        <v>6147.27</v>
      </c>
      <c r="J34" s="14">
        <f>'[9]2025'!I34</f>
        <v>360</v>
      </c>
      <c r="K34" s="15">
        <f>'[9]2025'!J34</f>
        <v>85.92</v>
      </c>
      <c r="L34" s="15">
        <f>'[9]2025'!K34</f>
        <v>94.87</v>
      </c>
      <c r="M34" s="15">
        <f>'[9]2025'!L34</f>
        <v>94.22</v>
      </c>
      <c r="N34" s="16">
        <f t="shared" si="3"/>
        <v>1.5327128953177588E-2</v>
      </c>
      <c r="O34" s="17">
        <f t="shared" si="0"/>
        <v>-4.9974963836652925E-2</v>
      </c>
      <c r="P34" s="17">
        <f t="shared" si="0"/>
        <v>-8.6294416243654817E-2</v>
      </c>
      <c r="Q34" s="18">
        <f t="shared" si="1"/>
        <v>71.546438547486034</v>
      </c>
      <c r="R34" s="18">
        <f t="shared" si="2"/>
        <v>64.796774533572261</v>
      </c>
      <c r="S34" s="34"/>
      <c r="T34" s="29" t="s">
        <v>8</v>
      </c>
      <c r="U34" s="1738"/>
    </row>
    <row r="35" spans="1:21">
      <c r="A35" s="10" t="s">
        <v>14</v>
      </c>
      <c r="B35" s="19">
        <f>CHAMNORD!B35</f>
        <v>46052</v>
      </c>
      <c r="C35" s="75">
        <f>IF(H35=0,"",'[9]2025-2026'!C34)</f>
        <v>6512.83</v>
      </c>
      <c r="D35" s="68">
        <f>'[9]2025'!C35</f>
        <v>9878.69</v>
      </c>
      <c r="E35" s="68">
        <f>'[9]2025'!D35</f>
        <v>9803.31</v>
      </c>
      <c r="F35" s="20">
        <f>'[9]2025'!E35</f>
        <v>583</v>
      </c>
      <c r="G35" s="73">
        <f>'[9]2025'!F35</f>
        <v>10100</v>
      </c>
      <c r="H35" s="42">
        <f>'[9]2025'!G35</f>
        <v>10554.22</v>
      </c>
      <c r="I35" s="13">
        <f>'[9]2025'!H35</f>
        <v>10421.82</v>
      </c>
      <c r="J35" s="14">
        <f>'[9]2025'!I35</f>
        <v>548</v>
      </c>
      <c r="K35" s="15">
        <f>'[9]2025'!J35</f>
        <v>95.97</v>
      </c>
      <c r="L35" s="15">
        <f>'[9]2025'!K35</f>
        <v>104.47</v>
      </c>
      <c r="M35" s="15">
        <f>'[9]2025'!L35</f>
        <v>47.59</v>
      </c>
      <c r="N35" s="16">
        <f t="shared" si="3"/>
        <v>4.5663809200312423E-3</v>
      </c>
      <c r="O35" s="17">
        <f t="shared" si="0"/>
        <v>6.3091955676195105E-2</v>
      </c>
      <c r="P35" s="17">
        <f t="shared" si="0"/>
        <v>-6.0034305317324184E-2</v>
      </c>
      <c r="Q35" s="18">
        <f t="shared" si="1"/>
        <v>108.59456080025008</v>
      </c>
      <c r="R35" s="18">
        <f t="shared" si="2"/>
        <v>99.758973868096106</v>
      </c>
      <c r="S35" s="36" t="s">
        <v>40</v>
      </c>
      <c r="T35" s="48">
        <f>SUM(I31:I37)/SUM(L31:L37)</f>
        <v>72.850988757412338</v>
      </c>
      <c r="U35" s="1738"/>
    </row>
    <row r="36" spans="1:21">
      <c r="A36" s="10" t="s">
        <v>15</v>
      </c>
      <c r="B36" s="19">
        <f>CHAMNORD!B36</f>
        <v>46053</v>
      </c>
      <c r="C36" s="75">
        <f>IF(H36=0,"",'[9]2025-2026'!C35)</f>
        <v>9878.69</v>
      </c>
      <c r="D36" s="68">
        <f>'[9]2025'!C36</f>
        <v>10171.48</v>
      </c>
      <c r="E36" s="68">
        <f>'[9]2025'!D36</f>
        <v>10100.530000000001</v>
      </c>
      <c r="F36" s="20">
        <f>'[9]2025'!E36</f>
        <v>523</v>
      </c>
      <c r="G36" s="73">
        <f>'[9]2025'!F36</f>
        <v>10400</v>
      </c>
      <c r="H36" s="42">
        <f>'[9]2025'!G36</f>
        <v>12100.47</v>
      </c>
      <c r="I36" s="13">
        <f>'[9]2025'!H36</f>
        <v>11960.28</v>
      </c>
      <c r="J36" s="14">
        <f>'[9]2025'!I36</f>
        <v>564</v>
      </c>
      <c r="K36" s="15">
        <f>'[9]2025'!J36</f>
        <v>92.1</v>
      </c>
      <c r="L36" s="15">
        <f>'[9]2025'!K36</f>
        <v>119.2</v>
      </c>
      <c r="M36" s="15">
        <f>'[9]2025'!L36</f>
        <v>36.56</v>
      </c>
      <c r="N36" s="16">
        <f t="shared" si="3"/>
        <v>3.05678462377135E-3</v>
      </c>
      <c r="O36" s="17">
        <f t="shared" si="0"/>
        <v>0.18412400141378718</v>
      </c>
      <c r="P36" s="17">
        <f t="shared" si="0"/>
        <v>7.8393881453154873E-2</v>
      </c>
      <c r="Q36" s="18">
        <f t="shared" si="1"/>
        <v>129.86188925081436</v>
      </c>
      <c r="R36" s="18">
        <f t="shared" si="2"/>
        <v>100.33791946308725</v>
      </c>
      <c r="S36" s="36">
        <f>SUM(J31:J37)</f>
        <v>2822</v>
      </c>
      <c r="T36" s="30" t="s">
        <v>3</v>
      </c>
      <c r="U36" s="1738"/>
    </row>
    <row r="37" spans="1:21" ht="18" thickBot="1">
      <c r="A37" s="10" t="s">
        <v>16</v>
      </c>
      <c r="B37" s="19">
        <f>CHAMNORD!B37</f>
        <v>46054</v>
      </c>
      <c r="C37" s="75">
        <f>IF(H37=0,"",'[9]2025-2026'!C36)</f>
        <v>10171.48</v>
      </c>
      <c r="D37" s="68">
        <f>'[9]2025'!C37</f>
        <v>9002.02</v>
      </c>
      <c r="E37" s="68">
        <f>'[9]2025'!D37</f>
        <v>8918.0300000000007</v>
      </c>
      <c r="F37" s="20">
        <f>'[9]2025'!E37</f>
        <v>434</v>
      </c>
      <c r="G37" s="73">
        <f>'[9]2025'!F37</f>
        <v>9200</v>
      </c>
      <c r="H37" s="42">
        <f>'[9]2025'!G37</f>
        <v>9100.2099999999991</v>
      </c>
      <c r="I37" s="13">
        <f>'[9]2025'!H37</f>
        <v>8976.0400000000009</v>
      </c>
      <c r="J37" s="14">
        <f>'[9]2025'!I37</f>
        <v>385</v>
      </c>
      <c r="K37" s="15">
        <f>'[9]2025'!J37</f>
        <v>99.13</v>
      </c>
      <c r="L37" s="15">
        <f>'[9]2025'!K37</f>
        <v>115.8</v>
      </c>
      <c r="M37" s="15">
        <f>'[9]2025'!L37</f>
        <v>25</v>
      </c>
      <c r="N37" s="16">
        <f t="shared" si="3"/>
        <v>2.7851925793557068E-3</v>
      </c>
      <c r="O37" s="17">
        <f t="shared" si="0"/>
        <v>6.5047998268676173E-3</v>
      </c>
      <c r="P37" s="17">
        <f t="shared" si="0"/>
        <v>-0.11290322580645161</v>
      </c>
      <c r="Q37" s="18">
        <f t="shared" si="1"/>
        <v>90.548169070916984</v>
      </c>
      <c r="R37" s="18">
        <f t="shared" si="2"/>
        <v>77.513298791019011</v>
      </c>
      <c r="S37" s="37">
        <f>(S36-SUM(F31:F37))/SUM(F31:F37)</f>
        <v>-4.3065445913869106E-2</v>
      </c>
      <c r="T37" s="47">
        <f>SUM(M31:M37)/SUM(I31:I37)</f>
        <v>6.1810253717795409E-3</v>
      </c>
      <c r="U37" s="1739"/>
    </row>
    <row r="38" spans="1:21" ht="17" customHeight="1" thickTop="1">
      <c r="A38" s="10" t="s">
        <v>9</v>
      </c>
      <c r="B38" s="19">
        <f>CHAMNORD!B38</f>
        <v>46055</v>
      </c>
      <c r="C38" s="75">
        <f>IF(H38=0,"",'[9]2025-2026'!C37)</f>
        <v>9002.02</v>
      </c>
      <c r="D38" s="68">
        <f>'[9]2025'!C38</f>
        <v>5278.3</v>
      </c>
      <c r="E38" s="68">
        <f>'[9]2025'!D38</f>
        <v>5245.76</v>
      </c>
      <c r="F38" s="20">
        <f>'[9]2025'!E38</f>
        <v>336</v>
      </c>
      <c r="G38" s="73">
        <f>'[9]2025'!F38</f>
        <v>5400</v>
      </c>
      <c r="H38" s="42">
        <f>'[9]2025'!G38</f>
        <v>4537.37</v>
      </c>
      <c r="I38" s="13">
        <f>'[9]2025'!H38</f>
        <v>4488.3999999999996</v>
      </c>
      <c r="J38" s="14">
        <f>'[9]2025'!I38</f>
        <v>287</v>
      </c>
      <c r="K38" s="15">
        <f>'[9]2025'!J38</f>
        <v>78.459999999999994</v>
      </c>
      <c r="L38" s="15">
        <f>'[9]2025'!K38</f>
        <v>95.28</v>
      </c>
      <c r="M38" s="15">
        <f>'[9]2025'!L38</f>
        <v>28.44</v>
      </c>
      <c r="N38" s="16">
        <f t="shared" si="3"/>
        <v>6.3363336601015962E-3</v>
      </c>
      <c r="O38" s="17">
        <f t="shared" si="0"/>
        <v>-0.14437564814249995</v>
      </c>
      <c r="P38" s="17">
        <f t="shared" si="0"/>
        <v>-0.14583333333333334</v>
      </c>
      <c r="Q38" s="18">
        <f t="shared" si="1"/>
        <v>57.206219729798626</v>
      </c>
      <c r="R38" s="18">
        <f t="shared" si="2"/>
        <v>47.107472712006711</v>
      </c>
      <c r="S38" s="33" t="s">
        <v>39</v>
      </c>
      <c r="T38" s="31" t="s">
        <v>42</v>
      </c>
      <c r="U38" s="1737" t="s">
        <v>88</v>
      </c>
    </row>
    <row r="39" spans="1:21">
      <c r="A39" s="10" t="s">
        <v>11</v>
      </c>
      <c r="B39" s="19">
        <f>CHAMNORD!B39</f>
        <v>46056</v>
      </c>
      <c r="C39" s="75">
        <f>IF(H39=0,"",'[9]2025-2026'!C38)</f>
        <v>5278.3</v>
      </c>
      <c r="D39" s="68">
        <f>'[9]2025'!C39</f>
        <v>6621.37</v>
      </c>
      <c r="E39" s="68">
        <f>'[9]2025'!D39</f>
        <v>6569.99</v>
      </c>
      <c r="F39" s="20">
        <f>'[9]2025'!E39</f>
        <v>413</v>
      </c>
      <c r="G39" s="73">
        <f>'[9]2025'!F39</f>
        <v>6800</v>
      </c>
      <c r="H39" s="42">
        <f>'[9]2025'!G39</f>
        <v>6305.49</v>
      </c>
      <c r="I39" s="13">
        <f>'[9]2025'!H39</f>
        <v>6215.73</v>
      </c>
      <c r="J39" s="14">
        <f>'[9]2025'!I39</f>
        <v>460</v>
      </c>
      <c r="K39" s="15">
        <f>'[9]2025'!J39</f>
        <v>75.12</v>
      </c>
      <c r="L39" s="15">
        <f>'[9]2025'!K39</f>
        <v>83.2</v>
      </c>
      <c r="M39" s="15">
        <f>'[9]2025'!L39</f>
        <v>30.92</v>
      </c>
      <c r="N39" s="16">
        <f t="shared" si="3"/>
        <v>4.9744760470612466E-3</v>
      </c>
      <c r="O39" s="17">
        <f t="shared" si="0"/>
        <v>-5.392093443064605E-2</v>
      </c>
      <c r="P39" s="17">
        <f t="shared" si="0"/>
        <v>0.11380145278450363</v>
      </c>
      <c r="Q39" s="18">
        <f t="shared" si="1"/>
        <v>82.744009584664525</v>
      </c>
      <c r="R39" s="18">
        <f t="shared" si="2"/>
        <v>74.708293269230765</v>
      </c>
      <c r="S39" s="34">
        <f>SUM(I38:I44)</f>
        <v>56189.11</v>
      </c>
      <c r="T39" s="45" t="s">
        <v>41</v>
      </c>
      <c r="U39" s="1738"/>
    </row>
    <row r="40" spans="1:21">
      <c r="A40" s="10" t="s">
        <v>12</v>
      </c>
      <c r="B40" s="19">
        <f>CHAMNORD!B40</f>
        <v>46057</v>
      </c>
      <c r="C40" s="75">
        <f>IF(H40=0,"",'[9]2025-2026'!C39)</f>
        <v>6621.37</v>
      </c>
      <c r="D40" s="68">
        <f>'[9]2025'!C40</f>
        <v>7130.36</v>
      </c>
      <c r="E40" s="68">
        <f>'[9]2025'!D40</f>
        <v>7037.35</v>
      </c>
      <c r="F40" s="20">
        <f>'[9]2025'!E40</f>
        <v>424</v>
      </c>
      <c r="G40" s="73">
        <f>'[9]2025'!F40</f>
        <v>7200</v>
      </c>
      <c r="H40" s="42">
        <f>'[9]2025'!G40</f>
        <v>7544.27</v>
      </c>
      <c r="I40" s="13">
        <f>'[9]2025'!H40</f>
        <v>7458.85</v>
      </c>
      <c r="J40" s="14">
        <f>'[9]2025'!I40</f>
        <v>395</v>
      </c>
      <c r="K40" s="15">
        <f>'[9]2025'!J40</f>
        <v>74.63</v>
      </c>
      <c r="L40" s="15">
        <f>'[9]2025'!K40</f>
        <v>107.5</v>
      </c>
      <c r="M40" s="15">
        <f>'[9]2025'!L40</f>
        <v>56.45</v>
      </c>
      <c r="N40" s="16">
        <f t="shared" si="3"/>
        <v>7.5681908068938241E-3</v>
      </c>
      <c r="O40" s="17">
        <f t="shared" si="0"/>
        <v>5.9894704682870677E-2</v>
      </c>
      <c r="P40" s="17">
        <f t="shared" si="0"/>
        <v>-6.8396226415094338E-2</v>
      </c>
      <c r="Q40" s="18">
        <f t="shared" si="1"/>
        <v>99.944392335521925</v>
      </c>
      <c r="R40" s="18">
        <f t="shared" si="2"/>
        <v>69.384651162790703</v>
      </c>
      <c r="S40" s="35">
        <f>(S39-SUM(E38:E44))/SUM(E38:E44)</f>
        <v>4.22727210333931E-2</v>
      </c>
      <c r="T40" s="48">
        <f>SUM(I38:I44)/SUM(K38:K44)</f>
        <v>83.203681217793047</v>
      </c>
      <c r="U40" s="1738"/>
    </row>
    <row r="41" spans="1:21">
      <c r="A41" s="10" t="s">
        <v>13</v>
      </c>
      <c r="B41" s="19">
        <f>CHAMNORD!B41</f>
        <v>46058</v>
      </c>
      <c r="C41" s="75">
        <f>IF(H41=0,"",'[9]2025-2026'!C40)</f>
        <v>7130.36</v>
      </c>
      <c r="D41" s="68">
        <f>'[9]2025'!C41</f>
        <v>6847.76</v>
      </c>
      <c r="E41" s="68">
        <f>'[9]2025'!D41</f>
        <v>6808.7</v>
      </c>
      <c r="F41" s="20">
        <f>'[9]2025'!E41</f>
        <v>429</v>
      </c>
      <c r="G41" s="73">
        <f>'[9]2025'!F41</f>
        <v>7000</v>
      </c>
      <c r="H41" s="42">
        <f>'[9]2025'!G41</f>
        <v>6993.34</v>
      </c>
      <c r="I41" s="13">
        <f>'[9]2025'!H41</f>
        <v>6915.36</v>
      </c>
      <c r="J41" s="14">
        <f>'[9]2025'!I41</f>
        <v>411</v>
      </c>
      <c r="K41" s="15">
        <f>'[9]2025'!J41</f>
        <v>93.45</v>
      </c>
      <c r="L41" s="15">
        <f>'[9]2025'!K41</f>
        <v>109.65</v>
      </c>
      <c r="M41" s="15">
        <f>'[9]2025'!L41</f>
        <v>55.04</v>
      </c>
      <c r="N41" s="16">
        <f t="shared" si="3"/>
        <v>7.9590939589551379E-3</v>
      </c>
      <c r="O41" s="17">
        <f t="shared" si="0"/>
        <v>1.5665251810184008E-2</v>
      </c>
      <c r="P41" s="17">
        <f t="shared" si="0"/>
        <v>-4.195804195804196E-2</v>
      </c>
      <c r="Q41" s="18">
        <f t="shared" si="1"/>
        <v>74.000642054574627</v>
      </c>
      <c r="R41" s="18">
        <f t="shared" si="2"/>
        <v>63.067578659370717</v>
      </c>
      <c r="S41" s="34"/>
      <c r="T41" s="29" t="s">
        <v>8</v>
      </c>
      <c r="U41" s="1738"/>
    </row>
    <row r="42" spans="1:21">
      <c r="A42" s="10" t="s">
        <v>14</v>
      </c>
      <c r="B42" s="19">
        <f>CHAMNORD!B42</f>
        <v>46059</v>
      </c>
      <c r="C42" s="75">
        <f>IF(H42=0,"",'[9]2025-2026'!C41)</f>
        <v>6847.76</v>
      </c>
      <c r="D42" s="68">
        <f>'[9]2025'!C42</f>
        <v>10002.799999999999</v>
      </c>
      <c r="E42" s="68">
        <f>'[9]2025'!D42</f>
        <v>9923.01</v>
      </c>
      <c r="F42" s="20">
        <f>'[9]2025'!E42</f>
        <v>537</v>
      </c>
      <c r="G42" s="73">
        <f>'[9]2025'!F42</f>
        <v>10200</v>
      </c>
      <c r="H42" s="42">
        <f>'[9]2025'!G42</f>
        <v>11067.1</v>
      </c>
      <c r="I42" s="13">
        <f>'[9]2025'!H42</f>
        <v>10897.09</v>
      </c>
      <c r="J42" s="14">
        <f>'[9]2025'!I42</f>
        <v>572</v>
      </c>
      <c r="K42" s="15">
        <f>'[9]2025'!J42</f>
        <v>113.58</v>
      </c>
      <c r="L42" s="15">
        <f>'[9]2025'!K42</f>
        <v>130.87</v>
      </c>
      <c r="M42" s="15">
        <f>'[9]2025'!L42</f>
        <v>55.23</v>
      </c>
      <c r="N42" s="16">
        <f t="shared" si="3"/>
        <v>5.0683255804990137E-3</v>
      </c>
      <c r="O42" s="17">
        <f t="shared" si="0"/>
        <v>9.8163762809873198E-2</v>
      </c>
      <c r="P42" s="17">
        <f t="shared" si="0"/>
        <v>6.5176908752327747E-2</v>
      </c>
      <c r="Q42" s="18">
        <f t="shared" si="1"/>
        <v>95.94197922169397</v>
      </c>
      <c r="R42" s="18">
        <f t="shared" si="2"/>
        <v>83.266524031481623</v>
      </c>
      <c r="S42" s="36" t="s">
        <v>40</v>
      </c>
      <c r="T42" s="48">
        <f>SUM(I38:I44)/SUM(L38:L44)</f>
        <v>70.182873059292291</v>
      </c>
      <c r="U42" s="1738"/>
    </row>
    <row r="43" spans="1:21">
      <c r="A43" s="10" t="s">
        <v>15</v>
      </c>
      <c r="B43" s="19">
        <f>CHAMNORD!B43</f>
        <v>46060</v>
      </c>
      <c r="C43" s="75">
        <f>IF(H43=0,"",'[9]2025-2026'!C42)</f>
        <v>10002.799999999999</v>
      </c>
      <c r="D43" s="68">
        <f>'[9]2025'!C43</f>
        <v>9794.51</v>
      </c>
      <c r="E43" s="68">
        <f>'[9]2025'!D43</f>
        <v>9659.06</v>
      </c>
      <c r="F43" s="20">
        <f>'[9]2025'!E43</f>
        <v>464</v>
      </c>
      <c r="G43" s="73">
        <f>'[9]2025'!F43</f>
        <v>10600</v>
      </c>
      <c r="H43" s="42">
        <f>'[9]2025'!G43</f>
        <v>10295.35</v>
      </c>
      <c r="I43" s="13">
        <f>'[9]2025'!H43</f>
        <v>10165.11</v>
      </c>
      <c r="J43" s="14">
        <f>'[9]2025'!I43</f>
        <v>490</v>
      </c>
      <c r="K43" s="15">
        <f>'[9]2025'!J43</f>
        <v>126.5</v>
      </c>
      <c r="L43" s="15">
        <f>'[9]2025'!K43</f>
        <v>144.22999999999999</v>
      </c>
      <c r="M43" s="15">
        <f>'[9]2025'!L43</f>
        <v>39.42</v>
      </c>
      <c r="N43" s="16">
        <f t="shared" si="3"/>
        <v>3.8779708237294038E-3</v>
      </c>
      <c r="O43" s="17">
        <f t="shared" si="0"/>
        <v>5.2391226475454251E-2</v>
      </c>
      <c r="P43" s="17">
        <f t="shared" si="0"/>
        <v>5.6034482758620691E-2</v>
      </c>
      <c r="Q43" s="18">
        <f t="shared" si="1"/>
        <v>80.356600790513838</v>
      </c>
      <c r="R43" s="18">
        <f t="shared" si="2"/>
        <v>70.478471885183396</v>
      </c>
      <c r="S43" s="36">
        <f>SUM(J38:J44)</f>
        <v>3102</v>
      </c>
      <c r="T43" s="30" t="s">
        <v>3</v>
      </c>
      <c r="U43" s="1738"/>
    </row>
    <row r="44" spans="1:21" ht="18" thickBot="1">
      <c r="A44" s="10" t="s">
        <v>16</v>
      </c>
      <c r="B44" s="19">
        <f>CHAMNORD!B44</f>
        <v>46061</v>
      </c>
      <c r="C44" s="75">
        <f>IF(H44=0,"",'[9]2025-2026'!C43)</f>
        <v>9794.51</v>
      </c>
      <c r="D44" s="68">
        <f>'[9]2025'!C44</f>
        <v>8801.08</v>
      </c>
      <c r="E44" s="68">
        <f>'[9]2025'!D44</f>
        <v>8666.31</v>
      </c>
      <c r="F44" s="20">
        <f>'[9]2025'!E44</f>
        <v>413</v>
      </c>
      <c r="G44" s="73">
        <f>'[9]2025'!F44</f>
        <v>9600</v>
      </c>
      <c r="H44" s="42">
        <f>'[9]2025'!G44</f>
        <v>10207.65</v>
      </c>
      <c r="I44" s="13">
        <f>'[9]2025'!H44</f>
        <v>10048.57</v>
      </c>
      <c r="J44" s="14">
        <f>'[9]2025'!I44</f>
        <v>487</v>
      </c>
      <c r="K44" s="15">
        <f>'[9]2025'!J44</f>
        <v>113.58</v>
      </c>
      <c r="L44" s="15">
        <f>'[9]2025'!K44</f>
        <v>129.88</v>
      </c>
      <c r="M44" s="15">
        <f>'[9]2025'!L44</f>
        <v>49.25</v>
      </c>
      <c r="N44" s="16">
        <f t="shared" si="3"/>
        <v>4.9011948963882425E-3</v>
      </c>
      <c r="O44" s="17">
        <f t="shared" si="0"/>
        <v>0.1594981024219074</v>
      </c>
      <c r="P44" s="17">
        <f t="shared" si="0"/>
        <v>0.1791767554479419</v>
      </c>
      <c r="Q44" s="18">
        <f t="shared" si="1"/>
        <v>88.471297763690785</v>
      </c>
      <c r="R44" s="18">
        <f t="shared" si="2"/>
        <v>77.368109023714197</v>
      </c>
      <c r="S44" s="37">
        <f>(S43-SUM(F38:F44))/SUM(F38:F44)</f>
        <v>2.8514588859416445E-2</v>
      </c>
      <c r="T44" s="47">
        <f>SUM(M38:M44)/SUM(I38:I44)</f>
        <v>5.6016192461492984E-3</v>
      </c>
      <c r="U44" s="1739"/>
    </row>
    <row r="45" spans="1:21" ht="17" customHeight="1" thickTop="1">
      <c r="A45" s="10" t="s">
        <v>9</v>
      </c>
      <c r="B45" s="19">
        <f>CHAMNORD!B45</f>
        <v>46062</v>
      </c>
      <c r="C45" s="75">
        <f>IF(H45=0,"",'[9]2025-2026'!C44)</f>
        <v>8801.08</v>
      </c>
      <c r="D45" s="68">
        <f>'[9]2025'!C45</f>
        <v>4994.68</v>
      </c>
      <c r="E45" s="68">
        <f>'[9]2025'!D45</f>
        <v>4962.58</v>
      </c>
      <c r="F45" s="20">
        <f>'[9]2025'!E45</f>
        <v>320</v>
      </c>
      <c r="G45" s="73">
        <f>'[9]2025'!F45</f>
        <v>5900</v>
      </c>
      <c r="H45" s="42">
        <f>'[9]2025'!G45</f>
        <v>5631.15</v>
      </c>
      <c r="I45" s="13">
        <f>'[9]2025'!H45</f>
        <v>5562.02</v>
      </c>
      <c r="J45" s="14">
        <f>'[9]2025'!I45</f>
        <v>310</v>
      </c>
      <c r="K45" s="15">
        <f>'[9]2025'!J45</f>
        <v>69.22</v>
      </c>
      <c r="L45" s="15">
        <f>'[9]2025'!K45</f>
        <v>85.92</v>
      </c>
      <c r="M45" s="15">
        <f>'[9]2025'!L45</f>
        <v>41.49</v>
      </c>
      <c r="N45" s="16">
        <f t="shared" si="3"/>
        <v>7.4595201024088365E-3</v>
      </c>
      <c r="O45" s="17">
        <f t="shared" si="0"/>
        <v>0.12079200738325639</v>
      </c>
      <c r="P45" s="17">
        <f t="shared" si="0"/>
        <v>-3.125E-2</v>
      </c>
      <c r="Q45" s="18">
        <f t="shared" si="1"/>
        <v>80.352788211499572</v>
      </c>
      <c r="R45" s="18">
        <f t="shared" si="2"/>
        <v>64.734869646182503</v>
      </c>
      <c r="S45" s="33" t="s">
        <v>39</v>
      </c>
      <c r="T45" s="31" t="s">
        <v>42</v>
      </c>
      <c r="U45" s="1737" t="s">
        <v>89</v>
      </c>
    </row>
    <row r="46" spans="1:21">
      <c r="A46" s="10" t="s">
        <v>11</v>
      </c>
      <c r="B46" s="19">
        <f>CHAMNORD!B46</f>
        <v>46063</v>
      </c>
      <c r="C46" s="75">
        <f>IF(H46=0,"",'[9]2025-2026'!C45)</f>
        <v>4994.68</v>
      </c>
      <c r="D46" s="68">
        <f>'[9]2025'!C46</f>
        <v>6942.4</v>
      </c>
      <c r="E46" s="68">
        <f>'[9]2025'!D46</f>
        <v>6855.42</v>
      </c>
      <c r="F46" s="20">
        <f>'[9]2025'!E46</f>
        <v>430</v>
      </c>
      <c r="G46" s="73">
        <f>'[9]2025'!F46</f>
        <v>7900</v>
      </c>
      <c r="H46" s="42">
        <f>'[9]2025'!G46</f>
        <v>6815.57</v>
      </c>
      <c r="I46" s="13">
        <f>'[9]2025'!H46</f>
        <v>6696.2</v>
      </c>
      <c r="J46" s="14">
        <f>'[9]2025'!I46</f>
        <v>356</v>
      </c>
      <c r="K46" s="15">
        <f>'[9]2025'!J46</f>
        <v>77.3</v>
      </c>
      <c r="L46" s="15">
        <f>'[9]2025'!K46</f>
        <v>92.85</v>
      </c>
      <c r="M46" s="15">
        <f>'[9]2025'!L46</f>
        <v>54.89</v>
      </c>
      <c r="N46" s="16">
        <f t="shared" si="3"/>
        <v>8.1971864639646362E-3</v>
      </c>
      <c r="O46" s="17">
        <f t="shared" si="0"/>
        <v>-2.3225418719786717E-2</v>
      </c>
      <c r="P46" s="17">
        <f t="shared" si="0"/>
        <v>-0.17209302325581396</v>
      </c>
      <c r="Q46" s="18">
        <f t="shared" si="1"/>
        <v>86.626131953428199</v>
      </c>
      <c r="R46" s="18">
        <f t="shared" si="2"/>
        <v>72.118470651588581</v>
      </c>
      <c r="S46" s="34">
        <f>SUM(I45:I51)</f>
        <v>56062.06</v>
      </c>
      <c r="T46" s="45" t="s">
        <v>41</v>
      </c>
      <c r="U46" s="1738"/>
    </row>
    <row r="47" spans="1:21">
      <c r="A47" s="10" t="s">
        <v>12</v>
      </c>
      <c r="B47" s="19">
        <f>CHAMNORD!B47</f>
        <v>46064</v>
      </c>
      <c r="C47" s="75">
        <f>IF(H47=0,"",'[9]2025-2026'!C46)</f>
        <v>6942.4</v>
      </c>
      <c r="D47" s="68">
        <f>'[9]2025'!C47</f>
        <v>8019.71</v>
      </c>
      <c r="E47" s="68">
        <f>'[9]2025'!D47</f>
        <v>7934.47</v>
      </c>
      <c r="F47" s="20">
        <f>'[9]2025'!E47</f>
        <v>431</v>
      </c>
      <c r="G47" s="73">
        <f>'[9]2025'!F47</f>
        <v>7900</v>
      </c>
      <c r="H47" s="42">
        <f>'[9]2025'!G47</f>
        <v>7017.7</v>
      </c>
      <c r="I47" s="13">
        <f>'[9]2025'!H47</f>
        <v>6900.1</v>
      </c>
      <c r="J47" s="14">
        <f>'[9]2025'!I47</f>
        <v>346</v>
      </c>
      <c r="K47" s="15">
        <f>'[9]2025'!J47</f>
        <v>93.42</v>
      </c>
      <c r="L47" s="15">
        <f>'[9]2025'!K47</f>
        <v>118.7</v>
      </c>
      <c r="M47" s="15">
        <f>'[9]2025'!L47</f>
        <v>40.44</v>
      </c>
      <c r="N47" s="16">
        <f t="shared" si="3"/>
        <v>5.8607846263097627E-3</v>
      </c>
      <c r="O47" s="17">
        <f t="shared" si="0"/>
        <v>-0.13036409489228643</v>
      </c>
      <c r="P47" s="17">
        <f t="shared" si="0"/>
        <v>-0.19721577726218098</v>
      </c>
      <c r="Q47" s="18">
        <f t="shared" si="1"/>
        <v>73.861057589381289</v>
      </c>
      <c r="R47" s="18">
        <f t="shared" si="2"/>
        <v>58.130581297388375</v>
      </c>
      <c r="S47" s="35">
        <f>(S46-SUM(E45:E51))/SUM(E45:E51)</f>
        <v>-7.9620113452435429E-2</v>
      </c>
      <c r="T47" s="48">
        <f>SUM(I45:I51)/SUM(K45:K51)</f>
        <v>85.340772087925473</v>
      </c>
      <c r="U47" s="1738"/>
    </row>
    <row r="48" spans="1:21">
      <c r="A48" s="10" t="s">
        <v>13</v>
      </c>
      <c r="B48" s="19">
        <f>CHAMNORD!B48</f>
        <v>46065</v>
      </c>
      <c r="C48" s="75">
        <f>IF(H48=0,"",'[9]2025-2026'!C47)</f>
        <v>8019.71</v>
      </c>
      <c r="D48" s="68">
        <f>'[9]2025'!C48</f>
        <v>7294.99</v>
      </c>
      <c r="E48" s="68">
        <f>'[9]2025'!D48</f>
        <v>7236.14</v>
      </c>
      <c r="F48" s="20">
        <f>'[9]2025'!E48</f>
        <v>428</v>
      </c>
      <c r="G48" s="73">
        <f>'[9]2025'!F48</f>
        <v>7600</v>
      </c>
      <c r="H48" s="42">
        <f>'[9]2025'!G48</f>
        <v>7605.28</v>
      </c>
      <c r="I48" s="13">
        <f>'[9]2025'!H48</f>
        <v>7528.95</v>
      </c>
      <c r="J48" s="14">
        <f>'[9]2025'!I48</f>
        <v>385</v>
      </c>
      <c r="K48" s="15">
        <f>'[9]2025'!J48</f>
        <v>87.46</v>
      </c>
      <c r="L48" s="15">
        <f>'[9]2025'!K48</f>
        <v>103.48</v>
      </c>
      <c r="M48" s="15">
        <f>'[9]2025'!L48</f>
        <v>96.59</v>
      </c>
      <c r="N48" s="16">
        <f t="shared" si="3"/>
        <v>1.2829146162479496E-2</v>
      </c>
      <c r="O48" s="17">
        <f t="shared" si="0"/>
        <v>4.0464944017114021E-2</v>
      </c>
      <c r="P48" s="17">
        <f t="shared" si="0"/>
        <v>-0.10046728971962617</v>
      </c>
      <c r="Q48" s="18">
        <f t="shared" si="1"/>
        <v>86.084495769494623</v>
      </c>
      <c r="R48" s="18">
        <f t="shared" si="2"/>
        <v>72.757537688442213</v>
      </c>
      <c r="S48" s="34"/>
      <c r="T48" s="29" t="s">
        <v>8</v>
      </c>
      <c r="U48" s="1738"/>
    </row>
    <row r="49" spans="1:21">
      <c r="A49" s="10" t="s">
        <v>14</v>
      </c>
      <c r="B49" s="19">
        <f>CHAMNORD!B49</f>
        <v>46066</v>
      </c>
      <c r="C49" s="75">
        <f>IF(H49=0,"",'[9]2025-2026'!C48)</f>
        <v>7294.99</v>
      </c>
      <c r="D49" s="68">
        <f>'[9]2025'!C49</f>
        <v>12804.41</v>
      </c>
      <c r="E49" s="68">
        <f>'[9]2025'!D49</f>
        <v>12689.2</v>
      </c>
      <c r="F49" s="20">
        <f>'[9]2025'!E49</f>
        <v>670</v>
      </c>
      <c r="G49" s="73">
        <f>'[9]2025'!F49</f>
        <v>12700</v>
      </c>
      <c r="H49" s="42">
        <f>'[9]2025'!G49</f>
        <v>10471.01</v>
      </c>
      <c r="I49" s="13">
        <f>'[9]2025'!H49</f>
        <v>10346.4</v>
      </c>
      <c r="J49" s="14">
        <f>'[9]2025'!I49</f>
        <v>491</v>
      </c>
      <c r="K49" s="15">
        <f>'[9]2025'!J49</f>
        <v>110.38000000000001</v>
      </c>
      <c r="L49" s="15">
        <f>'[9]2025'!K49</f>
        <v>136.28</v>
      </c>
      <c r="M49" s="15">
        <f>'[9]2025'!L49</f>
        <v>69.53</v>
      </c>
      <c r="N49" s="16">
        <f t="shared" si="3"/>
        <v>6.7202118611304415E-3</v>
      </c>
      <c r="O49" s="17">
        <f t="shared" si="0"/>
        <v>-0.18462944866500655</v>
      </c>
      <c r="P49" s="17">
        <f t="shared" si="0"/>
        <v>-0.26716417910447759</v>
      </c>
      <c r="Q49" s="18">
        <f t="shared" si="1"/>
        <v>93.734372168871161</v>
      </c>
      <c r="R49" s="18">
        <f t="shared" si="2"/>
        <v>75.920164367478719</v>
      </c>
      <c r="S49" s="36" t="s">
        <v>40</v>
      </c>
      <c r="T49" s="48">
        <f>SUM(I45:I51)/SUM(L45:L51)</f>
        <v>70.974515438858575</v>
      </c>
      <c r="U49" s="1738"/>
    </row>
    <row r="50" spans="1:21">
      <c r="A50" s="10" t="s">
        <v>15</v>
      </c>
      <c r="B50" s="19">
        <f>CHAMNORD!B50</f>
        <v>46067</v>
      </c>
      <c r="C50" s="75">
        <f>IF(H50=0,"",'[9]2025-2026'!C49)</f>
        <v>12804.41</v>
      </c>
      <c r="D50" s="68">
        <f>'[9]2025'!C50</f>
        <v>11235.73</v>
      </c>
      <c r="E50" s="68">
        <f>'[9]2025'!D50</f>
        <v>11107.39</v>
      </c>
      <c r="F50" s="20">
        <f>'[9]2025'!E50</f>
        <v>514</v>
      </c>
      <c r="G50" s="73">
        <f>'[9]2025'!F50</f>
        <v>11100</v>
      </c>
      <c r="H50" s="42">
        <f>'[9]2025'!G50</f>
        <v>10107.58</v>
      </c>
      <c r="I50" s="13">
        <f>'[9]2025'!H50</f>
        <v>9958.2900000000009</v>
      </c>
      <c r="J50" s="14">
        <f>'[9]2025'!I50</f>
        <v>486</v>
      </c>
      <c r="K50" s="15">
        <f>'[9]2025'!J50</f>
        <v>117.39999999999998</v>
      </c>
      <c r="L50" s="15">
        <f>'[9]2025'!K50</f>
        <v>134.63999999999999</v>
      </c>
      <c r="M50" s="15">
        <f>'[9]2025'!L50</f>
        <v>59.29</v>
      </c>
      <c r="N50" s="16">
        <f t="shared" si="3"/>
        <v>5.9538334392752164E-3</v>
      </c>
      <c r="O50" s="17">
        <f t="shared" si="0"/>
        <v>-0.103453646626255</v>
      </c>
      <c r="P50" s="17">
        <f t="shared" si="0"/>
        <v>-5.4474708171206226E-2</v>
      </c>
      <c r="Q50" s="18">
        <f t="shared" si="1"/>
        <v>84.823594548551981</v>
      </c>
      <c r="R50" s="18">
        <f t="shared" si="2"/>
        <v>73.962344028520519</v>
      </c>
      <c r="S50" s="36">
        <f>SUM(J45:J51)</f>
        <v>2758</v>
      </c>
      <c r="T50" s="30" t="s">
        <v>3</v>
      </c>
      <c r="U50" s="1738"/>
    </row>
    <row r="51" spans="1:21" ht="18" thickBot="1">
      <c r="A51" s="10" t="s">
        <v>16</v>
      </c>
      <c r="B51" s="19">
        <f>CHAMNORD!B51</f>
        <v>46068</v>
      </c>
      <c r="C51" s="75">
        <f>IF(H51=0,"",'[9]2025-2026'!C50)</f>
        <v>11235.73</v>
      </c>
      <c r="D51" s="68">
        <f>'[9]2025'!C51</f>
        <v>10251.629999999999</v>
      </c>
      <c r="E51" s="68">
        <f>'[9]2025'!D51</f>
        <v>10126.67</v>
      </c>
      <c r="F51" s="20">
        <f>'[9]2025'!E51</f>
        <v>456</v>
      </c>
      <c r="G51" s="73">
        <f>'[9]2025'!F51</f>
        <v>10100</v>
      </c>
      <c r="H51" s="42">
        <f>'[9]2025'!G51</f>
        <v>9203.69</v>
      </c>
      <c r="I51" s="13">
        <f>'[9]2025'!H51</f>
        <v>9070.1</v>
      </c>
      <c r="J51" s="14">
        <f>'[9]2025'!I51</f>
        <v>384</v>
      </c>
      <c r="K51" s="15">
        <f>'[9]2025'!J51</f>
        <v>101.74</v>
      </c>
      <c r="L51" s="15">
        <f>'[9]2025'!K51</f>
        <v>118.02</v>
      </c>
      <c r="M51" s="15">
        <f>'[9]2025'!L51</f>
        <v>60.990000000000009</v>
      </c>
      <c r="N51" s="16">
        <f t="shared" si="3"/>
        <v>6.724291904168643E-3</v>
      </c>
      <c r="O51" s="17">
        <f t="shared" si="0"/>
        <v>-0.10433538369473871</v>
      </c>
      <c r="P51" s="17">
        <f t="shared" si="0"/>
        <v>-0.15789473684210525</v>
      </c>
      <c r="Q51" s="18">
        <f t="shared" si="1"/>
        <v>89.149793591507773</v>
      </c>
      <c r="R51" s="18">
        <f t="shared" si="2"/>
        <v>76.852228435858336</v>
      </c>
      <c r="S51" s="37">
        <f>(S50-SUM(F45:F51))/SUM(F45:F51)</f>
        <v>-0.15112342259156664</v>
      </c>
      <c r="T51" s="47">
        <f>SUM(M45:M51)/SUM(I45:I51)</f>
        <v>7.5491339419207935E-3</v>
      </c>
      <c r="U51" s="1739"/>
    </row>
    <row r="52" spans="1:21" ht="17" customHeight="1" thickTop="1">
      <c r="A52" s="10" t="s">
        <v>9</v>
      </c>
      <c r="B52" s="19">
        <f>CHAMNORD!B52</f>
        <v>46069</v>
      </c>
      <c r="C52" s="75">
        <f>IF(H52=0,"",'[9]2025-2026'!C51)</f>
        <v>10251.629999999999</v>
      </c>
      <c r="D52" s="68">
        <f>'[9]2025'!C52</f>
        <v>5192.24</v>
      </c>
      <c r="E52" s="68">
        <f>'[9]2025'!D52</f>
        <v>5133.5</v>
      </c>
      <c r="F52" s="20">
        <f>'[9]2025'!E52</f>
        <v>326</v>
      </c>
      <c r="G52" s="73">
        <f>'[9]2025'!F52</f>
        <v>6100</v>
      </c>
      <c r="H52" s="42">
        <f>'[9]2025'!G52</f>
        <v>5377.4</v>
      </c>
      <c r="I52" s="13">
        <f>'[9]2025'!H52</f>
        <v>5303.08</v>
      </c>
      <c r="J52" s="14">
        <f>'[9]2025'!I52</f>
        <v>316</v>
      </c>
      <c r="K52" s="15">
        <f>'[9]2025'!J52</f>
        <v>60.16</v>
      </c>
      <c r="L52" s="15">
        <f>'[9]2025'!K52</f>
        <v>76.2</v>
      </c>
      <c r="M52" s="15">
        <f>'[9]2025'!L52</f>
        <v>26.05</v>
      </c>
      <c r="N52" s="16">
        <f t="shared" si="3"/>
        <v>4.9122396795824317E-3</v>
      </c>
      <c r="O52" s="17">
        <f t="shared" si="0"/>
        <v>3.3033992402844048E-2</v>
      </c>
      <c r="P52" s="17">
        <f t="shared" si="0"/>
        <v>-3.0674846625766871E-2</v>
      </c>
      <c r="Q52" s="18">
        <f t="shared" si="1"/>
        <v>88.149601063829792</v>
      </c>
      <c r="R52" s="18">
        <f t="shared" si="2"/>
        <v>69.594225721784767</v>
      </c>
      <c r="S52" s="33" t="s">
        <v>39</v>
      </c>
      <c r="T52" s="31" t="s">
        <v>42</v>
      </c>
      <c r="U52" s="1737" t="s">
        <v>90</v>
      </c>
    </row>
    <row r="53" spans="1:21">
      <c r="A53" s="10" t="s">
        <v>11</v>
      </c>
      <c r="B53" s="19">
        <f>CHAMNORD!B53</f>
        <v>46070</v>
      </c>
      <c r="C53" s="75">
        <f>IF(H53=0,"",'[9]2025-2026'!C52)</f>
        <v>5192.24</v>
      </c>
      <c r="D53" s="68">
        <f>'[9]2025'!C53</f>
        <v>6920.9</v>
      </c>
      <c r="E53" s="68">
        <f>'[9]2025'!D53</f>
        <v>6866.71</v>
      </c>
      <c r="F53" s="20">
        <f>'[9]2025'!E53</f>
        <v>407</v>
      </c>
      <c r="G53" s="73">
        <f>'[9]2025'!F53</f>
        <v>8200</v>
      </c>
      <c r="H53" s="42">
        <f>'[9]2025'!G53</f>
        <v>7312.55</v>
      </c>
      <c r="I53" s="13">
        <f>'[9]2025'!H53</f>
        <v>7239.68</v>
      </c>
      <c r="J53" s="14">
        <f>'[9]2025'!I53</f>
        <v>364</v>
      </c>
      <c r="K53" s="15">
        <f>'[9]2025'!J53</f>
        <v>69.61</v>
      </c>
      <c r="L53" s="15">
        <f>'[9]2025'!K53</f>
        <v>85.93</v>
      </c>
      <c r="M53" s="15">
        <f>'[9]2025'!L53</f>
        <v>44.8</v>
      </c>
      <c r="N53" s="16">
        <f t="shared" si="3"/>
        <v>6.1881188118811875E-3</v>
      </c>
      <c r="O53" s="17">
        <f t="shared" si="0"/>
        <v>5.4315676648642543E-2</v>
      </c>
      <c r="P53" s="17">
        <f t="shared" si="0"/>
        <v>-0.10565110565110565</v>
      </c>
      <c r="Q53" s="18">
        <f t="shared" si="1"/>
        <v>104.00344778049131</v>
      </c>
      <c r="R53" s="18">
        <f t="shared" si="2"/>
        <v>84.250901896892813</v>
      </c>
      <c r="S53" s="34">
        <f>SUM(I52:I58)</f>
        <v>54231.290000000008</v>
      </c>
      <c r="T53" s="45" t="s">
        <v>41</v>
      </c>
      <c r="U53" s="1738"/>
    </row>
    <row r="54" spans="1:21">
      <c r="A54" s="10" t="s">
        <v>12</v>
      </c>
      <c r="B54" s="19">
        <f>CHAMNORD!B54</f>
        <v>46071</v>
      </c>
      <c r="C54" s="75">
        <f>IF(H54=0,"",'[9]2025-2026'!C53)</f>
        <v>6920.9</v>
      </c>
      <c r="D54" s="68">
        <f>'[9]2025'!C54</f>
        <v>7965.52</v>
      </c>
      <c r="E54" s="68">
        <f>'[9]2025'!D54</f>
        <v>7851.74</v>
      </c>
      <c r="F54" s="20">
        <f>'[9]2025'!E54</f>
        <v>443</v>
      </c>
      <c r="G54" s="73">
        <f>'[9]2025'!F54</f>
        <v>7800</v>
      </c>
      <c r="H54" s="42">
        <f>'[9]2025'!G54</f>
        <v>6678.85</v>
      </c>
      <c r="I54" s="13">
        <f>'[9]2025'!H54</f>
        <v>6608.26</v>
      </c>
      <c r="J54" s="14">
        <f>'[9]2025'!I54</f>
        <v>350</v>
      </c>
      <c r="K54" s="15">
        <f>'[9]2025'!J54</f>
        <v>73.73</v>
      </c>
      <c r="L54" s="15">
        <f>'[9]2025'!K54</f>
        <v>107.93</v>
      </c>
      <c r="M54" s="15">
        <f>'[9]2025'!L54</f>
        <v>27.75</v>
      </c>
      <c r="N54" s="16">
        <f t="shared" si="3"/>
        <v>4.1992899795104911E-3</v>
      </c>
      <c r="O54" s="17">
        <f t="shared" si="0"/>
        <v>-0.1583699918744125</v>
      </c>
      <c r="P54" s="17">
        <f t="shared" si="0"/>
        <v>-0.20993227990970656</v>
      </c>
      <c r="Q54" s="18">
        <f t="shared" si="1"/>
        <v>89.627831276278314</v>
      </c>
      <c r="R54" s="18">
        <f t="shared" si="2"/>
        <v>61.227276938756603</v>
      </c>
      <c r="S54" s="35">
        <f>(S53-SUM(E52:E58))/SUM(E52:E58)</f>
        <v>-8.295702619404665E-3</v>
      </c>
      <c r="T54" s="48">
        <f>SUM(I52:I58)/SUM(K52:K58)</f>
        <v>96.841589285714306</v>
      </c>
      <c r="U54" s="1738"/>
    </row>
    <row r="55" spans="1:21">
      <c r="A55" s="10" t="s">
        <v>13</v>
      </c>
      <c r="B55" s="19">
        <f>CHAMNORD!B55</f>
        <v>46072</v>
      </c>
      <c r="C55" s="75">
        <f>IF(H55=0,"",'[9]2025-2026'!C54)</f>
        <v>7965.52</v>
      </c>
      <c r="D55" s="68">
        <f>'[9]2025'!C55</f>
        <v>5782.78</v>
      </c>
      <c r="E55" s="68">
        <f>'[9]2025'!D55</f>
        <v>5713.7</v>
      </c>
      <c r="F55" s="20">
        <f>'[9]2025'!E55</f>
        <v>365</v>
      </c>
      <c r="G55" s="73">
        <f>'[9]2025'!F55</f>
        <v>7400</v>
      </c>
      <c r="H55" s="42">
        <f>'[9]2025'!G55</f>
        <v>7202.65</v>
      </c>
      <c r="I55" s="13">
        <f>'[9]2025'!H55</f>
        <v>7100.88</v>
      </c>
      <c r="J55" s="14">
        <f>'[9]2025'!I55</f>
        <v>397</v>
      </c>
      <c r="K55" s="15">
        <f>'[9]2025'!J55</f>
        <v>70.63</v>
      </c>
      <c r="L55" s="15">
        <f>'[9]2025'!K55</f>
        <v>94.93</v>
      </c>
      <c r="M55" s="15">
        <f>'[9]2025'!L55</f>
        <v>43.04</v>
      </c>
      <c r="N55" s="16">
        <f t="shared" si="3"/>
        <v>6.0612205811110733E-3</v>
      </c>
      <c r="O55" s="17">
        <f t="shared" si="0"/>
        <v>0.24278138509197197</v>
      </c>
      <c r="P55" s="17">
        <f t="shared" si="0"/>
        <v>8.7671232876712329E-2</v>
      </c>
      <c r="Q55" s="18">
        <f t="shared" si="1"/>
        <v>100.53631601302564</v>
      </c>
      <c r="R55" s="18">
        <f t="shared" si="2"/>
        <v>74.801221953018015</v>
      </c>
      <c r="S55" s="34"/>
      <c r="T55" s="29" t="s">
        <v>8</v>
      </c>
      <c r="U55" s="1738"/>
    </row>
    <row r="56" spans="1:21">
      <c r="A56" s="10" t="s">
        <v>14</v>
      </c>
      <c r="B56" s="19">
        <f>CHAMNORD!B56</f>
        <v>46073</v>
      </c>
      <c r="C56" s="75">
        <f>IF(H56=0,"",'[9]2025-2026'!C55)</f>
        <v>5782.78</v>
      </c>
      <c r="D56" s="68">
        <f>'[9]2025'!C56</f>
        <v>10620.61</v>
      </c>
      <c r="E56" s="68">
        <f>'[9]2025'!D56</f>
        <v>10532.94</v>
      </c>
      <c r="F56" s="20">
        <f>'[9]2025'!E56</f>
        <v>588</v>
      </c>
      <c r="G56" s="73">
        <f>'[9]2025'!F56</f>
        <v>12500</v>
      </c>
      <c r="H56" s="42">
        <f>'[9]2025'!G56</f>
        <v>8729.25</v>
      </c>
      <c r="I56" s="13">
        <f>'[9]2025'!H56</f>
        <v>8633.69</v>
      </c>
      <c r="J56" s="14">
        <f>'[9]2025'!I56</f>
        <v>417</v>
      </c>
      <c r="K56" s="15">
        <f>'[9]2025'!J56</f>
        <v>97.42</v>
      </c>
      <c r="L56" s="15">
        <f>'[9]2025'!K56</f>
        <v>121.22</v>
      </c>
      <c r="M56" s="15">
        <f>'[9]2025'!L56</f>
        <v>63.26</v>
      </c>
      <c r="N56" s="16">
        <f t="shared" si="3"/>
        <v>7.3271104243955937E-3</v>
      </c>
      <c r="O56" s="17">
        <f t="shared" si="0"/>
        <v>-0.18031527759580895</v>
      </c>
      <c r="P56" s="17">
        <f t="shared" si="0"/>
        <v>-0.29081632653061223</v>
      </c>
      <c r="Q56" s="18">
        <f t="shared" si="1"/>
        <v>88.623383288852395</v>
      </c>
      <c r="R56" s="18">
        <f t="shared" si="2"/>
        <v>71.223312984656005</v>
      </c>
      <c r="S56" s="36" t="s">
        <v>40</v>
      </c>
      <c r="T56" s="48">
        <f>SUM(I52:I58)/SUM(L52:L58)</f>
        <v>76.60003107432415</v>
      </c>
      <c r="U56" s="1738"/>
    </row>
    <row r="57" spans="1:21">
      <c r="A57" s="10" t="s">
        <v>15</v>
      </c>
      <c r="B57" s="19">
        <f>CHAMNORD!B57</f>
        <v>46074</v>
      </c>
      <c r="C57" s="75">
        <f>IF(H57=0,"",'[9]2025-2026'!C56)</f>
        <v>10620.61</v>
      </c>
      <c r="D57" s="68">
        <f>'[9]2025'!C57</f>
        <v>10030.07</v>
      </c>
      <c r="E57" s="68">
        <f>'[9]2025'!D57</f>
        <v>9924.4599999999991</v>
      </c>
      <c r="F57" s="20">
        <f>'[9]2025'!E57</f>
        <v>510</v>
      </c>
      <c r="G57" s="73">
        <f>'[9]2025'!F57</f>
        <v>11800</v>
      </c>
      <c r="H57" s="42">
        <f>'[9]2025'!G57</f>
        <v>10328.280000000001</v>
      </c>
      <c r="I57" s="13">
        <f>'[9]2025'!H57</f>
        <v>10228.33</v>
      </c>
      <c r="J57" s="14">
        <f>'[9]2025'!I57</f>
        <v>436</v>
      </c>
      <c r="K57" s="15">
        <f>'[9]2025'!J57</f>
        <v>100.49</v>
      </c>
      <c r="L57" s="15">
        <f>'[9]2025'!K57</f>
        <v>116.92</v>
      </c>
      <c r="M57" s="15">
        <f>'[9]2025'!L57</f>
        <v>71.319999999999993</v>
      </c>
      <c r="N57" s="16">
        <f t="shared" si="3"/>
        <v>6.9727902795471003E-3</v>
      </c>
      <c r="O57" s="17">
        <f t="shared" si="0"/>
        <v>3.061829056694277E-2</v>
      </c>
      <c r="P57" s="17">
        <f t="shared" si="0"/>
        <v>-0.14509803921568629</v>
      </c>
      <c r="Q57" s="18">
        <f t="shared" si="1"/>
        <v>101.78455567718181</v>
      </c>
      <c r="R57" s="18">
        <f t="shared" si="2"/>
        <v>87.481440301060559</v>
      </c>
      <c r="S57" s="36">
        <f>SUM(J52:J58)</f>
        <v>2683</v>
      </c>
      <c r="T57" s="30" t="s">
        <v>3</v>
      </c>
      <c r="U57" s="1738"/>
    </row>
    <row r="58" spans="1:21" ht="18" thickBot="1">
      <c r="A58" s="10" t="s">
        <v>16</v>
      </c>
      <c r="B58" s="19">
        <f>CHAMNORD!B58</f>
        <v>46075</v>
      </c>
      <c r="C58" s="75">
        <f>IF(H58=0,"",'[9]2025-2026'!C57)</f>
        <v>10030.07</v>
      </c>
      <c r="D58" s="68">
        <f>'[9]2025'!C58</f>
        <v>8767.44</v>
      </c>
      <c r="E58" s="68">
        <f>'[9]2025'!D58</f>
        <v>8661.89</v>
      </c>
      <c r="F58" s="20">
        <f>'[9]2025'!E58</f>
        <v>445</v>
      </c>
      <c r="G58" s="73">
        <f>'[9]2025'!F58</f>
        <v>10800</v>
      </c>
      <c r="H58" s="42">
        <f>'[9]2025'!G58</f>
        <v>9219.94</v>
      </c>
      <c r="I58" s="13">
        <f>'[9]2025'!H58</f>
        <v>9117.3700000000008</v>
      </c>
      <c r="J58" s="14">
        <f>'[9]2025'!I58</f>
        <v>403</v>
      </c>
      <c r="K58" s="15">
        <f>'[9]2025'!J58</f>
        <v>87.96</v>
      </c>
      <c r="L58" s="15">
        <f>'[9]2025'!K58</f>
        <v>104.85</v>
      </c>
      <c r="M58" s="15">
        <f>'[9]2025'!L58</f>
        <v>40.11</v>
      </c>
      <c r="N58" s="16">
        <f t="shared" si="3"/>
        <v>4.3992949721246366E-3</v>
      </c>
      <c r="O58" s="17">
        <f t="shared" si="0"/>
        <v>5.2584366691334268E-2</v>
      </c>
      <c r="P58" s="17">
        <f t="shared" si="0"/>
        <v>-9.4382022471910118E-2</v>
      </c>
      <c r="Q58" s="18">
        <f t="shared" si="1"/>
        <v>103.65359254206459</v>
      </c>
      <c r="R58" s="18">
        <f t="shared" si="2"/>
        <v>86.956318550309973</v>
      </c>
      <c r="S58" s="37">
        <f>(S57-SUM(F52:F58))/SUM(F52:F58)</f>
        <v>-0.13002594033722439</v>
      </c>
      <c r="T58" s="47">
        <f>SUM(M52:M58)/SUM(I52:I58)</f>
        <v>5.8329794478427476E-3</v>
      </c>
      <c r="U58" s="1739"/>
    </row>
    <row r="59" spans="1:21" ht="17" customHeight="1" thickTop="1">
      <c r="A59" s="10" t="s">
        <v>9</v>
      </c>
      <c r="B59" s="19">
        <f>CHAMNORD!B59</f>
        <v>46076</v>
      </c>
      <c r="C59" s="75">
        <f>IF(H59=0,"",'[9]2025-2026'!C58)</f>
        <v>8767.44</v>
      </c>
      <c r="D59" s="68">
        <f>'[9]2025'!C59</f>
        <v>5990.71</v>
      </c>
      <c r="E59" s="68">
        <f>'[9]2025'!D59</f>
        <v>5921.85</v>
      </c>
      <c r="F59" s="20">
        <f>'[9]2025'!E59</f>
        <v>338</v>
      </c>
      <c r="G59" s="73">
        <f>'[9]2025'!F59</f>
        <v>5700</v>
      </c>
      <c r="H59" s="42">
        <f>'[9]2025'!G59</f>
        <v>4609.72</v>
      </c>
      <c r="I59" s="13">
        <f>'[9]2025'!H59</f>
        <v>4563.3500000000004</v>
      </c>
      <c r="J59" s="14">
        <f>'[9]2025'!I59</f>
        <v>312</v>
      </c>
      <c r="K59" s="15">
        <f>'[9]2025'!J59</f>
        <v>62.23</v>
      </c>
      <c r="L59" s="15">
        <f>'[9]2025'!K59</f>
        <v>96.32</v>
      </c>
      <c r="M59" s="15">
        <f>'[9]2025'!L59</f>
        <v>34.58</v>
      </c>
      <c r="N59" s="16">
        <f t="shared" si="3"/>
        <v>7.5777663339432642E-3</v>
      </c>
      <c r="O59" s="17">
        <f t="shared" si="0"/>
        <v>-0.22940466239435311</v>
      </c>
      <c r="P59" s="17">
        <f t="shared" si="0"/>
        <v>-7.6923076923076927E-2</v>
      </c>
      <c r="Q59" s="18">
        <f t="shared" si="1"/>
        <v>73.330387273019454</v>
      </c>
      <c r="R59" s="18">
        <f t="shared" si="2"/>
        <v>47.376972591362133</v>
      </c>
      <c r="S59" s="33" t="s">
        <v>39</v>
      </c>
      <c r="T59" s="31" t="s">
        <v>42</v>
      </c>
      <c r="U59" s="1737" t="s">
        <v>91</v>
      </c>
    </row>
    <row r="60" spans="1:21">
      <c r="A60" s="10" t="s">
        <v>11</v>
      </c>
      <c r="B60" s="19">
        <f>CHAMNORD!B60</f>
        <v>46077</v>
      </c>
      <c r="C60" s="75">
        <f>IF(H60=0,"",'[9]2025-2026'!C59)</f>
        <v>5990.71</v>
      </c>
      <c r="D60" s="68">
        <f>'[9]2025'!C60</f>
        <v>7114.14</v>
      </c>
      <c r="E60" s="68">
        <f>'[9]2025'!D60</f>
        <v>7035</v>
      </c>
      <c r="F60" s="20">
        <f>'[9]2025'!E60</f>
        <v>379</v>
      </c>
      <c r="G60" s="73">
        <f>'[9]2025'!F60</f>
        <v>6700</v>
      </c>
      <c r="H60" s="42">
        <f>'[9]2025'!G60</f>
        <v>5899.19</v>
      </c>
      <c r="I60" s="13">
        <f>'[9]2025'!H60</f>
        <v>5817.1</v>
      </c>
      <c r="J60" s="14">
        <f>'[9]2025'!I60</f>
        <v>321</v>
      </c>
      <c r="K60" s="15">
        <f>'[9]2025'!J60</f>
        <v>70.83</v>
      </c>
      <c r="L60" s="15">
        <f>'[9]2025'!K60</f>
        <v>95.13</v>
      </c>
      <c r="M60" s="15">
        <f>'[9]2025'!L60</f>
        <v>39.25</v>
      </c>
      <c r="N60" s="16">
        <f t="shared" si="3"/>
        <v>6.7473483350810534E-3</v>
      </c>
      <c r="O60" s="17">
        <f t="shared" si="0"/>
        <v>-0.1731201137171286</v>
      </c>
      <c r="P60" s="17">
        <f t="shared" si="0"/>
        <v>-0.15303430079155672</v>
      </c>
      <c r="Q60" s="18">
        <f t="shared" si="1"/>
        <v>82.127629535507566</v>
      </c>
      <c r="R60" s="18">
        <f t="shared" si="2"/>
        <v>61.148954062861357</v>
      </c>
      <c r="S60" s="34">
        <f>SUM(I59:I65)</f>
        <v>52441.97</v>
      </c>
      <c r="T60" s="45" t="s">
        <v>41</v>
      </c>
      <c r="U60" s="1738"/>
    </row>
    <row r="61" spans="1:21">
      <c r="A61" s="10" t="s">
        <v>12</v>
      </c>
      <c r="B61" s="19">
        <f>CHAMNORD!B61</f>
        <v>46078</v>
      </c>
      <c r="C61" s="75">
        <f>IF(H61=0,"",'[9]2025-2026'!C60)</f>
        <v>7114.14</v>
      </c>
      <c r="D61" s="68">
        <f>'[9]2025'!C61</f>
        <v>6519.04</v>
      </c>
      <c r="E61" s="68">
        <f>'[9]2025'!D61</f>
        <v>6441.66</v>
      </c>
      <c r="F61" s="20">
        <f>'[9]2025'!E61</f>
        <v>347</v>
      </c>
      <c r="G61" s="73">
        <f>'[9]2025'!F61</f>
        <v>6200</v>
      </c>
      <c r="H61" s="42">
        <f>'[9]2025'!G61</f>
        <v>6647.91</v>
      </c>
      <c r="I61" s="13">
        <f>'[9]2025'!H61</f>
        <v>6559.74</v>
      </c>
      <c r="J61" s="14">
        <f>'[9]2025'!I61</f>
        <v>356</v>
      </c>
      <c r="K61" s="15">
        <f>'[9]2025'!J61</f>
        <v>76.39</v>
      </c>
      <c r="L61" s="15">
        <f>'[9]2025'!K61</f>
        <v>100.5</v>
      </c>
      <c r="M61" s="15">
        <f>'[9]2025'!L61</f>
        <v>29.41</v>
      </c>
      <c r="N61" s="16">
        <f t="shared" si="3"/>
        <v>4.4834094034214775E-3</v>
      </c>
      <c r="O61" s="17">
        <f t="shared" si="0"/>
        <v>1.8330678738089239E-2</v>
      </c>
      <c r="P61" s="17">
        <f t="shared" si="0"/>
        <v>2.5936599423631124E-2</v>
      </c>
      <c r="Q61" s="18">
        <f t="shared" si="1"/>
        <v>85.871710956931537</v>
      </c>
      <c r="R61" s="18">
        <f t="shared" si="2"/>
        <v>65.271044776119396</v>
      </c>
      <c r="S61" s="35">
        <f>(S60-SUM(E59:E65))/SUM(E59:E65)</f>
        <v>-8.9693579872916082E-2</v>
      </c>
      <c r="T61" s="48">
        <f>SUM(I59:I65)/SUM(K59:K65)</f>
        <v>93.202001172978825</v>
      </c>
      <c r="U61" s="1738"/>
    </row>
    <row r="62" spans="1:21">
      <c r="A62" s="10" t="s">
        <v>13</v>
      </c>
      <c r="B62" s="19">
        <f>CHAMNORD!B62</f>
        <v>46079</v>
      </c>
      <c r="C62" s="75">
        <f>IF(H62=0,"",'[9]2025-2026'!C61)</f>
        <v>6519.04</v>
      </c>
      <c r="D62" s="68">
        <f>'[9]2025'!C62</f>
        <v>8451.15</v>
      </c>
      <c r="E62" s="68">
        <f>'[9]2025'!D62</f>
        <v>8373.33</v>
      </c>
      <c r="F62" s="20">
        <f>'[9]2025'!E62</f>
        <v>464</v>
      </c>
      <c r="G62" s="73">
        <f>'[9]2025'!F62</f>
        <v>8000</v>
      </c>
      <c r="H62" s="42">
        <f>'[9]2025'!G62</f>
        <v>6173.38</v>
      </c>
      <c r="I62" s="13">
        <f>'[9]2025'!H62</f>
        <v>6101.81</v>
      </c>
      <c r="J62" s="14">
        <f>'[9]2025'!I62</f>
        <v>333</v>
      </c>
      <c r="K62" s="15">
        <f>'[9]2025'!J62</f>
        <v>70.3</v>
      </c>
      <c r="L62" s="15">
        <f>'[9]2025'!K62</f>
        <v>86.02</v>
      </c>
      <c r="M62" s="15">
        <f>'[9]2025'!L62</f>
        <v>49.22</v>
      </c>
      <c r="N62" s="16">
        <f t="shared" si="3"/>
        <v>8.0664589687322284E-3</v>
      </c>
      <c r="O62" s="17">
        <f t="shared" si="0"/>
        <v>-0.271280362770845</v>
      </c>
      <c r="P62" s="17">
        <f t="shared" si="0"/>
        <v>-0.28232758620689657</v>
      </c>
      <c r="Q62" s="18">
        <f t="shared" si="1"/>
        <v>86.796728307254625</v>
      </c>
      <c r="R62" s="18">
        <f t="shared" si="2"/>
        <v>70.934782608695656</v>
      </c>
      <c r="S62" s="34"/>
      <c r="T62" s="29" t="s">
        <v>8</v>
      </c>
      <c r="U62" s="1738"/>
    </row>
    <row r="63" spans="1:21">
      <c r="A63" s="10" t="s">
        <v>14</v>
      </c>
      <c r="B63" s="19">
        <f>CHAMNORD!B63</f>
        <v>46080</v>
      </c>
      <c r="C63" s="75">
        <f>IF(H63=0,"",'[9]2025-2026'!C62)</f>
        <v>8451.15</v>
      </c>
      <c r="D63" s="68">
        <f>'[9]2025'!C63</f>
        <v>10800.06</v>
      </c>
      <c r="E63" s="68">
        <f>'[9]2025'!D63</f>
        <v>10654.98</v>
      </c>
      <c r="F63" s="20">
        <f>'[9]2025'!E63</f>
        <v>528</v>
      </c>
      <c r="G63" s="73">
        <f>'[9]2025'!F63</f>
        <v>10200</v>
      </c>
      <c r="H63" s="42">
        <f>'[9]2025'!G63</f>
        <v>9556.2000000000007</v>
      </c>
      <c r="I63" s="13">
        <f>'[9]2025'!H63</f>
        <v>9424.7900000000009</v>
      </c>
      <c r="J63" s="14">
        <f>'[9]2025'!I63</f>
        <v>507</v>
      </c>
      <c r="K63" s="15">
        <f>'[9]2025'!J63</f>
        <v>92.85</v>
      </c>
      <c r="L63" s="15">
        <f>'[9]2025'!K63</f>
        <v>110.12</v>
      </c>
      <c r="M63" s="15">
        <f>'[9]2025'!L63</f>
        <v>64.62</v>
      </c>
      <c r="N63" s="16">
        <f t="shared" si="3"/>
        <v>6.8563861900371257E-3</v>
      </c>
      <c r="O63" s="17">
        <f t="shared" si="0"/>
        <v>-0.11545680986731076</v>
      </c>
      <c r="P63" s="17">
        <f t="shared" si="0"/>
        <v>-3.9772727272727272E-2</v>
      </c>
      <c r="Q63" s="18">
        <f t="shared" si="1"/>
        <v>101.50554658050621</v>
      </c>
      <c r="R63" s="18">
        <f t="shared" si="2"/>
        <v>85.586541954231748</v>
      </c>
      <c r="S63" s="36" t="s">
        <v>40</v>
      </c>
      <c r="T63" s="48">
        <f>SUM(I59:I65)/SUM(L59:L65)</f>
        <v>72.894790247699547</v>
      </c>
      <c r="U63" s="1738"/>
    </row>
    <row r="64" spans="1:21">
      <c r="A64" s="10" t="s">
        <v>15</v>
      </c>
      <c r="B64" s="19">
        <f>CHAMNORD!B64</f>
        <v>46081</v>
      </c>
      <c r="C64" s="75">
        <f>IF(H64=0,"",'[9]2025-2026'!C63)</f>
        <v>10800.06</v>
      </c>
      <c r="D64" s="68">
        <f>'[9]2025'!C64</f>
        <v>9292.85</v>
      </c>
      <c r="E64" s="68">
        <f>'[9]2025'!D64</f>
        <v>9171.5</v>
      </c>
      <c r="F64" s="20">
        <f>'[9]2025'!E64</f>
        <v>445</v>
      </c>
      <c r="G64" s="73">
        <f>'[9]2025'!F64</f>
        <v>9400</v>
      </c>
      <c r="H64" s="42">
        <f>'[9]2025'!G64</f>
        <v>9919.7900000000009</v>
      </c>
      <c r="I64" s="13">
        <f>'[9]2025'!H64</f>
        <v>9814.48</v>
      </c>
      <c r="J64" s="14">
        <f>'[9]2025'!I64</f>
        <v>428</v>
      </c>
      <c r="K64" s="15">
        <f>'[9]2025'!J64</f>
        <v>95.01</v>
      </c>
      <c r="L64" s="15">
        <f>'[9]2025'!K64</f>
        <v>111.85</v>
      </c>
      <c r="M64" s="15">
        <f>'[9]2025'!L64</f>
        <v>31.4</v>
      </c>
      <c r="N64" s="16">
        <f t="shared" si="3"/>
        <v>3.1993544232603254E-3</v>
      </c>
      <c r="O64" s="17">
        <f t="shared" si="0"/>
        <v>7.0106307583274227E-2</v>
      </c>
      <c r="P64" s="17">
        <f t="shared" si="0"/>
        <v>-3.8202247191011236E-2</v>
      </c>
      <c r="Q64" s="18">
        <f t="shared" si="1"/>
        <v>103.29944216398273</v>
      </c>
      <c r="R64" s="18">
        <f t="shared" si="2"/>
        <v>87.746803755029063</v>
      </c>
      <c r="S64" s="36">
        <f>SUM(J59:J65)</f>
        <v>2725</v>
      </c>
      <c r="T64" s="30" t="s">
        <v>3</v>
      </c>
      <c r="U64" s="1738"/>
    </row>
    <row r="65" spans="1:21" ht="18" thickBot="1">
      <c r="A65" s="10" t="s">
        <v>16</v>
      </c>
      <c r="B65" s="19">
        <f>CHAMNORD!B65</f>
        <v>46082</v>
      </c>
      <c r="C65" s="75">
        <f>IF(H65=0,"",'[9]2025-2026'!C64)</f>
        <v>9292.85</v>
      </c>
      <c r="D65" s="68">
        <f>'[9]2025'!C65</f>
        <v>10109.26</v>
      </c>
      <c r="E65" s="68">
        <f>'[9]2025'!D65</f>
        <v>10010.82</v>
      </c>
      <c r="F65" s="20">
        <f>'[9]2025'!E65</f>
        <v>467</v>
      </c>
      <c r="G65" s="73">
        <f>'[9]2025'!F65</f>
        <v>10300</v>
      </c>
      <c r="H65" s="42">
        <f>'[9]2025'!G65</f>
        <v>10290.120000000001</v>
      </c>
      <c r="I65" s="13">
        <f>'[9]2025'!H65</f>
        <v>10160.700000000001</v>
      </c>
      <c r="J65" s="14">
        <f>'[9]2025'!I65</f>
        <v>468</v>
      </c>
      <c r="K65" s="15">
        <f>'[9]2025'!J65</f>
        <v>95.06</v>
      </c>
      <c r="L65" s="15">
        <f>'[9]2025'!K65</f>
        <v>119.48</v>
      </c>
      <c r="M65" s="15">
        <f>'[9]2025'!L65</f>
        <v>53.17</v>
      </c>
      <c r="N65" s="16">
        <f t="shared" si="3"/>
        <v>5.232907181591819E-3</v>
      </c>
      <c r="O65" s="17">
        <f t="shared" si="0"/>
        <v>1.4971800511846284E-2</v>
      </c>
      <c r="P65" s="17">
        <f t="shared" si="0"/>
        <v>2.1413276231263384E-3</v>
      </c>
      <c r="Q65" s="18">
        <f t="shared" si="1"/>
        <v>106.88722911845151</v>
      </c>
      <c r="R65" s="18">
        <f t="shared" si="2"/>
        <v>85.041011047874122</v>
      </c>
      <c r="S65" s="37">
        <f>(S64-SUM(F59:F65))/SUM(F59:F65)</f>
        <v>-8.1873315363881399E-2</v>
      </c>
      <c r="T65" s="47">
        <f>SUM(M59:M65)/SUM(I59:I65)</f>
        <v>5.7520722429001041E-3</v>
      </c>
      <c r="U65" s="1739"/>
    </row>
    <row r="66" spans="1:21" ht="17" customHeight="1" thickTop="1">
      <c r="A66" s="10" t="s">
        <v>9</v>
      </c>
      <c r="B66" s="19">
        <f>CHAMNORD!B66</f>
        <v>46083</v>
      </c>
      <c r="C66" s="75">
        <f>IF(H66=0,"",'[9]2025-2026'!C65)</f>
        <v>10109.26</v>
      </c>
      <c r="D66" s="68">
        <f>'[9]2025'!C66</f>
        <v>6241.38</v>
      </c>
      <c r="E66" s="68">
        <f>'[9]2025'!D66</f>
        <v>6175.21</v>
      </c>
      <c r="F66" s="20">
        <f>'[9]2025'!E66</f>
        <v>324</v>
      </c>
      <c r="G66" s="73">
        <f>'[9]2025'!F66</f>
        <v>5900</v>
      </c>
      <c r="H66" s="42">
        <f>'[9]2025'!G66</f>
        <v>5127.95</v>
      </c>
      <c r="I66" s="13">
        <f>'[9]2025'!H66</f>
        <v>5054.84</v>
      </c>
      <c r="J66" s="14">
        <f>'[9]2025'!I66</f>
        <v>300</v>
      </c>
      <c r="K66" s="15">
        <f>'[9]2025'!J66</f>
        <v>70.8</v>
      </c>
      <c r="L66" s="15">
        <f>'[9]2025'!K66</f>
        <v>87.05</v>
      </c>
      <c r="M66" s="15">
        <f>'[9]2025'!L66</f>
        <v>65.459999999999994</v>
      </c>
      <c r="N66" s="16">
        <f t="shared" si="3"/>
        <v>1.2949964786224686E-2</v>
      </c>
      <c r="O66" s="17">
        <f t="shared" si="0"/>
        <v>-0.1814302671488095</v>
      </c>
      <c r="P66" s="17">
        <f t="shared" si="0"/>
        <v>-7.407407407407407E-2</v>
      </c>
      <c r="Q66" s="18">
        <f t="shared" si="1"/>
        <v>71.396045197740122</v>
      </c>
      <c r="R66" s="18">
        <f t="shared" si="2"/>
        <v>58.068236645605978</v>
      </c>
      <c r="S66" s="33" t="s">
        <v>39</v>
      </c>
      <c r="T66" s="31" t="s">
        <v>42</v>
      </c>
      <c r="U66" s="1737" t="s">
        <v>92</v>
      </c>
    </row>
    <row r="67" spans="1:21">
      <c r="A67" s="10" t="s">
        <v>11</v>
      </c>
      <c r="B67" s="19">
        <f>CHAMNORD!B67</f>
        <v>46084</v>
      </c>
      <c r="C67" s="75">
        <f>IF(H67=0,"",'[9]2025-2026'!C66)</f>
        <v>6241.38</v>
      </c>
      <c r="D67" s="68">
        <f>'[9]2025'!C67</f>
        <v>6386.65</v>
      </c>
      <c r="E67" s="68">
        <f>'[9]2025'!D67</f>
        <v>6309.85</v>
      </c>
      <c r="F67" s="20">
        <f>'[9]2025'!E67</f>
        <v>348</v>
      </c>
      <c r="G67" s="73">
        <f>'[9]2025'!F67</f>
        <v>6100</v>
      </c>
      <c r="H67" s="42">
        <f>'[9]2025'!G67</f>
        <v>5905.78</v>
      </c>
      <c r="I67" s="13">
        <f>'[9]2025'!H67</f>
        <v>5836.35</v>
      </c>
      <c r="J67" s="14">
        <f>'[9]2025'!I67</f>
        <v>361</v>
      </c>
      <c r="K67" s="15">
        <f>'[9]2025'!J67</f>
        <v>70.33</v>
      </c>
      <c r="L67" s="15">
        <f>'[9]2025'!K67</f>
        <v>85.88</v>
      </c>
      <c r="M67" s="15">
        <f>'[9]2025'!L67</f>
        <v>21.98</v>
      </c>
      <c r="N67" s="16">
        <f t="shared" si="3"/>
        <v>3.7660524128950456E-3</v>
      </c>
      <c r="O67" s="17">
        <f t="shared" si="0"/>
        <v>-7.5041403519893496E-2</v>
      </c>
      <c r="P67" s="17">
        <f t="shared" si="0"/>
        <v>3.7356321839080463E-2</v>
      </c>
      <c r="Q67" s="18">
        <f t="shared" si="1"/>
        <v>82.98521256931609</v>
      </c>
      <c r="R67" s="18">
        <f t="shared" si="2"/>
        <v>67.959361900326044</v>
      </c>
      <c r="S67" s="34">
        <f>SUM(I66:I72)</f>
        <v>53106.61</v>
      </c>
      <c r="T67" s="45" t="s">
        <v>41</v>
      </c>
      <c r="U67" s="1738"/>
    </row>
    <row r="68" spans="1:21">
      <c r="A68" s="10" t="s">
        <v>12</v>
      </c>
      <c r="B68" s="19">
        <f>CHAMNORD!B68</f>
        <v>46085</v>
      </c>
      <c r="C68" s="75">
        <f>IF(H68=0,"",'[9]2025-2026'!C67)</f>
        <v>6386.65</v>
      </c>
      <c r="D68" s="68">
        <f>'[9]2025'!C68</f>
        <v>7552.34</v>
      </c>
      <c r="E68" s="68">
        <f>'[9]2025'!D68</f>
        <v>7481.59</v>
      </c>
      <c r="F68" s="20">
        <f>'[9]2025'!E68</f>
        <v>392</v>
      </c>
      <c r="G68" s="73">
        <f>'[9]2025'!F68</f>
        <v>7200</v>
      </c>
      <c r="H68" s="42">
        <f>'[9]2025'!G68</f>
        <v>7306.73</v>
      </c>
      <c r="I68" s="13">
        <f>'[9]2025'!H68</f>
        <v>7211.62</v>
      </c>
      <c r="J68" s="14">
        <f>'[9]2025'!I68</f>
        <v>394</v>
      </c>
      <c r="K68" s="15">
        <f>'[9]2025'!J68</f>
        <v>83.67</v>
      </c>
      <c r="L68" s="15">
        <f>'[9]2025'!K68</f>
        <v>106.72</v>
      </c>
      <c r="M68" s="15">
        <f>'[9]2025'!L68</f>
        <v>38.880000000000003</v>
      </c>
      <c r="N68" s="16">
        <f t="shared" ref="N68:N131" si="4">IF(M68=0,"",M68/I68)</f>
        <v>5.3912990423788283E-3</v>
      </c>
      <c r="O68" s="17">
        <f t="shared" ref="O68:P131" si="5">IF(I68=0,"",(I68-E68)/E68)</f>
        <v>-3.6084575604918241E-2</v>
      </c>
      <c r="P68" s="17">
        <f t="shared" si="5"/>
        <v>5.1020408163265302E-3</v>
      </c>
      <c r="Q68" s="18">
        <f t="shared" ref="Q68:Q131" si="6">IF(I68=0,"",I68/K68)</f>
        <v>86.191227441137798</v>
      </c>
      <c r="R68" s="18">
        <f t="shared" ref="R68:R131" si="7">I68/L68</f>
        <v>67.575149925037479</v>
      </c>
      <c r="S68" s="35">
        <f>(S67-SUM(E66:E72))/SUM(E66:E72)</f>
        <v>-5.8070110591153253E-2</v>
      </c>
      <c r="T68" s="48">
        <f>SUM(I66:I72)/SUM(K66:K72)</f>
        <v>95.385103096486816</v>
      </c>
      <c r="U68" s="1738"/>
    </row>
    <row r="69" spans="1:21">
      <c r="A69" s="10" t="s">
        <v>13</v>
      </c>
      <c r="B69" s="19">
        <f>CHAMNORD!B69</f>
        <v>46086</v>
      </c>
      <c r="C69" s="75">
        <f>IF(H69=0,"",'[9]2025-2026'!C68)</f>
        <v>7552.34</v>
      </c>
      <c r="D69" s="68">
        <f>'[9]2025'!C69</f>
        <v>7269.29</v>
      </c>
      <c r="E69" s="68">
        <f>'[9]2025'!D69</f>
        <v>7183.8</v>
      </c>
      <c r="F69" s="20">
        <f>'[9]2025'!E69</f>
        <v>372</v>
      </c>
      <c r="G69" s="73">
        <f>'[9]2025'!F69</f>
        <v>6900</v>
      </c>
      <c r="H69" s="42">
        <f>'[9]2025'!G69</f>
        <v>6878.16</v>
      </c>
      <c r="I69" s="13">
        <f>'[9]2025'!H69</f>
        <v>6776.57</v>
      </c>
      <c r="J69" s="14">
        <f>'[9]2025'!I69</f>
        <v>373</v>
      </c>
      <c r="K69" s="15">
        <f>'[9]2025'!J69</f>
        <v>74.790000000000006</v>
      </c>
      <c r="L69" s="15">
        <f>'[9]2025'!K69</f>
        <v>91.62</v>
      </c>
      <c r="M69" s="15">
        <f>'[9]2025'!L69</f>
        <v>43.32</v>
      </c>
      <c r="N69" s="16">
        <f t="shared" si="4"/>
        <v>6.3926145527899809E-3</v>
      </c>
      <c r="O69" s="17">
        <f t="shared" si="5"/>
        <v>-5.6687268576519456E-2</v>
      </c>
      <c r="P69" s="17">
        <f t="shared" si="5"/>
        <v>2.6881720430107529E-3</v>
      </c>
      <c r="Q69" s="18">
        <f t="shared" si="6"/>
        <v>90.607968979810124</v>
      </c>
      <c r="R69" s="18">
        <f t="shared" si="7"/>
        <v>73.963872516917704</v>
      </c>
      <c r="S69" s="34"/>
      <c r="T69" s="29" t="s">
        <v>8</v>
      </c>
      <c r="U69" s="1738"/>
    </row>
    <row r="70" spans="1:21">
      <c r="A70" s="10" t="s">
        <v>14</v>
      </c>
      <c r="B70" s="19">
        <f>CHAMNORD!B70</f>
        <v>46087</v>
      </c>
      <c r="C70" s="75">
        <f>IF(H70=0,"",'[9]2025-2026'!C69)</f>
        <v>7269.29</v>
      </c>
      <c r="D70" s="68">
        <f>'[9]2025'!C70</f>
        <v>9805.7199999999993</v>
      </c>
      <c r="E70" s="68">
        <f>'[9]2025'!D70</f>
        <v>9628.3700000000008</v>
      </c>
      <c r="F70" s="20">
        <f>'[9]2025'!E70</f>
        <v>507</v>
      </c>
      <c r="G70" s="73">
        <f>'[9]2025'!F70</f>
        <v>9200</v>
      </c>
      <c r="H70" s="42">
        <f>'[9]2025'!G70</f>
        <v>9333.91</v>
      </c>
      <c r="I70" s="13">
        <f>'[9]2025'!H70</f>
        <v>9185.84</v>
      </c>
      <c r="J70" s="14">
        <f>'[9]2025'!I70</f>
        <v>482</v>
      </c>
      <c r="K70" s="15">
        <f>'[9]2025'!J70</f>
        <v>94.4</v>
      </c>
      <c r="L70" s="15">
        <f>'[9]2025'!K70</f>
        <v>122.13</v>
      </c>
      <c r="M70" s="15">
        <f>'[9]2025'!L70</f>
        <v>38.56</v>
      </c>
      <c r="N70" s="16">
        <f t="shared" si="4"/>
        <v>4.1977652560898082E-3</v>
      </c>
      <c r="O70" s="17">
        <f t="shared" si="5"/>
        <v>-4.5961050520493152E-2</v>
      </c>
      <c r="P70" s="17">
        <f t="shared" si="5"/>
        <v>-4.9309664694280081E-2</v>
      </c>
      <c r="Q70" s="18">
        <f t="shared" si="6"/>
        <v>97.307627118644064</v>
      </c>
      <c r="R70" s="18">
        <f t="shared" si="7"/>
        <v>75.213624826005073</v>
      </c>
      <c r="S70" s="36" t="s">
        <v>40</v>
      </c>
      <c r="T70" s="48">
        <f>SUM(I66:I72)/SUM(L66:L72)</f>
        <v>75.227154897655652</v>
      </c>
      <c r="U70" s="1738"/>
    </row>
    <row r="71" spans="1:21">
      <c r="A71" s="10" t="s">
        <v>15</v>
      </c>
      <c r="B71" s="19">
        <f>CHAMNORD!B71</f>
        <v>46088</v>
      </c>
      <c r="C71" s="75">
        <f>IF(H71=0,"",'[9]2025-2026'!C70)</f>
        <v>9805.7199999999993</v>
      </c>
      <c r="D71" s="68">
        <f>'[9]2025'!C71</f>
        <v>9397.75</v>
      </c>
      <c r="E71" s="68">
        <f>'[9]2025'!D71</f>
        <v>9287.49</v>
      </c>
      <c r="F71" s="20">
        <f>'[9]2025'!E71</f>
        <v>460</v>
      </c>
      <c r="G71" s="73">
        <f>'[9]2025'!F71</f>
        <v>9600</v>
      </c>
      <c r="H71" s="42">
        <f>'[9]2025'!G71</f>
        <v>9274.56</v>
      </c>
      <c r="I71" s="13">
        <f>'[9]2025'!H71</f>
        <v>9182.3799999999992</v>
      </c>
      <c r="J71" s="14">
        <f>'[9]2025'!I71</f>
        <v>430</v>
      </c>
      <c r="K71" s="15">
        <f>'[9]2025'!J71</f>
        <v>80.28</v>
      </c>
      <c r="L71" s="15">
        <f>'[9]2025'!K71</f>
        <v>105.9</v>
      </c>
      <c r="M71" s="15">
        <f>'[9]2025'!L71</f>
        <v>58.85</v>
      </c>
      <c r="N71" s="16">
        <f t="shared" si="4"/>
        <v>6.4090137850971104E-3</v>
      </c>
      <c r="O71" s="17">
        <f t="shared" si="5"/>
        <v>-1.131737423135859E-2</v>
      </c>
      <c r="P71" s="17">
        <f t="shared" si="5"/>
        <v>-6.5217391304347824E-2</v>
      </c>
      <c r="Q71" s="18">
        <f t="shared" si="6"/>
        <v>114.37942202291977</v>
      </c>
      <c r="R71" s="18">
        <f t="shared" si="7"/>
        <v>86.708026440037756</v>
      </c>
      <c r="S71" s="36">
        <f>SUM(J66:J72)</f>
        <v>2787</v>
      </c>
      <c r="T71" s="30" t="s">
        <v>3</v>
      </c>
      <c r="U71" s="1738"/>
    </row>
    <row r="72" spans="1:21" ht="18" thickBot="1">
      <c r="A72" s="10" t="s">
        <v>16</v>
      </c>
      <c r="B72" s="19">
        <f>CHAMNORD!B72</f>
        <v>46089</v>
      </c>
      <c r="C72" s="75">
        <f>IF(H72=0,"",'[9]2025-2026'!C71)</f>
        <v>9397.75</v>
      </c>
      <c r="D72" s="68">
        <f>'[9]2025'!C72</f>
        <v>10403.58</v>
      </c>
      <c r="E72" s="68">
        <f>'[9]2025'!D72</f>
        <v>10314.33</v>
      </c>
      <c r="F72" s="20">
        <f>'[9]2025'!E72</f>
        <v>466</v>
      </c>
      <c r="G72" s="73">
        <f>'[9]2025'!F72</f>
        <v>10600</v>
      </c>
      <c r="H72" s="42">
        <f>'[9]2025'!G72</f>
        <v>9976.42</v>
      </c>
      <c r="I72" s="13">
        <f>'[9]2025'!H72</f>
        <v>9859.01</v>
      </c>
      <c r="J72" s="14">
        <f>'[9]2025'!I72</f>
        <v>447</v>
      </c>
      <c r="K72" s="15">
        <f>'[9]2025'!J72</f>
        <v>82.49</v>
      </c>
      <c r="L72" s="15">
        <f>'[9]2025'!K72</f>
        <v>106.65</v>
      </c>
      <c r="M72" s="15">
        <f>'[9]2025'!L72</f>
        <v>53.62</v>
      </c>
      <c r="N72" s="16">
        <f t="shared" si="4"/>
        <v>5.4386799485952441E-3</v>
      </c>
      <c r="O72" s="17">
        <f t="shared" si="5"/>
        <v>-4.4144408798244744E-2</v>
      </c>
      <c r="P72" s="17">
        <f t="shared" si="5"/>
        <v>-4.07725321888412E-2</v>
      </c>
      <c r="Q72" s="18">
        <f t="shared" si="6"/>
        <v>119.51763850163657</v>
      </c>
      <c r="R72" s="18">
        <f t="shared" si="7"/>
        <v>92.442662916080636</v>
      </c>
      <c r="S72" s="37">
        <f>(S71-SUM(F66:F72))/SUM(F66:F72)</f>
        <v>-2.8581387242941791E-2</v>
      </c>
      <c r="T72" s="47">
        <f>SUM(M66:M72)/SUM(I66:I72)</f>
        <v>6.0382313990668957E-3</v>
      </c>
      <c r="U72" s="1739"/>
    </row>
    <row r="73" spans="1:21" ht="17" customHeight="1" thickTop="1">
      <c r="A73" s="10" t="s">
        <v>9</v>
      </c>
      <c r="B73" s="19">
        <f>CHAMNORD!B73</f>
        <v>46090</v>
      </c>
      <c r="C73" s="75">
        <f>IF(H73=0,"",'[9]2025-2026'!C72)</f>
        <v>10403.58</v>
      </c>
      <c r="D73" s="68">
        <f>'[9]2025'!C73</f>
        <v>4803.4799999999996</v>
      </c>
      <c r="E73" s="68">
        <f>'[9]2025'!D73</f>
        <v>4756.8100000000004</v>
      </c>
      <c r="F73" s="20">
        <f>'[9]2025'!E73</f>
        <v>294</v>
      </c>
      <c r="G73" s="73">
        <f>'[9]2025'!F73</f>
        <v>4900</v>
      </c>
      <c r="H73" s="42">
        <f>'[9]2025'!G73</f>
        <v>5234.0600000000004</v>
      </c>
      <c r="I73" s="13">
        <f>'[9]2025'!H73</f>
        <v>5170.9799999999996</v>
      </c>
      <c r="J73" s="14">
        <f>'[9]2025'!I73</f>
        <v>307</v>
      </c>
      <c r="K73" s="15">
        <f>'[9]2025'!J73</f>
        <v>75.760000000000005</v>
      </c>
      <c r="L73" s="15">
        <f>'[9]2025'!K73</f>
        <v>92.73</v>
      </c>
      <c r="M73" s="15">
        <f>'[9]2025'!L73</f>
        <v>30.53</v>
      </c>
      <c r="N73" s="16">
        <f t="shared" si="4"/>
        <v>5.9041032840970193E-3</v>
      </c>
      <c r="O73" s="17">
        <f t="shared" si="5"/>
        <v>8.7068854967930001E-2</v>
      </c>
      <c r="P73" s="17">
        <f t="shared" si="5"/>
        <v>4.4217687074829932E-2</v>
      </c>
      <c r="Q73" s="18">
        <f t="shared" si="6"/>
        <v>68.254751847940852</v>
      </c>
      <c r="R73" s="18">
        <f t="shared" si="7"/>
        <v>55.763830475574238</v>
      </c>
      <c r="S73" s="33" t="s">
        <v>39</v>
      </c>
      <c r="T73" s="31" t="s">
        <v>42</v>
      </c>
      <c r="U73" s="1737" t="s">
        <v>93</v>
      </c>
    </row>
    <row r="74" spans="1:21">
      <c r="A74" s="10" t="s">
        <v>11</v>
      </c>
      <c r="B74" s="19">
        <f>CHAMNORD!B74</f>
        <v>46091</v>
      </c>
      <c r="C74" s="75">
        <f>IF(H74=0,"",'[9]2025-2026'!C73)</f>
        <v>4803.4799999999996</v>
      </c>
      <c r="D74" s="68">
        <f>'[9]2025'!C74</f>
        <v>6887.12</v>
      </c>
      <c r="E74" s="68">
        <f>'[9]2025'!D74</f>
        <v>6821.81</v>
      </c>
      <c r="F74" s="20">
        <f>'[9]2025'!E74</f>
        <v>411</v>
      </c>
      <c r="G74" s="73">
        <f>'[9]2025'!F74</f>
        <v>7000</v>
      </c>
      <c r="H74" s="42">
        <f>'[9]2025'!G74</f>
        <v>6207.24</v>
      </c>
      <c r="I74" s="13">
        <f>'[9]2025'!H74</f>
        <v>6113.35</v>
      </c>
      <c r="J74" s="14">
        <f>'[9]2025'!I74</f>
        <v>350</v>
      </c>
      <c r="K74" s="15">
        <f>'[9]2025'!J74</f>
        <v>67.52</v>
      </c>
      <c r="L74" s="15">
        <f>'[9]2025'!K74</f>
        <v>84.75</v>
      </c>
      <c r="M74" s="15">
        <f>'[9]2025'!L74</f>
        <v>31.3</v>
      </c>
      <c r="N74" s="16">
        <f t="shared" si="4"/>
        <v>5.1199424210948167E-3</v>
      </c>
      <c r="O74" s="17">
        <f t="shared" si="5"/>
        <v>-0.10385220344747215</v>
      </c>
      <c r="P74" s="17">
        <f t="shared" si="5"/>
        <v>-0.14841849148418493</v>
      </c>
      <c r="Q74" s="18">
        <f t="shared" si="6"/>
        <v>90.541321090047404</v>
      </c>
      <c r="R74" s="18">
        <f t="shared" si="7"/>
        <v>72.133923303834806</v>
      </c>
      <c r="S74" s="34">
        <f>SUM(I73:I79)</f>
        <v>51718.59</v>
      </c>
      <c r="T74" s="45" t="s">
        <v>41</v>
      </c>
      <c r="U74" s="1738"/>
    </row>
    <row r="75" spans="1:21">
      <c r="A75" s="10" t="s">
        <v>12</v>
      </c>
      <c r="B75" s="19">
        <f>CHAMNORD!B75</f>
        <v>46092</v>
      </c>
      <c r="C75" s="75">
        <f>IF(H75=0,"",'[9]2025-2026'!C74)</f>
        <v>6887.12</v>
      </c>
      <c r="D75" s="68">
        <f>'[9]2025'!C75</f>
        <v>6459.41</v>
      </c>
      <c r="E75" s="68">
        <f>'[9]2025'!D75</f>
        <v>6365.71</v>
      </c>
      <c r="F75" s="20">
        <f>'[9]2025'!E75</f>
        <v>367</v>
      </c>
      <c r="G75" s="73">
        <f>'[9]2025'!F75</f>
        <v>6600</v>
      </c>
      <c r="H75" s="42">
        <f>'[9]2025'!G75</f>
        <v>6936.37</v>
      </c>
      <c r="I75" s="13">
        <f>'[9]2025'!H75</f>
        <v>6820.65</v>
      </c>
      <c r="J75" s="14">
        <f>'[9]2025'!I75</f>
        <v>361</v>
      </c>
      <c r="K75" s="15">
        <f>'[9]2025'!J75</f>
        <v>78.28</v>
      </c>
      <c r="L75" s="15">
        <f>'[9]2025'!K75</f>
        <v>95.08</v>
      </c>
      <c r="M75" s="15">
        <f>'[9]2025'!L75</f>
        <v>30.5</v>
      </c>
      <c r="N75" s="16">
        <f t="shared" si="4"/>
        <v>4.4717145726580311E-3</v>
      </c>
      <c r="O75" s="17">
        <f t="shared" si="5"/>
        <v>7.1467283303826221E-2</v>
      </c>
      <c r="P75" s="17">
        <f t="shared" si="5"/>
        <v>-1.6348773841961851E-2</v>
      </c>
      <c r="Q75" s="18">
        <f t="shared" si="6"/>
        <v>87.131451200817565</v>
      </c>
      <c r="R75" s="18">
        <f t="shared" si="7"/>
        <v>71.735906604964242</v>
      </c>
      <c r="S75" s="35">
        <f>(S74-SUM(E73:E79))/SUM(E73:E79)</f>
        <v>-1.1868788187956515E-2</v>
      </c>
      <c r="T75" s="48">
        <f>SUM(I73:I79)/SUM(K73:K79)</f>
        <v>88.75832775575347</v>
      </c>
      <c r="U75" s="1738"/>
    </row>
    <row r="76" spans="1:21">
      <c r="A76" s="10" t="s">
        <v>13</v>
      </c>
      <c r="B76" s="19">
        <f>CHAMNORD!B76</f>
        <v>46093</v>
      </c>
      <c r="C76" s="75">
        <f>IF(H76=0,"",'[9]2025-2026'!C75)</f>
        <v>6459.41</v>
      </c>
      <c r="D76" s="68">
        <f>'[9]2025'!C76</f>
        <v>6969.82</v>
      </c>
      <c r="E76" s="68">
        <f>'[9]2025'!D76</f>
        <v>6922.57</v>
      </c>
      <c r="F76" s="20">
        <f>'[9]2025'!E76</f>
        <v>400</v>
      </c>
      <c r="G76" s="73">
        <f>'[9]2025'!F76</f>
        <v>7100</v>
      </c>
      <c r="H76" s="42">
        <f>'[9]2025'!G76</f>
        <v>6225.23</v>
      </c>
      <c r="I76" s="13">
        <f>'[9]2025'!H76</f>
        <v>6150.03</v>
      </c>
      <c r="J76" s="14">
        <f>'[9]2025'!I76</f>
        <v>344</v>
      </c>
      <c r="K76" s="15">
        <f>'[9]2025'!J76</f>
        <v>72.989999999999995</v>
      </c>
      <c r="L76" s="15">
        <f>'[9]2025'!K76</f>
        <v>96.97</v>
      </c>
      <c r="M76" s="15">
        <f>'[9]2025'!L76</f>
        <v>59.22</v>
      </c>
      <c r="N76" s="16">
        <f t="shared" si="4"/>
        <v>9.6292213208716056E-3</v>
      </c>
      <c r="O76" s="17">
        <f t="shared" si="5"/>
        <v>-0.11159728251213061</v>
      </c>
      <c r="P76" s="17">
        <f t="shared" si="5"/>
        <v>-0.14000000000000001</v>
      </c>
      <c r="Q76" s="18">
        <f t="shared" si="6"/>
        <v>84.258528565556929</v>
      </c>
      <c r="R76" s="18">
        <f t="shared" si="7"/>
        <v>63.421986181293178</v>
      </c>
      <c r="S76" s="34"/>
      <c r="T76" s="29" t="s">
        <v>8</v>
      </c>
      <c r="U76" s="1738"/>
    </row>
    <row r="77" spans="1:21">
      <c r="A77" s="10" t="s">
        <v>14</v>
      </c>
      <c r="B77" s="19">
        <f>CHAMNORD!B77</f>
        <v>46094</v>
      </c>
      <c r="C77" s="75">
        <f>IF(H77=0,"",'[9]2025-2026'!C76)</f>
        <v>6969.82</v>
      </c>
      <c r="D77" s="68">
        <f>'[9]2025'!C77</f>
        <v>9313.99</v>
      </c>
      <c r="E77" s="68">
        <f>'[9]2025'!D77</f>
        <v>9190.26</v>
      </c>
      <c r="F77" s="20">
        <f>'[9]2025'!E77</f>
        <v>492</v>
      </c>
      <c r="G77" s="73">
        <f>'[9]2025'!F77</f>
        <v>9500</v>
      </c>
      <c r="H77" s="42">
        <f>'[9]2025'!G77</f>
        <v>10208.49</v>
      </c>
      <c r="I77" s="13">
        <f>'[9]2025'!H77</f>
        <v>10090.33</v>
      </c>
      <c r="J77" s="14">
        <f>'[9]2025'!I77</f>
        <v>530</v>
      </c>
      <c r="K77" s="15">
        <f>'[9]2025'!J77</f>
        <v>89.01</v>
      </c>
      <c r="L77" s="15">
        <f>'[9]2025'!K77</f>
        <v>114.7</v>
      </c>
      <c r="M77" s="15">
        <f>'[9]2025'!L77</f>
        <v>61.94</v>
      </c>
      <c r="N77" s="16">
        <f t="shared" si="4"/>
        <v>6.1385504735722218E-3</v>
      </c>
      <c r="O77" s="17">
        <f t="shared" si="5"/>
        <v>9.7937381532187298E-2</v>
      </c>
      <c r="P77" s="17">
        <f t="shared" si="5"/>
        <v>7.7235772357723581E-2</v>
      </c>
      <c r="Q77" s="18">
        <f t="shared" si="6"/>
        <v>113.36175710594314</v>
      </c>
      <c r="R77" s="18">
        <f t="shared" si="7"/>
        <v>87.971490845684386</v>
      </c>
      <c r="S77" s="36" t="s">
        <v>40</v>
      </c>
      <c r="T77" s="48">
        <f>SUM(I73:I79)/SUM(L73:L79)</f>
        <v>72.286175520986205</v>
      </c>
      <c r="U77" s="1738"/>
    </row>
    <row r="78" spans="1:21">
      <c r="A78" s="10" t="s">
        <v>15</v>
      </c>
      <c r="B78" s="19">
        <f>CHAMNORD!B78</f>
        <v>46095</v>
      </c>
      <c r="C78" s="75">
        <f>IF(H78=0,"",'[9]2025-2026'!C77)</f>
        <v>9313.99</v>
      </c>
      <c r="D78" s="68">
        <f>'[9]2025'!C78</f>
        <v>8855.6299999999992</v>
      </c>
      <c r="E78" s="68">
        <f>'[9]2025'!D78</f>
        <v>8748.2199999999993</v>
      </c>
      <c r="F78" s="20">
        <f>'[9]2025'!E78</f>
        <v>430</v>
      </c>
      <c r="G78" s="73">
        <f>'[9]2025'!F78</f>
        <v>9000</v>
      </c>
      <c r="H78" s="42">
        <f>'[9]2025'!G78</f>
        <v>8524.7800000000007</v>
      </c>
      <c r="I78" s="13">
        <f>'[9]2025'!H78</f>
        <v>8422.42</v>
      </c>
      <c r="J78" s="14">
        <f>'[9]2025'!I78</f>
        <v>392</v>
      </c>
      <c r="K78" s="15">
        <f>'[9]2025'!J78</f>
        <v>104.63</v>
      </c>
      <c r="L78" s="15">
        <f>'[9]2025'!K78</f>
        <v>121.32</v>
      </c>
      <c r="M78" s="15">
        <f>'[9]2025'!L78</f>
        <v>26.37</v>
      </c>
      <c r="N78" s="16">
        <f t="shared" si="4"/>
        <v>3.1309291153848893E-3</v>
      </c>
      <c r="O78" s="17">
        <f t="shared" si="5"/>
        <v>-3.7241861773023459E-2</v>
      </c>
      <c r="P78" s="17">
        <f t="shared" si="5"/>
        <v>-8.8372093023255813E-2</v>
      </c>
      <c r="Q78" s="18">
        <f t="shared" si="6"/>
        <v>80.497180540953835</v>
      </c>
      <c r="R78" s="18">
        <f t="shared" si="7"/>
        <v>69.423178371249591</v>
      </c>
      <c r="S78" s="36">
        <f>SUM(J73:J79)</f>
        <v>2688</v>
      </c>
      <c r="T78" s="30" t="s">
        <v>3</v>
      </c>
      <c r="U78" s="1738"/>
    </row>
    <row r="79" spans="1:21" ht="18" thickBot="1">
      <c r="A79" s="10" t="s">
        <v>16</v>
      </c>
      <c r="B79" s="19">
        <f>CHAMNORD!B79</f>
        <v>46096</v>
      </c>
      <c r="C79" s="75">
        <f>IF(H79=0,"",'[9]2025-2026'!C78)</f>
        <v>8855.6299999999992</v>
      </c>
      <c r="D79" s="68">
        <f>'[9]2025'!C79</f>
        <v>9651.69</v>
      </c>
      <c r="E79" s="68">
        <f>'[9]2025'!D79</f>
        <v>9534.42</v>
      </c>
      <c r="F79" s="20">
        <f>'[9]2025'!E79</f>
        <v>451</v>
      </c>
      <c r="G79" s="73">
        <f>'[9]2025'!F79</f>
        <v>9800</v>
      </c>
      <c r="H79" s="42">
        <f>'[9]2025'!G79</f>
        <v>9057.8700000000008</v>
      </c>
      <c r="I79" s="13">
        <f>'[9]2025'!H79</f>
        <v>8950.83</v>
      </c>
      <c r="J79" s="14">
        <f>'[9]2025'!I79</f>
        <v>404</v>
      </c>
      <c r="K79" s="15">
        <f>'[9]2025'!J79</f>
        <v>94.5</v>
      </c>
      <c r="L79" s="15">
        <f>'[9]2025'!K79</f>
        <v>109.92</v>
      </c>
      <c r="M79" s="15">
        <f>'[9]2025'!L79</f>
        <v>39.880000000000003</v>
      </c>
      <c r="N79" s="16">
        <f t="shared" si="4"/>
        <v>4.4554527345508745E-3</v>
      </c>
      <c r="O79" s="17">
        <f t="shared" si="5"/>
        <v>-6.1208757323465944E-2</v>
      </c>
      <c r="P79" s="17">
        <f t="shared" si="5"/>
        <v>-0.10421286031042129</v>
      </c>
      <c r="Q79" s="18">
        <f t="shared" si="6"/>
        <v>94.717777777777783</v>
      </c>
      <c r="R79" s="18">
        <f t="shared" si="7"/>
        <v>81.430403930131007</v>
      </c>
      <c r="S79" s="37">
        <f>(S78-SUM(F73:F79))/SUM(F73:F79)</f>
        <v>-5.5184534270650266E-2</v>
      </c>
      <c r="T79" s="47">
        <f>SUM(M73:M79)/SUM(I73:I79)</f>
        <v>5.4088868238673952E-3</v>
      </c>
      <c r="U79" s="1739"/>
    </row>
    <row r="80" spans="1:21" ht="17" customHeight="1" thickTop="1">
      <c r="A80" s="10" t="s">
        <v>9</v>
      </c>
      <c r="B80" s="19">
        <f>CHAMNORD!B80</f>
        <v>46097</v>
      </c>
      <c r="C80" s="75">
        <f>IF(H80=0,"",'[9]2025-2026'!C79)</f>
        <v>9651.69</v>
      </c>
      <c r="D80" s="68">
        <f>'[9]2025'!C80</f>
        <v>4588.6000000000004</v>
      </c>
      <c r="E80" s="68">
        <f>'[9]2025'!D80</f>
        <v>4558.8999999999996</v>
      </c>
      <c r="F80" s="20">
        <f>'[9]2025'!E80</f>
        <v>290</v>
      </c>
      <c r="G80" s="73">
        <f>'[9]2025'!F80</f>
        <v>4700</v>
      </c>
      <c r="H80" s="42">
        <f>'[9]2025'!G80</f>
        <v>5145.28</v>
      </c>
      <c r="I80" s="13">
        <f>'[9]2025'!H80</f>
        <v>5099.34</v>
      </c>
      <c r="J80" s="14">
        <f>'[9]2025'!I80</f>
        <v>306</v>
      </c>
      <c r="K80" s="15">
        <f>'[9]2025'!J80</f>
        <v>66.36</v>
      </c>
      <c r="L80" s="15">
        <f>'[9]2025'!K80</f>
        <v>83.33</v>
      </c>
      <c r="M80" s="15">
        <f>'[9]2025'!L80</f>
        <v>32.299999999999997</v>
      </c>
      <c r="N80" s="16">
        <f t="shared" si="4"/>
        <v>6.3341530472570953E-3</v>
      </c>
      <c r="O80" s="17">
        <f t="shared" si="5"/>
        <v>0.11854614051635275</v>
      </c>
      <c r="P80" s="17">
        <f t="shared" si="5"/>
        <v>5.5172413793103448E-2</v>
      </c>
      <c r="Q80" s="18">
        <f t="shared" si="6"/>
        <v>76.843580470162749</v>
      </c>
      <c r="R80" s="18">
        <f t="shared" si="7"/>
        <v>61.194527781111248</v>
      </c>
      <c r="S80" s="33" t="s">
        <v>39</v>
      </c>
      <c r="T80" s="31" t="s">
        <v>42</v>
      </c>
      <c r="U80" s="1737" t="s">
        <v>94</v>
      </c>
    </row>
    <row r="81" spans="1:21">
      <c r="A81" s="10" t="s">
        <v>11</v>
      </c>
      <c r="B81" s="19">
        <f>CHAMNORD!B81</f>
        <v>46098</v>
      </c>
      <c r="C81" s="75">
        <f>IF(H81=0,"",'[9]2025-2026'!C80)</f>
        <v>4588.6000000000004</v>
      </c>
      <c r="D81" s="68">
        <f>'[9]2025'!C81</f>
        <v>5645.54</v>
      </c>
      <c r="E81" s="68">
        <f>'[9]2025'!D81</f>
        <v>5602.63</v>
      </c>
      <c r="F81" s="20">
        <f>'[9]2025'!E81</f>
        <v>345</v>
      </c>
      <c r="G81" s="73">
        <f>'[9]2025'!F81</f>
        <v>5800</v>
      </c>
      <c r="H81" s="42">
        <f>'[9]2025'!G81</f>
        <v>5404.54</v>
      </c>
      <c r="I81" s="13">
        <f>'[9]2025'!H81</f>
        <v>5357.13</v>
      </c>
      <c r="J81" s="14">
        <f>'[9]2025'!I81</f>
        <v>315</v>
      </c>
      <c r="K81" s="15">
        <f>'[9]2025'!J81</f>
        <v>64.7</v>
      </c>
      <c r="L81" s="15">
        <f>'[9]2025'!K81</f>
        <v>80.83</v>
      </c>
      <c r="M81" s="15">
        <f>'[9]2025'!L81</f>
        <v>31.14</v>
      </c>
      <c r="N81" s="16">
        <f t="shared" si="4"/>
        <v>5.812813950753482E-3</v>
      </c>
      <c r="O81" s="17">
        <f t="shared" si="5"/>
        <v>-4.3818706571735061E-2</v>
      </c>
      <c r="P81" s="17">
        <f t="shared" si="5"/>
        <v>-8.6956521739130432E-2</v>
      </c>
      <c r="Q81" s="18">
        <f t="shared" si="6"/>
        <v>82.799536321483771</v>
      </c>
      <c r="R81" s="18">
        <f t="shared" si="7"/>
        <v>66.276506247680317</v>
      </c>
      <c r="S81" s="34">
        <f>SUM(I80:I86)</f>
        <v>53208.09</v>
      </c>
      <c r="T81" s="45" t="s">
        <v>41</v>
      </c>
      <c r="U81" s="1738"/>
    </row>
    <row r="82" spans="1:21">
      <c r="A82" s="10" t="s">
        <v>12</v>
      </c>
      <c r="B82" s="19">
        <f>CHAMNORD!B82</f>
        <v>46099</v>
      </c>
      <c r="C82" s="75">
        <f>IF(H82=0,"",'[9]2025-2026'!C81)</f>
        <v>5645.54</v>
      </c>
      <c r="D82" s="68">
        <f>'[9]2025'!C82</f>
        <v>6933.86</v>
      </c>
      <c r="E82" s="68">
        <f>'[9]2025'!D82</f>
        <v>6841.39</v>
      </c>
      <c r="F82" s="20">
        <f>'[9]2025'!E82</f>
        <v>400</v>
      </c>
      <c r="G82" s="73">
        <f>'[9]2025'!F82</f>
        <v>7000</v>
      </c>
      <c r="H82" s="42">
        <f>'[9]2025'!G82</f>
        <v>7566.79</v>
      </c>
      <c r="I82" s="13">
        <f>'[9]2025'!H82</f>
        <v>7488.79</v>
      </c>
      <c r="J82" s="14">
        <f>'[9]2025'!I82</f>
        <v>383</v>
      </c>
      <c r="K82" s="15">
        <f>'[9]2025'!J82</f>
        <v>70.83</v>
      </c>
      <c r="L82" s="15">
        <f>'[9]2025'!K82</f>
        <v>87.35</v>
      </c>
      <c r="M82" s="15">
        <f>'[9]2025'!L82</f>
        <v>44.21</v>
      </c>
      <c r="N82" s="16">
        <f t="shared" si="4"/>
        <v>5.9034904170099578E-3</v>
      </c>
      <c r="O82" s="17">
        <f t="shared" si="5"/>
        <v>9.462989246337361E-2</v>
      </c>
      <c r="P82" s="17">
        <f t="shared" si="5"/>
        <v>-4.2500000000000003E-2</v>
      </c>
      <c r="Q82" s="18">
        <f t="shared" si="6"/>
        <v>105.72906960327545</v>
      </c>
      <c r="R82" s="18">
        <f t="shared" si="7"/>
        <v>85.733142530051524</v>
      </c>
      <c r="S82" s="35">
        <f>(S81-SUM(E80:E86))/SUM(E80:E86)</f>
        <v>2.6712661031411591E-2</v>
      </c>
      <c r="T82" s="48">
        <f>SUM(I80:I86)/SUM(K80:K86)</f>
        <v>102.07003779086497</v>
      </c>
      <c r="U82" s="1738"/>
    </row>
    <row r="83" spans="1:21">
      <c r="A83" s="10" t="s">
        <v>13</v>
      </c>
      <c r="B83" s="19">
        <f>CHAMNORD!B83</f>
        <v>46100</v>
      </c>
      <c r="C83" s="75">
        <f>IF(H83=0,"",'[9]2025-2026'!C82)</f>
        <v>6933.86</v>
      </c>
      <c r="D83" s="68">
        <f>'[9]2025'!C83</f>
        <v>6003.56</v>
      </c>
      <c r="E83" s="68">
        <f>'[9]2025'!D83</f>
        <v>5950.07</v>
      </c>
      <c r="F83" s="20">
        <f>'[9]2025'!E83</f>
        <v>391</v>
      </c>
      <c r="G83" s="73">
        <f>'[9]2025'!F83</f>
        <v>6100</v>
      </c>
      <c r="H83" s="42">
        <f>'[9]2025'!G83</f>
        <v>6871.69</v>
      </c>
      <c r="I83" s="13">
        <f>'[9]2025'!H83</f>
        <v>6812.27</v>
      </c>
      <c r="J83" s="14">
        <f>'[9]2025'!I83</f>
        <v>407</v>
      </c>
      <c r="K83" s="15">
        <f>'[9]2025'!J83</f>
        <v>66.37</v>
      </c>
      <c r="L83" s="15">
        <f>'[9]2025'!K83</f>
        <v>81.95</v>
      </c>
      <c r="M83" s="15">
        <f>'[9]2025'!L83</f>
        <v>16.02</v>
      </c>
      <c r="N83" s="16">
        <f t="shared" si="4"/>
        <v>2.3516390278130487E-3</v>
      </c>
      <c r="O83" s="17">
        <f t="shared" si="5"/>
        <v>0.14490585825040728</v>
      </c>
      <c r="P83" s="17">
        <f t="shared" si="5"/>
        <v>4.0920716112531973E-2</v>
      </c>
      <c r="Q83" s="18">
        <f t="shared" si="6"/>
        <v>102.64080156697302</v>
      </c>
      <c r="R83" s="18">
        <f t="shared" si="7"/>
        <v>83.127150701647352</v>
      </c>
      <c r="S83" s="34"/>
      <c r="T83" s="29" t="s">
        <v>8</v>
      </c>
      <c r="U83" s="1738"/>
    </row>
    <row r="84" spans="1:21">
      <c r="A84" s="10" t="s">
        <v>14</v>
      </c>
      <c r="B84" s="19">
        <f>CHAMNORD!B84</f>
        <v>46101</v>
      </c>
      <c r="C84" s="75">
        <f>IF(H84=0,"",'[9]2025-2026'!C83)</f>
        <v>6003.56</v>
      </c>
      <c r="D84" s="68">
        <f>'[9]2025'!C84</f>
        <v>9498.5</v>
      </c>
      <c r="E84" s="68">
        <f>'[9]2025'!D84</f>
        <v>9392.81</v>
      </c>
      <c r="F84" s="20">
        <f>'[9]2025'!E84</f>
        <v>555</v>
      </c>
      <c r="G84" s="73">
        <f>'[9]2025'!F84</f>
        <v>9700</v>
      </c>
      <c r="H84" s="42">
        <f>'[9]2025'!G84</f>
        <v>9319.44</v>
      </c>
      <c r="I84" s="13">
        <f>'[9]2025'!H84</f>
        <v>9182.61</v>
      </c>
      <c r="J84" s="14">
        <f>'[9]2025'!I84</f>
        <v>476</v>
      </c>
      <c r="K84" s="15">
        <f>'[9]2025'!J84</f>
        <v>83.82</v>
      </c>
      <c r="L84" s="15">
        <f>'[9]2025'!K84</f>
        <v>101.01</v>
      </c>
      <c r="M84" s="15">
        <f>'[9]2025'!L84</f>
        <v>39.36</v>
      </c>
      <c r="N84" s="16">
        <f t="shared" si="4"/>
        <v>4.2863630275052512E-3</v>
      </c>
      <c r="O84" s="17">
        <f t="shared" si="5"/>
        <v>-2.2378819543885049E-2</v>
      </c>
      <c r="P84" s="17">
        <f t="shared" si="5"/>
        <v>-0.14234234234234233</v>
      </c>
      <c r="Q84" s="18">
        <f t="shared" si="6"/>
        <v>109.55153901216894</v>
      </c>
      <c r="R84" s="18">
        <f t="shared" si="7"/>
        <v>90.907929907929912</v>
      </c>
      <c r="S84" s="36" t="s">
        <v>40</v>
      </c>
      <c r="T84" s="48">
        <f>SUM(I80:I86)/SUM(L80:L86)</f>
        <v>83.686835482856239</v>
      </c>
      <c r="U84" s="1738"/>
    </row>
    <row r="85" spans="1:21">
      <c r="A85" s="10" t="s">
        <v>15</v>
      </c>
      <c r="B85" s="19">
        <f>CHAMNORD!B85</f>
        <v>46102</v>
      </c>
      <c r="C85" s="75">
        <f>IF(H85=0,"",'[9]2025-2026'!C84)</f>
        <v>9498.5</v>
      </c>
      <c r="D85" s="68">
        <f>'[9]2025'!C85</f>
        <v>9462.4</v>
      </c>
      <c r="E85" s="68">
        <f>'[9]2025'!D85</f>
        <v>9362.24</v>
      </c>
      <c r="F85" s="20">
        <f>'[9]2025'!E85</f>
        <v>444</v>
      </c>
      <c r="G85" s="73">
        <f>'[9]2025'!F85</f>
        <v>9600</v>
      </c>
      <c r="H85" s="42">
        <f>'[9]2025'!G85</f>
        <v>9411.7000000000007</v>
      </c>
      <c r="I85" s="13">
        <f>'[9]2025'!H85</f>
        <v>9307.24</v>
      </c>
      <c r="J85" s="14">
        <f>'[9]2025'!I85</f>
        <v>418</v>
      </c>
      <c r="K85" s="15">
        <f>'[9]2025'!J85</f>
        <v>85.41</v>
      </c>
      <c r="L85" s="15">
        <f>'[9]2025'!K85</f>
        <v>102.13</v>
      </c>
      <c r="M85" s="15">
        <f>'[9]2025'!L85</f>
        <v>50.35</v>
      </c>
      <c r="N85" s="16">
        <f t="shared" si="4"/>
        <v>5.4097670200832903E-3</v>
      </c>
      <c r="O85" s="17">
        <f t="shared" si="5"/>
        <v>-5.8746624739378613E-3</v>
      </c>
      <c r="P85" s="17">
        <f t="shared" si="5"/>
        <v>-5.8558558558558557E-2</v>
      </c>
      <c r="Q85" s="18">
        <f t="shared" si="6"/>
        <v>108.97131483432854</v>
      </c>
      <c r="R85" s="18">
        <f t="shared" si="7"/>
        <v>91.131303240967398</v>
      </c>
      <c r="S85" s="36">
        <f>SUM(J80:J86)</f>
        <v>2750</v>
      </c>
      <c r="T85" s="30" t="s">
        <v>3</v>
      </c>
      <c r="U85" s="1738"/>
    </row>
    <row r="86" spans="1:21" ht="18" thickBot="1">
      <c r="A86" s="10" t="s">
        <v>16</v>
      </c>
      <c r="B86" s="19">
        <f>CHAMNORD!B86</f>
        <v>46103</v>
      </c>
      <c r="C86" s="75">
        <f>IF(H86=0,"",'[9]2025-2026'!C85)</f>
        <v>9462.4</v>
      </c>
      <c r="D86" s="68">
        <f>'[9]2025'!C86</f>
        <v>10198.9</v>
      </c>
      <c r="E86" s="68">
        <f>'[9]2025'!D86</f>
        <v>10115.700000000001</v>
      </c>
      <c r="F86" s="20">
        <f>'[9]2025'!E86</f>
        <v>451</v>
      </c>
      <c r="G86" s="73">
        <f>'[9]2025'!F86</f>
        <v>10400</v>
      </c>
      <c r="H86" s="42">
        <f>'[9]2025'!G86</f>
        <v>10065.64</v>
      </c>
      <c r="I86" s="13">
        <f>'[9]2025'!H86</f>
        <v>9960.7099999999991</v>
      </c>
      <c r="J86" s="14">
        <f>'[9]2025'!I86</f>
        <v>445</v>
      </c>
      <c r="K86" s="15">
        <f>'[9]2025'!J86</f>
        <v>83.8</v>
      </c>
      <c r="L86" s="15">
        <f>'[9]2025'!K86</f>
        <v>99.2</v>
      </c>
      <c r="M86" s="15">
        <f>'[9]2025'!L86</f>
        <v>46.88</v>
      </c>
      <c r="N86" s="16">
        <f t="shared" si="4"/>
        <v>4.7064918063069805E-3</v>
      </c>
      <c r="O86" s="17">
        <f t="shared" si="5"/>
        <v>-1.5321727611534702E-2</v>
      </c>
      <c r="P86" s="17">
        <f t="shared" si="5"/>
        <v>-1.3303769401330377E-2</v>
      </c>
      <c r="Q86" s="18">
        <f t="shared" si="6"/>
        <v>118.86288782816229</v>
      </c>
      <c r="R86" s="18">
        <f t="shared" si="7"/>
        <v>100.41038306451611</v>
      </c>
      <c r="S86" s="37">
        <f>(S85-SUM(F80:F86))/SUM(F80:F86)</f>
        <v>-4.3810848400556331E-2</v>
      </c>
      <c r="T86" s="47">
        <f>SUM(M80:M86)/SUM(I80:I86)</f>
        <v>4.8913614452238373E-3</v>
      </c>
      <c r="U86" s="1739"/>
    </row>
    <row r="87" spans="1:21" ht="17" customHeight="1" thickTop="1">
      <c r="A87" s="10" t="s">
        <v>9</v>
      </c>
      <c r="B87" s="19">
        <f>CHAMNORD!B87</f>
        <v>46104</v>
      </c>
      <c r="C87" s="75">
        <f>IF(H87=0,"",'[9]2025-2026'!C86)</f>
        <v>10198.9</v>
      </c>
      <c r="D87" s="68">
        <f>'[9]2025'!C87</f>
        <v>4638.3100000000004</v>
      </c>
      <c r="E87" s="68">
        <f>'[9]2025'!D87</f>
        <v>4600.79</v>
      </c>
      <c r="F87" s="20">
        <f>'[9]2025'!E87</f>
        <v>277</v>
      </c>
      <c r="G87" s="73">
        <f>'[9]2025'!F87</f>
        <v>4700</v>
      </c>
      <c r="H87" s="42">
        <f>'[9]2025'!G87</f>
        <v>4287.46</v>
      </c>
      <c r="I87" s="13">
        <f>'[9]2025'!H87</f>
        <v>4246.6499999999996</v>
      </c>
      <c r="J87" s="14">
        <f>'[9]2025'!I87</f>
        <v>259</v>
      </c>
      <c r="K87" s="15">
        <f>'[9]2025'!J87</f>
        <v>67.87</v>
      </c>
      <c r="L87" s="15">
        <f>'[9]2025'!K87</f>
        <v>75.92</v>
      </c>
      <c r="M87" s="15">
        <f>'[9]2025'!L87</f>
        <v>50.01</v>
      </c>
      <c r="N87" s="16">
        <f t="shared" si="4"/>
        <v>1.1776341351418177E-2</v>
      </c>
      <c r="O87" s="17">
        <f t="shared" si="5"/>
        <v>-7.6973737119060054E-2</v>
      </c>
      <c r="P87" s="17">
        <f t="shared" si="5"/>
        <v>-6.4981949458483748E-2</v>
      </c>
      <c r="Q87" s="18">
        <f t="shared" si="6"/>
        <v>62.570355090614399</v>
      </c>
      <c r="R87" s="18">
        <f t="shared" si="7"/>
        <v>55.935853530031608</v>
      </c>
      <c r="S87" s="33" t="s">
        <v>39</v>
      </c>
      <c r="T87" s="31" t="s">
        <v>42</v>
      </c>
      <c r="U87" s="1737" t="s">
        <v>95</v>
      </c>
    </row>
    <row r="88" spans="1:21">
      <c r="A88" s="10" t="s">
        <v>11</v>
      </c>
      <c r="B88" s="19">
        <f>CHAMNORD!B88</f>
        <v>46105</v>
      </c>
      <c r="C88" s="75">
        <f>IF(H88=0,"",'[9]2025-2026'!C87)</f>
        <v>4638.3100000000004</v>
      </c>
      <c r="D88" s="68">
        <f>'[9]2025'!C88</f>
        <v>6045.89</v>
      </c>
      <c r="E88" s="68">
        <f>'[9]2025'!D88</f>
        <v>5912.77</v>
      </c>
      <c r="F88" s="20">
        <f>'[9]2025'!E88</f>
        <v>376</v>
      </c>
      <c r="G88" s="73">
        <f>'[9]2025'!F88</f>
        <v>6100</v>
      </c>
      <c r="H88" s="42">
        <f>'[9]2025'!G88</f>
        <v>5556.62</v>
      </c>
      <c r="I88" s="13">
        <f>'[9]2025'!H88</f>
        <v>5436.18</v>
      </c>
      <c r="J88" s="14">
        <f>'[9]2025'!I88</f>
        <v>304</v>
      </c>
      <c r="K88" s="15">
        <f>'[9]2025'!J88</f>
        <v>62.85</v>
      </c>
      <c r="L88" s="15">
        <f>'[9]2025'!K88</f>
        <v>78.47</v>
      </c>
      <c r="M88" s="15">
        <f>'[9]2025'!L88</f>
        <v>14.95</v>
      </c>
      <c r="N88" s="16">
        <f t="shared" si="4"/>
        <v>2.7500928961145506E-3</v>
      </c>
      <c r="O88" s="17">
        <f t="shared" si="5"/>
        <v>-8.060350732397846E-2</v>
      </c>
      <c r="P88" s="17">
        <f t="shared" si="5"/>
        <v>-0.19148936170212766</v>
      </c>
      <c r="Q88" s="18">
        <f t="shared" si="6"/>
        <v>86.494510739856807</v>
      </c>
      <c r="R88" s="18">
        <f t="shared" si="7"/>
        <v>69.277175990824517</v>
      </c>
      <c r="S88" s="34">
        <f>SUM(I87:I93)</f>
        <v>55906.96</v>
      </c>
      <c r="T88" s="45" t="s">
        <v>41</v>
      </c>
      <c r="U88" s="1738"/>
    </row>
    <row r="89" spans="1:21">
      <c r="A89" s="10" t="s">
        <v>12</v>
      </c>
      <c r="B89" s="19">
        <f>CHAMNORD!B89</f>
        <v>46106</v>
      </c>
      <c r="C89" s="75">
        <f>IF(H89=0,"",'[9]2025-2026'!C88)</f>
        <v>6045.89</v>
      </c>
      <c r="D89" s="68">
        <f>'[9]2025'!C89</f>
        <v>7373.88</v>
      </c>
      <c r="E89" s="68">
        <f>'[9]2025'!D89</f>
        <v>7202.8</v>
      </c>
      <c r="F89" s="20">
        <f>'[9]2025'!E89</f>
        <v>412</v>
      </c>
      <c r="G89" s="73">
        <f>'[9]2025'!F89</f>
        <v>7400</v>
      </c>
      <c r="H89" s="42">
        <f>'[9]2025'!G89</f>
        <v>7148.11</v>
      </c>
      <c r="I89" s="13">
        <f>'[9]2025'!H89</f>
        <v>7013.49</v>
      </c>
      <c r="J89" s="14">
        <f>'[9]2025'!I89</f>
        <v>383</v>
      </c>
      <c r="K89" s="15">
        <f>'[9]2025'!J89</f>
        <v>53.57</v>
      </c>
      <c r="L89" s="15">
        <f>'[9]2025'!K89</f>
        <v>70.53</v>
      </c>
      <c r="M89" s="15">
        <f>'[9]2025'!L89</f>
        <v>98.38</v>
      </c>
      <c r="N89" s="16">
        <f t="shared" si="4"/>
        <v>1.4027253193488548E-2</v>
      </c>
      <c r="O89" s="17">
        <f t="shared" si="5"/>
        <v>-2.628283445326823E-2</v>
      </c>
      <c r="P89" s="17">
        <f t="shared" si="5"/>
        <v>-7.0388349514563103E-2</v>
      </c>
      <c r="Q89" s="18">
        <f t="shared" si="6"/>
        <v>130.92197125256672</v>
      </c>
      <c r="R89" s="18">
        <f t="shared" si="7"/>
        <v>99.439812845597615</v>
      </c>
      <c r="S89" s="35">
        <f>(S88-SUM(E87:E93))/SUM(E87:E93)</f>
        <v>3.4144150626633736E-2</v>
      </c>
      <c r="T89" s="48">
        <f>SUM(I87:I93)/SUM(K87:K93)</f>
        <v>116.89658344833354</v>
      </c>
      <c r="U89" s="1738"/>
    </row>
    <row r="90" spans="1:21">
      <c r="A90" s="10" t="s">
        <v>13</v>
      </c>
      <c r="B90" s="19">
        <f>CHAMNORD!B90</f>
        <v>46107</v>
      </c>
      <c r="C90" s="75">
        <f>IF(H90=0,"",'[9]2025-2026'!C89)</f>
        <v>7373.88</v>
      </c>
      <c r="D90" s="68">
        <f>'[9]2025'!C90</f>
        <v>5879.64</v>
      </c>
      <c r="E90" s="68">
        <f>'[9]2025'!D90</f>
        <v>5770.64</v>
      </c>
      <c r="F90" s="20">
        <f>'[9]2025'!E90</f>
        <v>361</v>
      </c>
      <c r="G90" s="73">
        <f>'[9]2025'!F90</f>
        <v>5900</v>
      </c>
      <c r="H90" s="42">
        <f>'[9]2025'!G90</f>
        <v>6446.17</v>
      </c>
      <c r="I90" s="13">
        <f>'[9]2025'!H90</f>
        <v>6336.65</v>
      </c>
      <c r="J90" s="14">
        <f>'[9]2025'!I90</f>
        <v>380</v>
      </c>
      <c r="K90" s="15">
        <f>'[9]2025'!J90</f>
        <v>53.6</v>
      </c>
      <c r="L90" s="15">
        <f>'[9]2025'!K90</f>
        <v>79.12</v>
      </c>
      <c r="M90" s="15">
        <f>'[9]2025'!L90</f>
        <v>35.78</v>
      </c>
      <c r="N90" s="16">
        <f t="shared" si="4"/>
        <v>5.6465166925741524E-3</v>
      </c>
      <c r="O90" s="17">
        <f t="shared" si="5"/>
        <v>9.8084441240486195E-2</v>
      </c>
      <c r="P90" s="17">
        <f t="shared" si="5"/>
        <v>5.2631578947368418E-2</v>
      </c>
      <c r="Q90" s="18">
        <f t="shared" si="6"/>
        <v>118.22108208955223</v>
      </c>
      <c r="R90" s="18">
        <f t="shared" si="7"/>
        <v>80.08910515672396</v>
      </c>
      <c r="S90" s="34"/>
      <c r="T90" s="29" t="s">
        <v>8</v>
      </c>
      <c r="U90" s="1738"/>
    </row>
    <row r="91" spans="1:21">
      <c r="A91" s="10" t="s">
        <v>14</v>
      </c>
      <c r="B91" s="19">
        <f>CHAMNORD!B91</f>
        <v>46108</v>
      </c>
      <c r="C91" s="75">
        <f>IF(H91=0,"",'[9]2025-2026'!C90)</f>
        <v>5879.64</v>
      </c>
      <c r="D91" s="68">
        <f>'[9]2025'!C91</f>
        <v>10549.5</v>
      </c>
      <c r="E91" s="68">
        <f>'[9]2025'!D91</f>
        <v>10319.040000000001</v>
      </c>
      <c r="F91" s="20">
        <f>'[9]2025'!E91</f>
        <v>544</v>
      </c>
      <c r="G91" s="73">
        <f>'[9]2025'!F91</f>
        <v>10600</v>
      </c>
      <c r="H91" s="42">
        <f>'[9]2025'!G91</f>
        <v>9780.98</v>
      </c>
      <c r="I91" s="13">
        <f>'[9]2025'!H91</f>
        <v>9584.9599999999991</v>
      </c>
      <c r="J91" s="14">
        <f>'[9]2025'!I91</f>
        <v>503</v>
      </c>
      <c r="K91" s="15">
        <f>'[9]2025'!J91</f>
        <v>82.24</v>
      </c>
      <c r="L91" s="15">
        <f>'[9]2025'!K91</f>
        <v>99.27</v>
      </c>
      <c r="M91" s="15">
        <f>'[9]2025'!L91</f>
        <v>39.28</v>
      </c>
      <c r="N91" s="16">
        <f t="shared" si="4"/>
        <v>4.0980870029713222E-3</v>
      </c>
      <c r="O91" s="17">
        <f t="shared" si="5"/>
        <v>-7.1138400471361843E-2</v>
      </c>
      <c r="P91" s="17">
        <f t="shared" si="5"/>
        <v>-7.5367647058823525E-2</v>
      </c>
      <c r="Q91" s="18">
        <f t="shared" si="6"/>
        <v>116.54863813229572</v>
      </c>
      <c r="R91" s="18">
        <f t="shared" si="7"/>
        <v>96.554447466505479</v>
      </c>
      <c r="S91" s="36" t="s">
        <v>40</v>
      </c>
      <c r="T91" s="48">
        <f>SUM(I87:I93)/SUM(L87:L93)</f>
        <v>93.73128122589948</v>
      </c>
      <c r="U91" s="1738"/>
    </row>
    <row r="92" spans="1:21">
      <c r="A92" s="10" t="s">
        <v>15</v>
      </c>
      <c r="B92" s="19">
        <f>CHAMNORD!B92</f>
        <v>46109</v>
      </c>
      <c r="C92" s="75">
        <f>IF(H92=0,"",'[9]2025-2026'!C91)</f>
        <v>10549.5</v>
      </c>
      <c r="D92" s="68">
        <f>'[9]2025'!C92</f>
        <v>9503.0499999999993</v>
      </c>
      <c r="E92" s="68">
        <f>'[9]2025'!D92</f>
        <v>9307.2099999999991</v>
      </c>
      <c r="F92" s="20">
        <f>'[9]2025'!E92</f>
        <v>479</v>
      </c>
      <c r="G92" s="73">
        <f>'[9]2025'!F92</f>
        <v>9600</v>
      </c>
      <c r="H92" s="42">
        <f>'[9]2025'!G92</f>
        <v>10599.86</v>
      </c>
      <c r="I92" s="13">
        <f>'[9]2025'!H92</f>
        <v>10358.85</v>
      </c>
      <c r="J92" s="14">
        <f>'[9]2025'!I92</f>
        <v>513</v>
      </c>
      <c r="K92" s="15">
        <f>'[9]2025'!J92</f>
        <v>80.760000000000005</v>
      </c>
      <c r="L92" s="15">
        <f>'[9]2025'!K92</f>
        <v>98.58</v>
      </c>
      <c r="M92" s="15">
        <f>'[9]2025'!L92</f>
        <v>34.54</v>
      </c>
      <c r="N92" s="16">
        <f t="shared" si="4"/>
        <v>3.3343469593632496E-3</v>
      </c>
      <c r="O92" s="17">
        <f t="shared" si="5"/>
        <v>0.11299197074096333</v>
      </c>
      <c r="P92" s="17">
        <f t="shared" si="5"/>
        <v>7.0981210855949897E-2</v>
      </c>
      <c r="Q92" s="18">
        <f t="shared" si="6"/>
        <v>128.26708766716195</v>
      </c>
      <c r="R92" s="18">
        <f t="shared" si="7"/>
        <v>105.08064516129033</v>
      </c>
      <c r="S92" s="36">
        <f>SUM(J87:J93)</f>
        <v>2877</v>
      </c>
      <c r="T92" s="30" t="s">
        <v>3</v>
      </c>
      <c r="U92" s="1738"/>
    </row>
    <row r="93" spans="1:21" ht="18" thickBot="1">
      <c r="A93" s="10" t="s">
        <v>16</v>
      </c>
      <c r="B93" s="19">
        <f>CHAMNORD!B93</f>
        <v>46110</v>
      </c>
      <c r="C93" s="75">
        <f>IF(H93=0,"",'[9]2025-2026'!C92)</f>
        <v>9503.0499999999993</v>
      </c>
      <c r="D93" s="68">
        <f>'[9]2025'!C93</f>
        <v>11130.86</v>
      </c>
      <c r="E93" s="68">
        <f>'[9]2025'!D93</f>
        <v>10947.84</v>
      </c>
      <c r="F93" s="20">
        <f>'[9]2025'!E93</f>
        <v>495</v>
      </c>
      <c r="G93" s="73">
        <f>'[9]2025'!F93</f>
        <v>11300</v>
      </c>
      <c r="H93" s="42">
        <f>'[9]2025'!G93</f>
        <v>13147.87</v>
      </c>
      <c r="I93" s="13">
        <f>'[9]2025'!H93</f>
        <v>12930.18</v>
      </c>
      <c r="J93" s="14">
        <f>'[9]2025'!I93</f>
        <v>535</v>
      </c>
      <c r="K93" s="15">
        <f>'[9]2025'!J93</f>
        <v>77.37</v>
      </c>
      <c r="L93" s="15">
        <f>'[9]2025'!K93</f>
        <v>94.57</v>
      </c>
      <c r="M93" s="15">
        <f>'[9]2025'!L93</f>
        <v>39.659999999999997</v>
      </c>
      <c r="N93" s="16">
        <f t="shared" si="4"/>
        <v>3.0672426833965186E-3</v>
      </c>
      <c r="O93" s="17">
        <f t="shared" si="5"/>
        <v>0.18107133461943178</v>
      </c>
      <c r="P93" s="17">
        <f t="shared" si="5"/>
        <v>8.0808080808080815E-2</v>
      </c>
      <c r="Q93" s="18">
        <f t="shared" si="6"/>
        <v>167.12136487010468</v>
      </c>
      <c r="R93" s="18">
        <f t="shared" si="7"/>
        <v>136.72602305170776</v>
      </c>
      <c r="S93" s="37">
        <f>(S92-SUM(F87:F93))/SUM(F87:F93)</f>
        <v>-2.2758152173913044E-2</v>
      </c>
      <c r="T93" s="47">
        <f>SUM(M87:M93)/SUM(I87:I93)</f>
        <v>5.5914326230580239E-3</v>
      </c>
      <c r="U93" s="1739"/>
    </row>
    <row r="94" spans="1:21" ht="17" customHeight="1" thickTop="1">
      <c r="A94" s="10" t="s">
        <v>9</v>
      </c>
      <c r="B94" s="19">
        <f>CHAMNORD!B94</f>
        <v>46111</v>
      </c>
      <c r="C94" s="75">
        <f>IF(H94=0,"",'[9]2025-2026'!C93)</f>
        <v>11130.86</v>
      </c>
      <c r="D94" s="68">
        <f>'[9]2025'!C94</f>
        <v>5859.26</v>
      </c>
      <c r="E94" s="68">
        <f>'[9]2025'!D94</f>
        <v>5757.87</v>
      </c>
      <c r="F94" s="20">
        <f>'[9]2025'!E94</f>
        <v>319</v>
      </c>
      <c r="G94" s="73">
        <f>'[9]2025'!F94</f>
        <v>5900</v>
      </c>
      <c r="H94" s="42">
        <f>'[9]2025'!G94</f>
        <v>4993.34</v>
      </c>
      <c r="I94" s="13">
        <f>'[9]2025'!H94</f>
        <v>4915.3999999999996</v>
      </c>
      <c r="J94" s="14">
        <f>'[9]2025'!I94</f>
        <v>294</v>
      </c>
      <c r="K94" s="15">
        <f>'[9]2025'!J94</f>
        <v>65.42</v>
      </c>
      <c r="L94" s="15">
        <f>'[9]2025'!K94</f>
        <v>81.48</v>
      </c>
      <c r="M94" s="15">
        <f>'[9]2025'!L94</f>
        <v>32.33</v>
      </c>
      <c r="N94" s="16">
        <f t="shared" si="4"/>
        <v>6.5772877080196935E-3</v>
      </c>
      <c r="O94" s="17">
        <f t="shared" si="5"/>
        <v>-0.14631625931116893</v>
      </c>
      <c r="P94" s="17">
        <f t="shared" si="5"/>
        <v>-7.8369905956112859E-2</v>
      </c>
      <c r="Q94" s="18">
        <f t="shared" si="6"/>
        <v>75.136044023234476</v>
      </c>
      <c r="R94" s="18">
        <f t="shared" si="7"/>
        <v>60.326460481099652</v>
      </c>
      <c r="S94" s="33" t="s">
        <v>39</v>
      </c>
      <c r="T94" s="31" t="s">
        <v>42</v>
      </c>
      <c r="U94" s="1737" t="s">
        <v>96</v>
      </c>
    </row>
    <row r="95" spans="1:21">
      <c r="A95" s="10" t="s">
        <v>11</v>
      </c>
      <c r="B95" s="19">
        <f>CHAMNORD!B95</f>
        <v>46112</v>
      </c>
      <c r="C95" s="75">
        <f>IF(H95=0,"",'[9]2025-2026'!C94)</f>
        <v>5859.26</v>
      </c>
      <c r="D95" s="68">
        <f>'[9]2025'!C95</f>
        <v>7505.46</v>
      </c>
      <c r="E95" s="68">
        <f>'[9]2025'!D95</f>
        <v>7354.63</v>
      </c>
      <c r="F95" s="20">
        <f>'[9]2025'!E95</f>
        <v>449</v>
      </c>
      <c r="G95" s="73">
        <f>'[9]2025'!F95</f>
        <v>7600</v>
      </c>
      <c r="H95" s="42">
        <f>'[9]2025'!G95</f>
        <v>6436.93</v>
      </c>
      <c r="I95" s="13">
        <f>'[9]2025'!H95</f>
        <v>6319.44</v>
      </c>
      <c r="J95" s="14">
        <f>'[9]2025'!I95</f>
        <v>332</v>
      </c>
      <c r="K95" s="15">
        <f>'[9]2025'!J95</f>
        <v>54.88</v>
      </c>
      <c r="L95" s="15">
        <f>'[9]2025'!K95</f>
        <v>78.87</v>
      </c>
      <c r="M95" s="15">
        <f>'[9]2025'!L95</f>
        <v>15.98</v>
      </c>
      <c r="N95" s="16">
        <f t="shared" si="4"/>
        <v>2.5287050751332399E-3</v>
      </c>
      <c r="O95" s="17">
        <f t="shared" si="5"/>
        <v>-0.14075351173342512</v>
      </c>
      <c r="P95" s="17">
        <f t="shared" si="5"/>
        <v>-0.26057906458797325</v>
      </c>
      <c r="Q95" s="18">
        <f t="shared" si="6"/>
        <v>115.15014577259474</v>
      </c>
      <c r="R95" s="18">
        <f t="shared" si="7"/>
        <v>80.124762267021666</v>
      </c>
      <c r="S95" s="34">
        <f>SUM(I94:I100)</f>
        <v>54444.790000000008</v>
      </c>
      <c r="T95" s="45" t="s">
        <v>41</v>
      </c>
      <c r="U95" s="1738"/>
    </row>
    <row r="96" spans="1:21">
      <c r="A96" s="10" t="s">
        <v>12</v>
      </c>
      <c r="B96" s="19">
        <f>CHAMNORD!B96</f>
        <v>46113</v>
      </c>
      <c r="C96" s="75">
        <f>IF(H96=0,"",'[9]2025-2026'!C95)</f>
        <v>7505.46</v>
      </c>
      <c r="D96" s="68">
        <f>'[9]2025'!C96</f>
        <v>8602.2999999999993</v>
      </c>
      <c r="E96" s="68">
        <f>'[9]2025'!D96</f>
        <v>8416.43</v>
      </c>
      <c r="F96" s="20">
        <f>'[9]2025'!E96</f>
        <v>457</v>
      </c>
      <c r="G96" s="73">
        <f>'[9]2025'!F96</f>
        <v>8700</v>
      </c>
      <c r="H96" s="42">
        <f>'[9]2025'!G96</f>
        <v>8375.94</v>
      </c>
      <c r="I96" s="13">
        <f>'[9]2025'!H96</f>
        <v>8183.78</v>
      </c>
      <c r="J96" s="14">
        <f>'[9]2025'!I96</f>
        <v>400</v>
      </c>
      <c r="K96" s="15">
        <f>'[9]2025'!J96</f>
        <v>71.569999999999993</v>
      </c>
      <c r="L96" s="15">
        <f>'[9]2025'!K96</f>
        <v>88.72</v>
      </c>
      <c r="M96" s="15">
        <f>'[9]2025'!L96</f>
        <v>27.73</v>
      </c>
      <c r="N96" s="16">
        <f t="shared" si="4"/>
        <v>3.388409756860522E-3</v>
      </c>
      <c r="O96" s="17">
        <f t="shared" si="5"/>
        <v>-2.7642361428776872E-2</v>
      </c>
      <c r="P96" s="17">
        <f t="shared" si="5"/>
        <v>-0.12472647702407003</v>
      </c>
      <c r="Q96" s="18">
        <f t="shared" si="6"/>
        <v>114.34651390247311</v>
      </c>
      <c r="R96" s="18">
        <f t="shared" si="7"/>
        <v>92.242786293958517</v>
      </c>
      <c r="S96" s="35">
        <f>(S95-SUM(E94:E100))/SUM(E94:E100)</f>
        <v>-9.6064574228086397E-2</v>
      </c>
      <c r="T96" s="48">
        <f>SUM(I94:I100)/SUM(K94:K100)</f>
        <v>106.85086548651728</v>
      </c>
      <c r="U96" s="1738"/>
    </row>
    <row r="97" spans="1:21">
      <c r="A97" s="10" t="s">
        <v>13</v>
      </c>
      <c r="B97" s="19">
        <f>CHAMNORD!B97</f>
        <v>46114</v>
      </c>
      <c r="C97" s="75">
        <f>IF(H97=0,"",'[9]2025-2026'!C96)</f>
        <v>8602.2999999999993</v>
      </c>
      <c r="D97" s="68">
        <f>'[9]2025'!C97</f>
        <v>7576.36</v>
      </c>
      <c r="E97" s="68">
        <f>'[9]2025'!D97</f>
        <v>7492.55</v>
      </c>
      <c r="F97" s="20">
        <f>'[9]2025'!E97</f>
        <v>471</v>
      </c>
      <c r="G97" s="73">
        <f>'[9]2025'!F97</f>
        <v>7700</v>
      </c>
      <c r="H97" s="42">
        <f>'[9]2025'!G97</f>
        <v>7776.92</v>
      </c>
      <c r="I97" s="13">
        <f>'[9]2025'!H97</f>
        <v>7652.35</v>
      </c>
      <c r="J97" s="14">
        <f>'[9]2025'!I97</f>
        <v>447</v>
      </c>
      <c r="K97" s="15">
        <f>'[9]2025'!J97</f>
        <v>65.62</v>
      </c>
      <c r="L97" s="15">
        <f>'[9]2025'!K97</f>
        <v>73.349999999999994</v>
      </c>
      <c r="M97" s="15">
        <f>'[9]2025'!L97</f>
        <v>30.13</v>
      </c>
      <c r="N97" s="16">
        <f t="shared" si="4"/>
        <v>3.937352577966245E-3</v>
      </c>
      <c r="O97" s="17">
        <f t="shared" si="5"/>
        <v>2.1327852333317784E-2</v>
      </c>
      <c r="P97" s="17">
        <f t="shared" si="5"/>
        <v>-5.0955414012738856E-2</v>
      </c>
      <c r="Q97" s="18">
        <f t="shared" si="6"/>
        <v>116.6161231331911</v>
      </c>
      <c r="R97" s="18">
        <f t="shared" si="7"/>
        <v>104.32651670074985</v>
      </c>
      <c r="S97" s="34"/>
      <c r="T97" s="29" t="s">
        <v>8</v>
      </c>
      <c r="U97" s="1738"/>
    </row>
    <row r="98" spans="1:21">
      <c r="A98" s="10" t="s">
        <v>14</v>
      </c>
      <c r="B98" s="19">
        <f>CHAMNORD!B98</f>
        <v>46115</v>
      </c>
      <c r="C98" s="75">
        <f>IF(H98=0,"",'[9]2025-2026'!C97)</f>
        <v>7576.36</v>
      </c>
      <c r="D98" s="68">
        <f>'[9]2025'!C98</f>
        <v>9969.7900000000009</v>
      </c>
      <c r="E98" s="68">
        <f>'[9]2025'!D98</f>
        <v>9789.06</v>
      </c>
      <c r="F98" s="20">
        <f>'[9]2025'!E98</f>
        <v>516</v>
      </c>
      <c r="G98" s="73">
        <f>'[9]2025'!F98</f>
        <v>11100</v>
      </c>
      <c r="H98" s="42">
        <f>'[9]2025'!G98</f>
        <v>11031.96</v>
      </c>
      <c r="I98" s="13">
        <f>'[9]2025'!H98</f>
        <v>10824.37</v>
      </c>
      <c r="J98" s="14">
        <f>'[9]2025'!I98</f>
        <v>544</v>
      </c>
      <c r="K98" s="15">
        <f>'[9]2025'!J98</f>
        <v>91.65</v>
      </c>
      <c r="L98" s="15">
        <f>'[9]2025'!K98</f>
        <v>117.75</v>
      </c>
      <c r="M98" s="15">
        <f>'[9]2025'!L98</f>
        <v>37.340000000000003</v>
      </c>
      <c r="N98" s="16">
        <f t="shared" si="4"/>
        <v>3.4496233960960316E-3</v>
      </c>
      <c r="O98" s="17">
        <f t="shared" si="5"/>
        <v>0.10576194241326556</v>
      </c>
      <c r="P98" s="17">
        <f t="shared" si="5"/>
        <v>5.4263565891472867E-2</v>
      </c>
      <c r="Q98" s="18">
        <f t="shared" si="6"/>
        <v>118.10551009274414</v>
      </c>
      <c r="R98" s="18">
        <f t="shared" si="7"/>
        <v>91.926709129511678</v>
      </c>
      <c r="S98" s="36" t="s">
        <v>40</v>
      </c>
      <c r="T98" s="48">
        <f>SUM(I94:I100)/SUM(L94:L100)</f>
        <v>85.969982630664788</v>
      </c>
      <c r="U98" s="1738"/>
    </row>
    <row r="99" spans="1:21">
      <c r="A99" s="10" t="s">
        <v>15</v>
      </c>
      <c r="B99" s="19">
        <f>CHAMNORD!B99</f>
        <v>46116</v>
      </c>
      <c r="C99" s="75">
        <f>IF(H99=0,"",'[9]2025-2026'!C98)</f>
        <v>9969.7900000000009</v>
      </c>
      <c r="D99" s="68">
        <f>'[9]2025'!C99</f>
        <v>11268.31</v>
      </c>
      <c r="E99" s="68">
        <f>'[9]2025'!D99</f>
        <v>11049.72</v>
      </c>
      <c r="F99" s="20">
        <f>'[9]2025'!E99</f>
        <v>534</v>
      </c>
      <c r="G99" s="73">
        <f>'[9]2025'!F99</f>
        <v>9700</v>
      </c>
      <c r="H99" s="42">
        <f>'[9]2025'!G99</f>
        <v>9042.64</v>
      </c>
      <c r="I99" s="13">
        <f>'[9]2025'!H99</f>
        <v>8827.7900000000009</v>
      </c>
      <c r="J99" s="14">
        <f>'[9]2025'!I99</f>
        <v>402</v>
      </c>
      <c r="K99" s="15">
        <f>'[9]2025'!J99</f>
        <v>72.87</v>
      </c>
      <c r="L99" s="15">
        <f>'[9]2025'!K99</f>
        <v>89.2</v>
      </c>
      <c r="M99" s="15">
        <f>'[9]2025'!L99</f>
        <v>35.409999999999997</v>
      </c>
      <c r="N99" s="16">
        <f t="shared" si="4"/>
        <v>4.0111964602692176E-3</v>
      </c>
      <c r="O99" s="17">
        <f t="shared" si="5"/>
        <v>-0.20108473336880922</v>
      </c>
      <c r="P99" s="17">
        <f t="shared" si="5"/>
        <v>-0.24719101123595505</v>
      </c>
      <c r="Q99" s="18">
        <f t="shared" si="6"/>
        <v>121.14436668038974</v>
      </c>
      <c r="R99" s="18">
        <f t="shared" si="7"/>
        <v>98.966255605381178</v>
      </c>
      <c r="S99" s="36">
        <f>SUM(J94:J100)</f>
        <v>2780</v>
      </c>
      <c r="T99" s="30" t="s">
        <v>3</v>
      </c>
      <c r="U99" s="1738"/>
    </row>
    <row r="100" spans="1:21" ht="18" thickBot="1">
      <c r="A100" s="10" t="s">
        <v>16</v>
      </c>
      <c r="B100" s="19">
        <f>CHAMNORD!B100</f>
        <v>46117</v>
      </c>
      <c r="C100" s="75">
        <f>IF(H100=0,"",'[9]2025-2026'!C99)</f>
        <v>11268.31</v>
      </c>
      <c r="D100" s="68">
        <f>'[9]2025'!C100</f>
        <v>10616.85</v>
      </c>
      <c r="E100" s="68">
        <f>'[9]2025'!D100</f>
        <v>10370.58</v>
      </c>
      <c r="F100" s="20">
        <f>'[9]2025'!E100</f>
        <v>499</v>
      </c>
      <c r="G100" s="73">
        <f>'[9]2025'!F100</f>
        <v>10300</v>
      </c>
      <c r="H100" s="42">
        <f>'[9]2025'!G100</f>
        <v>7883.33</v>
      </c>
      <c r="I100" s="13">
        <f>'[9]2025'!H100</f>
        <v>7721.66</v>
      </c>
      <c r="J100" s="14">
        <f>'[9]2025'!I100</f>
        <v>361</v>
      </c>
      <c r="K100" s="15">
        <f>'[9]2025'!J100</f>
        <v>87.53</v>
      </c>
      <c r="L100" s="15">
        <f>'[9]2025'!K100</f>
        <v>103.93</v>
      </c>
      <c r="M100" s="15">
        <f>'[9]2025'!L100</f>
        <v>24.54</v>
      </c>
      <c r="N100" s="16">
        <f t="shared" si="4"/>
        <v>3.1780731086320816E-3</v>
      </c>
      <c r="O100" s="17">
        <f t="shared" si="5"/>
        <v>-0.25542640816617779</v>
      </c>
      <c r="P100" s="17">
        <f t="shared" si="5"/>
        <v>-0.27655310621242485</v>
      </c>
      <c r="Q100" s="18">
        <f t="shared" si="6"/>
        <v>88.217296926767958</v>
      </c>
      <c r="R100" s="18">
        <f t="shared" si="7"/>
        <v>74.296738189165779</v>
      </c>
      <c r="S100" s="37">
        <f>(S99-SUM(F94:F100))/SUM(F94:F100)</f>
        <v>-0.14329738058551617</v>
      </c>
      <c r="T100" s="47">
        <f>SUM(M94:M100)/SUM(I94:I100)</f>
        <v>3.7369966896740707E-3</v>
      </c>
      <c r="U100" s="1739"/>
    </row>
    <row r="101" spans="1:21" ht="17" customHeight="1" thickTop="1">
      <c r="A101" s="10" t="s">
        <v>9</v>
      </c>
      <c r="B101" s="19">
        <f>CHAMNORD!B101</f>
        <v>46118</v>
      </c>
      <c r="C101" s="75">
        <f>IF(H101=0,"",'[9]2025-2026'!C100)</f>
        <v>10616.85</v>
      </c>
      <c r="D101" s="68">
        <f>'[9]2025'!C101</f>
        <v>5528.88</v>
      </c>
      <c r="E101" s="68">
        <f>'[9]2025'!D101</f>
        <v>5451.65</v>
      </c>
      <c r="F101" s="20">
        <f>'[9]2025'!E101</f>
        <v>325</v>
      </c>
      <c r="G101" s="73">
        <f>'[9]2025'!F101</f>
        <v>8800</v>
      </c>
      <c r="H101" s="42">
        <f>'[9]2025'!G101</f>
        <v>10164.74</v>
      </c>
      <c r="I101" s="13">
        <f>'[9]2025'!H101</f>
        <v>9973.83</v>
      </c>
      <c r="J101" s="14">
        <f>'[9]2025'!I101</f>
        <v>449</v>
      </c>
      <c r="K101" s="15">
        <f>'[9]2025'!J101</f>
        <v>93.82</v>
      </c>
      <c r="L101" s="15">
        <f>'[9]2025'!K101</f>
        <v>102.17</v>
      </c>
      <c r="M101" s="15">
        <f>'[9]2025'!L101</f>
        <v>11.37</v>
      </c>
      <c r="N101" s="16">
        <f t="shared" si="4"/>
        <v>1.139983336391336E-3</v>
      </c>
      <c r="O101" s="17">
        <f t="shared" si="5"/>
        <v>0.82950666312033983</v>
      </c>
      <c r="P101" s="17">
        <f t="shared" si="5"/>
        <v>0.38153846153846155</v>
      </c>
      <c r="Q101" s="18">
        <f t="shared" si="6"/>
        <v>106.30814325303774</v>
      </c>
      <c r="R101" s="18">
        <f t="shared" si="7"/>
        <v>97.619947146912011</v>
      </c>
      <c r="S101" s="33" t="s">
        <v>39</v>
      </c>
      <c r="T101" s="31" t="s">
        <v>42</v>
      </c>
      <c r="U101" s="1737" t="s">
        <v>97</v>
      </c>
    </row>
    <row r="102" spans="1:21">
      <c r="A102" s="10" t="s">
        <v>11</v>
      </c>
      <c r="B102" s="19">
        <f>CHAMNORD!B102</f>
        <v>46119</v>
      </c>
      <c r="C102" s="75">
        <f>IF(H102=0,"",'[9]2025-2026'!C101)</f>
        <v>5528.88</v>
      </c>
      <c r="D102" s="68">
        <f>'[9]2025'!C102</f>
        <v>7273.31</v>
      </c>
      <c r="E102" s="68">
        <f>'[9]2025'!D102</f>
        <v>7137.6</v>
      </c>
      <c r="F102" s="20">
        <f>'[9]2025'!E102</f>
        <v>409</v>
      </c>
      <c r="G102" s="73">
        <f>'[9]2025'!F102</f>
        <v>7100</v>
      </c>
      <c r="H102" s="42">
        <f>'[9]2025'!G102</f>
        <v>6388.99</v>
      </c>
      <c r="I102" s="13">
        <f>'[9]2025'!H102</f>
        <v>6233.1</v>
      </c>
      <c r="J102" s="14">
        <f>'[9]2025'!I102</f>
        <v>347</v>
      </c>
      <c r="K102" s="15">
        <f>'[9]2025'!J102</f>
        <v>70.150000000000006</v>
      </c>
      <c r="L102" s="15">
        <f>'[9]2025'!K102</f>
        <v>79.27</v>
      </c>
      <c r="M102" s="15">
        <f>'[9]2025'!L102</f>
        <v>40.950000000000003</v>
      </c>
      <c r="N102" s="16">
        <f t="shared" si="4"/>
        <v>6.5697646435962844E-3</v>
      </c>
      <c r="O102" s="17">
        <f t="shared" si="5"/>
        <v>-0.12672326832548755</v>
      </c>
      <c r="P102" s="17">
        <f t="shared" si="5"/>
        <v>-0.15158924205378974</v>
      </c>
      <c r="Q102" s="18">
        <f t="shared" si="6"/>
        <v>88.853884533143258</v>
      </c>
      <c r="R102" s="18">
        <f t="shared" si="7"/>
        <v>78.631260249779245</v>
      </c>
      <c r="S102" s="34">
        <f>SUM(I101:I107)</f>
        <v>55910.61</v>
      </c>
      <c r="T102" s="45" t="s">
        <v>41</v>
      </c>
      <c r="U102" s="1738"/>
    </row>
    <row r="103" spans="1:21">
      <c r="A103" s="10" t="s">
        <v>12</v>
      </c>
      <c r="B103" s="19">
        <f>CHAMNORD!B103</f>
        <v>46120</v>
      </c>
      <c r="C103" s="75">
        <f>IF(H103=0,"",'[9]2025-2026'!C102)</f>
        <v>7273.31</v>
      </c>
      <c r="D103" s="68">
        <f>'[9]2025'!C103</f>
        <v>8035.96</v>
      </c>
      <c r="E103" s="68">
        <f>'[9]2025'!D103</f>
        <v>7890.52</v>
      </c>
      <c r="F103" s="20">
        <f>'[9]2025'!E103</f>
        <v>451</v>
      </c>
      <c r="G103" s="73">
        <f>'[9]2025'!F103</f>
        <v>7900</v>
      </c>
      <c r="H103" s="42">
        <f>'[9]2025'!G103</f>
        <v>6640.34</v>
      </c>
      <c r="I103" s="13">
        <f>'[9]2025'!H103</f>
        <v>6516.41</v>
      </c>
      <c r="J103" s="14">
        <f>'[9]2025'!I103</f>
        <v>331</v>
      </c>
      <c r="K103" s="15">
        <f>'[9]2025'!J103</f>
        <v>79.650000000000006</v>
      </c>
      <c r="L103" s="15">
        <f>'[9]2025'!K103</f>
        <v>104.78</v>
      </c>
      <c r="M103" s="15">
        <f>'[9]2025'!L103</f>
        <v>58.79</v>
      </c>
      <c r="N103" s="16">
        <f t="shared" si="4"/>
        <v>9.0218387118060402E-3</v>
      </c>
      <c r="O103" s="17">
        <f t="shared" si="5"/>
        <v>-0.17414695102477409</v>
      </c>
      <c r="P103" s="17">
        <f t="shared" si="5"/>
        <v>-0.26607538802660752</v>
      </c>
      <c r="Q103" s="18">
        <f t="shared" si="6"/>
        <v>81.813057124921528</v>
      </c>
      <c r="R103" s="18">
        <f t="shared" si="7"/>
        <v>62.191353311700702</v>
      </c>
      <c r="S103" s="35">
        <f>(S102-SUM(E101:E107))/SUM(E101:E107)</f>
        <v>-6.8984638164352838E-2</v>
      </c>
      <c r="T103" s="48">
        <f>SUM(I101:I107)/SUM(K101:K107)</f>
        <v>97.403546976533519</v>
      </c>
      <c r="U103" s="1738"/>
    </row>
    <row r="104" spans="1:21">
      <c r="A104" s="10" t="s">
        <v>13</v>
      </c>
      <c r="B104" s="19">
        <f>CHAMNORD!B104</f>
        <v>46121</v>
      </c>
      <c r="C104" s="75">
        <f>IF(H104=0,"",'[9]2025-2026'!C103)</f>
        <v>8035.96</v>
      </c>
      <c r="D104" s="68">
        <f>'[9]2025'!C104</f>
        <v>7371.8</v>
      </c>
      <c r="E104" s="68">
        <f>'[9]2025'!D104</f>
        <v>7302.17</v>
      </c>
      <c r="F104" s="20">
        <f>'[9]2025'!E104</f>
        <v>419</v>
      </c>
      <c r="G104" s="73">
        <f>'[9]2025'!F104</f>
        <v>7300</v>
      </c>
      <c r="H104" s="42">
        <f>'[9]2025'!G104</f>
        <v>7303.09</v>
      </c>
      <c r="I104" s="13">
        <f>'[9]2025'!H104</f>
        <v>7128.96</v>
      </c>
      <c r="J104" s="14">
        <f>'[9]2025'!I104</f>
        <v>369</v>
      </c>
      <c r="K104" s="15">
        <f>'[9]2025'!J104</f>
        <v>68.489999999999995</v>
      </c>
      <c r="L104" s="15">
        <f>'[9]2025'!K104</f>
        <v>91.63</v>
      </c>
      <c r="M104" s="15">
        <f>'[9]2025'!L104</f>
        <v>40.340000000000003</v>
      </c>
      <c r="N104" s="16">
        <f t="shared" si="4"/>
        <v>5.658609390430021E-3</v>
      </c>
      <c r="O104" s="17">
        <f t="shared" si="5"/>
        <v>-2.3720346143680581E-2</v>
      </c>
      <c r="P104" s="17">
        <f t="shared" si="5"/>
        <v>-0.11933174224343675</v>
      </c>
      <c r="Q104" s="18">
        <f t="shared" si="6"/>
        <v>104.08760402978538</v>
      </c>
      <c r="R104" s="18">
        <f t="shared" si="7"/>
        <v>77.801593364618583</v>
      </c>
      <c r="S104" s="34"/>
      <c r="T104" s="29" t="s">
        <v>8</v>
      </c>
      <c r="U104" s="1738"/>
    </row>
    <row r="105" spans="1:21">
      <c r="A105" s="10" t="s">
        <v>14</v>
      </c>
      <c r="B105" s="19">
        <f>CHAMNORD!B105</f>
        <v>46122</v>
      </c>
      <c r="C105" s="75">
        <f>IF(H105=0,"",'[9]2025-2026'!C104)</f>
        <v>7371.8</v>
      </c>
      <c r="D105" s="68">
        <f>'[9]2025'!C105</f>
        <v>9629.31</v>
      </c>
      <c r="E105" s="68">
        <f>'[9]2025'!D105</f>
        <v>9546.58</v>
      </c>
      <c r="F105" s="20">
        <f>'[9]2025'!E105</f>
        <v>513</v>
      </c>
      <c r="G105" s="73">
        <f>'[9]2025'!F105</f>
        <v>9500</v>
      </c>
      <c r="H105" s="42">
        <f>'[9]2025'!G105</f>
        <v>8322.49</v>
      </c>
      <c r="I105" s="13">
        <f>'[9]2025'!H105</f>
        <v>8139.18</v>
      </c>
      <c r="J105" s="14">
        <f>'[9]2025'!I105</f>
        <v>407</v>
      </c>
      <c r="K105" s="15">
        <f>'[9]2025'!J105</f>
        <v>84.97</v>
      </c>
      <c r="L105" s="15">
        <f>'[9]2025'!K105</f>
        <v>110.7</v>
      </c>
      <c r="M105" s="15">
        <f>'[9]2025'!L105</f>
        <v>45.17</v>
      </c>
      <c r="N105" s="16">
        <f t="shared" si="4"/>
        <v>5.5496991097383278E-3</v>
      </c>
      <c r="O105" s="17">
        <f t="shared" si="5"/>
        <v>-0.14742452270865583</v>
      </c>
      <c r="P105" s="17">
        <f t="shared" si="5"/>
        <v>-0.20662768031189083</v>
      </c>
      <c r="Q105" s="18">
        <f t="shared" si="6"/>
        <v>95.788866658820766</v>
      </c>
      <c r="R105" s="18">
        <f t="shared" si="7"/>
        <v>73.524661246612467</v>
      </c>
      <c r="S105" s="36" t="s">
        <v>40</v>
      </c>
      <c r="T105" s="48">
        <f>SUM(I101:I107)/SUM(L101:L107)</f>
        <v>79.995721971041036</v>
      </c>
      <c r="U105" s="1738"/>
    </row>
    <row r="106" spans="1:21">
      <c r="A106" s="10" t="s">
        <v>15</v>
      </c>
      <c r="B106" s="19">
        <f>CHAMNORD!B106</f>
        <v>46123</v>
      </c>
      <c r="C106" s="75">
        <f>IF(H106=0,"",'[9]2025-2026'!C105)</f>
        <v>9629.31</v>
      </c>
      <c r="D106" s="68">
        <f>'[9]2025'!C106</f>
        <v>12072.4</v>
      </c>
      <c r="E106" s="68">
        <f>'[9]2025'!D106</f>
        <v>11939.1</v>
      </c>
      <c r="F106" s="20">
        <f>'[9]2025'!E106</f>
        <v>554</v>
      </c>
      <c r="G106" s="73">
        <f>'[9]2025'!F106</f>
        <v>8400</v>
      </c>
      <c r="H106" s="42">
        <f>'[9]2025'!G106</f>
        <v>8838.2199999999993</v>
      </c>
      <c r="I106" s="13">
        <f>'[9]2025'!H106</f>
        <v>8667.0400000000009</v>
      </c>
      <c r="J106" s="14">
        <f>'[9]2025'!I106</f>
        <v>398</v>
      </c>
      <c r="K106" s="15">
        <f>'[9]2025'!J106</f>
        <v>87.45</v>
      </c>
      <c r="L106" s="15">
        <f>'[9]2025'!K106</f>
        <v>104.97</v>
      </c>
      <c r="M106" s="15">
        <f>'[9]2025'!L106</f>
        <v>16.329999999999998</v>
      </c>
      <c r="N106" s="16">
        <f t="shared" si="4"/>
        <v>1.8841496058631317E-3</v>
      </c>
      <c r="O106" s="17">
        <f t="shared" si="5"/>
        <v>-0.27406253402685288</v>
      </c>
      <c r="P106" s="17">
        <f t="shared" si="5"/>
        <v>-0.28158844765342961</v>
      </c>
      <c r="Q106" s="18">
        <f t="shared" si="6"/>
        <v>99.108519153802177</v>
      </c>
      <c r="R106" s="18">
        <f t="shared" si="7"/>
        <v>82.56682861770031</v>
      </c>
      <c r="S106" s="36">
        <f>SUM(J101:J107)</f>
        <v>2698</v>
      </c>
      <c r="T106" s="30" t="s">
        <v>3</v>
      </c>
      <c r="U106" s="1738"/>
    </row>
    <row r="107" spans="1:21" ht="18" thickBot="1">
      <c r="A107" s="10" t="s">
        <v>16</v>
      </c>
      <c r="B107" s="19">
        <f>CHAMNORD!B107</f>
        <v>46124</v>
      </c>
      <c r="C107" s="75">
        <f>IF(H107=0,"",'[9]2025-2026'!C106)</f>
        <v>12072.4</v>
      </c>
      <c r="D107" s="68">
        <f>'[9]2025'!C107</f>
        <v>10890.23</v>
      </c>
      <c r="E107" s="68">
        <f>'[9]2025'!D107</f>
        <v>10785.75</v>
      </c>
      <c r="F107" s="20">
        <f>'[9]2025'!E107</f>
        <v>487</v>
      </c>
      <c r="G107" s="73">
        <f>'[9]2025'!F107</f>
        <v>9700</v>
      </c>
      <c r="H107" s="42">
        <f>'[9]2025'!G107</f>
        <v>9373.14</v>
      </c>
      <c r="I107" s="13">
        <f>'[9]2025'!H107</f>
        <v>9252.09</v>
      </c>
      <c r="J107" s="14">
        <f>'[9]2025'!I107</f>
        <v>397</v>
      </c>
      <c r="K107" s="15">
        <f>'[9]2025'!J107</f>
        <v>89.48</v>
      </c>
      <c r="L107" s="15">
        <f>'[9]2025'!K107</f>
        <v>105.4</v>
      </c>
      <c r="M107" s="15">
        <f>'[9]2025'!L107</f>
        <v>36.5</v>
      </c>
      <c r="N107" s="16">
        <f t="shared" si="4"/>
        <v>3.9450545768577689E-3</v>
      </c>
      <c r="O107" s="17">
        <f t="shared" si="5"/>
        <v>-0.14219317154578956</v>
      </c>
      <c r="P107" s="17">
        <f t="shared" si="5"/>
        <v>-0.18480492813141683</v>
      </c>
      <c r="Q107" s="18">
        <f t="shared" si="6"/>
        <v>103.39841305319624</v>
      </c>
      <c r="R107" s="18">
        <f t="shared" si="7"/>
        <v>87.780740037950665</v>
      </c>
      <c r="S107" s="37">
        <f>(S106-SUM(F101:F107))/SUM(F101:F107)</f>
        <v>-0.14566181127295758</v>
      </c>
      <c r="T107" s="47">
        <f>SUM(M101:M107)/SUM(I101:I107)</f>
        <v>4.4615860925144614E-3</v>
      </c>
      <c r="U107" s="1739"/>
    </row>
    <row r="108" spans="1:21" ht="17" customHeight="1" thickTop="1">
      <c r="A108" s="10" t="s">
        <v>9</v>
      </c>
      <c r="B108" s="19">
        <f>CHAMNORD!B108</f>
        <v>46125</v>
      </c>
      <c r="C108" s="75">
        <f>IF(H108=0,"",'[9]2025-2026'!C107)</f>
        <v>10890.23</v>
      </c>
      <c r="D108" s="68">
        <f>'[9]2025'!C108</f>
        <v>5486.6</v>
      </c>
      <c r="E108" s="68">
        <f>'[9]2025'!D108</f>
        <v>5432.64</v>
      </c>
      <c r="F108" s="20">
        <f>'[9]2025'!E108</f>
        <v>338</v>
      </c>
      <c r="G108" s="73">
        <f>'[9]2025'!F108</f>
        <v>6200</v>
      </c>
      <c r="H108" s="42">
        <f>'[9]2025'!G108</f>
        <v>6009.05</v>
      </c>
      <c r="I108" s="13">
        <f>'[9]2025'!H108</f>
        <v>5886.47</v>
      </c>
      <c r="J108" s="14">
        <f>'[9]2025'!I108</f>
        <v>334</v>
      </c>
      <c r="K108" s="15">
        <f>'[9]2025'!J108</f>
        <v>67.260000000000005</v>
      </c>
      <c r="L108" s="15">
        <f>'[9]2025'!K108</f>
        <v>83.63</v>
      </c>
      <c r="M108" s="15">
        <f>'[9]2025'!L108</f>
        <v>74.260000000000005</v>
      </c>
      <c r="N108" s="16">
        <f t="shared" si="4"/>
        <v>1.2615370502185521E-2</v>
      </c>
      <c r="O108" s="17">
        <f t="shared" si="5"/>
        <v>8.3537653884667468E-2</v>
      </c>
      <c r="P108" s="17">
        <f t="shared" si="5"/>
        <v>-1.1834319526627219E-2</v>
      </c>
      <c r="Q108" s="18">
        <f t="shared" si="6"/>
        <v>87.518138566755866</v>
      </c>
      <c r="R108" s="18">
        <f t="shared" si="7"/>
        <v>70.38706205906972</v>
      </c>
      <c r="S108" s="33" t="s">
        <v>39</v>
      </c>
      <c r="T108" s="31" t="s">
        <v>42</v>
      </c>
      <c r="U108" s="1737" t="s">
        <v>98</v>
      </c>
    </row>
    <row r="109" spans="1:21">
      <c r="A109" s="10" t="s">
        <v>11</v>
      </c>
      <c r="B109" s="19">
        <f>CHAMNORD!B109</f>
        <v>46126</v>
      </c>
      <c r="C109" s="75">
        <f>IF(H109=0,"",'[9]2025-2026'!C108)</f>
        <v>5486.6</v>
      </c>
      <c r="D109" s="68">
        <f>'[9]2025'!C109</f>
        <v>6461.58</v>
      </c>
      <c r="E109" s="68">
        <f>'[9]2025'!D109</f>
        <v>6423.81</v>
      </c>
      <c r="F109" s="20">
        <f>'[9]2025'!E109</f>
        <v>393</v>
      </c>
      <c r="G109" s="73">
        <f>'[9]2025'!F109</f>
        <v>7000</v>
      </c>
      <c r="H109" s="42">
        <f>'[9]2025'!G109</f>
        <v>7331.79</v>
      </c>
      <c r="I109" s="13">
        <f>'[9]2025'!H109</f>
        <v>7198.23</v>
      </c>
      <c r="J109" s="14">
        <f>'[9]2025'!I109</f>
        <v>361</v>
      </c>
      <c r="K109" s="15">
        <f>'[9]2025'!J109</f>
        <v>61</v>
      </c>
      <c r="L109" s="15">
        <f>'[9]2025'!K109</f>
        <v>86.07</v>
      </c>
      <c r="M109" s="15">
        <f>'[9]2025'!L109</f>
        <v>33.520000000000003</v>
      </c>
      <c r="N109" s="16">
        <f t="shared" si="4"/>
        <v>4.6567003277194537E-3</v>
      </c>
      <c r="O109" s="17">
        <f t="shared" si="5"/>
        <v>0.12055462412493506</v>
      </c>
      <c r="P109" s="17">
        <f t="shared" si="5"/>
        <v>-8.1424936386768454E-2</v>
      </c>
      <c r="Q109" s="18">
        <f t="shared" si="6"/>
        <v>118.00377049180327</v>
      </c>
      <c r="R109" s="18">
        <f t="shared" si="7"/>
        <v>83.632276054374344</v>
      </c>
      <c r="S109" s="34">
        <f>SUM(I108:I114)</f>
        <v>56796.909999999996</v>
      </c>
      <c r="T109" s="45" t="s">
        <v>41</v>
      </c>
      <c r="U109" s="1738"/>
    </row>
    <row r="110" spans="1:21">
      <c r="A110" s="10" t="s">
        <v>12</v>
      </c>
      <c r="B110" s="19">
        <f>CHAMNORD!B110</f>
        <v>46127</v>
      </c>
      <c r="C110" s="75">
        <f>IF(H110=0,"",'[9]2025-2026'!C109)</f>
        <v>6461.58</v>
      </c>
      <c r="D110" s="68">
        <f>'[9]2025'!C110</f>
        <v>6937.84</v>
      </c>
      <c r="E110" s="68">
        <f>'[9]2025'!D110</f>
        <v>6815.2</v>
      </c>
      <c r="F110" s="20">
        <f>'[9]2025'!E110</f>
        <v>384</v>
      </c>
      <c r="G110" s="73">
        <f>'[9]2025'!F110</f>
        <v>7400</v>
      </c>
      <c r="H110" s="42">
        <f>'[9]2025'!G110</f>
        <v>8348.6299999999992</v>
      </c>
      <c r="I110" s="13">
        <f>'[9]2025'!H110</f>
        <v>8186.28</v>
      </c>
      <c r="J110" s="14">
        <f>'[9]2025'!I110</f>
        <v>418</v>
      </c>
      <c r="K110" s="15">
        <f>'[9]2025'!J110</f>
        <v>61.89</v>
      </c>
      <c r="L110" s="15">
        <f>'[9]2025'!K110</f>
        <v>87.83</v>
      </c>
      <c r="M110" s="15">
        <f>'[9]2025'!L110</f>
        <v>59.45</v>
      </c>
      <c r="N110" s="16">
        <f t="shared" si="4"/>
        <v>7.2621508181982541E-3</v>
      </c>
      <c r="O110" s="17">
        <f t="shared" si="5"/>
        <v>0.20117971592909967</v>
      </c>
      <c r="P110" s="17">
        <f t="shared" si="5"/>
        <v>8.8541666666666671E-2</v>
      </c>
      <c r="Q110" s="18">
        <f t="shared" si="6"/>
        <v>132.27144934561318</v>
      </c>
      <c r="R110" s="18">
        <f t="shared" si="7"/>
        <v>93.205966070818633</v>
      </c>
      <c r="S110" s="35">
        <f>(S109-SUM(E108:E114))/SUM(E108:E114)</f>
        <v>3.7545479572120649E-2</v>
      </c>
      <c r="T110" s="48">
        <f>SUM(I108:I114)/SUM(K108:K114)</f>
        <v>113.75535260069297</v>
      </c>
      <c r="U110" s="1738"/>
    </row>
    <row r="111" spans="1:21">
      <c r="A111" s="10" t="s">
        <v>13</v>
      </c>
      <c r="B111" s="19">
        <f>CHAMNORD!B111</f>
        <v>46128</v>
      </c>
      <c r="C111" s="75">
        <f>IF(H111=0,"",'[9]2025-2026'!C110)</f>
        <v>6937.84</v>
      </c>
      <c r="D111" s="68">
        <f>'[9]2025'!C111</f>
        <v>6516.21</v>
      </c>
      <c r="E111" s="68">
        <f>'[9]2025'!D111</f>
        <v>6407.89</v>
      </c>
      <c r="F111" s="20">
        <f>'[9]2025'!E111</f>
        <v>393</v>
      </c>
      <c r="G111" s="73">
        <f>'[9]2025'!F111</f>
        <v>7600</v>
      </c>
      <c r="H111" s="42">
        <f>'[9]2025'!G111</f>
        <v>7450.91</v>
      </c>
      <c r="I111" s="13">
        <f>'[9]2025'!H111</f>
        <v>7306.01</v>
      </c>
      <c r="J111" s="14">
        <f>'[9]2025'!I111</f>
        <v>399</v>
      </c>
      <c r="K111" s="15">
        <f>'[9]2025'!J111</f>
        <v>61.92</v>
      </c>
      <c r="L111" s="15">
        <f>'[9]2025'!K111</f>
        <v>77.52</v>
      </c>
      <c r="M111" s="15">
        <f>'[9]2025'!L111</f>
        <v>38.79</v>
      </c>
      <c r="N111" s="16">
        <f t="shared" si="4"/>
        <v>5.3093275262420933E-3</v>
      </c>
      <c r="O111" s="17">
        <f t="shared" si="5"/>
        <v>0.14015846089742487</v>
      </c>
      <c r="P111" s="17">
        <f t="shared" si="5"/>
        <v>1.5267175572519083E-2</v>
      </c>
      <c r="Q111" s="18">
        <f t="shared" si="6"/>
        <v>117.99111757105943</v>
      </c>
      <c r="R111" s="18">
        <f t="shared" si="7"/>
        <v>94.246775025799806</v>
      </c>
      <c r="S111" s="34"/>
      <c r="T111" s="29" t="s">
        <v>8</v>
      </c>
      <c r="U111" s="1738"/>
    </row>
    <row r="112" spans="1:21">
      <c r="A112" s="10" t="s">
        <v>14</v>
      </c>
      <c r="B112" s="19">
        <f>CHAMNORD!B112</f>
        <v>46129</v>
      </c>
      <c r="C112" s="75">
        <f>IF(H112=0,"",'[9]2025-2026'!C111)</f>
        <v>6516.21</v>
      </c>
      <c r="D112" s="68">
        <f>'[9]2025'!C112</f>
        <v>10631.68</v>
      </c>
      <c r="E112" s="68">
        <f>'[9]2025'!D112</f>
        <v>10554.47</v>
      </c>
      <c r="F112" s="20">
        <f>'[9]2025'!E112</f>
        <v>563</v>
      </c>
      <c r="G112" s="73">
        <f>'[9]2025'!F112</f>
        <v>9300</v>
      </c>
      <c r="H112" s="42">
        <f>'[9]2025'!G112</f>
        <v>9533.5499999999993</v>
      </c>
      <c r="I112" s="13">
        <f>'[9]2025'!H112</f>
        <v>9335.4</v>
      </c>
      <c r="J112" s="14">
        <f>'[9]2025'!I112</f>
        <v>457</v>
      </c>
      <c r="K112" s="15">
        <f>'[9]2025'!J112</f>
        <v>84.559999999999988</v>
      </c>
      <c r="L112" s="15">
        <f>'[9]2025'!K112</f>
        <v>111.32</v>
      </c>
      <c r="M112" s="15">
        <f>'[9]2025'!L112</f>
        <v>20.38</v>
      </c>
      <c r="N112" s="16">
        <f t="shared" si="4"/>
        <v>2.1830880305075307E-3</v>
      </c>
      <c r="O112" s="17">
        <f t="shared" si="5"/>
        <v>-0.11550272064821822</v>
      </c>
      <c r="P112" s="17">
        <f t="shared" si="5"/>
        <v>-0.18827708703374779</v>
      </c>
      <c r="Q112" s="18">
        <f t="shared" si="6"/>
        <v>110.39971617786189</v>
      </c>
      <c r="R112" s="18">
        <f t="shared" si="7"/>
        <v>83.860941430111396</v>
      </c>
      <c r="S112" s="36" t="s">
        <v>40</v>
      </c>
      <c r="T112" s="48">
        <f>SUM(I108:I114)/SUM(L108:L114)</f>
        <v>88.6523639315092</v>
      </c>
      <c r="U112" s="1738"/>
    </row>
    <row r="113" spans="1:21">
      <c r="A113" s="10" t="s">
        <v>15</v>
      </c>
      <c r="B113" s="19">
        <f>CHAMNORD!B113</f>
        <v>46130</v>
      </c>
      <c r="C113" s="75">
        <f>IF(H113=0,"",'[9]2025-2026'!C112)</f>
        <v>10631.68</v>
      </c>
      <c r="D113" s="68">
        <f>'[9]2025'!C113</f>
        <v>9223.9699999999993</v>
      </c>
      <c r="E113" s="68">
        <f>'[9]2025'!D113</f>
        <v>9131.1299999999992</v>
      </c>
      <c r="F113" s="20">
        <f>'[9]2025'!E113</f>
        <v>452</v>
      </c>
      <c r="G113" s="73">
        <f>'[9]2025'!F113</f>
        <v>9100</v>
      </c>
      <c r="H113" s="42">
        <f>'[9]2025'!G113</f>
        <v>8707.94</v>
      </c>
      <c r="I113" s="13">
        <f>'[9]2025'!H113</f>
        <v>8534.2800000000007</v>
      </c>
      <c r="J113" s="14">
        <f>'[9]2025'!I113</f>
        <v>405</v>
      </c>
      <c r="K113" s="15">
        <f>'[9]2025'!J113</f>
        <v>78.680000000000007</v>
      </c>
      <c r="L113" s="15">
        <f>'[9]2025'!K113</f>
        <v>95.15</v>
      </c>
      <c r="M113" s="15">
        <f>'[9]2025'!L113</f>
        <v>27.89</v>
      </c>
      <c r="N113" s="16">
        <f t="shared" si="4"/>
        <v>3.2679968316014938E-3</v>
      </c>
      <c r="O113" s="17">
        <f t="shared" si="5"/>
        <v>-6.5364308689066813E-2</v>
      </c>
      <c r="P113" s="17">
        <f t="shared" si="5"/>
        <v>-0.10398230088495575</v>
      </c>
      <c r="Q113" s="18">
        <f t="shared" si="6"/>
        <v>108.46822572445348</v>
      </c>
      <c r="R113" s="18">
        <f t="shared" si="7"/>
        <v>89.692905937992649</v>
      </c>
      <c r="S113" s="36">
        <f>SUM(J108:J114)</f>
        <v>2841</v>
      </c>
      <c r="T113" s="30" t="s">
        <v>3</v>
      </c>
      <c r="U113" s="1738"/>
    </row>
    <row r="114" spans="1:21" ht="18" thickBot="1">
      <c r="A114" s="10" t="s">
        <v>16</v>
      </c>
      <c r="B114" s="19">
        <f>CHAMNORD!B114</f>
        <v>46131</v>
      </c>
      <c r="C114" s="75">
        <f>IF(H114=0,"",'[9]2025-2026'!C113)</f>
        <v>9223.9699999999993</v>
      </c>
      <c r="D114" s="68">
        <f>'[9]2025'!C114</f>
        <v>10056.92</v>
      </c>
      <c r="E114" s="68">
        <f>'[9]2025'!D114</f>
        <v>9976.4699999999993</v>
      </c>
      <c r="F114" s="20">
        <f>'[9]2025'!E114</f>
        <v>459</v>
      </c>
      <c r="G114" s="73">
        <f>'[9]2025'!F114</f>
        <v>9500</v>
      </c>
      <c r="H114" s="42">
        <f>'[9]2025'!G114</f>
        <v>10531.29</v>
      </c>
      <c r="I114" s="13">
        <f>'[9]2025'!H114</f>
        <v>10350.24</v>
      </c>
      <c r="J114" s="14">
        <f>'[9]2025'!I114</f>
        <v>467</v>
      </c>
      <c r="K114" s="15">
        <f>'[9]2025'!J114</f>
        <v>83.980000000000018</v>
      </c>
      <c r="L114" s="15">
        <f>'[9]2025'!K114</f>
        <v>99.15</v>
      </c>
      <c r="M114" s="15">
        <f>'[9]2025'!L114</f>
        <v>62.75</v>
      </c>
      <c r="N114" s="16">
        <f t="shared" si="4"/>
        <v>6.0626613489155809E-3</v>
      </c>
      <c r="O114" s="17">
        <f t="shared" si="5"/>
        <v>3.7465155510917232E-2</v>
      </c>
      <c r="P114" s="17">
        <f t="shared" si="5"/>
        <v>1.7429193899782137E-2</v>
      </c>
      <c r="Q114" s="18">
        <f t="shared" si="6"/>
        <v>123.24648725887113</v>
      </c>
      <c r="R114" s="18">
        <f t="shared" si="7"/>
        <v>104.38971255673222</v>
      </c>
      <c r="S114" s="37">
        <f>(S113-SUM(F108:F114))/SUM(F108:F114)</f>
        <v>-4.7283702213279676E-2</v>
      </c>
      <c r="T114" s="47">
        <f>SUM(M108:M114)/SUM(I108:I114)</f>
        <v>5.5819938091702529E-3</v>
      </c>
      <c r="U114" s="1739"/>
    </row>
    <row r="115" spans="1:21" ht="17" customHeight="1" thickTop="1">
      <c r="A115" s="10" t="s">
        <v>9</v>
      </c>
      <c r="B115" s="19">
        <f>CHAMNORD!B115</f>
        <v>46132</v>
      </c>
      <c r="C115" s="75">
        <f>IF(H115=0,"",'[9]2025-2026'!C114)</f>
        <v>10056.92</v>
      </c>
      <c r="D115" s="68">
        <f>'[9]2025'!C115</f>
        <v>8477.5400000000009</v>
      </c>
      <c r="E115" s="68">
        <f>'[9]2025'!D115</f>
        <v>8386.59</v>
      </c>
      <c r="F115" s="20">
        <f>'[9]2025'!E115</f>
        <v>365</v>
      </c>
      <c r="G115" s="73">
        <f>'[9]2025'!F115</f>
        <v>6200</v>
      </c>
      <c r="H115" s="42">
        <f>'[9]2025'!G115</f>
        <v>5175.6899999999996</v>
      </c>
      <c r="I115" s="13">
        <f>'[9]2025'!H115</f>
        <v>5101.4399999999996</v>
      </c>
      <c r="J115" s="14">
        <f>'[9]2025'!I115</f>
        <v>300</v>
      </c>
      <c r="K115" s="15">
        <f>'[9]2025'!J115</f>
        <v>64.819999999999993</v>
      </c>
      <c r="L115" s="15">
        <f>'[9]2025'!K115</f>
        <v>81.55</v>
      </c>
      <c r="M115" s="15">
        <f>'[9]2025'!L115</f>
        <v>35.840000000000003</v>
      </c>
      <c r="N115" s="16">
        <f t="shared" si="4"/>
        <v>7.0254673190314901E-3</v>
      </c>
      <c r="O115" s="17">
        <f t="shared" si="5"/>
        <v>-0.39171463014169056</v>
      </c>
      <c r="P115" s="17">
        <f t="shared" si="5"/>
        <v>-0.17808219178082191</v>
      </c>
      <c r="Q115" s="18">
        <f t="shared" si="6"/>
        <v>78.701635297747615</v>
      </c>
      <c r="R115" s="18">
        <f t="shared" si="7"/>
        <v>62.555977927651746</v>
      </c>
      <c r="S115" s="33" t="s">
        <v>39</v>
      </c>
      <c r="T115" s="31" t="s">
        <v>42</v>
      </c>
      <c r="U115" s="1737" t="s">
        <v>99</v>
      </c>
    </row>
    <row r="116" spans="1:21">
      <c r="A116" s="10" t="s">
        <v>11</v>
      </c>
      <c r="B116" s="19">
        <f>CHAMNORD!B116</f>
        <v>46133</v>
      </c>
      <c r="C116" s="75">
        <f>IF(H116=0,"",'[9]2025-2026'!C115)</f>
        <v>8477.5400000000009</v>
      </c>
      <c r="D116" s="68">
        <f>'[9]2025'!C116</f>
        <v>6186.32</v>
      </c>
      <c r="E116" s="68">
        <f>'[9]2025'!D116</f>
        <v>6118.68</v>
      </c>
      <c r="F116" s="20">
        <f>'[9]2025'!E116</f>
        <v>348</v>
      </c>
      <c r="G116" s="73">
        <f>'[9]2025'!F116</f>
        <v>6000</v>
      </c>
      <c r="H116" s="42">
        <f>'[9]2025'!G116</f>
        <v>6212.64</v>
      </c>
      <c r="I116" s="13">
        <f>'[9]2025'!H116</f>
        <v>6090.4</v>
      </c>
      <c r="J116" s="14">
        <f>'[9]2025'!I116</f>
        <v>360</v>
      </c>
      <c r="K116" s="15">
        <f>'[9]2025'!J116</f>
        <v>64.94</v>
      </c>
      <c r="L116" s="15">
        <f>'[9]2025'!K116</f>
        <v>81.400000000000006</v>
      </c>
      <c r="M116" s="15">
        <f>'[9]2025'!L116</f>
        <v>34.42</v>
      </c>
      <c r="N116" s="16">
        <f t="shared" si="4"/>
        <v>5.65151714173125E-3</v>
      </c>
      <c r="O116" s="17">
        <f t="shared" si="5"/>
        <v>-4.6219119156420425E-3</v>
      </c>
      <c r="P116" s="17">
        <f t="shared" si="5"/>
        <v>3.4482758620689655E-2</v>
      </c>
      <c r="Q116" s="18">
        <f t="shared" si="6"/>
        <v>93.785032337542347</v>
      </c>
      <c r="R116" s="18">
        <f t="shared" si="7"/>
        <v>74.820638820638806</v>
      </c>
      <c r="S116" s="34">
        <f>SUM(I115:I121)</f>
        <v>50419.869999999995</v>
      </c>
      <c r="T116" s="45" t="s">
        <v>41</v>
      </c>
      <c r="U116" s="1738"/>
    </row>
    <row r="117" spans="1:21">
      <c r="A117" s="10" t="s">
        <v>12</v>
      </c>
      <c r="B117" s="19">
        <f>CHAMNORD!B117</f>
        <v>46134</v>
      </c>
      <c r="C117" s="75">
        <f>IF(H117=0,"",'[9]2025-2026'!C116)</f>
        <v>6186.32</v>
      </c>
      <c r="D117" s="68">
        <f>'[9]2025'!C117</f>
        <v>6192.92</v>
      </c>
      <c r="E117" s="68">
        <f>'[9]2025'!D117</f>
        <v>6114.8</v>
      </c>
      <c r="F117" s="20">
        <f>'[9]2025'!E117</f>
        <v>331</v>
      </c>
      <c r="G117" s="73">
        <f>'[9]2025'!F117</f>
        <v>7300</v>
      </c>
      <c r="H117" s="42">
        <f>'[9]2025'!G117</f>
        <v>5936.3</v>
      </c>
      <c r="I117" s="13">
        <f>'[9]2025'!H117</f>
        <v>5839.08</v>
      </c>
      <c r="J117" s="14">
        <f>'[9]2025'!I117</f>
        <v>329</v>
      </c>
      <c r="K117" s="15">
        <f>'[9]2025'!J117</f>
        <v>71.73</v>
      </c>
      <c r="L117" s="15">
        <f>'[9]2025'!K117</f>
        <v>96.95</v>
      </c>
      <c r="M117" s="15">
        <f>'[9]2025'!L117</f>
        <v>25.99</v>
      </c>
      <c r="N117" s="16">
        <f t="shared" si="4"/>
        <v>4.4510436575624923E-3</v>
      </c>
      <c r="O117" s="17">
        <f t="shared" si="5"/>
        <v>-4.5090599856086912E-2</v>
      </c>
      <c r="P117" s="17">
        <f t="shared" si="5"/>
        <v>-6.0422960725075529E-3</v>
      </c>
      <c r="Q117" s="18">
        <f t="shared" si="6"/>
        <v>81.403596821413629</v>
      </c>
      <c r="R117" s="18">
        <f t="shared" si="7"/>
        <v>60.227746260959258</v>
      </c>
      <c r="S117" s="35">
        <f>(S116-SUM(E115:E121))/SUM(E115:E121)</f>
        <v>-5.5555826122921294E-2</v>
      </c>
      <c r="T117" s="48">
        <f>SUM(I115:I121)/SUM(K115:K121)</f>
        <v>96.206437948404826</v>
      </c>
      <c r="U117" s="1738"/>
    </row>
    <row r="118" spans="1:21">
      <c r="A118" s="10" t="s">
        <v>13</v>
      </c>
      <c r="B118" s="19">
        <f>CHAMNORD!B118</f>
        <v>46135</v>
      </c>
      <c r="C118" s="75">
        <f>IF(H118=0,"",'[9]2025-2026'!C117)</f>
        <v>6192.92</v>
      </c>
      <c r="D118" s="68">
        <f>'[9]2025'!C118</f>
        <v>6978.16</v>
      </c>
      <c r="E118" s="68">
        <f>'[9]2025'!D118</f>
        <v>6903.52</v>
      </c>
      <c r="F118" s="20">
        <f>'[9]2025'!E118</f>
        <v>380</v>
      </c>
      <c r="G118" s="73">
        <f>'[9]2025'!F118</f>
        <v>6800</v>
      </c>
      <c r="H118" s="42">
        <f>'[9]2025'!G118</f>
        <v>7026.18</v>
      </c>
      <c r="I118" s="13">
        <f>'[9]2025'!H118</f>
        <v>6901.08</v>
      </c>
      <c r="J118" s="14">
        <f>'[9]2025'!I118</f>
        <v>377</v>
      </c>
      <c r="K118" s="15">
        <f>'[9]2025'!J118</f>
        <v>79.38</v>
      </c>
      <c r="L118" s="15">
        <f>'[9]2025'!K118</f>
        <v>101.07</v>
      </c>
      <c r="M118" s="15">
        <f>'[9]2025'!L118</f>
        <v>21.84</v>
      </c>
      <c r="N118" s="16">
        <f t="shared" si="4"/>
        <v>3.1647220435062338E-3</v>
      </c>
      <c r="O118" s="17">
        <f t="shared" si="5"/>
        <v>-3.534428813127954E-4</v>
      </c>
      <c r="P118" s="17">
        <f t="shared" si="5"/>
        <v>-7.8947368421052634E-3</v>
      </c>
      <c r="Q118" s="18">
        <f t="shared" si="6"/>
        <v>86.937263794406661</v>
      </c>
      <c r="R118" s="18">
        <f t="shared" si="7"/>
        <v>68.280201840308706</v>
      </c>
      <c r="S118" s="34"/>
      <c r="T118" s="29" t="s">
        <v>8</v>
      </c>
      <c r="U118" s="1738"/>
    </row>
    <row r="119" spans="1:21">
      <c r="A119" s="10" t="s">
        <v>14</v>
      </c>
      <c r="B119" s="19">
        <f>CHAMNORD!B119</f>
        <v>46136</v>
      </c>
      <c r="C119" s="75">
        <f>IF(H119=0,"",'[9]2025-2026'!C118)</f>
        <v>6978.16</v>
      </c>
      <c r="D119" s="68">
        <f>'[9]2025'!C119</f>
        <v>8584.31</v>
      </c>
      <c r="E119" s="68">
        <f>'[9]2025'!D119</f>
        <v>8481.7099999999991</v>
      </c>
      <c r="F119" s="20">
        <f>'[9]2025'!E119</f>
        <v>451</v>
      </c>
      <c r="G119" s="73">
        <f>'[9]2025'!F119</f>
        <v>9400</v>
      </c>
      <c r="H119" s="42">
        <f>'[9]2025'!G119</f>
        <v>8964.9699999999993</v>
      </c>
      <c r="I119" s="13">
        <f>'[9]2025'!H119</f>
        <v>8813.35</v>
      </c>
      <c r="J119" s="14">
        <f>'[9]2025'!I119</f>
        <v>507</v>
      </c>
      <c r="K119" s="15">
        <f>'[9]2025'!J119</f>
        <v>91.07</v>
      </c>
      <c r="L119" s="15">
        <f>'[9]2025'!K119</f>
        <v>108.9</v>
      </c>
      <c r="M119" s="15">
        <f>'[9]2025'!L119</f>
        <v>45.38</v>
      </c>
      <c r="N119" s="16">
        <f t="shared" si="4"/>
        <v>5.1490069042985928E-3</v>
      </c>
      <c r="O119" s="17">
        <f t="shared" si="5"/>
        <v>3.9100605891972402E-2</v>
      </c>
      <c r="P119" s="17">
        <f t="shared" si="5"/>
        <v>0.12416851441241686</v>
      </c>
      <c r="Q119" s="18">
        <f t="shared" si="6"/>
        <v>96.775557263643364</v>
      </c>
      <c r="R119" s="18">
        <f t="shared" si="7"/>
        <v>80.930670339761249</v>
      </c>
      <c r="S119" s="36" t="s">
        <v>40</v>
      </c>
      <c r="T119" s="48">
        <f>SUM(I115:I121)/SUM(L115:L121)</f>
        <v>75.281627472937657</v>
      </c>
      <c r="U119" s="1738"/>
    </row>
    <row r="120" spans="1:21">
      <c r="A120" s="10" t="s">
        <v>15</v>
      </c>
      <c r="B120" s="19">
        <f>CHAMNORD!B120</f>
        <v>46137</v>
      </c>
      <c r="C120" s="75">
        <f>IF(H120=0,"",'[9]2025-2026'!C119)</f>
        <v>8584.31</v>
      </c>
      <c r="D120" s="68">
        <f>'[9]2025'!C120</f>
        <v>7934.56</v>
      </c>
      <c r="E120" s="68">
        <f>'[9]2025'!D120</f>
        <v>7837.81</v>
      </c>
      <c r="F120" s="20">
        <f>'[9]2025'!E120</f>
        <v>364</v>
      </c>
      <c r="G120" s="73">
        <f>'[9]2025'!F120</f>
        <v>8600</v>
      </c>
      <c r="H120" s="42">
        <f>'[9]2025'!G120</f>
        <v>8448.0400000000009</v>
      </c>
      <c r="I120" s="13">
        <f>'[9]2025'!H120</f>
        <v>8300.75</v>
      </c>
      <c r="J120" s="14">
        <f>'[9]2025'!I120</f>
        <v>410</v>
      </c>
      <c r="K120" s="15">
        <f>'[9]2025'!J120</f>
        <v>69.569999999999993</v>
      </c>
      <c r="L120" s="15">
        <f>'[9]2025'!K120</f>
        <v>93.6</v>
      </c>
      <c r="M120" s="15">
        <f>'[9]2025'!L120</f>
        <v>18.03</v>
      </c>
      <c r="N120" s="16">
        <f t="shared" si="4"/>
        <v>2.1720928831732073E-3</v>
      </c>
      <c r="O120" s="17">
        <f t="shared" si="5"/>
        <v>5.9064968403163581E-2</v>
      </c>
      <c r="P120" s="17">
        <f t="shared" si="5"/>
        <v>0.12637362637362637</v>
      </c>
      <c r="Q120" s="18">
        <f t="shared" si="6"/>
        <v>119.31507833836424</v>
      </c>
      <c r="R120" s="18">
        <f t="shared" si="7"/>
        <v>88.683226495726501</v>
      </c>
      <c r="S120" s="36">
        <f>SUM(J115:J121)</f>
        <v>2712</v>
      </c>
      <c r="T120" s="30" t="s">
        <v>3</v>
      </c>
      <c r="U120" s="1738"/>
    </row>
    <row r="121" spans="1:21" ht="18" thickBot="1">
      <c r="A121" s="10" t="s">
        <v>16</v>
      </c>
      <c r="B121" s="19">
        <f>CHAMNORD!B121</f>
        <v>46138</v>
      </c>
      <c r="C121" s="75">
        <f>IF(H121=0,"",'[9]2025-2026'!C120)</f>
        <v>7934.56</v>
      </c>
      <c r="D121" s="68">
        <f>'[9]2025'!C121</f>
        <v>9668.65</v>
      </c>
      <c r="E121" s="68">
        <f>'[9]2025'!D121</f>
        <v>9542.65</v>
      </c>
      <c r="F121" s="20">
        <f>'[9]2025'!E121</f>
        <v>443</v>
      </c>
      <c r="G121" s="73">
        <f>'[9]2025'!F121</f>
        <v>9800</v>
      </c>
      <c r="H121" s="42">
        <f>'[9]2025'!G121</f>
        <v>9541.73</v>
      </c>
      <c r="I121" s="13">
        <f>'[9]2025'!H121</f>
        <v>9373.77</v>
      </c>
      <c r="J121" s="14">
        <f>'[9]2025'!I121</f>
        <v>429</v>
      </c>
      <c r="K121" s="15">
        <f>'[9]2025'!J121</f>
        <v>82.57</v>
      </c>
      <c r="L121" s="15">
        <f>'[9]2025'!K121</f>
        <v>106.28</v>
      </c>
      <c r="M121" s="15">
        <f>'[9]2025'!L121</f>
        <v>43.85</v>
      </c>
      <c r="N121" s="16">
        <f t="shared" si="4"/>
        <v>4.677947079990228E-3</v>
      </c>
      <c r="O121" s="17">
        <f t="shared" si="5"/>
        <v>-1.7697390137959498E-2</v>
      </c>
      <c r="P121" s="17">
        <f t="shared" si="5"/>
        <v>-3.160270880361174E-2</v>
      </c>
      <c r="Q121" s="18">
        <f t="shared" si="6"/>
        <v>113.52513019256391</v>
      </c>
      <c r="R121" s="18">
        <f t="shared" si="7"/>
        <v>88.198814452389911</v>
      </c>
      <c r="S121" s="37">
        <f>(S120-SUM(F115:F121))/SUM(F115:F121)</f>
        <v>1.1185682326621925E-2</v>
      </c>
      <c r="T121" s="47">
        <f>SUM(M115:M121)/SUM(I115:I121)</f>
        <v>4.4694680886721849E-3</v>
      </c>
      <c r="U121" s="1739"/>
    </row>
    <row r="122" spans="1:21" ht="17" customHeight="1" thickTop="1">
      <c r="A122" s="10" t="s">
        <v>9</v>
      </c>
      <c r="B122" s="19">
        <f>CHAMNORD!B122</f>
        <v>46139</v>
      </c>
      <c r="C122" s="75">
        <f>IF(H122=0,"",'[9]2025-2026'!C121)</f>
        <v>9668.65</v>
      </c>
      <c r="D122" s="68">
        <f>'[9]2025'!C122</f>
        <v>6130.36</v>
      </c>
      <c r="E122" s="68">
        <f>'[9]2025'!D122</f>
        <v>6069.65</v>
      </c>
      <c r="F122" s="20">
        <f>'[9]2025'!E122</f>
        <v>328</v>
      </c>
      <c r="G122" s="73">
        <f>'[9]2025'!F122</f>
        <v>5600</v>
      </c>
      <c r="H122" s="42">
        <f>'[9]2025'!G122</f>
        <v>5257.76</v>
      </c>
      <c r="I122" s="13">
        <f>'[9]2025'!H122</f>
        <v>5186.01</v>
      </c>
      <c r="J122" s="14">
        <f>'[9]2025'!I122</f>
        <v>296</v>
      </c>
      <c r="K122" s="15">
        <f>'[9]2025'!J122</f>
        <v>63.17</v>
      </c>
      <c r="L122" s="15">
        <f>'[9]2025'!K122</f>
        <v>80.099999999999994</v>
      </c>
      <c r="M122" s="15">
        <f>'[9]2025'!L122</f>
        <v>48.68</v>
      </c>
      <c r="N122" s="16">
        <f t="shared" si="4"/>
        <v>9.3867925437860697E-3</v>
      </c>
      <c r="O122" s="17">
        <f t="shared" si="5"/>
        <v>-0.14558335324112584</v>
      </c>
      <c r="P122" s="17">
        <f t="shared" si="5"/>
        <v>-9.7560975609756101E-2</v>
      </c>
      <c r="Q122" s="18">
        <f t="shared" si="6"/>
        <v>82.096089916099416</v>
      </c>
      <c r="R122" s="18">
        <f t="shared" si="7"/>
        <v>64.744194756554307</v>
      </c>
      <c r="S122" s="33" t="s">
        <v>39</v>
      </c>
      <c r="T122" s="31" t="s">
        <v>42</v>
      </c>
      <c r="U122" s="1737" t="s">
        <v>100</v>
      </c>
    </row>
    <row r="123" spans="1:21">
      <c r="A123" s="10" t="s">
        <v>11</v>
      </c>
      <c r="B123" s="19">
        <f>CHAMNORD!B123</f>
        <v>46140</v>
      </c>
      <c r="C123" s="75">
        <f>IF(H123=0,"",'[9]2025-2026'!C122)</f>
        <v>6130.36</v>
      </c>
      <c r="D123" s="68">
        <f>'[9]2025'!C123</f>
        <v>6720.61</v>
      </c>
      <c r="E123" s="68">
        <f>'[9]2025'!D123</f>
        <v>6637.22</v>
      </c>
      <c r="F123" s="20">
        <f>'[9]2025'!E123</f>
        <v>337</v>
      </c>
      <c r="G123" s="73">
        <f>'[9]2025'!F123</f>
        <v>6300</v>
      </c>
      <c r="H123" s="42">
        <f>'[9]2025'!G123</f>
        <v>6672.74</v>
      </c>
      <c r="I123" s="13">
        <f>'[9]2025'!H123</f>
        <v>6543.07</v>
      </c>
      <c r="J123" s="14">
        <f>'[9]2025'!I123</f>
        <v>362</v>
      </c>
      <c r="K123" s="15">
        <f>'[9]2025'!J123</f>
        <v>58.05</v>
      </c>
      <c r="L123" s="15">
        <f>'[9]2025'!K123</f>
        <v>74.38</v>
      </c>
      <c r="M123" s="15">
        <f>'[9]2025'!L123</f>
        <v>51.84</v>
      </c>
      <c r="N123" s="16">
        <f t="shared" si="4"/>
        <v>7.9228863515138932E-3</v>
      </c>
      <c r="O123" s="17">
        <f t="shared" si="5"/>
        <v>-1.4185155833315838E-2</v>
      </c>
      <c r="P123" s="17">
        <f t="shared" si="5"/>
        <v>7.418397626112759E-2</v>
      </c>
      <c r="Q123" s="18">
        <f t="shared" si="6"/>
        <v>112.71438415159345</v>
      </c>
      <c r="R123" s="18">
        <f t="shared" si="7"/>
        <v>87.968136595859107</v>
      </c>
      <c r="S123" s="34">
        <f>SUM(I122:I128)</f>
        <v>58905.790000000008</v>
      </c>
      <c r="T123" s="45" t="s">
        <v>41</v>
      </c>
      <c r="U123" s="1738"/>
    </row>
    <row r="124" spans="1:21">
      <c r="A124" s="10" t="s">
        <v>12</v>
      </c>
      <c r="B124" s="19">
        <f>CHAMNORD!B124</f>
        <v>46141</v>
      </c>
      <c r="C124" s="75">
        <f>IF(H124=0,"",'[9]2025-2026'!C123)</f>
        <v>6720.61</v>
      </c>
      <c r="D124" s="68">
        <f>'[9]2025'!C124</f>
        <v>9039.7099999999991</v>
      </c>
      <c r="E124" s="68">
        <f>'[9]2025'!D124</f>
        <v>8935.99</v>
      </c>
      <c r="F124" s="20">
        <f>'[9]2025'!E124</f>
        <v>428</v>
      </c>
      <c r="G124" s="73">
        <f>'[9]2025'!F124</f>
        <v>8200</v>
      </c>
      <c r="H124" s="42">
        <f>'[9]2025'!G124</f>
        <v>7693.72</v>
      </c>
      <c r="I124" s="13">
        <f>'[9]2025'!H124</f>
        <v>7581.19</v>
      </c>
      <c r="J124" s="14">
        <f>'[9]2025'!I124</f>
        <v>407</v>
      </c>
      <c r="K124" s="15">
        <f>'[9]2025'!J124</f>
        <v>83.05</v>
      </c>
      <c r="L124" s="15">
        <f>'[9]2025'!K124</f>
        <v>99.85</v>
      </c>
      <c r="M124" s="15">
        <f>'[9]2025'!L124</f>
        <v>46.13</v>
      </c>
      <c r="N124" s="16">
        <f t="shared" si="4"/>
        <v>6.0847967139723456E-3</v>
      </c>
      <c r="O124" s="17">
        <f t="shared" si="5"/>
        <v>-0.15161162892975488</v>
      </c>
      <c r="P124" s="17">
        <f t="shared" si="5"/>
        <v>-4.9065420560747662E-2</v>
      </c>
      <c r="Q124" s="18">
        <f t="shared" si="6"/>
        <v>91.284647802528596</v>
      </c>
      <c r="R124" s="18">
        <f t="shared" si="7"/>
        <v>75.925788683024535</v>
      </c>
      <c r="S124" s="35">
        <f>(S123-SUM(E122:E128))/SUM(E122:E128)</f>
        <v>-3.6994555521426144E-4</v>
      </c>
      <c r="T124" s="48">
        <f>SUM(I122:I128)/SUM(K122:K128)</f>
        <v>107.6986744675016</v>
      </c>
      <c r="U124" s="1738"/>
    </row>
    <row r="125" spans="1:21">
      <c r="A125" s="10" t="s">
        <v>13</v>
      </c>
      <c r="B125" s="19">
        <f>CHAMNORD!B125</f>
        <v>46142</v>
      </c>
      <c r="C125" s="75">
        <f>IF(H125=0,"",'[9]2025-2026'!C124)</f>
        <v>9039.7099999999991</v>
      </c>
      <c r="D125" s="68">
        <f>'[9]2025'!C125</f>
        <v>11689.33</v>
      </c>
      <c r="E125" s="68">
        <f>'[9]2025'!D125</f>
        <v>11551.7</v>
      </c>
      <c r="F125" s="20">
        <f>'[9]2025'!E125</f>
        <v>571</v>
      </c>
      <c r="G125" s="73">
        <f>'[9]2025'!F125</f>
        <v>9200</v>
      </c>
      <c r="H125" s="42">
        <f>'[9]2025'!G125</f>
        <v>8969.75</v>
      </c>
      <c r="I125" s="13">
        <f>'[9]2025'!H125</f>
        <v>8817.24</v>
      </c>
      <c r="J125" s="14">
        <f>'[9]2025'!I125</f>
        <v>440</v>
      </c>
      <c r="K125" s="15">
        <f>'[9]2025'!J125</f>
        <v>85.68</v>
      </c>
      <c r="L125" s="15">
        <f>'[9]2025'!K125</f>
        <v>118.82</v>
      </c>
      <c r="M125" s="15">
        <f>'[9]2025'!L125</f>
        <v>37.619999999999997</v>
      </c>
      <c r="N125" s="16">
        <f t="shared" si="4"/>
        <v>4.2666412618914762E-3</v>
      </c>
      <c r="O125" s="17">
        <f t="shared" si="5"/>
        <v>-0.23671494238943191</v>
      </c>
      <c r="P125" s="17">
        <f t="shared" si="5"/>
        <v>-0.22942206654991243</v>
      </c>
      <c r="Q125" s="18">
        <f t="shared" si="6"/>
        <v>102.90896358543417</v>
      </c>
      <c r="R125" s="18">
        <f t="shared" si="7"/>
        <v>74.2066992088874</v>
      </c>
      <c r="S125" s="34"/>
      <c r="T125" s="29" t="s">
        <v>8</v>
      </c>
      <c r="U125" s="1738"/>
    </row>
    <row r="126" spans="1:21">
      <c r="A126" s="10" t="s">
        <v>14</v>
      </c>
      <c r="B126" s="19">
        <f>CHAMNORD!B126</f>
        <v>46143</v>
      </c>
      <c r="C126" s="75">
        <f>IF(H126=0,"",'[9]2025-2026'!C125)</f>
        <v>11689.33</v>
      </c>
      <c r="D126" s="68">
        <f>'[9]2025'!C126</f>
        <v>8790.31</v>
      </c>
      <c r="E126" s="68">
        <f>'[9]2025'!D126</f>
        <v>8716.6200000000008</v>
      </c>
      <c r="F126" s="20">
        <f>'[9]2025'!E126</f>
        <v>424</v>
      </c>
      <c r="G126" s="73">
        <f>'[9]2025'!F126</f>
        <v>11100</v>
      </c>
      <c r="H126" s="42">
        <f>'[9]2025'!G126</f>
        <v>11945.63</v>
      </c>
      <c r="I126" s="13">
        <f>'[9]2025'!H126</f>
        <v>11703.84</v>
      </c>
      <c r="J126" s="14">
        <f>'[9]2025'!I126</f>
        <v>538</v>
      </c>
      <c r="K126" s="15">
        <f>'[9]2025'!J126</f>
        <v>84.13</v>
      </c>
      <c r="L126" s="15">
        <f>'[9]2025'!K126</f>
        <v>110.85</v>
      </c>
      <c r="M126" s="15">
        <f>'[9]2025'!L126</f>
        <v>23.68</v>
      </c>
      <c r="N126" s="16">
        <f t="shared" si="4"/>
        <v>2.0232675771370764E-3</v>
      </c>
      <c r="O126" s="17">
        <f t="shared" si="5"/>
        <v>0.3427039379943142</v>
      </c>
      <c r="P126" s="17">
        <f t="shared" si="5"/>
        <v>0.26886792452830188</v>
      </c>
      <c r="Q126" s="18">
        <f t="shared" si="6"/>
        <v>139.11612979912042</v>
      </c>
      <c r="R126" s="18">
        <f t="shared" si="7"/>
        <v>105.58267929634643</v>
      </c>
      <c r="S126" s="36" t="s">
        <v>40</v>
      </c>
      <c r="T126" s="48">
        <f>SUM(I122:I128)/SUM(L122:L128)</f>
        <v>85.343499174176358</v>
      </c>
      <c r="U126" s="1738"/>
    </row>
    <row r="127" spans="1:21">
      <c r="A127" s="10" t="s">
        <v>15</v>
      </c>
      <c r="B127" s="19">
        <f>CHAMNORD!B127</f>
        <v>46144</v>
      </c>
      <c r="C127" s="75">
        <f>IF(H127=0,"",'[9]2025-2026'!C126)</f>
        <v>8790.31</v>
      </c>
      <c r="D127" s="68">
        <f>'[9]2025'!C127</f>
        <v>7858.45</v>
      </c>
      <c r="E127" s="68">
        <f>'[9]2025'!D127</f>
        <v>7790.52</v>
      </c>
      <c r="F127" s="20">
        <f>'[9]2025'!E127</f>
        <v>355</v>
      </c>
      <c r="G127" s="73">
        <f>'[9]2025'!F127</f>
        <v>7900</v>
      </c>
      <c r="H127" s="42">
        <f>'[9]2025'!G127</f>
        <v>8046.18</v>
      </c>
      <c r="I127" s="13">
        <f>'[9]2025'!H127</f>
        <v>7903.35</v>
      </c>
      <c r="J127" s="14">
        <f>'[9]2025'!I127</f>
        <v>373</v>
      </c>
      <c r="K127" s="15">
        <f>'[9]2025'!J127</f>
        <v>83.55</v>
      </c>
      <c r="L127" s="15">
        <f>'[9]2025'!K127</f>
        <v>100.25</v>
      </c>
      <c r="M127" s="15">
        <f>'[9]2025'!L127</f>
        <v>37.520000000000003</v>
      </c>
      <c r="N127" s="16">
        <f t="shared" si="4"/>
        <v>4.7473539701518982E-3</v>
      </c>
      <c r="O127" s="17">
        <f t="shared" si="5"/>
        <v>1.4482987014987436E-2</v>
      </c>
      <c r="P127" s="17">
        <f t="shared" si="5"/>
        <v>5.0704225352112678E-2</v>
      </c>
      <c r="Q127" s="18">
        <f t="shared" si="6"/>
        <v>94.594254937163385</v>
      </c>
      <c r="R127" s="18">
        <f t="shared" si="7"/>
        <v>78.836408977556118</v>
      </c>
      <c r="S127" s="36">
        <f>SUM(J122:J128)</f>
        <v>2907</v>
      </c>
      <c r="T127" s="30" t="s">
        <v>3</v>
      </c>
      <c r="U127" s="1738"/>
    </row>
    <row r="128" spans="1:21" ht="18" thickBot="1">
      <c r="A128" s="10" t="s">
        <v>16</v>
      </c>
      <c r="B128" s="19">
        <f>CHAMNORD!B128</f>
        <v>46145</v>
      </c>
      <c r="C128" s="75">
        <f>IF(H128=0,"",'[9]2025-2026'!C127)</f>
        <v>7858.45</v>
      </c>
      <c r="D128" s="68">
        <f>'[9]2025'!C128</f>
        <v>9373.1299999999992</v>
      </c>
      <c r="E128" s="68">
        <f>'[9]2025'!D128</f>
        <v>9225.89</v>
      </c>
      <c r="F128" s="20">
        <f>'[9]2025'!E128</f>
        <v>423</v>
      </c>
      <c r="G128" s="73">
        <f>'[9]2025'!F128</f>
        <v>9600</v>
      </c>
      <c r="H128" s="42">
        <f>'[9]2025'!G128</f>
        <v>11389.5</v>
      </c>
      <c r="I128" s="13">
        <f>'[9]2025'!H128</f>
        <v>11171.09</v>
      </c>
      <c r="J128" s="14">
        <f>'[9]2025'!I128</f>
        <v>491</v>
      </c>
      <c r="K128" s="15">
        <f>'[9]2025'!J128</f>
        <v>89.32</v>
      </c>
      <c r="L128" s="15">
        <f>'[9]2025'!K128</f>
        <v>105.97</v>
      </c>
      <c r="M128" s="15">
        <f>'[9]2025'!L128</f>
        <v>62.32</v>
      </c>
      <c r="N128" s="16">
        <f t="shared" si="4"/>
        <v>5.5786856967404257E-3</v>
      </c>
      <c r="O128" s="17">
        <f t="shared" si="5"/>
        <v>0.21084144727500553</v>
      </c>
      <c r="P128" s="17">
        <f t="shared" si="5"/>
        <v>0.16075650118203311</v>
      </c>
      <c r="Q128" s="18">
        <f t="shared" si="6"/>
        <v>125.06818181818183</v>
      </c>
      <c r="R128" s="18">
        <f t="shared" si="7"/>
        <v>105.41747664433331</v>
      </c>
      <c r="S128" s="37">
        <f>(S127-SUM(F122:F128))/SUM(F122:F128)</f>
        <v>1.4305652477320307E-2</v>
      </c>
      <c r="T128" s="47">
        <f>SUM(M122:M128)/SUM(I122:I128)</f>
        <v>5.2251230311994796E-3</v>
      </c>
      <c r="U128" s="1739"/>
    </row>
    <row r="129" spans="1:21" ht="17" customHeight="1" thickTop="1">
      <c r="A129" s="10" t="s">
        <v>9</v>
      </c>
      <c r="B129" s="19">
        <f>CHAMNORD!B129</f>
        <v>46146</v>
      </c>
      <c r="C129" s="75">
        <f>IF(H129=0,"",'[9]2025-2026'!C128)</f>
        <v>9373.1299999999992</v>
      </c>
      <c r="D129" s="68">
        <f>'[9]2025'!C129</f>
        <v>5001.5200000000004</v>
      </c>
      <c r="E129" s="68">
        <f>'[9]2025'!D129</f>
        <v>4950.13</v>
      </c>
      <c r="F129" s="20">
        <f>'[9]2025'!E129</f>
        <v>302</v>
      </c>
      <c r="G129" s="73">
        <f>'[9]2025'!F129</f>
        <v>4800</v>
      </c>
      <c r="H129" s="42">
        <f>'[9]2025'!G129</f>
        <v>6105.13</v>
      </c>
      <c r="I129" s="13">
        <f>'[9]2025'!H129</f>
        <v>6007.47</v>
      </c>
      <c r="J129" s="14">
        <f>'[9]2025'!I129</f>
        <v>333</v>
      </c>
      <c r="K129" s="15">
        <f>'[9]2025'!J129</f>
        <v>70.62</v>
      </c>
      <c r="L129" s="15">
        <f>'[9]2025'!K129</f>
        <v>87.9</v>
      </c>
      <c r="M129" s="15">
        <f>'[9]2025'!L129</f>
        <v>39.33</v>
      </c>
      <c r="N129" s="16">
        <f t="shared" si="4"/>
        <v>6.5468491727798889E-3</v>
      </c>
      <c r="O129" s="17">
        <f t="shared" si="5"/>
        <v>0.21359843074828341</v>
      </c>
      <c r="P129" s="17">
        <f t="shared" si="5"/>
        <v>0.10264900662251655</v>
      </c>
      <c r="Q129" s="18">
        <f t="shared" si="6"/>
        <v>85.067544604927775</v>
      </c>
      <c r="R129" s="18">
        <f t="shared" si="7"/>
        <v>68.344368600682586</v>
      </c>
      <c r="S129" s="33" t="s">
        <v>39</v>
      </c>
      <c r="T129" s="31" t="s">
        <v>42</v>
      </c>
      <c r="U129" s="1737" t="s">
        <v>101</v>
      </c>
    </row>
    <row r="130" spans="1:21">
      <c r="A130" s="10" t="s">
        <v>11</v>
      </c>
      <c r="B130" s="19">
        <f>CHAMNORD!B130</f>
        <v>46147</v>
      </c>
      <c r="C130" s="75">
        <f>IF(H130=0,"",'[9]2025-2026'!C129)</f>
        <v>5001.5200000000004</v>
      </c>
      <c r="D130" s="68">
        <f>'[9]2025'!C130</f>
        <v>6185.85</v>
      </c>
      <c r="E130" s="68">
        <f>'[9]2025'!D130</f>
        <v>6126.23</v>
      </c>
      <c r="F130" s="20">
        <f>'[9]2025'!E130</f>
        <v>367</v>
      </c>
      <c r="G130" s="73">
        <f>'[9]2025'!F130</f>
        <v>6000</v>
      </c>
      <c r="H130" s="42">
        <f>'[9]2025'!G130</f>
        <v>6861.67</v>
      </c>
      <c r="I130" s="13">
        <f>'[9]2025'!H130</f>
        <v>6737.19</v>
      </c>
      <c r="J130" s="14">
        <f>'[9]2025'!I130</f>
        <v>412</v>
      </c>
      <c r="K130" s="15">
        <f>'[9]2025'!J130</f>
        <v>81.06</v>
      </c>
      <c r="L130" s="15">
        <f>'[9]2025'!K130</f>
        <v>98.18</v>
      </c>
      <c r="M130" s="15">
        <f>'[9]2025'!L130</f>
        <v>41.83</v>
      </c>
      <c r="N130" s="16">
        <f t="shared" si="4"/>
        <v>6.2088199976548086E-3</v>
      </c>
      <c r="O130" s="17">
        <f t="shared" si="5"/>
        <v>9.9728544308653133E-2</v>
      </c>
      <c r="P130" s="17">
        <f t="shared" si="5"/>
        <v>0.1226158038147139</v>
      </c>
      <c r="Q130" s="18">
        <f t="shared" si="6"/>
        <v>83.113619541080681</v>
      </c>
      <c r="R130" s="18">
        <f t="shared" si="7"/>
        <v>68.620798533306157</v>
      </c>
      <c r="S130" s="34">
        <f>SUM(I129:I135)</f>
        <v>55019.53</v>
      </c>
      <c r="T130" s="45" t="s">
        <v>41</v>
      </c>
      <c r="U130" s="1738"/>
    </row>
    <row r="131" spans="1:21">
      <c r="A131" s="10" t="s">
        <v>12</v>
      </c>
      <c r="B131" s="19">
        <f>CHAMNORD!B131</f>
        <v>46148</v>
      </c>
      <c r="C131" s="75">
        <f>IF(H131=0,"",'[9]2025-2026'!C130)</f>
        <v>6185.85</v>
      </c>
      <c r="D131" s="68">
        <f>'[9]2025'!C131</f>
        <v>9220.2900000000009</v>
      </c>
      <c r="E131" s="68">
        <f>'[9]2025'!D131</f>
        <v>9110.69</v>
      </c>
      <c r="F131" s="20">
        <f>'[9]2025'!E131</f>
        <v>483</v>
      </c>
      <c r="G131" s="73">
        <f>'[9]2025'!F131</f>
        <v>9100</v>
      </c>
      <c r="H131" s="42">
        <f>'[9]2025'!G131</f>
        <v>8281.35</v>
      </c>
      <c r="I131" s="13">
        <f>'[9]2025'!H131</f>
        <v>8155.18</v>
      </c>
      <c r="J131" s="14">
        <f>'[9]2025'!I131</f>
        <v>433</v>
      </c>
      <c r="K131" s="15">
        <f>'[9]2025'!J131</f>
        <v>64.400000000000006</v>
      </c>
      <c r="L131" s="15">
        <f>'[9]2025'!K131</f>
        <v>80.8</v>
      </c>
      <c r="M131" s="15">
        <f>'[9]2025'!L131</f>
        <v>19.239999999999998</v>
      </c>
      <c r="N131" s="16">
        <f t="shared" si="4"/>
        <v>2.3592367059954529E-3</v>
      </c>
      <c r="O131" s="17">
        <f t="shared" si="5"/>
        <v>-0.10487789618568957</v>
      </c>
      <c r="P131" s="17">
        <f t="shared" si="5"/>
        <v>-0.10351966873706005</v>
      </c>
      <c r="Q131" s="18">
        <f t="shared" si="6"/>
        <v>126.63322981366458</v>
      </c>
      <c r="R131" s="18">
        <f t="shared" si="7"/>
        <v>100.93044554455446</v>
      </c>
      <c r="S131" s="35">
        <f>(S130-SUM(E129:E135))/SUM(E129:E135)</f>
        <v>-2.1853981214529274E-2</v>
      </c>
      <c r="T131" s="48">
        <f>SUM(I129:I135)/SUM(K129:K135)</f>
        <v>104.10704081439573</v>
      </c>
      <c r="U131" s="1738"/>
    </row>
    <row r="132" spans="1:21">
      <c r="A132" s="10" t="s">
        <v>13</v>
      </c>
      <c r="B132" s="19">
        <f>CHAMNORD!B132</f>
        <v>46149</v>
      </c>
      <c r="C132" s="75">
        <f>IF(H132=0,"",'[9]2025-2026'!C131)</f>
        <v>9220.2900000000009</v>
      </c>
      <c r="D132" s="68">
        <f>'[9]2025'!C132</f>
        <v>8758.67</v>
      </c>
      <c r="E132" s="68">
        <f>'[9]2025'!D132</f>
        <v>8647.4599999999991</v>
      </c>
      <c r="F132" s="20">
        <f>'[9]2025'!E132</f>
        <v>405</v>
      </c>
      <c r="G132" s="73">
        <f>'[9]2025'!F132</f>
        <v>9000</v>
      </c>
      <c r="H132" s="42">
        <f>'[9]2025'!G132</f>
        <v>8120.61</v>
      </c>
      <c r="I132" s="13">
        <f>'[9]2025'!H132</f>
        <v>8008.11</v>
      </c>
      <c r="J132" s="14">
        <f>'[9]2025'!I132</f>
        <v>439</v>
      </c>
      <c r="K132" s="15">
        <f>'[9]2025'!J132</f>
        <v>84.46</v>
      </c>
      <c r="L132" s="15">
        <f>'[9]2025'!K132</f>
        <v>110.73</v>
      </c>
      <c r="M132" s="15">
        <f>'[9]2025'!L132</f>
        <v>10.45</v>
      </c>
      <c r="N132" s="16">
        <f t="shared" ref="N132:N195" si="8">IF(M132=0,"",M132/I132)</f>
        <v>1.3049271301218389E-3</v>
      </c>
      <c r="O132" s="17">
        <f t="shared" ref="O132:P195" si="9">IF(I132=0,"",(I132-E132)/E132)</f>
        <v>-7.3935005192276054E-2</v>
      </c>
      <c r="P132" s="17">
        <f t="shared" si="9"/>
        <v>8.3950617283950618E-2</v>
      </c>
      <c r="Q132" s="18">
        <f t="shared" ref="Q132:Q195" si="10">IF(I132=0,"",I132/K132)</f>
        <v>94.815415581340289</v>
      </c>
      <c r="R132" s="18">
        <f t="shared" ref="R132:R195" si="11">I132/L132</f>
        <v>72.321051205635328</v>
      </c>
      <c r="S132" s="34"/>
      <c r="T132" s="29" t="s">
        <v>8</v>
      </c>
      <c r="U132" s="1738"/>
    </row>
    <row r="133" spans="1:21">
      <c r="A133" s="10" t="s">
        <v>14</v>
      </c>
      <c r="B133" s="19">
        <f>CHAMNORD!B133</f>
        <v>46150</v>
      </c>
      <c r="C133" s="75">
        <f>IF(H133=0,"",'[9]2025-2026'!C132)</f>
        <v>8758.67</v>
      </c>
      <c r="D133" s="68">
        <f>'[9]2025'!C133</f>
        <v>9405.08</v>
      </c>
      <c r="E133" s="68">
        <f>'[9]2025'!D133</f>
        <v>9331.81</v>
      </c>
      <c r="F133" s="20">
        <f>'[9]2025'!E133</f>
        <v>498</v>
      </c>
      <c r="G133" s="73">
        <f>'[9]2025'!F133</f>
        <v>10400</v>
      </c>
      <c r="H133" s="42">
        <f>'[9]2025'!G133</f>
        <v>8602.07</v>
      </c>
      <c r="I133" s="13">
        <f>'[9]2025'!H133</f>
        <v>8458.15</v>
      </c>
      <c r="J133" s="14">
        <f>'[9]2025'!I133</f>
        <v>414</v>
      </c>
      <c r="K133" s="15">
        <f>'[9]2025'!J133</f>
        <v>85.9</v>
      </c>
      <c r="L133" s="15">
        <f>'[9]2025'!K133</f>
        <v>109.8</v>
      </c>
      <c r="M133" s="15">
        <f>'[9]2025'!L133</f>
        <v>34.99</v>
      </c>
      <c r="N133" s="16">
        <f t="shared" si="8"/>
        <v>4.1368384339364999E-3</v>
      </c>
      <c r="O133" s="17">
        <f t="shared" si="9"/>
        <v>-9.3621708971785747E-2</v>
      </c>
      <c r="P133" s="17">
        <f t="shared" si="9"/>
        <v>-0.16867469879518071</v>
      </c>
      <c r="Q133" s="18">
        <f t="shared" si="10"/>
        <v>98.465075669382998</v>
      </c>
      <c r="R133" s="18">
        <f t="shared" si="11"/>
        <v>77.032331511839701</v>
      </c>
      <c r="S133" s="36" t="s">
        <v>40</v>
      </c>
      <c r="T133" s="48">
        <f>SUM(I129:I135)/SUM(L129:L135)</f>
        <v>83.028295053270142</v>
      </c>
      <c r="U133" s="1738"/>
    </row>
    <row r="134" spans="1:21">
      <c r="A134" s="10" t="s">
        <v>15</v>
      </c>
      <c r="B134" s="19">
        <f>CHAMNORD!B134</f>
        <v>46151</v>
      </c>
      <c r="C134" s="75">
        <f>IF(H134=0,"",'[9]2025-2026'!C133)</f>
        <v>9405.08</v>
      </c>
      <c r="D134" s="68">
        <f>'[9]2025'!C134</f>
        <v>8321.18</v>
      </c>
      <c r="E134" s="68">
        <f>'[9]2025'!D134</f>
        <v>8242.07</v>
      </c>
      <c r="F134" s="20">
        <f>'[9]2025'!E134</f>
        <v>412</v>
      </c>
      <c r="G134" s="73">
        <f>'[9]2025'!F134</f>
        <v>8200</v>
      </c>
      <c r="H134" s="42">
        <f>'[9]2025'!G134</f>
        <v>7564.8</v>
      </c>
      <c r="I134" s="13">
        <f>'[9]2025'!H134</f>
        <v>7425.56</v>
      </c>
      <c r="J134" s="14">
        <f>'[9]2025'!I134</f>
        <v>376</v>
      </c>
      <c r="K134" s="15">
        <f>'[9]2025'!J134</f>
        <v>75.42</v>
      </c>
      <c r="L134" s="15">
        <f>'[9]2025'!K134</f>
        <v>91.77</v>
      </c>
      <c r="M134" s="15">
        <f>'[9]2025'!L134</f>
        <v>29.58</v>
      </c>
      <c r="N134" s="16">
        <f t="shared" si="8"/>
        <v>3.9835379419195316E-3</v>
      </c>
      <c r="O134" s="17">
        <f t="shared" si="9"/>
        <v>-9.9066132658421888E-2</v>
      </c>
      <c r="P134" s="17">
        <f t="shared" si="9"/>
        <v>-8.7378640776699032E-2</v>
      </c>
      <c r="Q134" s="18">
        <f t="shared" si="10"/>
        <v>98.456112437019357</v>
      </c>
      <c r="R134" s="18">
        <f t="shared" si="11"/>
        <v>80.914895935490904</v>
      </c>
      <c r="S134" s="36">
        <f>SUM(J129:J135)</f>
        <v>2853</v>
      </c>
      <c r="T134" s="30" t="s">
        <v>3</v>
      </c>
      <c r="U134" s="1738"/>
    </row>
    <row r="135" spans="1:21" ht="18" thickBot="1">
      <c r="A135" s="10" t="s">
        <v>16</v>
      </c>
      <c r="B135" s="19">
        <f>CHAMNORD!B135</f>
        <v>46152</v>
      </c>
      <c r="C135" s="75">
        <f>IF(H135=0,"",'[9]2025-2026'!C134)</f>
        <v>8321.18</v>
      </c>
      <c r="D135" s="68">
        <f>'[9]2025'!C135</f>
        <v>9926.24</v>
      </c>
      <c r="E135" s="68">
        <f>'[9]2025'!D135</f>
        <v>9840.4</v>
      </c>
      <c r="F135" s="20">
        <f>'[9]2025'!E135</f>
        <v>428</v>
      </c>
      <c r="G135" s="73">
        <f>'[9]2025'!F135</f>
        <v>10000</v>
      </c>
      <c r="H135" s="42">
        <f>'[9]2025'!G135</f>
        <v>10410.69</v>
      </c>
      <c r="I135" s="13">
        <f>'[9]2025'!H135</f>
        <v>10227.870000000001</v>
      </c>
      <c r="J135" s="14">
        <f>'[9]2025'!I135</f>
        <v>446</v>
      </c>
      <c r="K135" s="15">
        <f>'[9]2025'!J135</f>
        <v>66.63</v>
      </c>
      <c r="L135" s="15">
        <f>'[9]2025'!K135</f>
        <v>83.48</v>
      </c>
      <c r="M135" s="15">
        <f>'[9]2025'!L135</f>
        <v>30.9</v>
      </c>
      <c r="N135" s="16">
        <f t="shared" si="8"/>
        <v>3.021156897770503E-3</v>
      </c>
      <c r="O135" s="17">
        <f t="shared" si="9"/>
        <v>3.9375431893012597E-2</v>
      </c>
      <c r="P135" s="17">
        <f t="shared" si="9"/>
        <v>4.2056074766355138E-2</v>
      </c>
      <c r="Q135" s="18">
        <f t="shared" si="10"/>
        <v>153.50247636199913</v>
      </c>
      <c r="R135" s="18">
        <f t="shared" si="11"/>
        <v>122.51880689985626</v>
      </c>
      <c r="S135" s="37">
        <f>(S134-SUM(F129:F135))/SUM(F129:F135)</f>
        <v>-1.4507772020725389E-2</v>
      </c>
      <c r="T135" s="47">
        <f>SUM(M129:M135)/SUM(I129:I135)</f>
        <v>3.7499411572581597E-3</v>
      </c>
      <c r="U135" s="1739"/>
    </row>
    <row r="136" spans="1:21" ht="17" customHeight="1" thickTop="1">
      <c r="A136" s="10" t="s">
        <v>9</v>
      </c>
      <c r="B136" s="19">
        <f>CHAMNORD!B136</f>
        <v>46153</v>
      </c>
      <c r="C136" s="75">
        <f>IF(H136=0,"",'[9]2025-2026'!C135)</f>
        <v>9926.24</v>
      </c>
      <c r="D136" s="68">
        <f>'[9]2025'!C136</f>
        <v>5186.58</v>
      </c>
      <c r="E136" s="68">
        <f>'[9]2025'!D136</f>
        <v>5144.99</v>
      </c>
      <c r="F136" s="20">
        <f>'[9]2025'!E136</f>
        <v>323</v>
      </c>
      <c r="G136" s="73">
        <f>'[9]2025'!F136</f>
        <v>5100</v>
      </c>
      <c r="H136" s="42">
        <f>'[9]2025'!G136</f>
        <v>5351.15</v>
      </c>
      <c r="I136" s="13">
        <f>'[9]2025'!H136</f>
        <v>5262.62</v>
      </c>
      <c r="J136" s="14">
        <f>'[9]2025'!I136</f>
        <v>333</v>
      </c>
      <c r="K136" s="15">
        <f>'[9]2025'!J136</f>
        <v>55.18</v>
      </c>
      <c r="L136" s="15">
        <f>'[9]2025'!K136</f>
        <v>63.35</v>
      </c>
      <c r="M136" s="15">
        <f>'[9]2025'!L136</f>
        <v>44.93</v>
      </c>
      <c r="N136" s="16">
        <f t="shared" si="8"/>
        <v>8.5375725399135793E-3</v>
      </c>
      <c r="O136" s="17">
        <f t="shared" si="9"/>
        <v>2.2863018198286122E-2</v>
      </c>
      <c r="P136" s="17">
        <f t="shared" si="9"/>
        <v>3.0959752321981424E-2</v>
      </c>
      <c r="Q136" s="18">
        <f t="shared" si="10"/>
        <v>95.37187386734324</v>
      </c>
      <c r="R136" s="18">
        <f t="shared" si="11"/>
        <v>83.072138910812939</v>
      </c>
      <c r="S136" s="33" t="s">
        <v>39</v>
      </c>
      <c r="T136" s="31" t="s">
        <v>42</v>
      </c>
      <c r="U136" s="1737" t="s">
        <v>102</v>
      </c>
    </row>
    <row r="137" spans="1:21">
      <c r="A137" s="10" t="s">
        <v>11</v>
      </c>
      <c r="B137" s="19">
        <f>CHAMNORD!B137</f>
        <v>46154</v>
      </c>
      <c r="C137" s="75">
        <f>IF(H137=0,"",'[9]2025-2026'!C136)</f>
        <v>5186.58</v>
      </c>
      <c r="D137" s="68">
        <f>'[9]2025'!C137</f>
        <v>6489.78</v>
      </c>
      <c r="E137" s="68">
        <f>'[9]2025'!D137</f>
        <v>6439.48</v>
      </c>
      <c r="F137" s="20">
        <f>'[9]2025'!E137</f>
        <v>387</v>
      </c>
      <c r="G137" s="73">
        <f>'[9]2025'!F137</f>
        <v>6400</v>
      </c>
      <c r="H137" s="42">
        <f>'[9]2025'!G137</f>
        <v>6534.67</v>
      </c>
      <c r="I137" s="13">
        <f>'[9]2025'!H137</f>
        <v>6459.36</v>
      </c>
      <c r="J137" s="14">
        <f>'[9]2025'!I137</f>
        <v>392</v>
      </c>
      <c r="K137" s="15">
        <f>'[9]2025'!J137</f>
        <v>79.709999999999994</v>
      </c>
      <c r="L137" s="15">
        <f>'[9]2025'!K137</f>
        <v>97.39</v>
      </c>
      <c r="M137" s="15">
        <f>'[9]2025'!L137</f>
        <v>69.33</v>
      </c>
      <c r="N137" s="16">
        <f t="shared" si="8"/>
        <v>1.0733261499591291E-2</v>
      </c>
      <c r="O137" s="17">
        <f t="shared" si="9"/>
        <v>3.0872057992260417E-3</v>
      </c>
      <c r="P137" s="17">
        <f t="shared" si="9"/>
        <v>1.2919896640826873E-2</v>
      </c>
      <c r="Q137" s="18">
        <f t="shared" si="10"/>
        <v>81.035754610462931</v>
      </c>
      <c r="R137" s="18">
        <f t="shared" si="11"/>
        <v>66.324673991169519</v>
      </c>
      <c r="S137" s="34">
        <f>SUM(I136:I142)</f>
        <v>51487.859999999993</v>
      </c>
      <c r="T137" s="45" t="s">
        <v>41</v>
      </c>
      <c r="U137" s="1738"/>
    </row>
    <row r="138" spans="1:21">
      <c r="A138" s="10" t="s">
        <v>12</v>
      </c>
      <c r="B138" s="19">
        <f>CHAMNORD!B138</f>
        <v>46155</v>
      </c>
      <c r="C138" s="75">
        <f>IF(H138=0,"",'[9]2025-2026'!C137)</f>
        <v>6489.78</v>
      </c>
      <c r="D138" s="68">
        <f>'[9]2025'!C138</f>
        <v>7020.36</v>
      </c>
      <c r="E138" s="68">
        <f>'[9]2025'!D138</f>
        <v>6947.76</v>
      </c>
      <c r="F138" s="20">
        <f>'[9]2025'!E138</f>
        <v>406</v>
      </c>
      <c r="G138" s="73">
        <f>'[9]2025'!F138</f>
        <v>8400</v>
      </c>
      <c r="H138" s="42">
        <f>'[9]2025'!G138</f>
        <v>8435.2199999999993</v>
      </c>
      <c r="I138" s="13">
        <f>'[9]2025'!H138</f>
        <v>8321.3700000000008</v>
      </c>
      <c r="J138" s="14">
        <f>'[9]2025'!I138</f>
        <v>429</v>
      </c>
      <c r="K138" s="15">
        <f>'[9]2025'!J138</f>
        <v>81.819999999999993</v>
      </c>
      <c r="L138" s="15">
        <f>'[9]2025'!K138</f>
        <v>98.98</v>
      </c>
      <c r="M138" s="15">
        <f>'[9]2025'!L138</f>
        <v>55.86</v>
      </c>
      <c r="N138" s="16">
        <f t="shared" si="8"/>
        <v>6.7128369487235865E-3</v>
      </c>
      <c r="O138" s="17">
        <f t="shared" si="9"/>
        <v>0.19770544751114036</v>
      </c>
      <c r="P138" s="17">
        <f t="shared" si="9"/>
        <v>5.6650246305418719E-2</v>
      </c>
      <c r="Q138" s="18">
        <f t="shared" si="10"/>
        <v>101.70337325837205</v>
      </c>
      <c r="R138" s="18">
        <f t="shared" si="11"/>
        <v>84.071226510406149</v>
      </c>
      <c r="S138" s="35">
        <f>(S137-SUM(E136:E142))/SUM(E136:E142)</f>
        <v>-1.7627348376528081E-2</v>
      </c>
      <c r="T138" s="48">
        <f>SUM(I136:I142)/SUM(K136:K142)</f>
        <v>96.48606712516164</v>
      </c>
      <c r="U138" s="1738"/>
    </row>
    <row r="139" spans="1:21">
      <c r="A139" s="10" t="s">
        <v>13</v>
      </c>
      <c r="B139" s="19">
        <f>CHAMNORD!B139</f>
        <v>46156</v>
      </c>
      <c r="C139" s="75">
        <f>IF(H139=0,"",'[9]2025-2026'!C138)</f>
        <v>7020.36</v>
      </c>
      <c r="D139" s="68">
        <f>'[9]2025'!C139</f>
        <v>6834.66</v>
      </c>
      <c r="E139" s="68">
        <f>'[9]2025'!D139</f>
        <v>6769.87</v>
      </c>
      <c r="F139" s="20">
        <f>'[9]2025'!E139</f>
        <v>434</v>
      </c>
      <c r="G139" s="73">
        <f>'[9]2025'!F139</f>
        <v>8000</v>
      </c>
      <c r="H139" s="42">
        <f>'[9]2025'!G139</f>
        <v>9274.7099999999991</v>
      </c>
      <c r="I139" s="13">
        <f>'[9]2025'!H139</f>
        <v>9137.6299999999992</v>
      </c>
      <c r="J139" s="14">
        <f>'[9]2025'!I139</f>
        <v>435</v>
      </c>
      <c r="K139" s="15">
        <f>'[9]2025'!J139</f>
        <v>81.92</v>
      </c>
      <c r="L139" s="15">
        <f>'[9]2025'!K139</f>
        <v>89.8</v>
      </c>
      <c r="M139" s="15">
        <f>'[9]2025'!L139</f>
        <v>21.48</v>
      </c>
      <c r="N139" s="16">
        <f t="shared" si="8"/>
        <v>2.3507189500997527E-3</v>
      </c>
      <c r="O139" s="17">
        <f t="shared" si="9"/>
        <v>0.34974969977266912</v>
      </c>
      <c r="P139" s="17">
        <f t="shared" si="9"/>
        <v>2.304147465437788E-3</v>
      </c>
      <c r="Q139" s="18">
        <f t="shared" si="10"/>
        <v>111.54333496093749</v>
      </c>
      <c r="R139" s="18">
        <f t="shared" si="11"/>
        <v>101.75534521158129</v>
      </c>
      <c r="S139" s="34"/>
      <c r="T139" s="29" t="s">
        <v>8</v>
      </c>
      <c r="U139" s="1738"/>
    </row>
    <row r="140" spans="1:21">
      <c r="A140" s="10" t="s">
        <v>14</v>
      </c>
      <c r="B140" s="19">
        <f>CHAMNORD!B140</f>
        <v>46157</v>
      </c>
      <c r="C140" s="75">
        <f>IF(H140=0,"",'[9]2025-2026'!C139)</f>
        <v>6834.66</v>
      </c>
      <c r="D140" s="68">
        <f>'[9]2025'!C140</f>
        <v>9238.86</v>
      </c>
      <c r="E140" s="68">
        <f>'[9]2025'!D140</f>
        <v>9162.1200000000008</v>
      </c>
      <c r="F140" s="20">
        <f>'[9]2025'!E140</f>
        <v>527</v>
      </c>
      <c r="G140" s="73">
        <f>'[9]2025'!F140</f>
        <v>9000</v>
      </c>
      <c r="H140" s="42">
        <f>'[9]2025'!G140</f>
        <v>7158.13</v>
      </c>
      <c r="I140" s="13">
        <f>'[9]2025'!H140</f>
        <v>7014.59</v>
      </c>
      <c r="J140" s="14">
        <f>'[9]2025'!I140</f>
        <v>359</v>
      </c>
      <c r="K140" s="15">
        <f>'[9]2025'!J140</f>
        <v>79.209999999999994</v>
      </c>
      <c r="L140" s="15">
        <f>'[9]2025'!K140</f>
        <v>96.77</v>
      </c>
      <c r="M140" s="15">
        <f>'[9]2025'!L140</f>
        <v>37.590000000000003</v>
      </c>
      <c r="N140" s="16">
        <f t="shared" si="8"/>
        <v>5.3588306657980011E-3</v>
      </c>
      <c r="O140" s="17">
        <f t="shared" si="9"/>
        <v>-0.23439225856024593</v>
      </c>
      <c r="P140" s="17">
        <f t="shared" si="9"/>
        <v>-0.31878557874762808</v>
      </c>
      <c r="Q140" s="18">
        <f t="shared" si="10"/>
        <v>88.556874132054048</v>
      </c>
      <c r="R140" s="18">
        <f t="shared" si="11"/>
        <v>72.487237780303815</v>
      </c>
      <c r="S140" s="36" t="s">
        <v>40</v>
      </c>
      <c r="T140" s="48">
        <f>SUM(I136:I142)/SUM(L136:L142)</f>
        <v>81.124125543581002</v>
      </c>
      <c r="U140" s="1738"/>
    </row>
    <row r="141" spans="1:21">
      <c r="A141" s="10" t="s">
        <v>15</v>
      </c>
      <c r="B141" s="19">
        <f>CHAMNORD!B141</f>
        <v>46158</v>
      </c>
      <c r="C141" s="75">
        <f>IF(H141=0,"",'[9]2025-2026'!C140)</f>
        <v>9238.86</v>
      </c>
      <c r="D141" s="68">
        <f>'[9]2025'!C141</f>
        <v>8342.16</v>
      </c>
      <c r="E141" s="68">
        <f>'[9]2025'!D141</f>
        <v>8251.5499999999993</v>
      </c>
      <c r="F141" s="20">
        <f>'[9]2025'!E141</f>
        <v>417</v>
      </c>
      <c r="G141" s="73">
        <f>'[9]2025'!F141</f>
        <v>7400</v>
      </c>
      <c r="H141" s="42">
        <f>'[9]2025'!G141</f>
        <v>6474.58</v>
      </c>
      <c r="I141" s="13">
        <f>'[9]2025'!H141</f>
        <v>6376.96</v>
      </c>
      <c r="J141" s="14">
        <f>'[9]2025'!I141</f>
        <v>325</v>
      </c>
      <c r="K141" s="15">
        <f>'[9]2025'!J141</f>
        <v>73.849999999999994</v>
      </c>
      <c r="L141" s="15">
        <f>'[9]2025'!K141</f>
        <v>91.37</v>
      </c>
      <c r="M141" s="15">
        <f>'[9]2025'!L141</f>
        <v>40.49</v>
      </c>
      <c r="N141" s="16">
        <f t="shared" si="8"/>
        <v>6.3494204134885591E-3</v>
      </c>
      <c r="O141" s="17">
        <f t="shared" si="9"/>
        <v>-0.22718034793463038</v>
      </c>
      <c r="P141" s="17">
        <f t="shared" si="9"/>
        <v>-0.22062350119904076</v>
      </c>
      <c r="Q141" s="18">
        <f t="shared" si="10"/>
        <v>86.350169262017616</v>
      </c>
      <c r="R141" s="18">
        <f t="shared" si="11"/>
        <v>69.792710955455831</v>
      </c>
      <c r="S141" s="36">
        <f>SUM(J136:J142)</f>
        <v>2659</v>
      </c>
      <c r="T141" s="30" t="s">
        <v>3</v>
      </c>
      <c r="U141" s="1738"/>
    </row>
    <row r="142" spans="1:21" ht="18" thickBot="1">
      <c r="A142" s="10" t="s">
        <v>16</v>
      </c>
      <c r="B142" s="19">
        <f>CHAMNORD!B142</f>
        <v>46159</v>
      </c>
      <c r="C142" s="75">
        <f>IF(H142=0,"",'[9]2025-2026'!C141)</f>
        <v>8342.16</v>
      </c>
      <c r="D142" s="68">
        <f>'[9]2025'!C142</f>
        <v>9790.7000000000007</v>
      </c>
      <c r="E142" s="68">
        <f>'[9]2025'!D142</f>
        <v>9695.9699999999993</v>
      </c>
      <c r="F142" s="20">
        <f>'[9]2025'!E142</f>
        <v>456</v>
      </c>
      <c r="G142" s="73">
        <f>'[9]2025'!F142</f>
        <v>10400</v>
      </c>
      <c r="H142" s="42">
        <f>'[9]2025'!G142</f>
        <v>9059.82</v>
      </c>
      <c r="I142" s="13">
        <f>'[9]2025'!H142</f>
        <v>8915.33</v>
      </c>
      <c r="J142" s="14">
        <f>'[9]2025'!I142</f>
        <v>386</v>
      </c>
      <c r="K142" s="15">
        <f>'[9]2025'!J142</f>
        <v>81.94</v>
      </c>
      <c r="L142" s="15">
        <f>'[9]2025'!K142</f>
        <v>97.02</v>
      </c>
      <c r="M142" s="15">
        <f>'[9]2025'!L142</f>
        <v>37.450000000000003</v>
      </c>
      <c r="N142" s="16">
        <f t="shared" si="8"/>
        <v>4.2006297018730666E-3</v>
      </c>
      <c r="O142" s="17">
        <f t="shared" si="9"/>
        <v>-8.0511800263408345E-2</v>
      </c>
      <c r="P142" s="17">
        <f t="shared" si="9"/>
        <v>-0.15350877192982457</v>
      </c>
      <c r="Q142" s="18">
        <f t="shared" si="10"/>
        <v>108.80314864535026</v>
      </c>
      <c r="R142" s="18">
        <f t="shared" si="11"/>
        <v>91.891671820243246</v>
      </c>
      <c r="S142" s="37">
        <f>(S141-SUM(F136:F142))/SUM(F136:F142)</f>
        <v>-9.8644067796610169E-2</v>
      </c>
      <c r="T142" s="47">
        <f>SUM(M136:M142)/SUM(I136:I142)</f>
        <v>5.9650954613378769E-3</v>
      </c>
      <c r="U142" s="1739"/>
    </row>
    <row r="143" spans="1:21" ht="17" customHeight="1" thickTop="1">
      <c r="A143" s="10" t="s">
        <v>9</v>
      </c>
      <c r="B143" s="19">
        <f>CHAMNORD!B143</f>
        <v>46160</v>
      </c>
      <c r="C143" s="75">
        <f>IF(H143=0,"",'[9]2025-2026'!C142)</f>
        <v>9790.7000000000007</v>
      </c>
      <c r="D143" s="68">
        <f>'[9]2025'!C143</f>
        <v>5110.8599999999997</v>
      </c>
      <c r="E143" s="68">
        <f>'[9]2025'!D143</f>
        <v>5077.04</v>
      </c>
      <c r="F143" s="20">
        <f>'[9]2025'!E143</f>
        <v>305</v>
      </c>
      <c r="G143" s="73">
        <f>'[9]2025'!F143</f>
        <v>5000</v>
      </c>
      <c r="H143" s="42">
        <f>'[9]2025'!G143</f>
        <v>5315.75</v>
      </c>
      <c r="I143" s="13">
        <f>'[9]2025'!H143</f>
        <v>5267.58</v>
      </c>
      <c r="J143" s="14">
        <f>'[9]2025'!I143</f>
        <v>313</v>
      </c>
      <c r="K143" s="15">
        <f>'[9]2025'!J143</f>
        <v>63.43</v>
      </c>
      <c r="L143" s="15">
        <f>'[9]2025'!K143</f>
        <v>81.180000000000007</v>
      </c>
      <c r="M143" s="15">
        <f>'[9]2025'!L143</f>
        <v>27.94</v>
      </c>
      <c r="N143" s="16">
        <f t="shared" si="8"/>
        <v>5.3041434586660295E-3</v>
      </c>
      <c r="O143" s="17">
        <f t="shared" si="9"/>
        <v>3.7529741739281149E-2</v>
      </c>
      <c r="P143" s="17">
        <f t="shared" si="9"/>
        <v>2.6229508196721311E-2</v>
      </c>
      <c r="Q143" s="18">
        <f t="shared" si="10"/>
        <v>83.045562036891056</v>
      </c>
      <c r="R143" s="18">
        <f t="shared" si="11"/>
        <v>64.887657058388754</v>
      </c>
      <c r="S143" s="33" t="s">
        <v>39</v>
      </c>
      <c r="T143" s="31" t="s">
        <v>42</v>
      </c>
      <c r="U143" s="1737" t="s">
        <v>103</v>
      </c>
    </row>
    <row r="144" spans="1:21">
      <c r="A144" s="10" t="s">
        <v>11</v>
      </c>
      <c r="B144" s="19">
        <f>CHAMNORD!B144</f>
        <v>46161</v>
      </c>
      <c r="C144" s="75">
        <f>IF(H144=0,"",'[9]2025-2026'!C143)</f>
        <v>5110.8599999999997</v>
      </c>
      <c r="D144" s="68">
        <f>'[9]2025'!C144</f>
        <v>7016.77</v>
      </c>
      <c r="E144" s="68">
        <f>'[9]2025'!D144</f>
        <v>6960.87</v>
      </c>
      <c r="F144" s="20">
        <f>'[9]2025'!E144</f>
        <v>405</v>
      </c>
      <c r="G144" s="73">
        <f>'[9]2025'!F144</f>
        <v>6500</v>
      </c>
      <c r="H144" s="42">
        <f>'[9]2025'!G144</f>
        <v>6075.89</v>
      </c>
      <c r="I144" s="13">
        <f>'[9]2025'!H144</f>
        <v>6004.87</v>
      </c>
      <c r="J144" s="14">
        <f>'[9]2025'!I144</f>
        <v>351</v>
      </c>
      <c r="K144" s="15">
        <f>'[9]2025'!J144</f>
        <v>79.680000000000007</v>
      </c>
      <c r="L144" s="15">
        <f>'[9]2025'!K144</f>
        <v>88.15</v>
      </c>
      <c r="M144" s="15">
        <f>'[9]2025'!L144</f>
        <v>20.63</v>
      </c>
      <c r="N144" s="16">
        <f t="shared" si="8"/>
        <v>3.4355448161242459E-3</v>
      </c>
      <c r="O144" s="17">
        <f t="shared" si="9"/>
        <v>-0.13733915444477487</v>
      </c>
      <c r="P144" s="17">
        <f t="shared" si="9"/>
        <v>-0.13333333333333333</v>
      </c>
      <c r="Q144" s="18">
        <f t="shared" si="10"/>
        <v>75.362324297188749</v>
      </c>
      <c r="R144" s="18">
        <f t="shared" si="11"/>
        <v>68.121043675553025</v>
      </c>
      <c r="S144" s="34">
        <f>SUM(I143:I149)</f>
        <v>50897.66</v>
      </c>
      <c r="T144" s="45" t="s">
        <v>41</v>
      </c>
      <c r="U144" s="1738"/>
    </row>
    <row r="145" spans="1:21">
      <c r="A145" s="10" t="s">
        <v>12</v>
      </c>
      <c r="B145" s="19">
        <f>CHAMNORD!B145</f>
        <v>46162</v>
      </c>
      <c r="C145" s="75">
        <f>IF(H145=0,"",'[9]2025-2026'!C144)</f>
        <v>7016.77</v>
      </c>
      <c r="D145" s="68">
        <f>'[9]2025'!C145</f>
        <v>7203.81</v>
      </c>
      <c r="E145" s="68">
        <f>'[9]2025'!D145</f>
        <v>7108.42</v>
      </c>
      <c r="F145" s="20">
        <f>'[9]2025'!E145</f>
        <v>385</v>
      </c>
      <c r="G145" s="73">
        <f>'[9]2025'!F145</f>
        <v>7000</v>
      </c>
      <c r="H145" s="42">
        <f>'[9]2025'!G145</f>
        <v>6597.49</v>
      </c>
      <c r="I145" s="13">
        <f>'[9]2025'!H145</f>
        <v>6518.13</v>
      </c>
      <c r="J145" s="14">
        <f>'[9]2025'!I145</f>
        <v>357</v>
      </c>
      <c r="K145" s="15">
        <f>'[9]2025'!J145</f>
        <v>73.05</v>
      </c>
      <c r="L145" s="15">
        <f>'[9]2025'!K145</f>
        <v>89.07</v>
      </c>
      <c r="M145" s="15">
        <f>'[9]2025'!L145</f>
        <v>37.68</v>
      </c>
      <c r="N145" s="16">
        <f t="shared" si="8"/>
        <v>5.7807990942187401E-3</v>
      </c>
      <c r="O145" s="17">
        <f t="shared" si="9"/>
        <v>-8.3040957062188211E-2</v>
      </c>
      <c r="P145" s="17">
        <f t="shared" si="9"/>
        <v>-7.2727272727272724E-2</v>
      </c>
      <c r="Q145" s="18">
        <f t="shared" si="10"/>
        <v>89.228336755646822</v>
      </c>
      <c r="R145" s="18">
        <f t="shared" si="11"/>
        <v>73.179858538228373</v>
      </c>
      <c r="S145" s="35">
        <f>(S144-SUM(E143:E149))/SUM(E143:E149)</f>
        <v>-5.5411479078350909E-2</v>
      </c>
      <c r="T145" s="48">
        <f>SUM(I143:I149)/SUM(K143:K149)</f>
        <v>91.922810186021323</v>
      </c>
      <c r="U145" s="1738"/>
    </row>
    <row r="146" spans="1:21">
      <c r="A146" s="10" t="s">
        <v>13</v>
      </c>
      <c r="B146" s="19">
        <f>CHAMNORD!B146</f>
        <v>46163</v>
      </c>
      <c r="C146" s="75">
        <f>IF(H146=0,"",'[9]2025-2026'!C145)</f>
        <v>7203.81</v>
      </c>
      <c r="D146" s="68">
        <f>'[9]2025'!C146</f>
        <v>7006.53</v>
      </c>
      <c r="E146" s="68">
        <f>'[9]2025'!D146</f>
        <v>6953.85</v>
      </c>
      <c r="F146" s="20">
        <f>'[9]2025'!E146</f>
        <v>404</v>
      </c>
      <c r="G146" s="73">
        <f>'[9]2025'!F146</f>
        <v>7100</v>
      </c>
      <c r="H146" s="42">
        <f>'[9]2025'!G146</f>
        <v>5909.16</v>
      </c>
      <c r="I146" s="13">
        <f>'[9]2025'!H146</f>
        <v>5834.83</v>
      </c>
      <c r="J146" s="14">
        <f>'[9]2025'!I146</f>
        <v>363</v>
      </c>
      <c r="K146" s="15">
        <f>'[9]2025'!J146</f>
        <v>76.7</v>
      </c>
      <c r="L146" s="15">
        <f>'[9]2025'!K146</f>
        <v>92.73</v>
      </c>
      <c r="M146" s="15">
        <f>'[9]2025'!L146</f>
        <v>40.58</v>
      </c>
      <c r="N146" s="16">
        <f t="shared" si="8"/>
        <v>6.9547870289280063E-3</v>
      </c>
      <c r="O146" s="17">
        <f t="shared" si="9"/>
        <v>-0.16092092869417665</v>
      </c>
      <c r="P146" s="17">
        <f t="shared" si="9"/>
        <v>-0.10148514851485149</v>
      </c>
      <c r="Q146" s="18">
        <f t="shared" si="10"/>
        <v>76.073402868318112</v>
      </c>
      <c r="R146" s="18">
        <f t="shared" si="11"/>
        <v>62.922786584708291</v>
      </c>
      <c r="S146" s="34"/>
      <c r="T146" s="29" t="s">
        <v>8</v>
      </c>
      <c r="U146" s="1738"/>
    </row>
    <row r="147" spans="1:21">
      <c r="A147" s="10" t="s">
        <v>14</v>
      </c>
      <c r="B147" s="19">
        <f>CHAMNORD!B147</f>
        <v>46164</v>
      </c>
      <c r="C147" s="75">
        <f>IF(H147=0,"",'[9]2025-2026'!C146)</f>
        <v>7006.53</v>
      </c>
      <c r="D147" s="68">
        <f>'[9]2025'!C147</f>
        <v>9519.01</v>
      </c>
      <c r="E147" s="68">
        <f>'[9]2025'!D147</f>
        <v>9394.2900000000009</v>
      </c>
      <c r="F147" s="20">
        <f>'[9]2025'!E147</f>
        <v>528</v>
      </c>
      <c r="G147" s="73">
        <f>'[9]2025'!F147</f>
        <v>9700</v>
      </c>
      <c r="H147" s="42">
        <f>'[9]2025'!G147</f>
        <v>9101.59</v>
      </c>
      <c r="I147" s="13">
        <f>'[9]2025'!H147</f>
        <v>8990.9699999999993</v>
      </c>
      <c r="J147" s="14">
        <f>'[9]2025'!I147</f>
        <v>490</v>
      </c>
      <c r="K147" s="15">
        <f>'[9]2025'!J147</f>
        <v>102.07</v>
      </c>
      <c r="L147" s="15">
        <f>'[9]2025'!K147</f>
        <v>119.62</v>
      </c>
      <c r="M147" s="15">
        <f>'[9]2025'!L147</f>
        <v>45.66</v>
      </c>
      <c r="N147" s="16">
        <f t="shared" si="8"/>
        <v>5.0784286901190863E-3</v>
      </c>
      <c r="O147" s="17">
        <f t="shared" si="9"/>
        <v>-4.2932462165847708E-2</v>
      </c>
      <c r="P147" s="17">
        <f t="shared" si="9"/>
        <v>-7.1969696969696975E-2</v>
      </c>
      <c r="Q147" s="18">
        <f t="shared" si="10"/>
        <v>88.086313314392086</v>
      </c>
      <c r="R147" s="18">
        <f t="shared" si="11"/>
        <v>75.16276542384216</v>
      </c>
      <c r="S147" s="36" t="s">
        <v>40</v>
      </c>
      <c r="T147" s="48">
        <f>SUM(I143:I149)/SUM(L143:L149)</f>
        <v>76.572378516624042</v>
      </c>
      <c r="U147" s="1738"/>
    </row>
    <row r="148" spans="1:21">
      <c r="A148" s="10" t="s">
        <v>15</v>
      </c>
      <c r="B148" s="19">
        <f>CHAMNORD!B148</f>
        <v>46165</v>
      </c>
      <c r="C148" s="75">
        <f>IF(H148=0,"",'[9]2025-2026'!C147)</f>
        <v>9519.01</v>
      </c>
      <c r="D148" s="68">
        <f>'[9]2025'!C148</f>
        <v>9666.2999999999993</v>
      </c>
      <c r="E148" s="68">
        <f>'[9]2025'!D148</f>
        <v>9549.4599999999991</v>
      </c>
      <c r="F148" s="20">
        <f>'[9]2025'!E148</f>
        <v>448</v>
      </c>
      <c r="G148" s="73">
        <f>'[9]2025'!F148</f>
        <v>8500</v>
      </c>
      <c r="H148" s="42">
        <f>'[9]2025'!G148</f>
        <v>8630.5</v>
      </c>
      <c r="I148" s="13">
        <f>'[9]2025'!H148</f>
        <v>8517.4500000000007</v>
      </c>
      <c r="J148" s="14">
        <f>'[9]2025'!I148</f>
        <v>425</v>
      </c>
      <c r="K148" s="15">
        <f>'[9]2025'!J148</f>
        <v>81.849999999999994</v>
      </c>
      <c r="L148" s="15">
        <f>'[9]2025'!K148</f>
        <v>99.5</v>
      </c>
      <c r="M148" s="15">
        <f>'[9]2025'!L148</f>
        <v>37.270000000000003</v>
      </c>
      <c r="N148" s="16">
        <f t="shared" si="8"/>
        <v>4.3757227808792539E-3</v>
      </c>
      <c r="O148" s="17">
        <f t="shared" si="9"/>
        <v>-0.10806998510910548</v>
      </c>
      <c r="P148" s="17">
        <f t="shared" si="9"/>
        <v>-5.1339285714285712E-2</v>
      </c>
      <c r="Q148" s="18">
        <f t="shared" si="10"/>
        <v>104.06169822846672</v>
      </c>
      <c r="R148" s="18">
        <f t="shared" si="11"/>
        <v>85.602512562814084</v>
      </c>
      <c r="S148" s="36">
        <f>SUM(J143:J149)</f>
        <v>2786</v>
      </c>
      <c r="T148" s="30" t="s">
        <v>3</v>
      </c>
      <c r="U148" s="1738"/>
    </row>
    <row r="149" spans="1:21" ht="18" thickBot="1">
      <c r="A149" s="10" t="s">
        <v>16</v>
      </c>
      <c r="B149" s="19">
        <f>CHAMNORD!B149</f>
        <v>46166</v>
      </c>
      <c r="C149" s="75">
        <f>IF(H149=0,"",'[9]2025-2026'!C148)</f>
        <v>9666.2999999999993</v>
      </c>
      <c r="D149" s="68">
        <f>'[9]2025'!C149</f>
        <v>8922.9699999999993</v>
      </c>
      <c r="E149" s="68">
        <f>'[9]2025'!D149</f>
        <v>8839.49</v>
      </c>
      <c r="F149" s="20">
        <f>'[9]2025'!E149</f>
        <v>421</v>
      </c>
      <c r="G149" s="73">
        <f>'[9]2025'!F149</f>
        <v>9500</v>
      </c>
      <c r="H149" s="42">
        <f>'[9]2025'!G149</f>
        <v>9905.06</v>
      </c>
      <c r="I149" s="13">
        <f>'[9]2025'!H149</f>
        <v>9763.83</v>
      </c>
      <c r="J149" s="14">
        <f>'[9]2025'!I149</f>
        <v>487</v>
      </c>
      <c r="K149" s="15">
        <f>'[9]2025'!J149</f>
        <v>76.92</v>
      </c>
      <c r="L149" s="15">
        <f>'[9]2025'!K149</f>
        <v>94.45</v>
      </c>
      <c r="M149" s="15">
        <f>'[9]2025'!L149</f>
        <v>63.21</v>
      </c>
      <c r="N149" s="16">
        <f t="shared" si="8"/>
        <v>6.4738939534998048E-3</v>
      </c>
      <c r="O149" s="17">
        <f t="shared" si="9"/>
        <v>0.10456938126520876</v>
      </c>
      <c r="P149" s="17">
        <f t="shared" si="9"/>
        <v>0.15676959619952494</v>
      </c>
      <c r="Q149" s="18">
        <f t="shared" si="10"/>
        <v>126.93486739469579</v>
      </c>
      <c r="R149" s="18">
        <f t="shared" si="11"/>
        <v>103.37564849126521</v>
      </c>
      <c r="S149" s="37">
        <f>(S148-SUM(F143:F149))/SUM(F143:F149)</f>
        <v>-3.7983425414364641E-2</v>
      </c>
      <c r="T149" s="47">
        <f>SUM(M143:M149)/SUM(I143:I149)</f>
        <v>5.3631149251262243E-3</v>
      </c>
      <c r="U149" s="1739"/>
    </row>
    <row r="150" spans="1:21" ht="17" customHeight="1" thickTop="1">
      <c r="A150" s="10" t="s">
        <v>9</v>
      </c>
      <c r="B150" s="19">
        <f>CHAMNORD!B150</f>
        <v>46167</v>
      </c>
      <c r="C150" s="75">
        <f>IF(H150=0,"",'[9]2025-2026'!C149)</f>
        <v>8922.9699999999993</v>
      </c>
      <c r="D150" s="68">
        <f>'[9]2025'!C150</f>
        <v>4933.4399999999996</v>
      </c>
      <c r="E150" s="68">
        <f>'[9]2025'!D150</f>
        <v>4879.7299999999996</v>
      </c>
      <c r="F150" s="20">
        <f>'[9]2025'!E150</f>
        <v>297</v>
      </c>
      <c r="G150" s="73">
        <f>'[9]2025'!F150</f>
        <v>8100</v>
      </c>
      <c r="H150" s="42">
        <f>'[9]2025'!G150</f>
        <v>10058.11</v>
      </c>
      <c r="I150" s="13">
        <f>'[9]2025'!H150</f>
        <v>9912.51</v>
      </c>
      <c r="J150" s="14">
        <f>'[9]2025'!I150</f>
        <v>471</v>
      </c>
      <c r="K150" s="15">
        <f>'[9]2025'!J150</f>
        <v>82.92</v>
      </c>
      <c r="L150" s="15">
        <f>'[9]2025'!K150</f>
        <v>101.05</v>
      </c>
      <c r="M150" s="15">
        <f>'[9]2025'!L150</f>
        <v>16.649999999999999</v>
      </c>
      <c r="N150" s="16">
        <f t="shared" si="8"/>
        <v>1.6796956573057679E-3</v>
      </c>
      <c r="O150" s="17">
        <f t="shared" si="9"/>
        <v>1.0313644402456696</v>
      </c>
      <c r="P150" s="17">
        <f t="shared" si="9"/>
        <v>0.58585858585858586</v>
      </c>
      <c r="Q150" s="18">
        <f t="shared" si="10"/>
        <v>119.5430535455861</v>
      </c>
      <c r="R150" s="18">
        <f t="shared" si="11"/>
        <v>98.095101434933213</v>
      </c>
      <c r="S150" s="33" t="s">
        <v>39</v>
      </c>
      <c r="T150" s="31" t="s">
        <v>42</v>
      </c>
      <c r="U150" s="1737" t="s">
        <v>104</v>
      </c>
    </row>
    <row r="151" spans="1:21">
      <c r="A151" s="10" t="s">
        <v>11</v>
      </c>
      <c r="B151" s="19">
        <f>CHAMNORD!B151</f>
        <v>46168</v>
      </c>
      <c r="C151" s="75">
        <f>IF(H151=0,"",'[9]2025-2026'!C150)</f>
        <v>4933.4399999999996</v>
      </c>
      <c r="D151" s="68">
        <f>'[9]2025'!C151</f>
        <v>7500.96</v>
      </c>
      <c r="E151" s="68">
        <f>'[9]2025'!D151</f>
        <v>7423.95</v>
      </c>
      <c r="F151" s="20">
        <f>'[9]2025'!E151</f>
        <v>435</v>
      </c>
      <c r="G151" s="73">
        <f>'[9]2025'!F151</f>
        <v>5600</v>
      </c>
      <c r="H151" s="42">
        <f>'[9]2025'!G151</f>
        <v>5885.32</v>
      </c>
      <c r="I151" s="13">
        <f>'[9]2025'!H151</f>
        <v>5819.94</v>
      </c>
      <c r="J151" s="14">
        <f>'[9]2025'!I151</f>
        <v>336</v>
      </c>
      <c r="K151" s="15">
        <f>'[9]2025'!J151</f>
        <v>59.95</v>
      </c>
      <c r="L151" s="15">
        <f>'[9]2025'!K151</f>
        <v>76.97</v>
      </c>
      <c r="M151" s="15">
        <f>'[9]2025'!L151</f>
        <v>26.54</v>
      </c>
      <c r="N151" s="16">
        <f t="shared" si="8"/>
        <v>4.5601844692556969E-3</v>
      </c>
      <c r="O151" s="17">
        <f t="shared" si="9"/>
        <v>-0.21605883660315603</v>
      </c>
      <c r="P151" s="17">
        <f t="shared" si="9"/>
        <v>-0.22758620689655173</v>
      </c>
      <c r="Q151" s="18">
        <f t="shared" si="10"/>
        <v>97.079899916597157</v>
      </c>
      <c r="R151" s="18">
        <f t="shared" si="11"/>
        <v>75.613096011433015</v>
      </c>
      <c r="S151" s="34">
        <f>SUM(I150:I156)</f>
        <v>56693.97</v>
      </c>
      <c r="T151" s="45" t="s">
        <v>41</v>
      </c>
      <c r="U151" s="1738"/>
    </row>
    <row r="152" spans="1:21">
      <c r="A152" s="10" t="s">
        <v>12</v>
      </c>
      <c r="B152" s="19">
        <f>CHAMNORD!B152</f>
        <v>46169</v>
      </c>
      <c r="C152" s="75">
        <f>IF(H152=0,"",'[9]2025-2026'!C151)</f>
        <v>7500.96</v>
      </c>
      <c r="D152" s="68">
        <f>'[9]2025'!C152</f>
        <v>10005.049999999999</v>
      </c>
      <c r="E152" s="68">
        <f>'[9]2025'!D152</f>
        <v>9886.41</v>
      </c>
      <c r="F152" s="20">
        <f>'[9]2025'!E152</f>
        <v>491</v>
      </c>
      <c r="G152" s="73">
        <f>'[9]2025'!F152</f>
        <v>6700</v>
      </c>
      <c r="H152" s="42">
        <f>'[9]2025'!G152</f>
        <v>7644.48</v>
      </c>
      <c r="I152" s="13">
        <f>'[9]2025'!H152</f>
        <v>7557.6</v>
      </c>
      <c r="J152" s="14">
        <f>'[9]2025'!I152</f>
        <v>382</v>
      </c>
      <c r="K152" s="15">
        <f>'[9]2025'!J152</f>
        <v>64.570000000000007</v>
      </c>
      <c r="L152" s="15">
        <f>'[9]2025'!K152</f>
        <v>81.98</v>
      </c>
      <c r="M152" s="15">
        <f>'[9]2025'!L152</f>
        <v>22.34</v>
      </c>
      <c r="N152" s="16">
        <f t="shared" si="8"/>
        <v>2.9559648565682228E-3</v>
      </c>
      <c r="O152" s="17">
        <f t="shared" si="9"/>
        <v>-0.23555668842380598</v>
      </c>
      <c r="P152" s="17">
        <f t="shared" si="9"/>
        <v>-0.2219959266802444</v>
      </c>
      <c r="Q152" s="18">
        <f t="shared" si="10"/>
        <v>117.04506736874708</v>
      </c>
      <c r="R152" s="18">
        <f t="shared" si="11"/>
        <v>92.188338619175411</v>
      </c>
      <c r="S152" s="35">
        <f>(S151-SUM(E150:E156))/SUM(E150:E156)</f>
        <v>-2.5970190486891472E-2</v>
      </c>
      <c r="T152" s="48">
        <f>SUM(I150:I156)/SUM(K150:K156)</f>
        <v>107.97617415152556</v>
      </c>
      <c r="U152" s="1738"/>
    </row>
    <row r="153" spans="1:21">
      <c r="A153" s="10" t="s">
        <v>13</v>
      </c>
      <c r="B153" s="19">
        <f>CHAMNORD!B153</f>
        <v>46170</v>
      </c>
      <c r="C153" s="75">
        <f>IF(H153=0,"",'[9]2025-2026'!C152)</f>
        <v>10005.049999999999</v>
      </c>
      <c r="D153" s="68">
        <f>'[9]2025'!C153</f>
        <v>8461.44</v>
      </c>
      <c r="E153" s="68">
        <f>'[9]2025'!D153</f>
        <v>8361.14</v>
      </c>
      <c r="F153" s="20">
        <f>'[9]2025'!E153</f>
        <v>394</v>
      </c>
      <c r="G153" s="73">
        <f>'[9]2025'!F153</f>
        <v>8300</v>
      </c>
      <c r="H153" s="42">
        <f>'[9]2025'!G153</f>
        <v>6467.15</v>
      </c>
      <c r="I153" s="13">
        <f>'[9]2025'!H153</f>
        <v>6395.41</v>
      </c>
      <c r="J153" s="14">
        <f>'[9]2025'!I153</f>
        <v>398</v>
      </c>
      <c r="K153" s="15">
        <f>'[9]2025'!J153</f>
        <v>70.570000000000007</v>
      </c>
      <c r="L153" s="15">
        <f>'[9]2025'!K153</f>
        <v>78.62</v>
      </c>
      <c r="M153" s="15">
        <f>'[9]2025'!L153</f>
        <v>54.67</v>
      </c>
      <c r="N153" s="16">
        <f t="shared" si="8"/>
        <v>8.5483182469927657E-3</v>
      </c>
      <c r="O153" s="17">
        <f t="shared" si="9"/>
        <v>-0.23510310794939443</v>
      </c>
      <c r="P153" s="17">
        <f t="shared" si="9"/>
        <v>1.015228426395939E-2</v>
      </c>
      <c r="Q153" s="18">
        <f t="shared" si="10"/>
        <v>90.625053138727495</v>
      </c>
      <c r="R153" s="18">
        <f t="shared" si="11"/>
        <v>81.345840752989048</v>
      </c>
      <c r="S153" s="34"/>
      <c r="T153" s="29" t="s">
        <v>8</v>
      </c>
      <c r="U153" s="1738"/>
    </row>
    <row r="154" spans="1:21">
      <c r="A154" s="10" t="s">
        <v>14</v>
      </c>
      <c r="B154" s="19">
        <f>CHAMNORD!B154</f>
        <v>46171</v>
      </c>
      <c r="C154" s="75">
        <f>IF(H154=0,"",'[9]2025-2026'!C153)</f>
        <v>8461.44</v>
      </c>
      <c r="D154" s="68">
        <f>'[9]2025'!C154</f>
        <v>8462.0400000000009</v>
      </c>
      <c r="E154" s="68">
        <f>'[9]2025'!D154</f>
        <v>8380.77</v>
      </c>
      <c r="F154" s="20">
        <f>'[9]2025'!E154</f>
        <v>408</v>
      </c>
      <c r="G154" s="73">
        <f>'[9]2025'!F154</f>
        <v>9100</v>
      </c>
      <c r="H154" s="42">
        <f>'[9]2025'!G154</f>
        <v>9694.56</v>
      </c>
      <c r="I154" s="13">
        <f>'[9]2025'!H154</f>
        <v>9555.94</v>
      </c>
      <c r="J154" s="14">
        <f>'[9]2025'!I154</f>
        <v>457</v>
      </c>
      <c r="K154" s="15">
        <f>'[9]2025'!J154</f>
        <v>83.759999999999991</v>
      </c>
      <c r="L154" s="15">
        <f>'[9]2025'!K154</f>
        <v>92.08</v>
      </c>
      <c r="M154" s="15">
        <f>'[9]2025'!L154</f>
        <v>44.65</v>
      </c>
      <c r="N154" s="16">
        <f t="shared" si="8"/>
        <v>4.6724864325225985E-3</v>
      </c>
      <c r="O154" s="17">
        <f t="shared" si="9"/>
        <v>0.1402221991535384</v>
      </c>
      <c r="P154" s="17">
        <f t="shared" si="9"/>
        <v>0.12009803921568628</v>
      </c>
      <c r="Q154" s="18">
        <f t="shared" si="10"/>
        <v>114.08715377268388</v>
      </c>
      <c r="R154" s="18">
        <f t="shared" si="11"/>
        <v>103.77867072111208</v>
      </c>
      <c r="S154" s="36" t="s">
        <v>40</v>
      </c>
      <c r="T154" s="48">
        <f>SUM(I150:I156)/SUM(L150:L156)</f>
        <v>90.287086140174864</v>
      </c>
      <c r="U154" s="1738"/>
    </row>
    <row r="155" spans="1:21">
      <c r="A155" s="10" t="s">
        <v>15</v>
      </c>
      <c r="B155" s="19">
        <f>CHAMNORD!B155</f>
        <v>46172</v>
      </c>
      <c r="C155" s="75">
        <f>IF(H155=0,"",'[9]2025-2026'!C154)</f>
        <v>8462.0400000000009</v>
      </c>
      <c r="D155" s="68">
        <f>'[9]2025'!C155</f>
        <v>6915.5</v>
      </c>
      <c r="E155" s="68">
        <f>'[9]2025'!D155</f>
        <v>6824.3</v>
      </c>
      <c r="F155" s="20">
        <f>'[9]2025'!E155</f>
        <v>346</v>
      </c>
      <c r="G155" s="73">
        <f>'[9]2025'!F155</f>
        <v>7900</v>
      </c>
      <c r="H155" s="42">
        <f>'[9]2025'!G155</f>
        <v>8110.24</v>
      </c>
      <c r="I155" s="13">
        <f>'[9]2025'!H155</f>
        <v>8002.68</v>
      </c>
      <c r="J155" s="14">
        <f>'[9]2025'!I155</f>
        <v>387</v>
      </c>
      <c r="K155" s="15">
        <f>'[9]2025'!J155</f>
        <v>74.699999999999989</v>
      </c>
      <c r="L155" s="15">
        <f>'[9]2025'!K155</f>
        <v>83.13</v>
      </c>
      <c r="M155" s="15">
        <f>'[9]2025'!L155</f>
        <v>39.81</v>
      </c>
      <c r="N155" s="16">
        <f t="shared" si="8"/>
        <v>4.9745835145226349E-3</v>
      </c>
      <c r="O155" s="17">
        <f t="shared" si="9"/>
        <v>0.17267412042260746</v>
      </c>
      <c r="P155" s="17">
        <f t="shared" si="9"/>
        <v>0.11849710982658959</v>
      </c>
      <c r="Q155" s="18">
        <f t="shared" si="10"/>
        <v>107.13092369477914</v>
      </c>
      <c r="R155" s="18">
        <f t="shared" si="11"/>
        <v>96.267051605918454</v>
      </c>
      <c r="S155" s="36">
        <f>SUM(J150:J156)</f>
        <v>2870</v>
      </c>
      <c r="T155" s="30" t="s">
        <v>3</v>
      </c>
      <c r="U155" s="1738"/>
    </row>
    <row r="156" spans="1:21" ht="18" thickBot="1">
      <c r="A156" s="10" t="s">
        <v>16</v>
      </c>
      <c r="B156" s="19">
        <f>CHAMNORD!B156</f>
        <v>46173</v>
      </c>
      <c r="C156" s="75">
        <f>IF(H156=0,"",'[9]2025-2026'!C155)</f>
        <v>6915.5</v>
      </c>
      <c r="D156" s="68">
        <f>'[9]2025'!C156</f>
        <v>12566.2</v>
      </c>
      <c r="E156" s="68">
        <f>'[9]2025'!D156</f>
        <v>12449.28</v>
      </c>
      <c r="F156" s="20">
        <f>'[9]2025'!E156</f>
        <v>539</v>
      </c>
      <c r="G156" s="73">
        <f>'[9]2025'!F156</f>
        <v>10200</v>
      </c>
      <c r="H156" s="42">
        <f>'[9]2025'!G156</f>
        <v>9583.34</v>
      </c>
      <c r="I156" s="13">
        <f>'[9]2025'!H156</f>
        <v>9449.89</v>
      </c>
      <c r="J156" s="14">
        <f>'[9]2025'!I156</f>
        <v>439</v>
      </c>
      <c r="K156" s="15">
        <f>'[9]2025'!J156</f>
        <v>88.59</v>
      </c>
      <c r="L156" s="15">
        <f>'[9]2025'!K156</f>
        <v>114.1</v>
      </c>
      <c r="M156" s="15">
        <f>'[9]2025'!L156</f>
        <v>66.28</v>
      </c>
      <c r="N156" s="16">
        <f t="shared" si="8"/>
        <v>7.0138382563183282E-3</v>
      </c>
      <c r="O156" s="17">
        <f t="shared" si="9"/>
        <v>-0.24092879266913436</v>
      </c>
      <c r="P156" s="17">
        <f t="shared" si="9"/>
        <v>-0.18552875695732837</v>
      </c>
      <c r="Q156" s="18">
        <f t="shared" si="10"/>
        <v>106.6699401738345</v>
      </c>
      <c r="R156" s="18">
        <f t="shared" si="11"/>
        <v>82.821121822962311</v>
      </c>
      <c r="S156" s="37">
        <f>(S155-SUM(F150:F156))/SUM(F150:F156)</f>
        <v>-1.3745704467353952E-2</v>
      </c>
      <c r="T156" s="47">
        <f>SUM(M150:M156)/SUM(I150:I156)</f>
        <v>4.7789914871017147E-3</v>
      </c>
      <c r="U156" s="1739"/>
    </row>
    <row r="157" spans="1:21" ht="17" customHeight="1" thickTop="1">
      <c r="A157" s="10" t="s">
        <v>9</v>
      </c>
      <c r="B157" s="19">
        <f>CHAMNORD!B157</f>
        <v>46174</v>
      </c>
      <c r="C157" s="75">
        <f>IF(H157=0,"",'[9]2025-2026'!C156)</f>
        <v>12566.2</v>
      </c>
      <c r="D157" s="68">
        <f>'[9]2025'!C157</f>
        <v>6038.2</v>
      </c>
      <c r="E157" s="68">
        <f>'[9]2025'!D157</f>
        <v>5982.77</v>
      </c>
      <c r="F157" s="20">
        <f>'[9]2025'!E157</f>
        <v>368</v>
      </c>
      <c r="G157" s="73">
        <f>'[9]2025'!F157</f>
        <v>6200</v>
      </c>
      <c r="H157" s="42">
        <f>'[9]2025'!G157</f>
        <v>5580.81</v>
      </c>
      <c r="I157" s="13">
        <f>'[9]2025'!H157</f>
        <v>5475.04</v>
      </c>
      <c r="J157" s="14">
        <f>'[9]2025'!I157</f>
        <v>302</v>
      </c>
      <c r="K157" s="15">
        <f>'[9]2025'!J157</f>
        <v>74.819999999999993</v>
      </c>
      <c r="L157" s="15">
        <f>'[9]2025'!K157</f>
        <v>91.67</v>
      </c>
      <c r="M157" s="15">
        <f>'[9]2025'!L157</f>
        <v>33.770000000000003</v>
      </c>
      <c r="N157" s="16">
        <f t="shared" si="8"/>
        <v>6.1679914667290107E-3</v>
      </c>
      <c r="O157" s="17">
        <f t="shared" si="9"/>
        <v>-8.4865371725806008E-2</v>
      </c>
      <c r="P157" s="17">
        <f t="shared" si="9"/>
        <v>-0.17934782608695651</v>
      </c>
      <c r="Q157" s="18">
        <f t="shared" si="10"/>
        <v>73.176156107992526</v>
      </c>
      <c r="R157" s="18">
        <f t="shared" si="11"/>
        <v>59.725537253190794</v>
      </c>
      <c r="S157" s="33" t="s">
        <v>39</v>
      </c>
      <c r="T157" s="31" t="s">
        <v>42</v>
      </c>
      <c r="U157" s="1737" t="s">
        <v>105</v>
      </c>
    </row>
    <row r="158" spans="1:21">
      <c r="A158" s="10" t="s">
        <v>11</v>
      </c>
      <c r="B158" s="19">
        <f>CHAMNORD!B158</f>
        <v>46175</v>
      </c>
      <c r="C158" s="75">
        <f>IF(H158=0,"",'[9]2025-2026'!C157)</f>
        <v>6038.2</v>
      </c>
      <c r="D158" s="68">
        <f>'[9]2025'!C158</f>
        <v>6813.9</v>
      </c>
      <c r="E158" s="68">
        <f>'[9]2025'!D158</f>
        <v>6774.21</v>
      </c>
      <c r="F158" s="20">
        <f>'[9]2025'!E158</f>
        <v>394</v>
      </c>
      <c r="G158" s="73">
        <f>'[9]2025'!F158</f>
        <v>7000</v>
      </c>
      <c r="H158" s="42">
        <f>'[9]2025'!G158</f>
        <v>6034.86</v>
      </c>
      <c r="I158" s="13">
        <f>'[9]2025'!H158</f>
        <v>5942.84</v>
      </c>
      <c r="J158" s="14">
        <f>'[9]2025'!I158</f>
        <v>341</v>
      </c>
      <c r="K158" s="15">
        <f>'[9]2025'!J158</f>
        <v>83.48</v>
      </c>
      <c r="L158" s="15">
        <f>'[9]2025'!K158</f>
        <v>98.8</v>
      </c>
      <c r="M158" s="15">
        <f>'[9]2025'!L158</f>
        <v>17.5</v>
      </c>
      <c r="N158" s="16">
        <f t="shared" si="8"/>
        <v>2.9447200328462484E-3</v>
      </c>
      <c r="O158" s="17">
        <f t="shared" si="9"/>
        <v>-0.12272574957079864</v>
      </c>
      <c r="P158" s="17">
        <f t="shared" si="9"/>
        <v>-0.13451776649746192</v>
      </c>
      <c r="Q158" s="18">
        <f t="shared" si="10"/>
        <v>71.188787733588882</v>
      </c>
      <c r="R158" s="18">
        <f t="shared" si="11"/>
        <v>60.1502024291498</v>
      </c>
      <c r="S158" s="34">
        <f>SUM(I157:I163)</f>
        <v>57322.979999999996</v>
      </c>
      <c r="T158" s="45" t="s">
        <v>41</v>
      </c>
      <c r="U158" s="1738"/>
    </row>
    <row r="159" spans="1:21">
      <c r="A159" s="10" t="s">
        <v>12</v>
      </c>
      <c r="B159" s="19">
        <f>CHAMNORD!B159</f>
        <v>46176</v>
      </c>
      <c r="C159" s="75">
        <f>IF(H159=0,"",'[9]2025-2026'!C158)</f>
        <v>6813.9</v>
      </c>
      <c r="D159" s="68">
        <f>'[9]2025'!C159</f>
        <v>7232.69</v>
      </c>
      <c r="E159" s="68">
        <f>'[9]2025'!D159</f>
        <v>7098.46</v>
      </c>
      <c r="F159" s="20">
        <f>'[9]2025'!E159</f>
        <v>391</v>
      </c>
      <c r="G159" s="73">
        <f>'[9]2025'!F159</f>
        <v>7300</v>
      </c>
      <c r="H159" s="42">
        <f>'[9]2025'!G159</f>
        <v>7479.9</v>
      </c>
      <c r="I159" s="13">
        <f>'[9]2025'!H159</f>
        <v>7344.91</v>
      </c>
      <c r="J159" s="14">
        <f>'[9]2025'!I159</f>
        <v>390</v>
      </c>
      <c r="K159" s="15">
        <f>'[9]2025'!J159</f>
        <v>87.92</v>
      </c>
      <c r="L159" s="15">
        <f>'[9]2025'!K159</f>
        <v>103.5</v>
      </c>
      <c r="M159" s="15">
        <f>'[9]2025'!L159</f>
        <v>37.29</v>
      </c>
      <c r="N159" s="16">
        <f t="shared" si="8"/>
        <v>5.0769852864092279E-3</v>
      </c>
      <c r="O159" s="17">
        <f t="shared" si="9"/>
        <v>3.4718798161854802E-2</v>
      </c>
      <c r="P159" s="17">
        <f t="shared" si="9"/>
        <v>-2.5575447570332483E-3</v>
      </c>
      <c r="Q159" s="18">
        <f t="shared" si="10"/>
        <v>83.540832575068237</v>
      </c>
      <c r="R159" s="18">
        <f t="shared" si="11"/>
        <v>70.965314009661839</v>
      </c>
      <c r="S159" s="35">
        <f>(S158-SUM(E157:E163))/SUM(E157:E163)</f>
        <v>2.4772937532681772E-2</v>
      </c>
      <c r="T159" s="48">
        <f>SUM(I157:I163)/SUM(K157:K163)</f>
        <v>98.676203263788452</v>
      </c>
      <c r="U159" s="1738"/>
    </row>
    <row r="160" spans="1:21">
      <c r="A160" s="10" t="s">
        <v>13</v>
      </c>
      <c r="B160" s="19">
        <f>CHAMNORD!B160</f>
        <v>46177</v>
      </c>
      <c r="C160" s="75">
        <f>IF(H160=0,"",'[9]2025-2026'!C159)</f>
        <v>7232.69</v>
      </c>
      <c r="D160" s="68">
        <f>'[9]2025'!C160</f>
        <v>6650.39</v>
      </c>
      <c r="E160" s="68">
        <f>'[9]2025'!D160</f>
        <v>6595.78</v>
      </c>
      <c r="F160" s="20">
        <f>'[9]2025'!E160</f>
        <v>416</v>
      </c>
      <c r="G160" s="73">
        <f>'[9]2025'!F160</f>
        <v>6800</v>
      </c>
      <c r="H160" s="42">
        <f>'[9]2025'!G160</f>
        <v>7778.67</v>
      </c>
      <c r="I160" s="13">
        <f>'[9]2025'!H160</f>
        <v>7639.72</v>
      </c>
      <c r="J160" s="14">
        <f>'[9]2025'!I160</f>
        <v>432</v>
      </c>
      <c r="K160" s="15">
        <f>'[9]2025'!J160</f>
        <v>82.88</v>
      </c>
      <c r="L160" s="15">
        <f>'[9]2025'!K160</f>
        <v>98.73</v>
      </c>
      <c r="M160" s="15">
        <f>'[9]2025'!L160</f>
        <v>29.04</v>
      </c>
      <c r="N160" s="16">
        <f t="shared" si="8"/>
        <v>3.8011864309163159E-3</v>
      </c>
      <c r="O160" s="17">
        <f t="shared" si="9"/>
        <v>0.15827392666219925</v>
      </c>
      <c r="P160" s="17">
        <f t="shared" si="9"/>
        <v>3.8461538461538464E-2</v>
      </c>
      <c r="Q160" s="18">
        <f t="shared" si="10"/>
        <v>92.178088803088812</v>
      </c>
      <c r="R160" s="18">
        <f t="shared" si="11"/>
        <v>77.379925048111005</v>
      </c>
      <c r="S160" s="34"/>
      <c r="T160" s="29" t="s">
        <v>8</v>
      </c>
      <c r="U160" s="1738"/>
    </row>
    <row r="161" spans="1:21">
      <c r="A161" s="10" t="s">
        <v>14</v>
      </c>
      <c r="B161" s="19">
        <f>CHAMNORD!B161</f>
        <v>46178</v>
      </c>
      <c r="C161" s="75">
        <f>IF(H161=0,"",'[9]2025-2026'!C160)</f>
        <v>6650.39</v>
      </c>
      <c r="D161" s="68">
        <f>'[9]2025'!C161</f>
        <v>10654.18</v>
      </c>
      <c r="E161" s="68">
        <f>'[9]2025'!D161</f>
        <v>10520.93</v>
      </c>
      <c r="F161" s="20">
        <f>'[9]2025'!E161</f>
        <v>589</v>
      </c>
      <c r="G161" s="73">
        <f>'[9]2025'!F161</f>
        <v>10800</v>
      </c>
      <c r="H161" s="42">
        <f>'[9]2025'!G161</f>
        <v>10306.27</v>
      </c>
      <c r="I161" s="13">
        <f>'[9]2025'!H161</f>
        <v>10127.709999999999</v>
      </c>
      <c r="J161" s="14">
        <f>'[9]2025'!I161</f>
        <v>564</v>
      </c>
      <c r="K161" s="15">
        <f>'[9]2025'!J161</f>
        <v>88.39</v>
      </c>
      <c r="L161" s="15">
        <f>'[9]2025'!K161</f>
        <v>106.85</v>
      </c>
      <c r="M161" s="15">
        <f>'[9]2025'!L161</f>
        <v>55.65</v>
      </c>
      <c r="N161" s="16">
        <f t="shared" si="8"/>
        <v>5.4948255824860707E-3</v>
      </c>
      <c r="O161" s="17">
        <f t="shared" si="9"/>
        <v>-3.737502293048249E-2</v>
      </c>
      <c r="P161" s="17">
        <f t="shared" si="9"/>
        <v>-4.2444821731748725E-2</v>
      </c>
      <c r="Q161" s="18">
        <f t="shared" si="10"/>
        <v>114.57981672134856</v>
      </c>
      <c r="R161" s="18">
        <f t="shared" si="11"/>
        <v>94.784370613008889</v>
      </c>
      <c r="S161" s="36" t="s">
        <v>40</v>
      </c>
      <c r="T161" s="48">
        <f>SUM(I157:I163)/SUM(L157:L163)</f>
        <v>83.239642779350888</v>
      </c>
      <c r="U161" s="1738"/>
    </row>
    <row r="162" spans="1:21">
      <c r="A162" s="10" t="s">
        <v>15</v>
      </c>
      <c r="B162" s="19">
        <f>CHAMNORD!B162</f>
        <v>46179</v>
      </c>
      <c r="C162" s="75">
        <f>IF(H162=0,"",'[9]2025-2026'!C161)</f>
        <v>10654.18</v>
      </c>
      <c r="D162" s="68">
        <f>'[9]2025'!C162</f>
        <v>8740.07</v>
      </c>
      <c r="E162" s="68">
        <f>'[9]2025'!D162</f>
        <v>8661.7900000000009</v>
      </c>
      <c r="F162" s="20">
        <f>'[9]2025'!E162</f>
        <v>445</v>
      </c>
      <c r="G162" s="73">
        <f>'[9]2025'!F162</f>
        <v>8900</v>
      </c>
      <c r="H162" s="42">
        <f>'[9]2025'!G162</f>
        <v>10147.85</v>
      </c>
      <c r="I162" s="13">
        <f>'[9]2025'!H162</f>
        <v>10025.879999999999</v>
      </c>
      <c r="J162" s="14">
        <f>'[9]2025'!I162</f>
        <v>465</v>
      </c>
      <c r="K162" s="15">
        <f>'[9]2025'!J162</f>
        <v>76.48</v>
      </c>
      <c r="L162" s="15">
        <f>'[9]2025'!K162</f>
        <v>84.83</v>
      </c>
      <c r="M162" s="15">
        <f>'[9]2025'!L162</f>
        <v>100.15</v>
      </c>
      <c r="N162" s="16">
        <f t="shared" si="8"/>
        <v>9.9891480847566511E-3</v>
      </c>
      <c r="O162" s="17">
        <f t="shared" si="9"/>
        <v>0.15748361481864581</v>
      </c>
      <c r="P162" s="17">
        <f t="shared" si="9"/>
        <v>4.49438202247191E-2</v>
      </c>
      <c r="Q162" s="18">
        <f t="shared" si="10"/>
        <v>131.09152719665269</v>
      </c>
      <c r="R162" s="18">
        <f t="shared" si="11"/>
        <v>118.18790522220911</v>
      </c>
      <c r="S162" s="36">
        <f>SUM(J157:J163)</f>
        <v>2952</v>
      </c>
      <c r="T162" s="30" t="s">
        <v>3</v>
      </c>
      <c r="U162" s="1738"/>
    </row>
    <row r="163" spans="1:21" ht="18" thickBot="1">
      <c r="A163" s="10" t="s">
        <v>16</v>
      </c>
      <c r="B163" s="19">
        <f>CHAMNORD!B163</f>
        <v>46180</v>
      </c>
      <c r="C163" s="75">
        <f>IF(H163=0,"",'[9]2025-2026'!C162)</f>
        <v>8740.07</v>
      </c>
      <c r="D163" s="68">
        <f>'[9]2025'!C163</f>
        <v>10445.030000000001</v>
      </c>
      <c r="E163" s="68">
        <f>'[9]2025'!D163</f>
        <v>10303.31</v>
      </c>
      <c r="F163" s="20">
        <f>'[9]2025'!E163</f>
        <v>494</v>
      </c>
      <c r="G163" s="73">
        <f>'[9]2025'!F163</f>
        <v>10600</v>
      </c>
      <c r="H163" s="42">
        <f>'[9]2025'!G163</f>
        <v>10947.49</v>
      </c>
      <c r="I163" s="13">
        <f>'[9]2025'!H163</f>
        <v>10766.88</v>
      </c>
      <c r="J163" s="14">
        <f>'[9]2025'!I163</f>
        <v>458</v>
      </c>
      <c r="K163" s="15">
        <f>'[9]2025'!J163</f>
        <v>86.95</v>
      </c>
      <c r="L163" s="15">
        <f>'[9]2025'!K163</f>
        <v>104.27</v>
      </c>
      <c r="M163" s="15">
        <f>'[9]2025'!L163</f>
        <v>58.48</v>
      </c>
      <c r="N163" s="16">
        <f t="shared" si="8"/>
        <v>5.4314713268839255E-3</v>
      </c>
      <c r="O163" s="17">
        <f t="shared" si="9"/>
        <v>4.4992337413899006E-2</v>
      </c>
      <c r="P163" s="17">
        <f t="shared" si="9"/>
        <v>-7.28744939271255E-2</v>
      </c>
      <c r="Q163" s="18">
        <f t="shared" si="10"/>
        <v>123.82840713053477</v>
      </c>
      <c r="R163" s="18">
        <f t="shared" si="11"/>
        <v>103.25961446245324</v>
      </c>
      <c r="S163" s="37">
        <f>(S162-SUM(F157:F163))/SUM(F157:F163)</f>
        <v>-4.681950274459154E-2</v>
      </c>
      <c r="T163" s="47">
        <f>SUM(M157:M163)/SUM(I157:I163)</f>
        <v>5.7896501542662304E-3</v>
      </c>
      <c r="U163" s="1739"/>
    </row>
    <row r="164" spans="1:21" ht="17" customHeight="1" thickTop="1">
      <c r="A164" s="10" t="s">
        <v>9</v>
      </c>
      <c r="B164" s="19">
        <f>CHAMNORD!B164</f>
        <v>46181</v>
      </c>
      <c r="C164" s="75" t="str">
        <f>IF(H164=0,"",'[9]2025-2026'!C163)</f>
        <v/>
      </c>
      <c r="D164" s="68" t="str">
        <f>'[9]2025'!C164</f>
        <v/>
      </c>
      <c r="E164" s="68" t="str">
        <f>'[9]2025'!D164</f>
        <v/>
      </c>
      <c r="F164" s="20" t="str">
        <f>'[9]2025'!E164</f>
        <v/>
      </c>
      <c r="G164" s="73" t="str">
        <f>'[9]2025'!F164</f>
        <v/>
      </c>
      <c r="H164" s="42">
        <f>'[9]2025'!G164</f>
        <v>0</v>
      </c>
      <c r="I164" s="13">
        <f>'[9]2025'!H164</f>
        <v>0</v>
      </c>
      <c r="J164" s="14">
        <f>'[9]2025'!I164</f>
        <v>0</v>
      </c>
      <c r="K164" s="15">
        <f>'[9]2025'!J164</f>
        <v>0</v>
      </c>
      <c r="L164" s="15">
        <f>'[9]2025'!K164</f>
        <v>0</v>
      </c>
      <c r="M164" s="15">
        <f>'[9]2025'!L164</f>
        <v>0</v>
      </c>
      <c r="N164" s="16" t="str">
        <f t="shared" si="8"/>
        <v/>
      </c>
      <c r="O164" s="17" t="str">
        <f t="shared" si="9"/>
        <v/>
      </c>
      <c r="P164" s="17" t="str">
        <f t="shared" si="9"/>
        <v/>
      </c>
      <c r="Q164" s="18" t="str">
        <f t="shared" si="10"/>
        <v/>
      </c>
      <c r="R164" s="18" t="e">
        <f t="shared" si="11"/>
        <v>#DIV/0!</v>
      </c>
      <c r="S164" s="33" t="s">
        <v>39</v>
      </c>
      <c r="T164" s="31" t="s">
        <v>42</v>
      </c>
      <c r="U164" s="1737" t="s">
        <v>106</v>
      </c>
    </row>
    <row r="165" spans="1:21">
      <c r="A165" s="10" t="s">
        <v>11</v>
      </c>
      <c r="B165" s="19">
        <f>CHAMNORD!B165</f>
        <v>46182</v>
      </c>
      <c r="C165" s="75" t="str">
        <f>IF(H165=0,"",'[9]2025-2026'!C164)</f>
        <v/>
      </c>
      <c r="D165" s="68" t="str">
        <f>'[9]2025'!C165</f>
        <v/>
      </c>
      <c r="E165" s="68" t="str">
        <f>'[9]2025'!D165</f>
        <v/>
      </c>
      <c r="F165" s="20" t="str">
        <f>'[9]2025'!E165</f>
        <v/>
      </c>
      <c r="G165" s="73" t="str">
        <f>'[9]2025'!F165</f>
        <v/>
      </c>
      <c r="H165" s="42">
        <f>'[9]2025'!G165</f>
        <v>0</v>
      </c>
      <c r="I165" s="13">
        <f>'[9]2025'!H165</f>
        <v>0</v>
      </c>
      <c r="J165" s="14">
        <f>'[9]2025'!I165</f>
        <v>0</v>
      </c>
      <c r="K165" s="15">
        <f>'[9]2025'!J165</f>
        <v>0</v>
      </c>
      <c r="L165" s="15">
        <f>'[9]2025'!K165</f>
        <v>0</v>
      </c>
      <c r="M165" s="15">
        <f>'[9]2025'!L165</f>
        <v>0</v>
      </c>
      <c r="N165" s="16" t="str">
        <f t="shared" si="8"/>
        <v/>
      </c>
      <c r="O165" s="17" t="str">
        <f t="shared" si="9"/>
        <v/>
      </c>
      <c r="P165" s="17" t="str">
        <f t="shared" si="9"/>
        <v/>
      </c>
      <c r="Q165" s="18" t="str">
        <f t="shared" si="10"/>
        <v/>
      </c>
      <c r="R165" s="18" t="e">
        <f t="shared" si="11"/>
        <v>#DIV/0!</v>
      </c>
      <c r="S165" s="34">
        <f>SUM(I164:I170)</f>
        <v>0</v>
      </c>
      <c r="T165" s="45" t="s">
        <v>41</v>
      </c>
      <c r="U165" s="1738"/>
    </row>
    <row r="166" spans="1:21">
      <c r="A166" s="10" t="s">
        <v>12</v>
      </c>
      <c r="B166" s="19">
        <f>CHAMNORD!B166</f>
        <v>46183</v>
      </c>
      <c r="C166" s="75" t="str">
        <f>IF(H166=0,"",'[9]2025-2026'!C165)</f>
        <v/>
      </c>
      <c r="D166" s="68" t="str">
        <f>'[9]2025'!C166</f>
        <v/>
      </c>
      <c r="E166" s="68" t="str">
        <f>'[9]2025'!D166</f>
        <v/>
      </c>
      <c r="F166" s="20" t="str">
        <f>'[9]2025'!E166</f>
        <v/>
      </c>
      <c r="G166" s="73" t="str">
        <f>'[9]2025'!F166</f>
        <v/>
      </c>
      <c r="H166" s="42">
        <f>'[9]2025'!G166</f>
        <v>0</v>
      </c>
      <c r="I166" s="13">
        <f>'[9]2025'!H166</f>
        <v>0</v>
      </c>
      <c r="J166" s="14">
        <f>'[9]2025'!I166</f>
        <v>0</v>
      </c>
      <c r="K166" s="15">
        <f>'[9]2025'!J166</f>
        <v>0</v>
      </c>
      <c r="L166" s="15">
        <f>'[9]2025'!K166</f>
        <v>0</v>
      </c>
      <c r="M166" s="15">
        <f>'[9]2025'!L166</f>
        <v>0</v>
      </c>
      <c r="N166" s="16" t="str">
        <f t="shared" si="8"/>
        <v/>
      </c>
      <c r="O166" s="17" t="str">
        <f t="shared" si="9"/>
        <v/>
      </c>
      <c r="P166" s="17" t="str">
        <f t="shared" si="9"/>
        <v/>
      </c>
      <c r="Q166" s="18" t="str">
        <f t="shared" si="10"/>
        <v/>
      </c>
      <c r="R166" s="18" t="e">
        <f t="shared" si="11"/>
        <v>#DIV/0!</v>
      </c>
      <c r="S166" s="35" t="e">
        <f>(S165-SUM(E164:E170))/SUM(E164:E170)</f>
        <v>#DIV/0!</v>
      </c>
      <c r="T166" s="48" t="e">
        <f>SUM(I164:I170)/SUM(K164:K170)</f>
        <v>#DIV/0!</v>
      </c>
      <c r="U166" s="1738"/>
    </row>
    <row r="167" spans="1:21">
      <c r="A167" s="10" t="s">
        <v>13</v>
      </c>
      <c r="B167" s="19">
        <f>CHAMNORD!B167</f>
        <v>46184</v>
      </c>
      <c r="C167" s="75" t="str">
        <f>IF(H167=0,"",'[9]2025-2026'!C166)</f>
        <v/>
      </c>
      <c r="D167" s="68" t="str">
        <f>'[9]2025'!C167</f>
        <v/>
      </c>
      <c r="E167" s="68" t="str">
        <f>'[9]2025'!D167</f>
        <v/>
      </c>
      <c r="F167" s="20" t="str">
        <f>'[9]2025'!E167</f>
        <v/>
      </c>
      <c r="G167" s="73" t="str">
        <f>'[9]2025'!F167</f>
        <v/>
      </c>
      <c r="H167" s="42">
        <f>'[9]2025'!G167</f>
        <v>0</v>
      </c>
      <c r="I167" s="13">
        <f>'[9]2025'!H167</f>
        <v>0</v>
      </c>
      <c r="J167" s="14">
        <f>'[9]2025'!I167</f>
        <v>0</v>
      </c>
      <c r="K167" s="15">
        <f>'[9]2025'!J167</f>
        <v>0</v>
      </c>
      <c r="L167" s="15">
        <f>'[9]2025'!K167</f>
        <v>0</v>
      </c>
      <c r="M167" s="15">
        <f>'[9]2025'!L167</f>
        <v>0</v>
      </c>
      <c r="N167" s="16" t="str">
        <f t="shared" si="8"/>
        <v/>
      </c>
      <c r="O167" s="17" t="str">
        <f t="shared" si="9"/>
        <v/>
      </c>
      <c r="P167" s="17" t="str">
        <f t="shared" si="9"/>
        <v/>
      </c>
      <c r="Q167" s="18" t="str">
        <f t="shared" si="10"/>
        <v/>
      </c>
      <c r="R167" s="18" t="e">
        <f t="shared" si="11"/>
        <v>#DIV/0!</v>
      </c>
      <c r="S167" s="34"/>
      <c r="T167" s="29" t="s">
        <v>8</v>
      </c>
      <c r="U167" s="1738"/>
    </row>
    <row r="168" spans="1:21">
      <c r="A168" s="10" t="s">
        <v>14</v>
      </c>
      <c r="B168" s="19">
        <f>CHAMNORD!B168</f>
        <v>46185</v>
      </c>
      <c r="C168" s="75" t="str">
        <f>IF(H168=0,"",'[9]2025-2026'!C167)</f>
        <v/>
      </c>
      <c r="D168" s="68" t="str">
        <f>'[9]2025'!C168</f>
        <v/>
      </c>
      <c r="E168" s="68" t="str">
        <f>'[9]2025'!D168</f>
        <v/>
      </c>
      <c r="F168" s="20" t="str">
        <f>'[9]2025'!E168</f>
        <v/>
      </c>
      <c r="G168" s="73" t="str">
        <f>'[9]2025'!F168</f>
        <v/>
      </c>
      <c r="H168" s="42">
        <f>'[9]2025'!G168</f>
        <v>0</v>
      </c>
      <c r="I168" s="13">
        <f>'[9]2025'!H168</f>
        <v>0</v>
      </c>
      <c r="J168" s="14">
        <f>'[9]2025'!I168</f>
        <v>0</v>
      </c>
      <c r="K168" s="15">
        <f>'[9]2025'!J168</f>
        <v>0</v>
      </c>
      <c r="L168" s="15">
        <f>'[9]2025'!K168</f>
        <v>0</v>
      </c>
      <c r="M168" s="15">
        <f>'[9]2025'!L168</f>
        <v>0</v>
      </c>
      <c r="N168" s="16" t="str">
        <f t="shared" si="8"/>
        <v/>
      </c>
      <c r="O168" s="17" t="str">
        <f t="shared" si="9"/>
        <v/>
      </c>
      <c r="P168" s="17" t="str">
        <f t="shared" si="9"/>
        <v/>
      </c>
      <c r="Q168" s="18" t="str">
        <f t="shared" si="10"/>
        <v/>
      </c>
      <c r="R168" s="18" t="e">
        <f t="shared" si="11"/>
        <v>#DIV/0!</v>
      </c>
      <c r="S168" s="36" t="s">
        <v>40</v>
      </c>
      <c r="T168" s="48" t="e">
        <f>SUM(I164:I170)/SUM(L164:L170)</f>
        <v>#DIV/0!</v>
      </c>
      <c r="U168" s="1738"/>
    </row>
    <row r="169" spans="1:21">
      <c r="A169" s="10" t="s">
        <v>15</v>
      </c>
      <c r="B169" s="19">
        <f>CHAMNORD!B169</f>
        <v>46186</v>
      </c>
      <c r="C169" s="75" t="str">
        <f>IF(H169=0,"",'[9]2025-2026'!C168)</f>
        <v/>
      </c>
      <c r="D169" s="68" t="str">
        <f>'[9]2025'!C169</f>
        <v/>
      </c>
      <c r="E169" s="68" t="str">
        <f>'[9]2025'!D169</f>
        <v/>
      </c>
      <c r="F169" s="20" t="str">
        <f>'[9]2025'!E169</f>
        <v/>
      </c>
      <c r="G169" s="73" t="str">
        <f>'[9]2025'!F169</f>
        <v/>
      </c>
      <c r="H169" s="42">
        <f>'[9]2025'!G169</f>
        <v>0</v>
      </c>
      <c r="I169" s="13">
        <f>'[9]2025'!H169</f>
        <v>0</v>
      </c>
      <c r="J169" s="14">
        <f>'[9]2025'!I169</f>
        <v>0</v>
      </c>
      <c r="K169" s="15">
        <f>'[9]2025'!J169</f>
        <v>0</v>
      </c>
      <c r="L169" s="15">
        <f>'[9]2025'!K169</f>
        <v>0</v>
      </c>
      <c r="M169" s="15">
        <f>'[9]2025'!L169</f>
        <v>0</v>
      </c>
      <c r="N169" s="16" t="str">
        <f t="shared" si="8"/>
        <v/>
      </c>
      <c r="O169" s="17" t="str">
        <f t="shared" si="9"/>
        <v/>
      </c>
      <c r="P169" s="17" t="str">
        <f t="shared" si="9"/>
        <v/>
      </c>
      <c r="Q169" s="18" t="str">
        <f t="shared" si="10"/>
        <v/>
      </c>
      <c r="R169" s="18" t="e">
        <f t="shared" si="11"/>
        <v>#DIV/0!</v>
      </c>
      <c r="S169" s="36">
        <f>SUM(J164:J170)</f>
        <v>0</v>
      </c>
      <c r="T169" s="30" t="s">
        <v>3</v>
      </c>
      <c r="U169" s="1738"/>
    </row>
    <row r="170" spans="1:21" ht="18" thickBot="1">
      <c r="A170" s="10" t="s">
        <v>16</v>
      </c>
      <c r="B170" s="19">
        <f>CHAMNORD!B170</f>
        <v>46187</v>
      </c>
      <c r="C170" s="75" t="str">
        <f>IF(H170=0,"",'[9]2025-2026'!C169)</f>
        <v/>
      </c>
      <c r="D170" s="68" t="str">
        <f>'[9]2025'!C170</f>
        <v/>
      </c>
      <c r="E170" s="68" t="str">
        <f>'[9]2025'!D170</f>
        <v/>
      </c>
      <c r="F170" s="20" t="str">
        <f>'[9]2025'!E170</f>
        <v/>
      </c>
      <c r="G170" s="73" t="str">
        <f>'[9]2025'!F170</f>
        <v/>
      </c>
      <c r="H170" s="42">
        <f>'[9]2025'!G170</f>
        <v>0</v>
      </c>
      <c r="I170" s="13">
        <f>'[9]2025'!H170</f>
        <v>0</v>
      </c>
      <c r="J170" s="14">
        <f>'[9]2025'!I170</f>
        <v>0</v>
      </c>
      <c r="K170" s="15">
        <f>'[9]2025'!J170</f>
        <v>0</v>
      </c>
      <c r="L170" s="15">
        <f>'[9]2025'!K170</f>
        <v>0</v>
      </c>
      <c r="M170" s="15">
        <f>'[9]2025'!L170</f>
        <v>0</v>
      </c>
      <c r="N170" s="16" t="str">
        <f t="shared" si="8"/>
        <v/>
      </c>
      <c r="O170" s="17" t="str">
        <f t="shared" si="9"/>
        <v/>
      </c>
      <c r="P170" s="17" t="str">
        <f t="shared" si="9"/>
        <v/>
      </c>
      <c r="Q170" s="18" t="str">
        <f t="shared" si="10"/>
        <v/>
      </c>
      <c r="R170" s="18" t="e">
        <f t="shared" si="11"/>
        <v>#DIV/0!</v>
      </c>
      <c r="S170" s="37" t="e">
        <f>(S169-SUM(F164:F170))/SUM(F164:F170)</f>
        <v>#DIV/0!</v>
      </c>
      <c r="T170" s="47" t="e">
        <f>SUM(M164:M170)/SUM(I164:I170)</f>
        <v>#DIV/0!</v>
      </c>
      <c r="U170" s="1739"/>
    </row>
    <row r="171" spans="1:21" ht="17" customHeight="1" thickTop="1">
      <c r="A171" s="10" t="s">
        <v>9</v>
      </c>
      <c r="B171" s="19">
        <f>CHAMNORD!B171</f>
        <v>46188</v>
      </c>
      <c r="C171" s="75" t="str">
        <f>IF(H171=0,"",'[9]2025-2026'!C170)</f>
        <v/>
      </c>
      <c r="D171" s="68" t="str">
        <f>'[9]2025'!C171</f>
        <v/>
      </c>
      <c r="E171" s="68" t="str">
        <f>'[9]2025'!D171</f>
        <v/>
      </c>
      <c r="F171" s="20" t="str">
        <f>'[9]2025'!E171</f>
        <v/>
      </c>
      <c r="G171" s="73" t="str">
        <f>'[9]2025'!F171</f>
        <v/>
      </c>
      <c r="H171" s="42">
        <f>'[9]2025'!G171</f>
        <v>0</v>
      </c>
      <c r="I171" s="13">
        <f>'[9]2025'!H171</f>
        <v>0</v>
      </c>
      <c r="J171" s="14">
        <f>'[9]2025'!I171</f>
        <v>0</v>
      </c>
      <c r="K171" s="15">
        <f>'[9]2025'!J171</f>
        <v>0</v>
      </c>
      <c r="L171" s="15">
        <f>'[9]2025'!K171</f>
        <v>0</v>
      </c>
      <c r="M171" s="15">
        <f>'[9]2025'!L171</f>
        <v>0</v>
      </c>
      <c r="N171" s="16" t="str">
        <f t="shared" si="8"/>
        <v/>
      </c>
      <c r="O171" s="17" t="str">
        <f t="shared" si="9"/>
        <v/>
      </c>
      <c r="P171" s="17" t="str">
        <f t="shared" si="9"/>
        <v/>
      </c>
      <c r="Q171" s="18" t="str">
        <f t="shared" si="10"/>
        <v/>
      </c>
      <c r="R171" s="18" t="e">
        <f t="shared" si="11"/>
        <v>#DIV/0!</v>
      </c>
      <c r="S171" s="33" t="s">
        <v>39</v>
      </c>
      <c r="T171" s="31" t="s">
        <v>42</v>
      </c>
      <c r="U171" s="1737" t="s">
        <v>107</v>
      </c>
    </row>
    <row r="172" spans="1:21">
      <c r="A172" s="10" t="s">
        <v>11</v>
      </c>
      <c r="B172" s="19">
        <f>CHAMNORD!B172</f>
        <v>46189</v>
      </c>
      <c r="C172" s="75" t="str">
        <f>IF(H172=0,"",'[9]2025-2026'!C171)</f>
        <v/>
      </c>
      <c r="D172" s="68" t="str">
        <f>'[9]2025'!C172</f>
        <v/>
      </c>
      <c r="E172" s="68" t="str">
        <f>'[9]2025'!D172</f>
        <v/>
      </c>
      <c r="F172" s="20" t="str">
        <f>'[9]2025'!E172</f>
        <v/>
      </c>
      <c r="G172" s="73" t="str">
        <f>'[9]2025'!F172</f>
        <v/>
      </c>
      <c r="H172" s="42">
        <f>'[9]2025'!G172</f>
        <v>0</v>
      </c>
      <c r="I172" s="13">
        <f>'[9]2025'!H172</f>
        <v>0</v>
      </c>
      <c r="J172" s="14">
        <f>'[9]2025'!I172</f>
        <v>0</v>
      </c>
      <c r="K172" s="15">
        <f>'[9]2025'!J172</f>
        <v>0</v>
      </c>
      <c r="L172" s="15">
        <f>'[9]2025'!K172</f>
        <v>0</v>
      </c>
      <c r="M172" s="15">
        <f>'[9]2025'!L172</f>
        <v>0</v>
      </c>
      <c r="N172" s="16" t="str">
        <f t="shared" si="8"/>
        <v/>
      </c>
      <c r="O172" s="17" t="str">
        <f t="shared" si="9"/>
        <v/>
      </c>
      <c r="P172" s="17" t="str">
        <f t="shared" si="9"/>
        <v/>
      </c>
      <c r="Q172" s="18" t="str">
        <f t="shared" si="10"/>
        <v/>
      </c>
      <c r="R172" s="18" t="e">
        <f t="shared" si="11"/>
        <v>#DIV/0!</v>
      </c>
      <c r="S172" s="34">
        <f>SUM(I171:I177)</f>
        <v>0</v>
      </c>
      <c r="T172" s="45" t="s">
        <v>41</v>
      </c>
      <c r="U172" s="1738"/>
    </row>
    <row r="173" spans="1:21">
      <c r="A173" s="10" t="s">
        <v>12</v>
      </c>
      <c r="B173" s="19">
        <f>CHAMNORD!B173</f>
        <v>46190</v>
      </c>
      <c r="C173" s="75" t="str">
        <f>IF(H173=0,"",'[9]2025-2026'!C172)</f>
        <v/>
      </c>
      <c r="D173" s="68" t="str">
        <f>'[9]2025'!C173</f>
        <v/>
      </c>
      <c r="E173" s="68" t="str">
        <f>'[9]2025'!D173</f>
        <v/>
      </c>
      <c r="F173" s="20" t="str">
        <f>'[9]2025'!E173</f>
        <v/>
      </c>
      <c r="G173" s="73" t="str">
        <f>'[9]2025'!F173</f>
        <v/>
      </c>
      <c r="H173" s="42">
        <f>'[9]2025'!G173</f>
        <v>0</v>
      </c>
      <c r="I173" s="13">
        <f>'[9]2025'!H173</f>
        <v>0</v>
      </c>
      <c r="J173" s="14">
        <f>'[9]2025'!I173</f>
        <v>0</v>
      </c>
      <c r="K173" s="15">
        <f>'[9]2025'!J173</f>
        <v>0</v>
      </c>
      <c r="L173" s="15">
        <f>'[9]2025'!K173</f>
        <v>0</v>
      </c>
      <c r="M173" s="15">
        <f>'[9]2025'!L173</f>
        <v>0</v>
      </c>
      <c r="N173" s="16" t="str">
        <f t="shared" si="8"/>
        <v/>
      </c>
      <c r="O173" s="17" t="str">
        <f t="shared" si="9"/>
        <v/>
      </c>
      <c r="P173" s="17" t="str">
        <f t="shared" si="9"/>
        <v/>
      </c>
      <c r="Q173" s="18" t="str">
        <f t="shared" si="10"/>
        <v/>
      </c>
      <c r="R173" s="18" t="e">
        <f t="shared" si="11"/>
        <v>#DIV/0!</v>
      </c>
      <c r="S173" s="35" t="e">
        <f>(S172-SUM(E171:E177))/SUM(E171:E177)</f>
        <v>#DIV/0!</v>
      </c>
      <c r="T173" s="48" t="e">
        <f>SUM(I171:I177)/SUM(K171:K177)</f>
        <v>#DIV/0!</v>
      </c>
      <c r="U173" s="1738"/>
    </row>
    <row r="174" spans="1:21">
      <c r="A174" s="10" t="s">
        <v>13</v>
      </c>
      <c r="B174" s="19">
        <f>CHAMNORD!B174</f>
        <v>46191</v>
      </c>
      <c r="C174" s="75" t="str">
        <f>IF(H174=0,"",'[9]2025-2026'!C173)</f>
        <v/>
      </c>
      <c r="D174" s="68" t="str">
        <f>'[9]2025'!C174</f>
        <v/>
      </c>
      <c r="E174" s="68" t="str">
        <f>'[9]2025'!D174</f>
        <v/>
      </c>
      <c r="F174" s="20" t="str">
        <f>'[9]2025'!E174</f>
        <v/>
      </c>
      <c r="G174" s="73" t="str">
        <f>'[9]2025'!F174</f>
        <v/>
      </c>
      <c r="H174" s="42">
        <f>'[9]2025'!G174</f>
        <v>0</v>
      </c>
      <c r="I174" s="13">
        <f>'[9]2025'!H174</f>
        <v>0</v>
      </c>
      <c r="J174" s="14">
        <f>'[9]2025'!I174</f>
        <v>0</v>
      </c>
      <c r="K174" s="15">
        <f>'[9]2025'!J174</f>
        <v>0</v>
      </c>
      <c r="L174" s="15">
        <f>'[9]2025'!K174</f>
        <v>0</v>
      </c>
      <c r="M174" s="15">
        <f>'[9]2025'!L174</f>
        <v>0</v>
      </c>
      <c r="N174" s="16" t="str">
        <f t="shared" si="8"/>
        <v/>
      </c>
      <c r="O174" s="17" t="str">
        <f t="shared" si="9"/>
        <v/>
      </c>
      <c r="P174" s="17" t="str">
        <f t="shared" si="9"/>
        <v/>
      </c>
      <c r="Q174" s="18" t="str">
        <f t="shared" si="10"/>
        <v/>
      </c>
      <c r="R174" s="18" t="e">
        <f t="shared" si="11"/>
        <v>#DIV/0!</v>
      </c>
      <c r="S174" s="34"/>
      <c r="T174" s="29" t="s">
        <v>8</v>
      </c>
      <c r="U174" s="1738"/>
    </row>
    <row r="175" spans="1:21">
      <c r="A175" s="10" t="s">
        <v>14</v>
      </c>
      <c r="B175" s="19">
        <f>CHAMNORD!B175</f>
        <v>46192</v>
      </c>
      <c r="C175" s="75" t="str">
        <f>IF(H175=0,"",'[9]2025-2026'!C174)</f>
        <v/>
      </c>
      <c r="D175" s="68" t="str">
        <f>'[9]2025'!C175</f>
        <v/>
      </c>
      <c r="E175" s="68" t="str">
        <f>'[9]2025'!D175</f>
        <v/>
      </c>
      <c r="F175" s="20" t="str">
        <f>'[9]2025'!E175</f>
        <v/>
      </c>
      <c r="G175" s="73" t="str">
        <f>'[9]2025'!F175</f>
        <v/>
      </c>
      <c r="H175" s="42">
        <f>'[9]2025'!G175</f>
        <v>0</v>
      </c>
      <c r="I175" s="13">
        <f>'[9]2025'!H175</f>
        <v>0</v>
      </c>
      <c r="J175" s="14">
        <f>'[9]2025'!I175</f>
        <v>0</v>
      </c>
      <c r="K175" s="15">
        <f>'[9]2025'!J175</f>
        <v>0</v>
      </c>
      <c r="L175" s="15">
        <f>'[9]2025'!K175</f>
        <v>0</v>
      </c>
      <c r="M175" s="15">
        <f>'[9]2025'!L175</f>
        <v>0</v>
      </c>
      <c r="N175" s="16" t="str">
        <f t="shared" si="8"/>
        <v/>
      </c>
      <c r="O175" s="17" t="str">
        <f t="shared" si="9"/>
        <v/>
      </c>
      <c r="P175" s="17" t="str">
        <f t="shared" si="9"/>
        <v/>
      </c>
      <c r="Q175" s="18" t="str">
        <f t="shared" si="10"/>
        <v/>
      </c>
      <c r="R175" s="18" t="e">
        <f t="shared" si="11"/>
        <v>#DIV/0!</v>
      </c>
      <c r="S175" s="36" t="s">
        <v>40</v>
      </c>
      <c r="T175" s="48" t="e">
        <f>SUM(I171:I177)/SUM(L171:L177)</f>
        <v>#DIV/0!</v>
      </c>
      <c r="U175" s="1738"/>
    </row>
    <row r="176" spans="1:21">
      <c r="A176" s="10" t="s">
        <v>15</v>
      </c>
      <c r="B176" s="19">
        <f>CHAMNORD!B176</f>
        <v>46193</v>
      </c>
      <c r="C176" s="75" t="str">
        <f>IF(H176=0,"",'[9]2025-2026'!C175)</f>
        <v/>
      </c>
      <c r="D176" s="68" t="str">
        <f>'[9]2025'!C176</f>
        <v/>
      </c>
      <c r="E176" s="68" t="str">
        <f>'[9]2025'!D176</f>
        <v/>
      </c>
      <c r="F176" s="20" t="str">
        <f>'[9]2025'!E176</f>
        <v/>
      </c>
      <c r="G176" s="73" t="str">
        <f>'[9]2025'!F176</f>
        <v/>
      </c>
      <c r="H176" s="42">
        <f>'[9]2025'!G176</f>
        <v>0</v>
      </c>
      <c r="I176" s="13">
        <f>'[9]2025'!H176</f>
        <v>0</v>
      </c>
      <c r="J176" s="14">
        <f>'[9]2025'!I176</f>
        <v>0</v>
      </c>
      <c r="K176" s="15">
        <f>'[9]2025'!J176</f>
        <v>0</v>
      </c>
      <c r="L176" s="15">
        <f>'[9]2025'!K176</f>
        <v>0</v>
      </c>
      <c r="M176" s="15">
        <f>'[9]2025'!L176</f>
        <v>0</v>
      </c>
      <c r="N176" s="16" t="str">
        <f t="shared" si="8"/>
        <v/>
      </c>
      <c r="O176" s="17" t="str">
        <f t="shared" si="9"/>
        <v/>
      </c>
      <c r="P176" s="17" t="str">
        <f t="shared" si="9"/>
        <v/>
      </c>
      <c r="Q176" s="18" t="str">
        <f t="shared" si="10"/>
        <v/>
      </c>
      <c r="R176" s="18" t="e">
        <f t="shared" si="11"/>
        <v>#DIV/0!</v>
      </c>
      <c r="S176" s="36">
        <f>SUM(J171:J177)</f>
        <v>0</v>
      </c>
      <c r="T176" s="30" t="s">
        <v>3</v>
      </c>
      <c r="U176" s="1738"/>
    </row>
    <row r="177" spans="1:21" ht="18" thickBot="1">
      <c r="A177" s="10" t="s">
        <v>16</v>
      </c>
      <c r="B177" s="19">
        <f>CHAMNORD!B177</f>
        <v>46194</v>
      </c>
      <c r="C177" s="75" t="str">
        <f>IF(H177=0,"",'[9]2025-2026'!C176)</f>
        <v/>
      </c>
      <c r="D177" s="68" t="str">
        <f>'[9]2025'!C177</f>
        <v/>
      </c>
      <c r="E177" s="68" t="str">
        <f>'[9]2025'!D177</f>
        <v/>
      </c>
      <c r="F177" s="20" t="str">
        <f>'[9]2025'!E177</f>
        <v/>
      </c>
      <c r="G177" s="73" t="str">
        <f>'[9]2025'!F177</f>
        <v/>
      </c>
      <c r="H177" s="42">
        <f>'[9]2025'!G177</f>
        <v>0</v>
      </c>
      <c r="I177" s="13">
        <f>'[9]2025'!H177</f>
        <v>0</v>
      </c>
      <c r="J177" s="14">
        <f>'[9]2025'!I177</f>
        <v>0</v>
      </c>
      <c r="K177" s="15">
        <f>'[9]2025'!J177</f>
        <v>0</v>
      </c>
      <c r="L177" s="15">
        <f>'[9]2025'!K177</f>
        <v>0</v>
      </c>
      <c r="M177" s="15">
        <f>'[9]2025'!L177</f>
        <v>0</v>
      </c>
      <c r="N177" s="16" t="str">
        <f t="shared" si="8"/>
        <v/>
      </c>
      <c r="O177" s="17" t="str">
        <f t="shared" si="9"/>
        <v/>
      </c>
      <c r="P177" s="17" t="str">
        <f t="shared" si="9"/>
        <v/>
      </c>
      <c r="Q177" s="18" t="str">
        <f t="shared" si="10"/>
        <v/>
      </c>
      <c r="R177" s="18" t="e">
        <f t="shared" si="11"/>
        <v>#DIV/0!</v>
      </c>
      <c r="S177" s="37" t="e">
        <f>(S176-SUM(F171:F177))/SUM(F171:F177)</f>
        <v>#DIV/0!</v>
      </c>
      <c r="T177" s="47" t="e">
        <f>SUM(M171:M177)/SUM(I171:I177)</f>
        <v>#DIV/0!</v>
      </c>
      <c r="U177" s="1739"/>
    </row>
    <row r="178" spans="1:21" ht="17" customHeight="1" thickTop="1">
      <c r="A178" s="10" t="s">
        <v>9</v>
      </c>
      <c r="B178" s="19">
        <f>CHAMNORD!B178</f>
        <v>46195</v>
      </c>
      <c r="C178" s="75" t="str">
        <f>IF(H178=0,"",'[9]2025-2026'!C177)</f>
        <v/>
      </c>
      <c r="D178" s="68" t="str">
        <f>'[9]2025'!C178</f>
        <v/>
      </c>
      <c r="E178" s="68" t="str">
        <f>'[9]2025'!D178</f>
        <v/>
      </c>
      <c r="F178" s="20" t="str">
        <f>'[9]2025'!E178</f>
        <v/>
      </c>
      <c r="G178" s="73" t="str">
        <f>'[9]2025'!F178</f>
        <v/>
      </c>
      <c r="H178" s="42">
        <f>'[9]2025'!G178</f>
        <v>0</v>
      </c>
      <c r="I178" s="13">
        <f>'[9]2025'!H178</f>
        <v>0</v>
      </c>
      <c r="J178" s="14">
        <f>'[9]2025'!I178</f>
        <v>0</v>
      </c>
      <c r="K178" s="15">
        <f>'[9]2025'!J178</f>
        <v>0</v>
      </c>
      <c r="L178" s="15">
        <f>'[9]2025'!K178</f>
        <v>0</v>
      </c>
      <c r="M178" s="15">
        <f>'[9]2025'!L178</f>
        <v>0</v>
      </c>
      <c r="N178" s="16" t="str">
        <f t="shared" si="8"/>
        <v/>
      </c>
      <c r="O178" s="17" t="str">
        <f t="shared" si="9"/>
        <v/>
      </c>
      <c r="P178" s="17" t="str">
        <f t="shared" si="9"/>
        <v/>
      </c>
      <c r="Q178" s="18" t="str">
        <f t="shared" si="10"/>
        <v/>
      </c>
      <c r="R178" s="18" t="e">
        <f t="shared" si="11"/>
        <v>#DIV/0!</v>
      </c>
      <c r="S178" s="33" t="s">
        <v>39</v>
      </c>
      <c r="T178" s="31" t="s">
        <v>42</v>
      </c>
      <c r="U178" s="1737" t="s">
        <v>108</v>
      </c>
    </row>
    <row r="179" spans="1:21">
      <c r="A179" s="10" t="s">
        <v>11</v>
      </c>
      <c r="B179" s="19">
        <f>CHAMNORD!B179</f>
        <v>46196</v>
      </c>
      <c r="C179" s="75" t="str">
        <f>IF(H179=0,"",'[9]2025-2026'!C178)</f>
        <v/>
      </c>
      <c r="D179" s="68" t="str">
        <f>'[9]2025'!C179</f>
        <v/>
      </c>
      <c r="E179" s="68" t="str">
        <f>'[9]2025'!D179</f>
        <v/>
      </c>
      <c r="F179" s="20" t="str">
        <f>'[9]2025'!E179</f>
        <v/>
      </c>
      <c r="G179" s="73" t="str">
        <f>'[9]2025'!F179</f>
        <v/>
      </c>
      <c r="H179" s="42">
        <f>'[9]2025'!G179</f>
        <v>0</v>
      </c>
      <c r="I179" s="13">
        <f>'[9]2025'!H179</f>
        <v>0</v>
      </c>
      <c r="J179" s="14">
        <f>'[9]2025'!I179</f>
        <v>0</v>
      </c>
      <c r="K179" s="15">
        <f>'[9]2025'!J179</f>
        <v>0</v>
      </c>
      <c r="L179" s="15">
        <f>'[9]2025'!K179</f>
        <v>0</v>
      </c>
      <c r="M179" s="15">
        <f>'[9]2025'!L179</f>
        <v>0</v>
      </c>
      <c r="N179" s="16" t="str">
        <f t="shared" si="8"/>
        <v/>
      </c>
      <c r="O179" s="17" t="str">
        <f t="shared" si="9"/>
        <v/>
      </c>
      <c r="P179" s="17" t="str">
        <f t="shared" si="9"/>
        <v/>
      </c>
      <c r="Q179" s="18" t="str">
        <f t="shared" si="10"/>
        <v/>
      </c>
      <c r="R179" s="18" t="e">
        <f t="shared" si="11"/>
        <v>#DIV/0!</v>
      </c>
      <c r="S179" s="34">
        <f>SUM(I178:I184)</f>
        <v>0</v>
      </c>
      <c r="T179" s="45" t="s">
        <v>41</v>
      </c>
      <c r="U179" s="1738"/>
    </row>
    <row r="180" spans="1:21">
      <c r="A180" s="10" t="s">
        <v>12</v>
      </c>
      <c r="B180" s="19">
        <f>CHAMNORD!B180</f>
        <v>46197</v>
      </c>
      <c r="C180" s="75" t="str">
        <f>IF(H180=0,"",'[9]2025-2026'!C179)</f>
        <v/>
      </c>
      <c r="D180" s="68" t="str">
        <f>'[9]2025'!C180</f>
        <v/>
      </c>
      <c r="E180" s="68" t="str">
        <f>'[9]2025'!D180</f>
        <v/>
      </c>
      <c r="F180" s="20" t="str">
        <f>'[9]2025'!E180</f>
        <v/>
      </c>
      <c r="G180" s="73" t="str">
        <f>'[9]2025'!F180</f>
        <v/>
      </c>
      <c r="H180" s="42">
        <f>'[9]2025'!G180</f>
        <v>0</v>
      </c>
      <c r="I180" s="13">
        <f>'[9]2025'!H180</f>
        <v>0</v>
      </c>
      <c r="J180" s="14">
        <f>'[9]2025'!I180</f>
        <v>0</v>
      </c>
      <c r="K180" s="15">
        <f>'[9]2025'!J180</f>
        <v>0</v>
      </c>
      <c r="L180" s="15">
        <f>'[9]2025'!K180</f>
        <v>0</v>
      </c>
      <c r="M180" s="15">
        <f>'[9]2025'!L180</f>
        <v>0</v>
      </c>
      <c r="N180" s="16" t="str">
        <f t="shared" si="8"/>
        <v/>
      </c>
      <c r="O180" s="17" t="str">
        <f t="shared" si="9"/>
        <v/>
      </c>
      <c r="P180" s="17" t="str">
        <f t="shared" si="9"/>
        <v/>
      </c>
      <c r="Q180" s="18" t="str">
        <f t="shared" si="10"/>
        <v/>
      </c>
      <c r="R180" s="18" t="e">
        <f t="shared" si="11"/>
        <v>#DIV/0!</v>
      </c>
      <c r="S180" s="35" t="e">
        <f>(S179-SUM(E178:E184))/SUM(E178:E184)</f>
        <v>#DIV/0!</v>
      </c>
      <c r="T180" s="48" t="e">
        <f>SUM(I178:I184)/SUM(K178:K184)</f>
        <v>#DIV/0!</v>
      </c>
      <c r="U180" s="1738"/>
    </row>
    <row r="181" spans="1:21">
      <c r="A181" s="10" t="s">
        <v>13</v>
      </c>
      <c r="B181" s="19">
        <f>CHAMNORD!B181</f>
        <v>46198</v>
      </c>
      <c r="C181" s="75" t="str">
        <f>IF(H181=0,"",'[9]2025-2026'!C180)</f>
        <v/>
      </c>
      <c r="D181" s="68" t="str">
        <f>'[9]2025'!C181</f>
        <v/>
      </c>
      <c r="E181" s="68" t="str">
        <f>'[9]2025'!D181</f>
        <v/>
      </c>
      <c r="F181" s="20" t="str">
        <f>'[9]2025'!E181</f>
        <v/>
      </c>
      <c r="G181" s="73" t="str">
        <f>'[9]2025'!F181</f>
        <v/>
      </c>
      <c r="H181" s="42">
        <f>'[9]2025'!G181</f>
        <v>0</v>
      </c>
      <c r="I181" s="13">
        <f>'[9]2025'!H181</f>
        <v>0</v>
      </c>
      <c r="J181" s="14">
        <f>'[9]2025'!I181</f>
        <v>0</v>
      </c>
      <c r="K181" s="15">
        <f>'[9]2025'!J181</f>
        <v>0</v>
      </c>
      <c r="L181" s="15">
        <f>'[9]2025'!K181</f>
        <v>0</v>
      </c>
      <c r="M181" s="15">
        <f>'[9]2025'!L181</f>
        <v>0</v>
      </c>
      <c r="N181" s="16" t="str">
        <f t="shared" si="8"/>
        <v/>
      </c>
      <c r="O181" s="17" t="str">
        <f t="shared" si="9"/>
        <v/>
      </c>
      <c r="P181" s="17" t="str">
        <f t="shared" si="9"/>
        <v/>
      </c>
      <c r="Q181" s="18" t="str">
        <f t="shared" si="10"/>
        <v/>
      </c>
      <c r="R181" s="18" t="e">
        <f t="shared" si="11"/>
        <v>#DIV/0!</v>
      </c>
      <c r="S181" s="34"/>
      <c r="T181" s="29" t="s">
        <v>8</v>
      </c>
      <c r="U181" s="1738"/>
    </row>
    <row r="182" spans="1:21">
      <c r="A182" s="10" t="s">
        <v>14</v>
      </c>
      <c r="B182" s="19">
        <f>CHAMNORD!B182</f>
        <v>46199</v>
      </c>
      <c r="C182" s="75" t="str">
        <f>IF(H182=0,"",'[9]2025-2026'!C181)</f>
        <v/>
      </c>
      <c r="D182" s="68" t="str">
        <f>'[9]2025'!C182</f>
        <v/>
      </c>
      <c r="E182" s="68" t="str">
        <f>'[9]2025'!D182</f>
        <v/>
      </c>
      <c r="F182" s="20" t="str">
        <f>'[9]2025'!E182</f>
        <v/>
      </c>
      <c r="G182" s="73" t="str">
        <f>'[9]2025'!F182</f>
        <v/>
      </c>
      <c r="H182" s="42">
        <f>'[9]2025'!G182</f>
        <v>0</v>
      </c>
      <c r="I182" s="13">
        <f>'[9]2025'!H182</f>
        <v>0</v>
      </c>
      <c r="J182" s="14">
        <f>'[9]2025'!I182</f>
        <v>0</v>
      </c>
      <c r="K182" s="15">
        <f>'[9]2025'!J182</f>
        <v>0</v>
      </c>
      <c r="L182" s="15">
        <f>'[9]2025'!K182</f>
        <v>0</v>
      </c>
      <c r="M182" s="15">
        <f>'[9]2025'!L182</f>
        <v>0</v>
      </c>
      <c r="N182" s="16" t="str">
        <f t="shared" si="8"/>
        <v/>
      </c>
      <c r="O182" s="17" t="str">
        <f t="shared" si="9"/>
        <v/>
      </c>
      <c r="P182" s="17" t="str">
        <f t="shared" si="9"/>
        <v/>
      </c>
      <c r="Q182" s="18" t="str">
        <f t="shared" si="10"/>
        <v/>
      </c>
      <c r="R182" s="18" t="e">
        <f t="shared" si="11"/>
        <v>#DIV/0!</v>
      </c>
      <c r="S182" s="36" t="s">
        <v>40</v>
      </c>
      <c r="T182" s="48" t="e">
        <f>SUM(I178:I184)/SUM(L178:L184)</f>
        <v>#DIV/0!</v>
      </c>
      <c r="U182" s="1738"/>
    </row>
    <row r="183" spans="1:21">
      <c r="A183" s="10" t="s">
        <v>15</v>
      </c>
      <c r="B183" s="19">
        <f>CHAMNORD!B183</f>
        <v>46200</v>
      </c>
      <c r="C183" s="75" t="str">
        <f>IF(H183=0,"",'[9]2025-2026'!C182)</f>
        <v/>
      </c>
      <c r="D183" s="68" t="str">
        <f>'[9]2025'!C183</f>
        <v/>
      </c>
      <c r="E183" s="68" t="str">
        <f>'[9]2025'!D183</f>
        <v/>
      </c>
      <c r="F183" s="20" t="str">
        <f>'[9]2025'!E183</f>
        <v/>
      </c>
      <c r="G183" s="73" t="str">
        <f>'[9]2025'!F183</f>
        <v/>
      </c>
      <c r="H183" s="42">
        <f>'[9]2025'!G183</f>
        <v>0</v>
      </c>
      <c r="I183" s="13">
        <f>'[9]2025'!H183</f>
        <v>0</v>
      </c>
      <c r="J183" s="14">
        <f>'[9]2025'!I183</f>
        <v>0</v>
      </c>
      <c r="K183" s="15">
        <f>'[9]2025'!J183</f>
        <v>0</v>
      </c>
      <c r="L183" s="15">
        <f>'[9]2025'!K183</f>
        <v>0</v>
      </c>
      <c r="M183" s="15">
        <f>'[9]2025'!L183</f>
        <v>0</v>
      </c>
      <c r="N183" s="16" t="str">
        <f t="shared" si="8"/>
        <v/>
      </c>
      <c r="O183" s="17" t="str">
        <f t="shared" si="9"/>
        <v/>
      </c>
      <c r="P183" s="17" t="str">
        <f t="shared" si="9"/>
        <v/>
      </c>
      <c r="Q183" s="18" t="str">
        <f t="shared" si="10"/>
        <v/>
      </c>
      <c r="R183" s="18" t="e">
        <f t="shared" si="11"/>
        <v>#DIV/0!</v>
      </c>
      <c r="S183" s="36">
        <f>SUM(J178:J184)</f>
        <v>0</v>
      </c>
      <c r="T183" s="30" t="s">
        <v>3</v>
      </c>
      <c r="U183" s="1738"/>
    </row>
    <row r="184" spans="1:21" ht="18" thickBot="1">
      <c r="A184" s="10" t="s">
        <v>16</v>
      </c>
      <c r="B184" s="19">
        <f>CHAMNORD!B184</f>
        <v>46201</v>
      </c>
      <c r="C184" s="75" t="str">
        <f>IF(H184=0,"",'[9]2025-2026'!C183)</f>
        <v/>
      </c>
      <c r="D184" s="68" t="str">
        <f>'[9]2025'!C184</f>
        <v/>
      </c>
      <c r="E184" s="68" t="str">
        <f>'[9]2025'!D184</f>
        <v/>
      </c>
      <c r="F184" s="20" t="str">
        <f>'[9]2025'!E184</f>
        <v/>
      </c>
      <c r="G184" s="73" t="str">
        <f>'[9]2025'!F184</f>
        <v/>
      </c>
      <c r="H184" s="42">
        <f>'[9]2025'!G184</f>
        <v>0</v>
      </c>
      <c r="I184" s="13">
        <f>'[9]2025'!H184</f>
        <v>0</v>
      </c>
      <c r="J184" s="14">
        <f>'[9]2025'!I184</f>
        <v>0</v>
      </c>
      <c r="K184" s="15">
        <f>'[9]2025'!J184</f>
        <v>0</v>
      </c>
      <c r="L184" s="15">
        <f>'[9]2025'!K184</f>
        <v>0</v>
      </c>
      <c r="M184" s="15">
        <f>'[9]2025'!L184</f>
        <v>0</v>
      </c>
      <c r="N184" s="16" t="str">
        <f t="shared" si="8"/>
        <v/>
      </c>
      <c r="O184" s="17" t="str">
        <f t="shared" si="9"/>
        <v/>
      </c>
      <c r="P184" s="17" t="str">
        <f t="shared" si="9"/>
        <v/>
      </c>
      <c r="Q184" s="18" t="str">
        <f t="shared" si="10"/>
        <v/>
      </c>
      <c r="R184" s="18" t="e">
        <f t="shared" si="11"/>
        <v>#DIV/0!</v>
      </c>
      <c r="S184" s="37" t="e">
        <f>(S183-SUM(F178:F184))/SUM(F178:F184)</f>
        <v>#DIV/0!</v>
      </c>
      <c r="T184" s="47" t="e">
        <f>SUM(M178:M184)/SUM(I178:I184)</f>
        <v>#DIV/0!</v>
      </c>
      <c r="U184" s="1739"/>
    </row>
    <row r="185" spans="1:21" ht="17" customHeight="1" thickTop="1">
      <c r="A185" s="10" t="s">
        <v>9</v>
      </c>
      <c r="B185" s="19">
        <f>CHAMNORD!B185</f>
        <v>46202</v>
      </c>
      <c r="C185" s="75" t="str">
        <f>IF(H185=0,"",'[9]2025-2026'!C184)</f>
        <v/>
      </c>
      <c r="D185" s="68" t="str">
        <f>'[9]2025'!C185</f>
        <v/>
      </c>
      <c r="E185" s="68" t="str">
        <f>'[9]2025'!D185</f>
        <v/>
      </c>
      <c r="F185" s="20" t="str">
        <f>'[9]2025'!E185</f>
        <v/>
      </c>
      <c r="G185" s="73" t="str">
        <f>'[9]2025'!F185</f>
        <v/>
      </c>
      <c r="H185" s="42">
        <f>'[9]2025'!G185</f>
        <v>0</v>
      </c>
      <c r="I185" s="13">
        <f>'[9]2025'!H185</f>
        <v>0</v>
      </c>
      <c r="J185" s="14">
        <f>'[9]2025'!I185</f>
        <v>0</v>
      </c>
      <c r="K185" s="15">
        <f>'[9]2025'!J185</f>
        <v>0</v>
      </c>
      <c r="L185" s="15">
        <f>'[9]2025'!K185</f>
        <v>0</v>
      </c>
      <c r="M185" s="15">
        <f>'[9]2025'!L185</f>
        <v>0</v>
      </c>
      <c r="N185" s="16" t="str">
        <f t="shared" si="8"/>
        <v/>
      </c>
      <c r="O185" s="17" t="str">
        <f t="shared" si="9"/>
        <v/>
      </c>
      <c r="P185" s="17" t="str">
        <f t="shared" si="9"/>
        <v/>
      </c>
      <c r="Q185" s="18" t="str">
        <f t="shared" si="10"/>
        <v/>
      </c>
      <c r="R185" s="18" t="e">
        <f t="shared" si="11"/>
        <v>#DIV/0!</v>
      </c>
      <c r="S185" s="33" t="s">
        <v>39</v>
      </c>
      <c r="T185" s="31" t="s">
        <v>42</v>
      </c>
      <c r="U185" s="1737" t="s">
        <v>109</v>
      </c>
    </row>
    <row r="186" spans="1:21">
      <c r="A186" s="10" t="s">
        <v>11</v>
      </c>
      <c r="B186" s="19">
        <f>CHAMNORD!B186</f>
        <v>46203</v>
      </c>
      <c r="C186" s="75" t="str">
        <f>IF(H186=0,"",'[9]2025-2026'!C185)</f>
        <v/>
      </c>
      <c r="D186" s="68" t="str">
        <f>'[9]2025'!C186</f>
        <v/>
      </c>
      <c r="E186" s="68" t="str">
        <f>'[9]2025'!D186</f>
        <v/>
      </c>
      <c r="F186" s="20" t="str">
        <f>'[9]2025'!E186</f>
        <v/>
      </c>
      <c r="G186" s="73" t="str">
        <f>'[9]2025'!F186</f>
        <v/>
      </c>
      <c r="H186" s="42">
        <f>'[9]2025'!G186</f>
        <v>0</v>
      </c>
      <c r="I186" s="13">
        <f>'[9]2025'!H186</f>
        <v>0</v>
      </c>
      <c r="J186" s="14">
        <f>'[9]2025'!I186</f>
        <v>0</v>
      </c>
      <c r="K186" s="15">
        <f>'[9]2025'!J186</f>
        <v>0</v>
      </c>
      <c r="L186" s="15">
        <f>'[9]2025'!K186</f>
        <v>0</v>
      </c>
      <c r="M186" s="15">
        <f>'[9]2025'!L186</f>
        <v>0</v>
      </c>
      <c r="N186" s="16" t="str">
        <f t="shared" si="8"/>
        <v/>
      </c>
      <c r="O186" s="17" t="str">
        <f t="shared" si="9"/>
        <v/>
      </c>
      <c r="P186" s="17" t="str">
        <f t="shared" si="9"/>
        <v/>
      </c>
      <c r="Q186" s="18" t="str">
        <f t="shared" si="10"/>
        <v/>
      </c>
      <c r="R186" s="18" t="e">
        <f t="shared" si="11"/>
        <v>#DIV/0!</v>
      </c>
      <c r="S186" s="34">
        <f>SUM(I185:I191)</f>
        <v>0</v>
      </c>
      <c r="T186" s="45" t="s">
        <v>41</v>
      </c>
      <c r="U186" s="1738"/>
    </row>
    <row r="187" spans="1:21">
      <c r="A187" s="10" t="s">
        <v>12</v>
      </c>
      <c r="B187" s="19">
        <f>CHAMNORD!B187</f>
        <v>46204</v>
      </c>
      <c r="C187" s="75" t="str">
        <f>IF(H187=0,"",'[9]2025-2026'!C186)</f>
        <v/>
      </c>
      <c r="D187" s="68" t="str">
        <f>'[9]2025'!C187</f>
        <v/>
      </c>
      <c r="E187" s="68" t="str">
        <f>'[9]2025'!D187</f>
        <v/>
      </c>
      <c r="F187" s="20" t="str">
        <f>'[9]2025'!E187</f>
        <v/>
      </c>
      <c r="G187" s="73" t="str">
        <f>'[9]2025'!F187</f>
        <v/>
      </c>
      <c r="H187" s="42">
        <f>'[9]2025'!G187</f>
        <v>0</v>
      </c>
      <c r="I187" s="13">
        <f>'[9]2025'!H187</f>
        <v>0</v>
      </c>
      <c r="J187" s="14">
        <f>'[9]2025'!I187</f>
        <v>0</v>
      </c>
      <c r="K187" s="15">
        <f>'[9]2025'!J187</f>
        <v>0</v>
      </c>
      <c r="L187" s="15">
        <f>'[9]2025'!K187</f>
        <v>0</v>
      </c>
      <c r="M187" s="15">
        <f>'[9]2025'!L187</f>
        <v>0</v>
      </c>
      <c r="N187" s="16" t="str">
        <f t="shared" si="8"/>
        <v/>
      </c>
      <c r="O187" s="17" t="str">
        <f t="shared" si="9"/>
        <v/>
      </c>
      <c r="P187" s="17" t="str">
        <f t="shared" si="9"/>
        <v/>
      </c>
      <c r="Q187" s="18" t="str">
        <f t="shared" si="10"/>
        <v/>
      </c>
      <c r="R187" s="18" t="e">
        <f t="shared" si="11"/>
        <v>#DIV/0!</v>
      </c>
      <c r="S187" s="35" t="e">
        <f>(S186-SUM(E185:E191))/SUM(E185:E191)</f>
        <v>#DIV/0!</v>
      </c>
      <c r="T187" s="48" t="e">
        <f>SUM(I185:I191)/SUM(K185:K191)</f>
        <v>#DIV/0!</v>
      </c>
      <c r="U187" s="1738"/>
    </row>
    <row r="188" spans="1:21">
      <c r="A188" s="10" t="s">
        <v>13</v>
      </c>
      <c r="B188" s="19">
        <f>CHAMNORD!B188</f>
        <v>46205</v>
      </c>
      <c r="C188" s="75" t="str">
        <f>IF(H188=0,"",'[9]2025-2026'!C187)</f>
        <v/>
      </c>
      <c r="D188" s="68" t="str">
        <f>'[9]2025'!C188</f>
        <v/>
      </c>
      <c r="E188" s="68" t="str">
        <f>'[9]2025'!D188</f>
        <v/>
      </c>
      <c r="F188" s="20" t="str">
        <f>'[9]2025'!E188</f>
        <v/>
      </c>
      <c r="G188" s="73" t="str">
        <f>'[9]2025'!F188</f>
        <v/>
      </c>
      <c r="H188" s="42">
        <f>'[9]2025'!G188</f>
        <v>0</v>
      </c>
      <c r="I188" s="13">
        <f>'[9]2025'!H188</f>
        <v>0</v>
      </c>
      <c r="J188" s="14">
        <f>'[9]2025'!I188</f>
        <v>0</v>
      </c>
      <c r="K188" s="15">
        <f>'[9]2025'!J188</f>
        <v>0</v>
      </c>
      <c r="L188" s="15">
        <f>'[9]2025'!K188</f>
        <v>0</v>
      </c>
      <c r="M188" s="15">
        <f>'[9]2025'!L188</f>
        <v>0</v>
      </c>
      <c r="N188" s="16" t="str">
        <f t="shared" si="8"/>
        <v/>
      </c>
      <c r="O188" s="17" t="str">
        <f t="shared" si="9"/>
        <v/>
      </c>
      <c r="P188" s="17" t="str">
        <f t="shared" si="9"/>
        <v/>
      </c>
      <c r="Q188" s="18" t="str">
        <f t="shared" si="10"/>
        <v/>
      </c>
      <c r="R188" s="18" t="e">
        <f t="shared" si="11"/>
        <v>#DIV/0!</v>
      </c>
      <c r="S188" s="34"/>
      <c r="T188" s="29" t="s">
        <v>8</v>
      </c>
      <c r="U188" s="1738"/>
    </row>
    <row r="189" spans="1:21">
      <c r="A189" s="10" t="s">
        <v>14</v>
      </c>
      <c r="B189" s="19">
        <f>CHAMNORD!B189</f>
        <v>46206</v>
      </c>
      <c r="C189" s="75" t="str">
        <f>IF(H189=0,"",'[9]2025-2026'!C188)</f>
        <v/>
      </c>
      <c r="D189" s="68" t="str">
        <f>'[9]2025'!C189</f>
        <v/>
      </c>
      <c r="E189" s="68" t="str">
        <f>'[9]2025'!D189</f>
        <v/>
      </c>
      <c r="F189" s="20" t="str">
        <f>'[9]2025'!E189</f>
        <v/>
      </c>
      <c r="G189" s="73" t="str">
        <f>'[9]2025'!F189</f>
        <v/>
      </c>
      <c r="H189" s="42">
        <f>'[9]2025'!G189</f>
        <v>0</v>
      </c>
      <c r="I189" s="13">
        <f>'[9]2025'!H189</f>
        <v>0</v>
      </c>
      <c r="J189" s="14">
        <f>'[9]2025'!I189</f>
        <v>0</v>
      </c>
      <c r="K189" s="15">
        <f>'[9]2025'!J189</f>
        <v>0</v>
      </c>
      <c r="L189" s="15">
        <f>'[9]2025'!K189</f>
        <v>0</v>
      </c>
      <c r="M189" s="15">
        <f>'[9]2025'!L189</f>
        <v>0</v>
      </c>
      <c r="N189" s="16" t="str">
        <f t="shared" si="8"/>
        <v/>
      </c>
      <c r="O189" s="17" t="str">
        <f t="shared" si="9"/>
        <v/>
      </c>
      <c r="P189" s="17" t="str">
        <f t="shared" si="9"/>
        <v/>
      </c>
      <c r="Q189" s="18" t="str">
        <f t="shared" si="10"/>
        <v/>
      </c>
      <c r="R189" s="18" t="e">
        <f t="shared" si="11"/>
        <v>#DIV/0!</v>
      </c>
      <c r="S189" s="36" t="s">
        <v>40</v>
      </c>
      <c r="T189" s="48" t="e">
        <f>SUM(I185:I191)/SUM(L185:L191)</f>
        <v>#DIV/0!</v>
      </c>
      <c r="U189" s="1738"/>
    </row>
    <row r="190" spans="1:21">
      <c r="A190" s="10" t="s">
        <v>15</v>
      </c>
      <c r="B190" s="19">
        <f>CHAMNORD!B190</f>
        <v>46207</v>
      </c>
      <c r="C190" s="75" t="str">
        <f>IF(H190=0,"",'[9]2025-2026'!C189)</f>
        <v/>
      </c>
      <c r="D190" s="68" t="str">
        <f>'[9]2025'!C190</f>
        <v/>
      </c>
      <c r="E190" s="68" t="str">
        <f>'[9]2025'!D190</f>
        <v/>
      </c>
      <c r="F190" s="20" t="str">
        <f>'[9]2025'!E190</f>
        <v/>
      </c>
      <c r="G190" s="73" t="str">
        <f>'[9]2025'!F190</f>
        <v/>
      </c>
      <c r="H190" s="42">
        <f>'[9]2025'!G190</f>
        <v>0</v>
      </c>
      <c r="I190" s="13">
        <f>'[9]2025'!H190</f>
        <v>0</v>
      </c>
      <c r="J190" s="14">
        <f>'[9]2025'!I190</f>
        <v>0</v>
      </c>
      <c r="K190" s="15">
        <f>'[9]2025'!J190</f>
        <v>0</v>
      </c>
      <c r="L190" s="15">
        <f>'[9]2025'!K190</f>
        <v>0</v>
      </c>
      <c r="M190" s="15">
        <f>'[9]2025'!L190</f>
        <v>0</v>
      </c>
      <c r="N190" s="16" t="str">
        <f t="shared" si="8"/>
        <v/>
      </c>
      <c r="O190" s="17" t="str">
        <f t="shared" si="9"/>
        <v/>
      </c>
      <c r="P190" s="17" t="str">
        <f t="shared" si="9"/>
        <v/>
      </c>
      <c r="Q190" s="18" t="str">
        <f t="shared" si="10"/>
        <v/>
      </c>
      <c r="R190" s="18" t="e">
        <f t="shared" si="11"/>
        <v>#DIV/0!</v>
      </c>
      <c r="S190" s="36">
        <f>SUM(J185:J191)</f>
        <v>0</v>
      </c>
      <c r="T190" s="30" t="s">
        <v>3</v>
      </c>
      <c r="U190" s="1738"/>
    </row>
    <row r="191" spans="1:21" ht="18" thickBot="1">
      <c r="A191" s="10" t="s">
        <v>16</v>
      </c>
      <c r="B191" s="19">
        <f>CHAMNORD!B191</f>
        <v>46208</v>
      </c>
      <c r="C191" s="75" t="str">
        <f>IF(H191=0,"",'[9]2025-2026'!C190)</f>
        <v/>
      </c>
      <c r="D191" s="68" t="str">
        <f>'[9]2025'!C191</f>
        <v/>
      </c>
      <c r="E191" s="68" t="str">
        <f>'[9]2025'!D191</f>
        <v/>
      </c>
      <c r="F191" s="20" t="str">
        <f>'[9]2025'!E191</f>
        <v/>
      </c>
      <c r="G191" s="73" t="str">
        <f>'[9]2025'!F191</f>
        <v/>
      </c>
      <c r="H191" s="42">
        <f>'[9]2025'!G191</f>
        <v>0</v>
      </c>
      <c r="I191" s="13">
        <f>'[9]2025'!H191</f>
        <v>0</v>
      </c>
      <c r="J191" s="14">
        <f>'[9]2025'!I191</f>
        <v>0</v>
      </c>
      <c r="K191" s="15">
        <f>'[9]2025'!J191</f>
        <v>0</v>
      </c>
      <c r="L191" s="15">
        <f>'[9]2025'!K191</f>
        <v>0</v>
      </c>
      <c r="M191" s="15">
        <f>'[9]2025'!L191</f>
        <v>0</v>
      </c>
      <c r="N191" s="16" t="str">
        <f t="shared" si="8"/>
        <v/>
      </c>
      <c r="O191" s="17" t="str">
        <f t="shared" si="9"/>
        <v/>
      </c>
      <c r="P191" s="17" t="str">
        <f t="shared" si="9"/>
        <v/>
      </c>
      <c r="Q191" s="18" t="str">
        <f t="shared" si="10"/>
        <v/>
      </c>
      <c r="R191" s="18" t="e">
        <f t="shared" si="11"/>
        <v>#DIV/0!</v>
      </c>
      <c r="S191" s="37" t="e">
        <f>(S190-SUM(F185:F191))/SUM(F185:F191)</f>
        <v>#DIV/0!</v>
      </c>
      <c r="T191" s="47" t="e">
        <f>SUM(M185:M191)/SUM(I185:I191)</f>
        <v>#DIV/0!</v>
      </c>
      <c r="U191" s="1739"/>
    </row>
    <row r="192" spans="1:21" ht="17" customHeight="1" thickTop="1">
      <c r="A192" s="10" t="s">
        <v>9</v>
      </c>
      <c r="B192" s="19">
        <f>CHAMNORD!B192</f>
        <v>46209</v>
      </c>
      <c r="C192" s="75" t="str">
        <f>IF(H192=0,"",'[9]2025-2026'!C191)</f>
        <v/>
      </c>
      <c r="D192" s="68" t="str">
        <f>'[9]2025'!C192</f>
        <v/>
      </c>
      <c r="E192" s="68" t="str">
        <f>'[9]2025'!D192</f>
        <v/>
      </c>
      <c r="F192" s="20" t="str">
        <f>'[9]2025'!E192</f>
        <v/>
      </c>
      <c r="G192" s="73" t="str">
        <f>'[9]2025'!F192</f>
        <v/>
      </c>
      <c r="H192" s="42">
        <f>'[9]2025'!G192</f>
        <v>0</v>
      </c>
      <c r="I192" s="13">
        <f>'[9]2025'!H192</f>
        <v>0</v>
      </c>
      <c r="J192" s="14">
        <f>'[9]2025'!I192</f>
        <v>0</v>
      </c>
      <c r="K192" s="15">
        <f>'[9]2025'!J192</f>
        <v>0</v>
      </c>
      <c r="L192" s="15">
        <f>'[9]2025'!K192</f>
        <v>0</v>
      </c>
      <c r="M192" s="15">
        <f>'[9]2025'!L192</f>
        <v>0</v>
      </c>
      <c r="N192" s="16" t="str">
        <f t="shared" si="8"/>
        <v/>
      </c>
      <c r="O192" s="17" t="str">
        <f t="shared" si="9"/>
        <v/>
      </c>
      <c r="P192" s="17" t="str">
        <f t="shared" si="9"/>
        <v/>
      </c>
      <c r="Q192" s="18" t="str">
        <f t="shared" si="10"/>
        <v/>
      </c>
      <c r="R192" s="18" t="e">
        <f t="shared" si="11"/>
        <v>#DIV/0!</v>
      </c>
      <c r="S192" s="33" t="s">
        <v>39</v>
      </c>
      <c r="T192" s="31" t="s">
        <v>42</v>
      </c>
      <c r="U192" s="1737" t="s">
        <v>110</v>
      </c>
    </row>
    <row r="193" spans="1:21">
      <c r="A193" s="10" t="s">
        <v>11</v>
      </c>
      <c r="B193" s="19">
        <f>CHAMNORD!B193</f>
        <v>46210</v>
      </c>
      <c r="C193" s="75" t="str">
        <f>IF(H193=0,"",'[9]2025-2026'!C192)</f>
        <v/>
      </c>
      <c r="D193" s="68" t="str">
        <f>'[9]2025'!C193</f>
        <v/>
      </c>
      <c r="E193" s="68" t="str">
        <f>'[9]2025'!D193</f>
        <v/>
      </c>
      <c r="F193" s="20" t="str">
        <f>'[9]2025'!E193</f>
        <v/>
      </c>
      <c r="G193" s="73" t="str">
        <f>'[9]2025'!F193</f>
        <v/>
      </c>
      <c r="H193" s="42">
        <f>'[9]2025'!G193</f>
        <v>0</v>
      </c>
      <c r="I193" s="13">
        <f>'[9]2025'!H193</f>
        <v>0</v>
      </c>
      <c r="J193" s="14">
        <f>'[9]2025'!I193</f>
        <v>0</v>
      </c>
      <c r="K193" s="15">
        <f>'[9]2025'!J193</f>
        <v>0</v>
      </c>
      <c r="L193" s="15">
        <f>'[9]2025'!K193</f>
        <v>0</v>
      </c>
      <c r="M193" s="15">
        <f>'[9]2025'!L193</f>
        <v>0</v>
      </c>
      <c r="N193" s="16" t="str">
        <f t="shared" si="8"/>
        <v/>
      </c>
      <c r="O193" s="17" t="str">
        <f t="shared" si="9"/>
        <v/>
      </c>
      <c r="P193" s="17" t="str">
        <f t="shared" si="9"/>
        <v/>
      </c>
      <c r="Q193" s="18" t="str">
        <f t="shared" si="10"/>
        <v/>
      </c>
      <c r="R193" s="18" t="e">
        <f t="shared" si="11"/>
        <v>#DIV/0!</v>
      </c>
      <c r="S193" s="34">
        <f>SUM(I192:I198)</f>
        <v>0</v>
      </c>
      <c r="T193" s="45" t="s">
        <v>41</v>
      </c>
      <c r="U193" s="1738"/>
    </row>
    <row r="194" spans="1:21">
      <c r="A194" s="10" t="s">
        <v>12</v>
      </c>
      <c r="B194" s="19">
        <f>CHAMNORD!B194</f>
        <v>46211</v>
      </c>
      <c r="C194" s="75" t="str">
        <f>IF(H194=0,"",'[9]2025-2026'!C193)</f>
        <v/>
      </c>
      <c r="D194" s="68" t="str">
        <f>'[9]2025'!C194</f>
        <v/>
      </c>
      <c r="E194" s="68" t="str">
        <f>'[9]2025'!D194</f>
        <v/>
      </c>
      <c r="F194" s="20" t="str">
        <f>'[9]2025'!E194</f>
        <v/>
      </c>
      <c r="G194" s="73" t="str">
        <f>'[9]2025'!F194</f>
        <v/>
      </c>
      <c r="H194" s="42">
        <f>'[9]2025'!G194</f>
        <v>0</v>
      </c>
      <c r="I194" s="13">
        <f>'[9]2025'!H194</f>
        <v>0</v>
      </c>
      <c r="J194" s="14">
        <f>'[9]2025'!I194</f>
        <v>0</v>
      </c>
      <c r="K194" s="15">
        <f>'[9]2025'!J194</f>
        <v>0</v>
      </c>
      <c r="L194" s="15">
        <f>'[9]2025'!K194</f>
        <v>0</v>
      </c>
      <c r="M194" s="15">
        <f>'[9]2025'!L194</f>
        <v>0</v>
      </c>
      <c r="N194" s="16" t="str">
        <f t="shared" si="8"/>
        <v/>
      </c>
      <c r="O194" s="17" t="str">
        <f t="shared" si="9"/>
        <v/>
      </c>
      <c r="P194" s="17" t="str">
        <f t="shared" si="9"/>
        <v/>
      </c>
      <c r="Q194" s="18" t="str">
        <f t="shared" si="10"/>
        <v/>
      </c>
      <c r="R194" s="18" t="e">
        <f t="shared" si="11"/>
        <v>#DIV/0!</v>
      </c>
      <c r="S194" s="35" t="e">
        <f>(S193-SUM(E192:E198))/SUM(E192:E198)</f>
        <v>#DIV/0!</v>
      </c>
      <c r="T194" s="48" t="e">
        <f>SUM(I192:I198)/SUM(K192:K198)</f>
        <v>#DIV/0!</v>
      </c>
      <c r="U194" s="1738"/>
    </row>
    <row r="195" spans="1:21">
      <c r="A195" s="10" t="s">
        <v>13</v>
      </c>
      <c r="B195" s="19">
        <f>CHAMNORD!B195</f>
        <v>46212</v>
      </c>
      <c r="C195" s="75" t="str">
        <f>IF(H195=0,"",'[9]2025-2026'!C194)</f>
        <v/>
      </c>
      <c r="D195" s="68" t="str">
        <f>'[9]2025'!C195</f>
        <v/>
      </c>
      <c r="E195" s="68" t="str">
        <f>'[9]2025'!D195</f>
        <v/>
      </c>
      <c r="F195" s="20" t="str">
        <f>'[9]2025'!E195</f>
        <v/>
      </c>
      <c r="G195" s="73" t="str">
        <f>'[9]2025'!F195</f>
        <v/>
      </c>
      <c r="H195" s="42">
        <f>'[9]2025'!G195</f>
        <v>0</v>
      </c>
      <c r="I195" s="13">
        <f>'[9]2025'!H195</f>
        <v>0</v>
      </c>
      <c r="J195" s="14">
        <f>'[9]2025'!I195</f>
        <v>0</v>
      </c>
      <c r="K195" s="15">
        <f>'[9]2025'!J195</f>
        <v>0</v>
      </c>
      <c r="L195" s="15">
        <f>'[9]2025'!K195</f>
        <v>0</v>
      </c>
      <c r="M195" s="15">
        <f>'[9]2025'!L195</f>
        <v>0</v>
      </c>
      <c r="N195" s="16" t="str">
        <f t="shared" si="8"/>
        <v/>
      </c>
      <c r="O195" s="17" t="str">
        <f t="shared" si="9"/>
        <v/>
      </c>
      <c r="P195" s="17" t="str">
        <f t="shared" si="9"/>
        <v/>
      </c>
      <c r="Q195" s="18" t="str">
        <f t="shared" si="10"/>
        <v/>
      </c>
      <c r="R195" s="18" t="e">
        <f t="shared" si="11"/>
        <v>#DIV/0!</v>
      </c>
      <c r="S195" s="34"/>
      <c r="T195" s="29" t="s">
        <v>8</v>
      </c>
      <c r="U195" s="1738"/>
    </row>
    <row r="196" spans="1:21">
      <c r="A196" s="10" t="s">
        <v>14</v>
      </c>
      <c r="B196" s="19">
        <f>CHAMNORD!B196</f>
        <v>46213</v>
      </c>
      <c r="C196" s="75" t="str">
        <f>IF(H196=0,"",'[9]2025-2026'!C195)</f>
        <v/>
      </c>
      <c r="D196" s="68" t="str">
        <f>'[9]2025'!C196</f>
        <v/>
      </c>
      <c r="E196" s="68" t="str">
        <f>'[9]2025'!D196</f>
        <v/>
      </c>
      <c r="F196" s="20" t="str">
        <f>'[9]2025'!E196</f>
        <v/>
      </c>
      <c r="G196" s="73" t="str">
        <f>'[9]2025'!F196</f>
        <v/>
      </c>
      <c r="H196" s="42">
        <f>'[9]2025'!G196</f>
        <v>0</v>
      </c>
      <c r="I196" s="13">
        <f>'[9]2025'!H196</f>
        <v>0</v>
      </c>
      <c r="J196" s="14">
        <f>'[9]2025'!I196</f>
        <v>0</v>
      </c>
      <c r="K196" s="15">
        <f>'[9]2025'!J196</f>
        <v>0</v>
      </c>
      <c r="L196" s="15">
        <f>'[9]2025'!K196</f>
        <v>0</v>
      </c>
      <c r="M196" s="15">
        <f>'[9]2025'!L196</f>
        <v>0</v>
      </c>
      <c r="N196" s="16" t="str">
        <f t="shared" ref="N196:N259" si="12">IF(M196=0,"",M196/I196)</f>
        <v/>
      </c>
      <c r="O196" s="17" t="str">
        <f t="shared" ref="O196:P259" si="13">IF(I196=0,"",(I196-E196)/E196)</f>
        <v/>
      </c>
      <c r="P196" s="17" t="str">
        <f t="shared" si="13"/>
        <v/>
      </c>
      <c r="Q196" s="18" t="str">
        <f t="shared" ref="Q196:Q259" si="14">IF(I196=0,"",I196/K196)</f>
        <v/>
      </c>
      <c r="R196" s="18" t="e">
        <f t="shared" ref="R196:R259" si="15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1">
      <c r="A197" s="10" t="s">
        <v>15</v>
      </c>
      <c r="B197" s="19">
        <f>CHAMNORD!B197</f>
        <v>46214</v>
      </c>
      <c r="C197" s="75" t="str">
        <f>IF(H197=0,"",'[9]2025-2026'!C196)</f>
        <v/>
      </c>
      <c r="D197" s="68" t="str">
        <f>'[9]2025'!C197</f>
        <v/>
      </c>
      <c r="E197" s="68" t="str">
        <f>'[9]2025'!D197</f>
        <v/>
      </c>
      <c r="F197" s="20" t="str">
        <f>'[9]2025'!E197</f>
        <v/>
      </c>
      <c r="G197" s="73" t="str">
        <f>'[9]2025'!F197</f>
        <v/>
      </c>
      <c r="H197" s="42">
        <f>'[9]2025'!G197</f>
        <v>0</v>
      </c>
      <c r="I197" s="13">
        <f>'[9]2025'!H197</f>
        <v>0</v>
      </c>
      <c r="J197" s="14">
        <f>'[9]2025'!I197</f>
        <v>0</v>
      </c>
      <c r="K197" s="15">
        <f>'[9]2025'!J197</f>
        <v>0</v>
      </c>
      <c r="L197" s="15">
        <f>'[9]2025'!K197</f>
        <v>0</v>
      </c>
      <c r="M197" s="15">
        <f>'[9]2025'!L197</f>
        <v>0</v>
      </c>
      <c r="N197" s="16" t="str">
        <f t="shared" si="12"/>
        <v/>
      </c>
      <c r="O197" s="17" t="str">
        <f t="shared" si="13"/>
        <v/>
      </c>
      <c r="P197" s="17" t="str">
        <f t="shared" si="13"/>
        <v/>
      </c>
      <c r="Q197" s="18" t="str">
        <f t="shared" si="14"/>
        <v/>
      </c>
      <c r="R197" s="18" t="e">
        <f t="shared" si="15"/>
        <v>#DIV/0!</v>
      </c>
      <c r="S197" s="36">
        <f>SUM(J192:J198)</f>
        <v>0</v>
      </c>
      <c r="T197" s="30" t="s">
        <v>3</v>
      </c>
      <c r="U197" s="1738"/>
    </row>
    <row r="198" spans="1:21" ht="18" thickBot="1">
      <c r="A198" s="10" t="s">
        <v>16</v>
      </c>
      <c r="B198" s="19">
        <f>CHAMNORD!B198</f>
        <v>46215</v>
      </c>
      <c r="C198" s="75" t="str">
        <f>IF(H198=0,"",'[9]2025-2026'!C197)</f>
        <v/>
      </c>
      <c r="D198" s="68" t="str">
        <f>'[9]2025'!C198</f>
        <v/>
      </c>
      <c r="E198" s="68" t="str">
        <f>'[9]2025'!D198</f>
        <v/>
      </c>
      <c r="F198" s="20" t="str">
        <f>'[9]2025'!E198</f>
        <v/>
      </c>
      <c r="G198" s="73" t="str">
        <f>'[9]2025'!F198</f>
        <v/>
      </c>
      <c r="H198" s="42">
        <f>'[9]2025'!G198</f>
        <v>0</v>
      </c>
      <c r="I198" s="13">
        <f>'[9]2025'!H198</f>
        <v>0</v>
      </c>
      <c r="J198" s="14">
        <f>'[9]2025'!I198</f>
        <v>0</v>
      </c>
      <c r="K198" s="15">
        <f>'[9]2025'!J198</f>
        <v>0</v>
      </c>
      <c r="L198" s="15">
        <f>'[9]2025'!K198</f>
        <v>0</v>
      </c>
      <c r="M198" s="15">
        <f>'[9]2025'!L198</f>
        <v>0</v>
      </c>
      <c r="N198" s="16" t="str">
        <f t="shared" si="12"/>
        <v/>
      </c>
      <c r="O198" s="17" t="str">
        <f t="shared" si="13"/>
        <v/>
      </c>
      <c r="P198" s="17" t="str">
        <f t="shared" si="13"/>
        <v/>
      </c>
      <c r="Q198" s="18" t="str">
        <f t="shared" si="14"/>
        <v/>
      </c>
      <c r="R198" s="18" t="e">
        <f t="shared" si="15"/>
        <v>#DIV/0!</v>
      </c>
      <c r="S198" s="37" t="e">
        <f>(S197-SUM(F192:F198))/SUM(F192:F198)</f>
        <v>#DIV/0!</v>
      </c>
      <c r="T198" s="47" t="e">
        <f>SUM(M192:M198)/SUM(I192:I198)</f>
        <v>#DIV/0!</v>
      </c>
      <c r="U198" s="1739"/>
    </row>
    <row r="199" spans="1:21" ht="17" customHeight="1" thickTop="1">
      <c r="A199" s="10" t="s">
        <v>9</v>
      </c>
      <c r="B199" s="19">
        <f>CHAMNORD!B199</f>
        <v>46216</v>
      </c>
      <c r="C199" s="75" t="str">
        <f>IF(H199=0,"",'[9]2025-2026'!C198)</f>
        <v/>
      </c>
      <c r="D199" s="68" t="str">
        <f>'[9]2025'!C199</f>
        <v/>
      </c>
      <c r="E199" s="68" t="str">
        <f>'[9]2025'!D199</f>
        <v/>
      </c>
      <c r="F199" s="20" t="str">
        <f>'[9]2025'!E199</f>
        <v/>
      </c>
      <c r="G199" s="73" t="str">
        <f>'[9]2025'!F199</f>
        <v/>
      </c>
      <c r="H199" s="42">
        <f>'[9]2025'!G199</f>
        <v>0</v>
      </c>
      <c r="I199" s="13">
        <f>'[9]2025'!H199</f>
        <v>0</v>
      </c>
      <c r="J199" s="14">
        <f>'[9]2025'!I199</f>
        <v>0</v>
      </c>
      <c r="K199" s="15">
        <f>'[9]2025'!J199</f>
        <v>0</v>
      </c>
      <c r="L199" s="15">
        <f>'[9]2025'!K199</f>
        <v>0</v>
      </c>
      <c r="M199" s="15">
        <f>'[9]2025'!L199</f>
        <v>0</v>
      </c>
      <c r="N199" s="16" t="str">
        <f t="shared" si="12"/>
        <v/>
      </c>
      <c r="O199" s="17" t="str">
        <f t="shared" si="13"/>
        <v/>
      </c>
      <c r="P199" s="17" t="str">
        <f t="shared" si="13"/>
        <v/>
      </c>
      <c r="Q199" s="18" t="str">
        <f t="shared" si="14"/>
        <v/>
      </c>
      <c r="R199" s="18" t="e">
        <f t="shared" si="15"/>
        <v>#DIV/0!</v>
      </c>
      <c r="S199" s="33" t="s">
        <v>39</v>
      </c>
      <c r="T199" s="31" t="s">
        <v>42</v>
      </c>
      <c r="U199" s="1737" t="s">
        <v>111</v>
      </c>
    </row>
    <row r="200" spans="1:21">
      <c r="A200" s="10" t="s">
        <v>11</v>
      </c>
      <c r="B200" s="19">
        <f>CHAMNORD!B200</f>
        <v>46217</v>
      </c>
      <c r="C200" s="75" t="str">
        <f>IF(H200=0,"",'[9]2025-2026'!C199)</f>
        <v/>
      </c>
      <c r="D200" s="68" t="str">
        <f>'[9]2025'!C200</f>
        <v/>
      </c>
      <c r="E200" s="68" t="str">
        <f>'[9]2025'!D200</f>
        <v/>
      </c>
      <c r="F200" s="20" t="str">
        <f>'[9]2025'!E200</f>
        <v/>
      </c>
      <c r="G200" s="73" t="str">
        <f>'[9]2025'!F200</f>
        <v/>
      </c>
      <c r="H200" s="42">
        <f>'[9]2025'!G200</f>
        <v>0</v>
      </c>
      <c r="I200" s="13">
        <f>'[9]2025'!H200</f>
        <v>0</v>
      </c>
      <c r="J200" s="14">
        <f>'[9]2025'!I200</f>
        <v>0</v>
      </c>
      <c r="K200" s="15">
        <f>'[9]2025'!J200</f>
        <v>0</v>
      </c>
      <c r="L200" s="15">
        <f>'[9]2025'!K200</f>
        <v>0</v>
      </c>
      <c r="M200" s="15">
        <f>'[9]2025'!L200</f>
        <v>0</v>
      </c>
      <c r="N200" s="16" t="str">
        <f t="shared" si="12"/>
        <v/>
      </c>
      <c r="O200" s="17" t="str">
        <f t="shared" si="13"/>
        <v/>
      </c>
      <c r="P200" s="17" t="str">
        <f t="shared" si="13"/>
        <v/>
      </c>
      <c r="Q200" s="18" t="str">
        <f t="shared" si="14"/>
        <v/>
      </c>
      <c r="R200" s="18" t="e">
        <f t="shared" si="15"/>
        <v>#DIV/0!</v>
      </c>
      <c r="S200" s="34">
        <f>SUM(I199:I205)</f>
        <v>0</v>
      </c>
      <c r="T200" s="45" t="s">
        <v>41</v>
      </c>
      <c r="U200" s="1738"/>
    </row>
    <row r="201" spans="1:21">
      <c r="A201" s="10" t="s">
        <v>12</v>
      </c>
      <c r="B201" s="19">
        <f>CHAMNORD!B201</f>
        <v>46218</v>
      </c>
      <c r="C201" s="75" t="str">
        <f>IF(H201=0,"",'[9]2025-2026'!C200)</f>
        <v/>
      </c>
      <c r="D201" s="68" t="str">
        <f>'[9]2025'!C201</f>
        <v/>
      </c>
      <c r="E201" s="68" t="str">
        <f>'[9]2025'!D201</f>
        <v/>
      </c>
      <c r="F201" s="20" t="str">
        <f>'[9]2025'!E201</f>
        <v/>
      </c>
      <c r="G201" s="73" t="str">
        <f>'[9]2025'!F201</f>
        <v/>
      </c>
      <c r="H201" s="42">
        <f>'[9]2025'!G201</f>
        <v>0</v>
      </c>
      <c r="I201" s="13">
        <f>'[9]2025'!H201</f>
        <v>0</v>
      </c>
      <c r="J201" s="14">
        <f>'[9]2025'!I201</f>
        <v>0</v>
      </c>
      <c r="K201" s="15">
        <f>'[9]2025'!J201</f>
        <v>0</v>
      </c>
      <c r="L201" s="15">
        <f>'[9]2025'!K201</f>
        <v>0</v>
      </c>
      <c r="M201" s="15">
        <f>'[9]2025'!L201</f>
        <v>0</v>
      </c>
      <c r="N201" s="16" t="str">
        <f t="shared" si="12"/>
        <v/>
      </c>
      <c r="O201" s="17" t="str">
        <f t="shared" si="13"/>
        <v/>
      </c>
      <c r="P201" s="17" t="str">
        <f t="shared" si="13"/>
        <v/>
      </c>
      <c r="Q201" s="18" t="str">
        <f t="shared" si="14"/>
        <v/>
      </c>
      <c r="R201" s="18" t="e">
        <f t="shared" si="15"/>
        <v>#DIV/0!</v>
      </c>
      <c r="S201" s="35" t="e">
        <f>(S200-SUM(E199:E205))/SUM(E199:E205)</f>
        <v>#DIV/0!</v>
      </c>
      <c r="T201" s="48" t="e">
        <f>SUM(I199:I205)/SUM(K199:K205)</f>
        <v>#DIV/0!</v>
      </c>
      <c r="U201" s="1738"/>
    </row>
    <row r="202" spans="1:21">
      <c r="A202" s="10" t="s">
        <v>13</v>
      </c>
      <c r="B202" s="19">
        <f>CHAMNORD!B202</f>
        <v>46219</v>
      </c>
      <c r="C202" s="75" t="str">
        <f>IF(H202=0,"",'[9]2025-2026'!C201)</f>
        <v/>
      </c>
      <c r="D202" s="68" t="str">
        <f>'[9]2025'!C202</f>
        <v/>
      </c>
      <c r="E202" s="68" t="str">
        <f>'[9]2025'!D202</f>
        <v/>
      </c>
      <c r="F202" s="20" t="str">
        <f>'[9]2025'!E202</f>
        <v/>
      </c>
      <c r="G202" s="73" t="str">
        <f>'[9]2025'!F202</f>
        <v/>
      </c>
      <c r="H202" s="42">
        <f>'[9]2025'!G202</f>
        <v>0</v>
      </c>
      <c r="I202" s="13">
        <f>'[9]2025'!H202</f>
        <v>0</v>
      </c>
      <c r="J202" s="14">
        <f>'[9]2025'!I202</f>
        <v>0</v>
      </c>
      <c r="K202" s="15">
        <f>'[9]2025'!J202</f>
        <v>0</v>
      </c>
      <c r="L202" s="15">
        <f>'[9]2025'!K202</f>
        <v>0</v>
      </c>
      <c r="M202" s="15">
        <f>'[9]2025'!L202</f>
        <v>0</v>
      </c>
      <c r="N202" s="16" t="str">
        <f t="shared" si="12"/>
        <v/>
      </c>
      <c r="O202" s="17" t="str">
        <f t="shared" si="13"/>
        <v/>
      </c>
      <c r="P202" s="17" t="str">
        <f t="shared" si="13"/>
        <v/>
      </c>
      <c r="Q202" s="18" t="str">
        <f t="shared" si="14"/>
        <v/>
      </c>
      <c r="R202" s="18" t="e">
        <f t="shared" si="15"/>
        <v>#DIV/0!</v>
      </c>
      <c r="S202" s="34"/>
      <c r="T202" s="29" t="s">
        <v>8</v>
      </c>
      <c r="U202" s="1738"/>
    </row>
    <row r="203" spans="1:21">
      <c r="A203" s="10" t="s">
        <v>14</v>
      </c>
      <c r="B203" s="19">
        <f>CHAMNORD!B203</f>
        <v>46220</v>
      </c>
      <c r="C203" s="75" t="str">
        <f>IF(H203=0,"",'[9]2025-2026'!C202)</f>
        <v/>
      </c>
      <c r="D203" s="68" t="str">
        <f>'[9]2025'!C203</f>
        <v/>
      </c>
      <c r="E203" s="68" t="str">
        <f>'[9]2025'!D203</f>
        <v/>
      </c>
      <c r="F203" s="20" t="str">
        <f>'[9]2025'!E203</f>
        <v/>
      </c>
      <c r="G203" s="73" t="str">
        <f>'[9]2025'!F203</f>
        <v/>
      </c>
      <c r="H203" s="42">
        <f>'[9]2025'!G203</f>
        <v>0</v>
      </c>
      <c r="I203" s="13">
        <f>'[9]2025'!H203</f>
        <v>0</v>
      </c>
      <c r="J203" s="14">
        <f>'[9]2025'!I203</f>
        <v>0</v>
      </c>
      <c r="K203" s="15">
        <f>'[9]2025'!J203</f>
        <v>0</v>
      </c>
      <c r="L203" s="15">
        <f>'[9]2025'!K203</f>
        <v>0</v>
      </c>
      <c r="M203" s="15">
        <f>'[9]2025'!L203</f>
        <v>0</v>
      </c>
      <c r="N203" s="16" t="str">
        <f t="shared" si="12"/>
        <v/>
      </c>
      <c r="O203" s="17" t="str">
        <f t="shared" si="13"/>
        <v/>
      </c>
      <c r="P203" s="17" t="str">
        <f t="shared" si="13"/>
        <v/>
      </c>
      <c r="Q203" s="18" t="str">
        <f t="shared" si="14"/>
        <v/>
      </c>
      <c r="R203" s="18" t="e">
        <f t="shared" si="15"/>
        <v>#DIV/0!</v>
      </c>
      <c r="S203" s="36" t="s">
        <v>40</v>
      </c>
      <c r="T203" s="48" t="e">
        <f>SUM(I199:I205)/SUM(L199:L205)</f>
        <v>#DIV/0!</v>
      </c>
      <c r="U203" s="1738"/>
    </row>
    <row r="204" spans="1:21">
      <c r="A204" s="10" t="s">
        <v>15</v>
      </c>
      <c r="B204" s="19">
        <f>CHAMNORD!B204</f>
        <v>46221</v>
      </c>
      <c r="C204" s="75" t="str">
        <f>IF(H204=0,"",'[9]2025-2026'!C203)</f>
        <v/>
      </c>
      <c r="D204" s="68" t="str">
        <f>'[9]2025'!C204</f>
        <v/>
      </c>
      <c r="E204" s="68" t="str">
        <f>'[9]2025'!D204</f>
        <v/>
      </c>
      <c r="F204" s="20" t="str">
        <f>'[9]2025'!E204</f>
        <v/>
      </c>
      <c r="G204" s="73" t="str">
        <f>'[9]2025'!F204</f>
        <v/>
      </c>
      <c r="H204" s="42">
        <f>'[9]2025'!G204</f>
        <v>0</v>
      </c>
      <c r="I204" s="13">
        <f>'[9]2025'!H204</f>
        <v>0</v>
      </c>
      <c r="J204" s="14">
        <f>'[9]2025'!I204</f>
        <v>0</v>
      </c>
      <c r="K204" s="15">
        <f>'[9]2025'!J204</f>
        <v>0</v>
      </c>
      <c r="L204" s="15">
        <f>'[9]2025'!K204</f>
        <v>0</v>
      </c>
      <c r="M204" s="15">
        <f>'[9]2025'!L204</f>
        <v>0</v>
      </c>
      <c r="N204" s="16" t="str">
        <f t="shared" si="12"/>
        <v/>
      </c>
      <c r="O204" s="17" t="str">
        <f t="shared" si="13"/>
        <v/>
      </c>
      <c r="P204" s="17" t="str">
        <f t="shared" si="13"/>
        <v/>
      </c>
      <c r="Q204" s="18" t="str">
        <f t="shared" si="14"/>
        <v/>
      </c>
      <c r="R204" s="18" t="e">
        <f t="shared" si="15"/>
        <v>#DIV/0!</v>
      </c>
      <c r="S204" s="36">
        <f>SUM(J199:J205)</f>
        <v>0</v>
      </c>
      <c r="T204" s="30" t="s">
        <v>3</v>
      </c>
      <c r="U204" s="1738"/>
    </row>
    <row r="205" spans="1:21" ht="18" thickBot="1">
      <c r="A205" s="10" t="s">
        <v>16</v>
      </c>
      <c r="B205" s="19">
        <f>CHAMNORD!B205</f>
        <v>46222</v>
      </c>
      <c r="C205" s="75" t="str">
        <f>IF(H205=0,"",'[9]2025-2026'!C204)</f>
        <v/>
      </c>
      <c r="D205" s="68" t="str">
        <f>'[9]2025'!C205</f>
        <v/>
      </c>
      <c r="E205" s="68" t="str">
        <f>'[9]2025'!D205</f>
        <v/>
      </c>
      <c r="F205" s="20" t="str">
        <f>'[9]2025'!E205</f>
        <v/>
      </c>
      <c r="G205" s="73" t="str">
        <f>'[9]2025'!F205</f>
        <v/>
      </c>
      <c r="H205" s="42">
        <f>'[9]2025'!G205</f>
        <v>0</v>
      </c>
      <c r="I205" s="13">
        <f>'[9]2025'!H205</f>
        <v>0</v>
      </c>
      <c r="J205" s="14">
        <f>'[9]2025'!I205</f>
        <v>0</v>
      </c>
      <c r="K205" s="15">
        <f>'[9]2025'!J205</f>
        <v>0</v>
      </c>
      <c r="L205" s="15">
        <f>'[9]2025'!K205</f>
        <v>0</v>
      </c>
      <c r="M205" s="15">
        <f>'[9]2025'!L205</f>
        <v>0</v>
      </c>
      <c r="N205" s="16" t="str">
        <f t="shared" si="12"/>
        <v/>
      </c>
      <c r="O205" s="17" t="str">
        <f t="shared" si="13"/>
        <v/>
      </c>
      <c r="P205" s="17" t="str">
        <f t="shared" si="13"/>
        <v/>
      </c>
      <c r="Q205" s="18" t="str">
        <f t="shared" si="14"/>
        <v/>
      </c>
      <c r="R205" s="18" t="e">
        <f t="shared" si="15"/>
        <v>#DIV/0!</v>
      </c>
      <c r="S205" s="37" t="e">
        <f>(S204-SUM(F199:F205))/SUM(F199:F205)</f>
        <v>#DIV/0!</v>
      </c>
      <c r="T205" s="47" t="e">
        <f>SUM(M199:M205)/SUM(I199:I205)</f>
        <v>#DIV/0!</v>
      </c>
      <c r="U205" s="1739"/>
    </row>
    <row r="206" spans="1:21" ht="17" customHeight="1" thickTop="1">
      <c r="A206" s="10" t="s">
        <v>9</v>
      </c>
      <c r="B206" s="19">
        <f>CHAMNORD!B206</f>
        <v>46223</v>
      </c>
      <c r="C206" s="75" t="str">
        <f>IF(H206=0,"",'[9]2025-2026'!C205)</f>
        <v/>
      </c>
      <c r="D206" s="68" t="str">
        <f>'[9]2025'!C206</f>
        <v/>
      </c>
      <c r="E206" s="68" t="str">
        <f>'[9]2025'!D206</f>
        <v/>
      </c>
      <c r="F206" s="20" t="str">
        <f>'[9]2025'!E206</f>
        <v/>
      </c>
      <c r="G206" s="73" t="str">
        <f>'[9]2025'!F206</f>
        <v/>
      </c>
      <c r="H206" s="42">
        <f>'[9]2025'!G206</f>
        <v>0</v>
      </c>
      <c r="I206" s="13">
        <f>'[9]2025'!H206</f>
        <v>0</v>
      </c>
      <c r="J206" s="14">
        <f>'[9]2025'!I206</f>
        <v>0</v>
      </c>
      <c r="K206" s="15">
        <f>'[9]2025'!J206</f>
        <v>0</v>
      </c>
      <c r="L206" s="15">
        <f>'[9]2025'!K206</f>
        <v>0</v>
      </c>
      <c r="M206" s="15">
        <f>'[9]2025'!L206</f>
        <v>0</v>
      </c>
      <c r="N206" s="16" t="str">
        <f t="shared" si="12"/>
        <v/>
      </c>
      <c r="O206" s="17" t="str">
        <f t="shared" si="13"/>
        <v/>
      </c>
      <c r="P206" s="17" t="str">
        <f t="shared" si="13"/>
        <v/>
      </c>
      <c r="Q206" s="18" t="str">
        <f t="shared" si="14"/>
        <v/>
      </c>
      <c r="R206" s="18" t="e">
        <f t="shared" si="15"/>
        <v>#DIV/0!</v>
      </c>
      <c r="S206" s="33" t="s">
        <v>39</v>
      </c>
      <c r="T206" s="31" t="s">
        <v>42</v>
      </c>
      <c r="U206" s="1737" t="s">
        <v>112</v>
      </c>
    </row>
    <row r="207" spans="1:21">
      <c r="A207" s="10" t="s">
        <v>11</v>
      </c>
      <c r="B207" s="19">
        <f>CHAMNORD!B207</f>
        <v>46224</v>
      </c>
      <c r="C207" s="75" t="str">
        <f>IF(H207=0,"",'[9]2025-2026'!C206)</f>
        <v/>
      </c>
      <c r="D207" s="68" t="str">
        <f>'[9]2025'!C207</f>
        <v/>
      </c>
      <c r="E207" s="68" t="str">
        <f>'[9]2025'!D207</f>
        <v/>
      </c>
      <c r="F207" s="20" t="str">
        <f>'[9]2025'!E207</f>
        <v/>
      </c>
      <c r="G207" s="73" t="str">
        <f>'[9]2025'!F207</f>
        <v/>
      </c>
      <c r="H207" s="42">
        <f>'[9]2025'!G207</f>
        <v>0</v>
      </c>
      <c r="I207" s="13">
        <f>'[9]2025'!H207</f>
        <v>0</v>
      </c>
      <c r="J207" s="14">
        <f>'[9]2025'!I207</f>
        <v>0</v>
      </c>
      <c r="K207" s="15">
        <f>'[9]2025'!J207</f>
        <v>0</v>
      </c>
      <c r="L207" s="15">
        <f>'[9]2025'!K207</f>
        <v>0</v>
      </c>
      <c r="M207" s="15">
        <f>'[9]2025'!L207</f>
        <v>0</v>
      </c>
      <c r="N207" s="16" t="str">
        <f t="shared" si="12"/>
        <v/>
      </c>
      <c r="O207" s="17" t="str">
        <f t="shared" si="13"/>
        <v/>
      </c>
      <c r="P207" s="17" t="str">
        <f t="shared" si="13"/>
        <v/>
      </c>
      <c r="Q207" s="18" t="str">
        <f t="shared" si="14"/>
        <v/>
      </c>
      <c r="R207" s="18" t="e">
        <f t="shared" si="15"/>
        <v>#DIV/0!</v>
      </c>
      <c r="S207" s="34">
        <f>SUM(I206:I212)</f>
        <v>0</v>
      </c>
      <c r="T207" s="45" t="s">
        <v>41</v>
      </c>
      <c r="U207" s="1738"/>
    </row>
    <row r="208" spans="1:21">
      <c r="A208" s="10" t="s">
        <v>12</v>
      </c>
      <c r="B208" s="19">
        <f>CHAMNORD!B208</f>
        <v>46225</v>
      </c>
      <c r="C208" s="75" t="str">
        <f>IF(H208=0,"",'[9]2025-2026'!C207)</f>
        <v/>
      </c>
      <c r="D208" s="68" t="str">
        <f>'[9]2025'!C208</f>
        <v/>
      </c>
      <c r="E208" s="68" t="str">
        <f>'[9]2025'!D208</f>
        <v/>
      </c>
      <c r="F208" s="20" t="str">
        <f>'[9]2025'!E208</f>
        <v/>
      </c>
      <c r="G208" s="73" t="str">
        <f>'[9]2025'!F208</f>
        <v/>
      </c>
      <c r="H208" s="42">
        <f>'[9]2025'!G208</f>
        <v>0</v>
      </c>
      <c r="I208" s="13">
        <f>'[9]2025'!H208</f>
        <v>0</v>
      </c>
      <c r="J208" s="14">
        <f>'[9]2025'!I208</f>
        <v>0</v>
      </c>
      <c r="K208" s="15">
        <f>'[9]2025'!J208</f>
        <v>0</v>
      </c>
      <c r="L208" s="15">
        <f>'[9]2025'!K208</f>
        <v>0</v>
      </c>
      <c r="M208" s="15">
        <f>'[9]2025'!L208</f>
        <v>0</v>
      </c>
      <c r="N208" s="16" t="str">
        <f t="shared" si="12"/>
        <v/>
      </c>
      <c r="O208" s="17" t="str">
        <f t="shared" si="13"/>
        <v/>
      </c>
      <c r="P208" s="17" t="str">
        <f t="shared" si="13"/>
        <v/>
      </c>
      <c r="Q208" s="18" t="str">
        <f t="shared" si="14"/>
        <v/>
      </c>
      <c r="R208" s="18" t="e">
        <f t="shared" si="15"/>
        <v>#DIV/0!</v>
      </c>
      <c r="S208" s="35" t="e">
        <f>(S207-SUM(E206:E212))/SUM(E206:E212)</f>
        <v>#DIV/0!</v>
      </c>
      <c r="T208" s="48" t="e">
        <f>SUM(I206:I212)/SUM(K206:K212)</f>
        <v>#DIV/0!</v>
      </c>
      <c r="U208" s="1738"/>
    </row>
    <row r="209" spans="1:21">
      <c r="A209" s="10" t="s">
        <v>13</v>
      </c>
      <c r="B209" s="19">
        <f>CHAMNORD!B209</f>
        <v>46226</v>
      </c>
      <c r="C209" s="75" t="str">
        <f>IF(H209=0,"",'[9]2025-2026'!C208)</f>
        <v/>
      </c>
      <c r="D209" s="68" t="str">
        <f>'[9]2025'!C209</f>
        <v/>
      </c>
      <c r="E209" s="68" t="str">
        <f>'[9]2025'!D209</f>
        <v/>
      </c>
      <c r="F209" s="20" t="str">
        <f>'[9]2025'!E209</f>
        <v/>
      </c>
      <c r="G209" s="73" t="str">
        <f>'[9]2025'!F209</f>
        <v/>
      </c>
      <c r="H209" s="42">
        <f>'[9]2025'!G209</f>
        <v>0</v>
      </c>
      <c r="I209" s="13">
        <f>'[9]2025'!H209</f>
        <v>0</v>
      </c>
      <c r="J209" s="14">
        <f>'[9]2025'!I209</f>
        <v>0</v>
      </c>
      <c r="K209" s="15">
        <f>'[9]2025'!J209</f>
        <v>0</v>
      </c>
      <c r="L209" s="15">
        <f>'[9]2025'!K209</f>
        <v>0</v>
      </c>
      <c r="M209" s="15">
        <f>'[9]2025'!L209</f>
        <v>0</v>
      </c>
      <c r="N209" s="16" t="str">
        <f t="shared" si="12"/>
        <v/>
      </c>
      <c r="O209" s="17" t="str">
        <f t="shared" si="13"/>
        <v/>
      </c>
      <c r="P209" s="17" t="str">
        <f t="shared" si="13"/>
        <v/>
      </c>
      <c r="Q209" s="18" t="str">
        <f t="shared" si="14"/>
        <v/>
      </c>
      <c r="R209" s="18" t="e">
        <f t="shared" si="15"/>
        <v>#DIV/0!</v>
      </c>
      <c r="S209" s="34"/>
      <c r="T209" s="29" t="s">
        <v>8</v>
      </c>
      <c r="U209" s="1738"/>
    </row>
    <row r="210" spans="1:21">
      <c r="A210" s="10" t="s">
        <v>14</v>
      </c>
      <c r="B210" s="19">
        <f>CHAMNORD!B210</f>
        <v>46227</v>
      </c>
      <c r="C210" s="75" t="str">
        <f>IF(H210=0,"",'[9]2025-2026'!C209)</f>
        <v/>
      </c>
      <c r="D210" s="68" t="str">
        <f>'[9]2025'!C210</f>
        <v/>
      </c>
      <c r="E210" s="68" t="str">
        <f>'[9]2025'!D210</f>
        <v/>
      </c>
      <c r="F210" s="20" t="str">
        <f>'[9]2025'!E210</f>
        <v/>
      </c>
      <c r="G210" s="73" t="str">
        <f>'[9]2025'!F210</f>
        <v/>
      </c>
      <c r="H210" s="42">
        <f>'[9]2025'!G210</f>
        <v>0</v>
      </c>
      <c r="I210" s="13">
        <f>'[9]2025'!H210</f>
        <v>0</v>
      </c>
      <c r="J210" s="14">
        <f>'[9]2025'!I210</f>
        <v>0</v>
      </c>
      <c r="K210" s="15">
        <f>'[9]2025'!J210</f>
        <v>0</v>
      </c>
      <c r="L210" s="15">
        <f>'[9]2025'!K210</f>
        <v>0</v>
      </c>
      <c r="M210" s="15">
        <f>'[9]2025'!L210</f>
        <v>0</v>
      </c>
      <c r="N210" s="16" t="str">
        <f t="shared" si="12"/>
        <v/>
      </c>
      <c r="O210" s="17" t="str">
        <f t="shared" si="13"/>
        <v/>
      </c>
      <c r="P210" s="17" t="str">
        <f t="shared" si="13"/>
        <v/>
      </c>
      <c r="Q210" s="18" t="str">
        <f t="shared" si="14"/>
        <v/>
      </c>
      <c r="R210" s="18" t="e">
        <f t="shared" si="15"/>
        <v>#DIV/0!</v>
      </c>
      <c r="S210" s="36" t="s">
        <v>40</v>
      </c>
      <c r="T210" s="48" t="e">
        <f>SUM(I206:I212)/SUM(L206:L212)</f>
        <v>#DIV/0!</v>
      </c>
      <c r="U210" s="1738"/>
    </row>
    <row r="211" spans="1:21">
      <c r="A211" s="10" t="s">
        <v>15</v>
      </c>
      <c r="B211" s="19">
        <f>CHAMNORD!B211</f>
        <v>46228</v>
      </c>
      <c r="C211" s="75" t="str">
        <f>IF(H211=0,"",'[9]2025-2026'!C210)</f>
        <v/>
      </c>
      <c r="D211" s="68" t="str">
        <f>'[9]2025'!C211</f>
        <v/>
      </c>
      <c r="E211" s="68" t="str">
        <f>'[9]2025'!D211</f>
        <v/>
      </c>
      <c r="F211" s="20" t="str">
        <f>'[9]2025'!E211</f>
        <v/>
      </c>
      <c r="G211" s="73" t="str">
        <f>'[9]2025'!F211</f>
        <v/>
      </c>
      <c r="H211" s="42">
        <f>'[9]2025'!G211</f>
        <v>0</v>
      </c>
      <c r="I211" s="13">
        <f>'[9]2025'!H211</f>
        <v>0</v>
      </c>
      <c r="J211" s="14">
        <f>'[9]2025'!I211</f>
        <v>0</v>
      </c>
      <c r="K211" s="15">
        <f>'[9]2025'!J211</f>
        <v>0</v>
      </c>
      <c r="L211" s="15">
        <f>'[9]2025'!K211</f>
        <v>0</v>
      </c>
      <c r="M211" s="15">
        <f>'[9]2025'!L211</f>
        <v>0</v>
      </c>
      <c r="N211" s="16" t="str">
        <f t="shared" si="12"/>
        <v/>
      </c>
      <c r="O211" s="17" t="str">
        <f t="shared" si="13"/>
        <v/>
      </c>
      <c r="P211" s="17" t="str">
        <f t="shared" si="13"/>
        <v/>
      </c>
      <c r="Q211" s="18" t="str">
        <f t="shared" si="14"/>
        <v/>
      </c>
      <c r="R211" s="18" t="e">
        <f t="shared" si="15"/>
        <v>#DIV/0!</v>
      </c>
      <c r="S211" s="36">
        <f>SUM(J206:J212)</f>
        <v>0</v>
      </c>
      <c r="T211" s="30" t="s">
        <v>3</v>
      </c>
      <c r="U211" s="1738"/>
    </row>
    <row r="212" spans="1:21" ht="18" thickBot="1">
      <c r="A212" s="10" t="s">
        <v>16</v>
      </c>
      <c r="B212" s="19">
        <f>CHAMNORD!B212</f>
        <v>46229</v>
      </c>
      <c r="C212" s="75" t="str">
        <f>IF(H212=0,"",'[9]2025-2026'!C211)</f>
        <v/>
      </c>
      <c r="D212" s="68" t="str">
        <f>'[9]2025'!C212</f>
        <v/>
      </c>
      <c r="E212" s="68" t="str">
        <f>'[9]2025'!D212</f>
        <v/>
      </c>
      <c r="F212" s="20" t="str">
        <f>'[9]2025'!E212</f>
        <v/>
      </c>
      <c r="G212" s="73" t="str">
        <f>'[9]2025'!F212</f>
        <v/>
      </c>
      <c r="H212" s="42">
        <f>'[9]2025'!G212</f>
        <v>0</v>
      </c>
      <c r="I212" s="13">
        <f>'[9]2025'!H212</f>
        <v>0</v>
      </c>
      <c r="J212" s="14">
        <f>'[9]2025'!I212</f>
        <v>0</v>
      </c>
      <c r="K212" s="15">
        <f>'[9]2025'!J212</f>
        <v>0</v>
      </c>
      <c r="L212" s="15">
        <f>'[9]2025'!K212</f>
        <v>0</v>
      </c>
      <c r="M212" s="15">
        <f>'[9]2025'!L212</f>
        <v>0</v>
      </c>
      <c r="N212" s="16" t="str">
        <f t="shared" si="12"/>
        <v/>
      </c>
      <c r="O212" s="17" t="str">
        <f t="shared" si="13"/>
        <v/>
      </c>
      <c r="P212" s="17" t="str">
        <f t="shared" si="13"/>
        <v/>
      </c>
      <c r="Q212" s="18" t="str">
        <f t="shared" si="14"/>
        <v/>
      </c>
      <c r="R212" s="18" t="e">
        <f t="shared" si="15"/>
        <v>#DIV/0!</v>
      </c>
      <c r="S212" s="37" t="e">
        <f>(S211-SUM(F206:F212))/SUM(F206:F212)</f>
        <v>#DIV/0!</v>
      </c>
      <c r="T212" s="47" t="e">
        <f>SUM(M206:M212)/SUM(I206:I212)</f>
        <v>#DIV/0!</v>
      </c>
      <c r="U212" s="1739"/>
    </row>
    <row r="213" spans="1:21" ht="17" customHeight="1" thickTop="1">
      <c r="A213" s="10" t="s">
        <v>9</v>
      </c>
      <c r="B213" s="19">
        <f>CHAMNORD!B213</f>
        <v>46230</v>
      </c>
      <c r="C213" s="75" t="str">
        <f>IF(H213=0,"",'[9]2025-2026'!C212)</f>
        <v/>
      </c>
      <c r="D213" s="68" t="str">
        <f>'[9]2025'!C213</f>
        <v/>
      </c>
      <c r="E213" s="68" t="str">
        <f>'[9]2025'!D213</f>
        <v/>
      </c>
      <c r="F213" s="20" t="str">
        <f>'[9]2025'!E213</f>
        <v/>
      </c>
      <c r="G213" s="73" t="str">
        <f>'[9]2025'!F213</f>
        <v/>
      </c>
      <c r="H213" s="42">
        <f>'[9]2025'!G213</f>
        <v>0</v>
      </c>
      <c r="I213" s="13">
        <f>'[9]2025'!H213</f>
        <v>0</v>
      </c>
      <c r="J213" s="14">
        <f>'[9]2025'!I213</f>
        <v>0</v>
      </c>
      <c r="K213" s="15">
        <f>'[9]2025'!J213</f>
        <v>0</v>
      </c>
      <c r="L213" s="15">
        <f>'[9]2025'!K213</f>
        <v>0</v>
      </c>
      <c r="M213" s="15">
        <f>'[9]2025'!L213</f>
        <v>0</v>
      </c>
      <c r="N213" s="16" t="str">
        <f t="shared" si="12"/>
        <v/>
      </c>
      <c r="O213" s="17" t="str">
        <f t="shared" si="13"/>
        <v/>
      </c>
      <c r="P213" s="17" t="str">
        <f t="shared" si="13"/>
        <v/>
      </c>
      <c r="Q213" s="18" t="str">
        <f t="shared" si="14"/>
        <v/>
      </c>
      <c r="R213" s="18" t="e">
        <f t="shared" si="15"/>
        <v>#DIV/0!</v>
      </c>
      <c r="S213" s="33" t="s">
        <v>39</v>
      </c>
      <c r="T213" s="31" t="s">
        <v>42</v>
      </c>
      <c r="U213" s="1737" t="s">
        <v>113</v>
      </c>
    </row>
    <row r="214" spans="1:21">
      <c r="A214" s="10" t="s">
        <v>11</v>
      </c>
      <c r="B214" s="19">
        <f>CHAMNORD!B214</f>
        <v>46231</v>
      </c>
      <c r="C214" s="75" t="str">
        <f>IF(H214=0,"",'[9]2025-2026'!C213)</f>
        <v/>
      </c>
      <c r="D214" s="68" t="str">
        <f>'[9]2025'!C214</f>
        <v/>
      </c>
      <c r="E214" s="68" t="str">
        <f>'[9]2025'!D214</f>
        <v/>
      </c>
      <c r="F214" s="20" t="str">
        <f>'[9]2025'!E214</f>
        <v/>
      </c>
      <c r="G214" s="73" t="str">
        <f>'[9]2025'!F214</f>
        <v/>
      </c>
      <c r="H214" s="42">
        <f>'[9]2025'!G214</f>
        <v>0</v>
      </c>
      <c r="I214" s="13">
        <f>'[9]2025'!H214</f>
        <v>0</v>
      </c>
      <c r="J214" s="14">
        <f>'[9]2025'!I214</f>
        <v>0</v>
      </c>
      <c r="K214" s="15">
        <f>'[9]2025'!J214</f>
        <v>0</v>
      </c>
      <c r="L214" s="15">
        <f>'[9]2025'!K214</f>
        <v>0</v>
      </c>
      <c r="M214" s="15">
        <f>'[9]2025'!L214</f>
        <v>0</v>
      </c>
      <c r="N214" s="16" t="str">
        <f t="shared" si="12"/>
        <v/>
      </c>
      <c r="O214" s="17" t="str">
        <f t="shared" si="13"/>
        <v/>
      </c>
      <c r="P214" s="17" t="str">
        <f t="shared" si="13"/>
        <v/>
      </c>
      <c r="Q214" s="18" t="str">
        <f t="shared" si="14"/>
        <v/>
      </c>
      <c r="R214" s="18" t="e">
        <f t="shared" si="15"/>
        <v>#DIV/0!</v>
      </c>
      <c r="S214" s="34">
        <f>SUM(I213:I219)</f>
        <v>0</v>
      </c>
      <c r="T214" s="45" t="s">
        <v>41</v>
      </c>
      <c r="U214" s="1738"/>
    </row>
    <row r="215" spans="1:21">
      <c r="A215" s="10" t="s">
        <v>12</v>
      </c>
      <c r="B215" s="19">
        <f>CHAMNORD!B215</f>
        <v>46232</v>
      </c>
      <c r="C215" s="75" t="str">
        <f>IF(H215=0,"",'[9]2025-2026'!C214)</f>
        <v/>
      </c>
      <c r="D215" s="68" t="str">
        <f>'[9]2025'!C215</f>
        <v/>
      </c>
      <c r="E215" s="68" t="str">
        <f>'[9]2025'!D215</f>
        <v/>
      </c>
      <c r="F215" s="20" t="str">
        <f>'[9]2025'!E215</f>
        <v/>
      </c>
      <c r="G215" s="73" t="str">
        <f>'[9]2025'!F215</f>
        <v/>
      </c>
      <c r="H215" s="42">
        <f>'[9]2025'!G215</f>
        <v>0</v>
      </c>
      <c r="I215" s="13">
        <f>'[9]2025'!H215</f>
        <v>0</v>
      </c>
      <c r="J215" s="14">
        <f>'[9]2025'!I215</f>
        <v>0</v>
      </c>
      <c r="K215" s="15">
        <f>'[9]2025'!J215</f>
        <v>0</v>
      </c>
      <c r="L215" s="15">
        <f>'[9]2025'!K215</f>
        <v>0</v>
      </c>
      <c r="M215" s="15">
        <f>'[9]2025'!L215</f>
        <v>0</v>
      </c>
      <c r="N215" s="16" t="str">
        <f t="shared" si="12"/>
        <v/>
      </c>
      <c r="O215" s="17" t="str">
        <f t="shared" si="13"/>
        <v/>
      </c>
      <c r="P215" s="17" t="str">
        <f t="shared" si="13"/>
        <v/>
      </c>
      <c r="Q215" s="18" t="str">
        <f t="shared" si="14"/>
        <v/>
      </c>
      <c r="R215" s="18" t="e">
        <f t="shared" si="15"/>
        <v>#DIV/0!</v>
      </c>
      <c r="S215" s="35" t="e">
        <f>(S214-SUM(E213:E219))/SUM(E213:E219)</f>
        <v>#DIV/0!</v>
      </c>
      <c r="T215" s="48" t="e">
        <f>SUM(I213:I219)/SUM(K213:K219)</f>
        <v>#DIV/0!</v>
      </c>
      <c r="U215" s="1738"/>
    </row>
    <row r="216" spans="1:21">
      <c r="A216" s="10" t="s">
        <v>13</v>
      </c>
      <c r="B216" s="19">
        <f>CHAMNORD!B216</f>
        <v>46233</v>
      </c>
      <c r="C216" s="75" t="str">
        <f>IF(H216=0,"",'[9]2025-2026'!C215)</f>
        <v/>
      </c>
      <c r="D216" s="68" t="str">
        <f>'[9]2025'!C216</f>
        <v/>
      </c>
      <c r="E216" s="68" t="str">
        <f>'[9]2025'!D216</f>
        <v/>
      </c>
      <c r="F216" s="20" t="str">
        <f>'[9]2025'!E216</f>
        <v/>
      </c>
      <c r="G216" s="73" t="str">
        <f>'[9]2025'!F216</f>
        <v/>
      </c>
      <c r="H216" s="42">
        <f>'[9]2025'!G216</f>
        <v>0</v>
      </c>
      <c r="I216" s="13">
        <f>'[9]2025'!H216</f>
        <v>0</v>
      </c>
      <c r="J216" s="14">
        <f>'[9]2025'!I216</f>
        <v>0</v>
      </c>
      <c r="K216" s="15">
        <f>'[9]2025'!J216</f>
        <v>0</v>
      </c>
      <c r="L216" s="15">
        <f>'[9]2025'!K216</f>
        <v>0</v>
      </c>
      <c r="M216" s="15">
        <f>'[9]2025'!L216</f>
        <v>0</v>
      </c>
      <c r="N216" s="16" t="str">
        <f t="shared" si="12"/>
        <v/>
      </c>
      <c r="O216" s="17" t="str">
        <f t="shared" si="13"/>
        <v/>
      </c>
      <c r="P216" s="17" t="str">
        <f t="shared" si="13"/>
        <v/>
      </c>
      <c r="Q216" s="18" t="str">
        <f t="shared" si="14"/>
        <v/>
      </c>
      <c r="R216" s="18" t="e">
        <f t="shared" si="15"/>
        <v>#DIV/0!</v>
      </c>
      <c r="S216" s="34"/>
      <c r="T216" s="29" t="s">
        <v>8</v>
      </c>
      <c r="U216" s="1738"/>
    </row>
    <row r="217" spans="1:21">
      <c r="A217" s="10" t="s">
        <v>14</v>
      </c>
      <c r="B217" s="19">
        <f>CHAMNORD!B217</f>
        <v>46234</v>
      </c>
      <c r="C217" s="75" t="str">
        <f>IF(H217=0,"",'[9]2025-2026'!C216)</f>
        <v/>
      </c>
      <c r="D217" s="68" t="str">
        <f>'[9]2025'!C217</f>
        <v/>
      </c>
      <c r="E217" s="68" t="str">
        <f>'[9]2025'!D217</f>
        <v/>
      </c>
      <c r="F217" s="20" t="str">
        <f>'[9]2025'!E217</f>
        <v/>
      </c>
      <c r="G217" s="73" t="str">
        <f>'[9]2025'!F217</f>
        <v/>
      </c>
      <c r="H217" s="42">
        <f>'[9]2025'!G217</f>
        <v>0</v>
      </c>
      <c r="I217" s="13">
        <f>'[9]2025'!H217</f>
        <v>0</v>
      </c>
      <c r="J217" s="14">
        <f>'[9]2025'!I217</f>
        <v>0</v>
      </c>
      <c r="K217" s="15">
        <f>'[9]2025'!J217</f>
        <v>0</v>
      </c>
      <c r="L217" s="15">
        <f>'[9]2025'!K217</f>
        <v>0</v>
      </c>
      <c r="M217" s="15">
        <f>'[9]2025'!L217</f>
        <v>0</v>
      </c>
      <c r="N217" s="16" t="str">
        <f t="shared" si="12"/>
        <v/>
      </c>
      <c r="O217" s="17" t="str">
        <f t="shared" si="13"/>
        <v/>
      </c>
      <c r="P217" s="17" t="str">
        <f t="shared" si="13"/>
        <v/>
      </c>
      <c r="Q217" s="18" t="str">
        <f t="shared" si="14"/>
        <v/>
      </c>
      <c r="R217" s="18" t="e">
        <f t="shared" si="15"/>
        <v>#DIV/0!</v>
      </c>
      <c r="S217" s="36" t="s">
        <v>40</v>
      </c>
      <c r="T217" s="48" t="e">
        <f>SUM(I213:I219)/SUM(L213:L219)</f>
        <v>#DIV/0!</v>
      </c>
      <c r="U217" s="1738"/>
    </row>
    <row r="218" spans="1:21">
      <c r="A218" s="10" t="s">
        <v>15</v>
      </c>
      <c r="B218" s="19">
        <f>CHAMNORD!B218</f>
        <v>46235</v>
      </c>
      <c r="C218" s="75" t="str">
        <f>IF(H218=0,"",'[9]2025-2026'!C217)</f>
        <v/>
      </c>
      <c r="D218" s="68" t="str">
        <f>'[9]2025'!C218</f>
        <v/>
      </c>
      <c r="E218" s="68" t="str">
        <f>'[9]2025'!D218</f>
        <v/>
      </c>
      <c r="F218" s="20" t="str">
        <f>'[9]2025'!E218</f>
        <v/>
      </c>
      <c r="G218" s="73" t="str">
        <f>'[9]2025'!F218</f>
        <v/>
      </c>
      <c r="H218" s="42">
        <f>'[9]2025'!G218</f>
        <v>0</v>
      </c>
      <c r="I218" s="13">
        <f>'[9]2025'!H218</f>
        <v>0</v>
      </c>
      <c r="J218" s="14">
        <f>'[9]2025'!I218</f>
        <v>0</v>
      </c>
      <c r="K218" s="15">
        <f>'[9]2025'!J218</f>
        <v>0</v>
      </c>
      <c r="L218" s="15">
        <f>'[9]2025'!K218</f>
        <v>0</v>
      </c>
      <c r="M218" s="15">
        <f>'[9]2025'!L218</f>
        <v>0</v>
      </c>
      <c r="N218" s="16" t="str">
        <f t="shared" si="12"/>
        <v/>
      </c>
      <c r="O218" s="17" t="str">
        <f t="shared" si="13"/>
        <v/>
      </c>
      <c r="P218" s="17" t="str">
        <f t="shared" si="13"/>
        <v/>
      </c>
      <c r="Q218" s="18" t="str">
        <f t="shared" si="14"/>
        <v/>
      </c>
      <c r="R218" s="18" t="e">
        <f t="shared" si="15"/>
        <v>#DIV/0!</v>
      </c>
      <c r="S218" s="36">
        <f>SUM(J213:J219)</f>
        <v>0</v>
      </c>
      <c r="T218" s="30" t="s">
        <v>3</v>
      </c>
      <c r="U218" s="1738"/>
    </row>
    <row r="219" spans="1:21" ht="18" thickBot="1">
      <c r="A219" s="10" t="s">
        <v>16</v>
      </c>
      <c r="B219" s="19">
        <f>CHAMNORD!B219</f>
        <v>46236</v>
      </c>
      <c r="C219" s="75" t="str">
        <f>IF(H219=0,"",'[9]2025-2026'!C218)</f>
        <v/>
      </c>
      <c r="D219" s="68" t="str">
        <f>'[9]2025'!C219</f>
        <v/>
      </c>
      <c r="E219" s="68" t="str">
        <f>'[9]2025'!D219</f>
        <v/>
      </c>
      <c r="F219" s="20" t="str">
        <f>'[9]2025'!E219</f>
        <v/>
      </c>
      <c r="G219" s="73" t="str">
        <f>'[9]2025'!F219</f>
        <v/>
      </c>
      <c r="H219" s="42">
        <f>'[9]2025'!G219</f>
        <v>0</v>
      </c>
      <c r="I219" s="13">
        <f>'[9]2025'!H219</f>
        <v>0</v>
      </c>
      <c r="J219" s="14">
        <f>'[9]2025'!I219</f>
        <v>0</v>
      </c>
      <c r="K219" s="15">
        <f>'[9]2025'!J219</f>
        <v>0</v>
      </c>
      <c r="L219" s="15">
        <f>'[9]2025'!K219</f>
        <v>0</v>
      </c>
      <c r="M219" s="15">
        <f>'[9]2025'!L219</f>
        <v>0</v>
      </c>
      <c r="N219" s="16" t="str">
        <f t="shared" si="12"/>
        <v/>
      </c>
      <c r="O219" s="17" t="str">
        <f t="shared" si="13"/>
        <v/>
      </c>
      <c r="P219" s="17" t="str">
        <f t="shared" si="13"/>
        <v/>
      </c>
      <c r="Q219" s="18" t="str">
        <f t="shared" si="14"/>
        <v/>
      </c>
      <c r="R219" s="18" t="e">
        <f t="shared" si="15"/>
        <v>#DIV/0!</v>
      </c>
      <c r="S219" s="37" t="e">
        <f>(S218-SUM(F213:F219))/SUM(F213:F219)</f>
        <v>#DIV/0!</v>
      </c>
      <c r="T219" s="47" t="e">
        <f>SUM(M213:M219)/SUM(I213:I219)</f>
        <v>#DIV/0!</v>
      </c>
      <c r="U219" s="1739"/>
    </row>
    <row r="220" spans="1:21" ht="17" customHeight="1" thickTop="1">
      <c r="A220" s="10" t="s">
        <v>9</v>
      </c>
      <c r="B220" s="19">
        <f>CHAMNORD!B220</f>
        <v>46237</v>
      </c>
      <c r="C220" s="75" t="str">
        <f>IF(H220=0,"",'[9]2025-2026'!C219)</f>
        <v/>
      </c>
      <c r="D220" s="68" t="str">
        <f>'[9]2025'!C220</f>
        <v/>
      </c>
      <c r="E220" s="68" t="str">
        <f>'[9]2025'!D220</f>
        <v/>
      </c>
      <c r="F220" s="20" t="str">
        <f>'[9]2025'!E220</f>
        <v/>
      </c>
      <c r="G220" s="73" t="str">
        <f>'[9]2025'!F220</f>
        <v/>
      </c>
      <c r="H220" s="42">
        <f>'[9]2025'!G220</f>
        <v>0</v>
      </c>
      <c r="I220" s="13">
        <f>'[9]2025'!H220</f>
        <v>0</v>
      </c>
      <c r="J220" s="14">
        <f>'[9]2025'!I220</f>
        <v>0</v>
      </c>
      <c r="K220" s="15">
        <f>'[9]2025'!J220</f>
        <v>0</v>
      </c>
      <c r="L220" s="15">
        <f>'[9]2025'!K220</f>
        <v>0</v>
      </c>
      <c r="M220" s="15">
        <f>'[9]2025'!L220</f>
        <v>0</v>
      </c>
      <c r="N220" s="16" t="str">
        <f t="shared" si="12"/>
        <v/>
      </c>
      <c r="O220" s="17" t="str">
        <f t="shared" si="13"/>
        <v/>
      </c>
      <c r="P220" s="17" t="str">
        <f t="shared" si="13"/>
        <v/>
      </c>
      <c r="Q220" s="18" t="str">
        <f t="shared" si="14"/>
        <v/>
      </c>
      <c r="R220" s="18" t="e">
        <f t="shared" si="15"/>
        <v>#DIV/0!</v>
      </c>
      <c r="S220" s="33" t="s">
        <v>39</v>
      </c>
      <c r="T220" s="31" t="s">
        <v>42</v>
      </c>
      <c r="U220" s="1737" t="s">
        <v>114</v>
      </c>
    </row>
    <row r="221" spans="1:21">
      <c r="A221" s="10" t="s">
        <v>11</v>
      </c>
      <c r="B221" s="19">
        <f>CHAMNORD!B221</f>
        <v>46238</v>
      </c>
      <c r="C221" s="75" t="str">
        <f>IF(H221=0,"",'[9]2025-2026'!C220)</f>
        <v/>
      </c>
      <c r="D221" s="68" t="str">
        <f>'[9]2025'!C221</f>
        <v/>
      </c>
      <c r="E221" s="68" t="str">
        <f>'[9]2025'!D221</f>
        <v/>
      </c>
      <c r="F221" s="20" t="str">
        <f>'[9]2025'!E221</f>
        <v/>
      </c>
      <c r="G221" s="73" t="str">
        <f>'[9]2025'!F221</f>
        <v/>
      </c>
      <c r="H221" s="42">
        <f>'[9]2025'!G221</f>
        <v>0</v>
      </c>
      <c r="I221" s="13">
        <f>'[9]2025'!H221</f>
        <v>0</v>
      </c>
      <c r="J221" s="14">
        <f>'[9]2025'!I221</f>
        <v>0</v>
      </c>
      <c r="K221" s="15">
        <f>'[9]2025'!J221</f>
        <v>0</v>
      </c>
      <c r="L221" s="15">
        <f>'[9]2025'!K221</f>
        <v>0</v>
      </c>
      <c r="M221" s="15">
        <f>'[9]2025'!L221</f>
        <v>0</v>
      </c>
      <c r="N221" s="16" t="str">
        <f t="shared" si="12"/>
        <v/>
      </c>
      <c r="O221" s="17" t="str">
        <f t="shared" si="13"/>
        <v/>
      </c>
      <c r="P221" s="17" t="str">
        <f t="shared" si="13"/>
        <v/>
      </c>
      <c r="Q221" s="18" t="str">
        <f t="shared" si="14"/>
        <v/>
      </c>
      <c r="R221" s="18" t="e">
        <f t="shared" si="15"/>
        <v>#DIV/0!</v>
      </c>
      <c r="S221" s="34">
        <f>SUM(I220:I226)</f>
        <v>0</v>
      </c>
      <c r="T221" s="45" t="s">
        <v>41</v>
      </c>
      <c r="U221" s="1738"/>
    </row>
    <row r="222" spans="1:21">
      <c r="A222" s="10" t="s">
        <v>12</v>
      </c>
      <c r="B222" s="19">
        <f>CHAMNORD!B222</f>
        <v>46239</v>
      </c>
      <c r="C222" s="75" t="str">
        <f>IF(H222=0,"",'[9]2025-2026'!C221)</f>
        <v/>
      </c>
      <c r="D222" s="68" t="str">
        <f>'[9]2025'!C222</f>
        <v/>
      </c>
      <c r="E222" s="68" t="str">
        <f>'[9]2025'!D222</f>
        <v/>
      </c>
      <c r="F222" s="20" t="str">
        <f>'[9]2025'!E222</f>
        <v/>
      </c>
      <c r="G222" s="73" t="str">
        <f>'[9]2025'!F222</f>
        <v/>
      </c>
      <c r="H222" s="42">
        <f>'[9]2025'!G222</f>
        <v>0</v>
      </c>
      <c r="I222" s="13">
        <f>'[9]2025'!H222</f>
        <v>0</v>
      </c>
      <c r="J222" s="14">
        <f>'[9]2025'!I222</f>
        <v>0</v>
      </c>
      <c r="K222" s="15">
        <f>'[9]2025'!J222</f>
        <v>0</v>
      </c>
      <c r="L222" s="15">
        <f>'[9]2025'!K222</f>
        <v>0</v>
      </c>
      <c r="M222" s="15">
        <f>'[9]2025'!L222</f>
        <v>0</v>
      </c>
      <c r="N222" s="16" t="str">
        <f t="shared" si="12"/>
        <v/>
      </c>
      <c r="O222" s="17" t="str">
        <f t="shared" si="13"/>
        <v/>
      </c>
      <c r="P222" s="17" t="str">
        <f t="shared" si="13"/>
        <v/>
      </c>
      <c r="Q222" s="18" t="str">
        <f t="shared" si="14"/>
        <v/>
      </c>
      <c r="R222" s="18" t="e">
        <f t="shared" si="15"/>
        <v>#DIV/0!</v>
      </c>
      <c r="S222" s="35" t="e">
        <f>(S221-SUM(E220:E226))/SUM(E220:E226)</f>
        <v>#DIV/0!</v>
      </c>
      <c r="T222" s="48" t="e">
        <f>SUM(I220:I226)/SUM(K220:K226)</f>
        <v>#DIV/0!</v>
      </c>
      <c r="U222" s="1738"/>
    </row>
    <row r="223" spans="1:21">
      <c r="A223" s="10" t="s">
        <v>13</v>
      </c>
      <c r="B223" s="19">
        <f>CHAMNORD!B223</f>
        <v>46240</v>
      </c>
      <c r="C223" s="75" t="str">
        <f>IF(H223=0,"",'[9]2025-2026'!C222)</f>
        <v/>
      </c>
      <c r="D223" s="68" t="str">
        <f>'[9]2025'!C223</f>
        <v/>
      </c>
      <c r="E223" s="68" t="str">
        <f>'[9]2025'!D223</f>
        <v/>
      </c>
      <c r="F223" s="20" t="str">
        <f>'[9]2025'!E223</f>
        <v/>
      </c>
      <c r="G223" s="73" t="str">
        <f>'[9]2025'!F223</f>
        <v/>
      </c>
      <c r="H223" s="42">
        <f>'[9]2025'!G223</f>
        <v>0</v>
      </c>
      <c r="I223" s="13">
        <f>'[9]2025'!H223</f>
        <v>0</v>
      </c>
      <c r="J223" s="14">
        <f>'[9]2025'!I223</f>
        <v>0</v>
      </c>
      <c r="K223" s="15">
        <f>'[9]2025'!J223</f>
        <v>0</v>
      </c>
      <c r="L223" s="15">
        <f>'[9]2025'!K223</f>
        <v>0</v>
      </c>
      <c r="M223" s="15">
        <f>'[9]2025'!L223</f>
        <v>0</v>
      </c>
      <c r="N223" s="16" t="str">
        <f t="shared" si="12"/>
        <v/>
      </c>
      <c r="O223" s="17" t="str">
        <f t="shared" si="13"/>
        <v/>
      </c>
      <c r="P223" s="17" t="str">
        <f t="shared" si="13"/>
        <v/>
      </c>
      <c r="Q223" s="18" t="str">
        <f t="shared" si="14"/>
        <v/>
      </c>
      <c r="R223" s="18" t="e">
        <f t="shared" si="15"/>
        <v>#DIV/0!</v>
      </c>
      <c r="S223" s="34"/>
      <c r="T223" s="29" t="s">
        <v>8</v>
      </c>
      <c r="U223" s="1738"/>
    </row>
    <row r="224" spans="1:21">
      <c r="A224" s="10" t="s">
        <v>14</v>
      </c>
      <c r="B224" s="19">
        <f>CHAMNORD!B224</f>
        <v>46241</v>
      </c>
      <c r="C224" s="75" t="str">
        <f>IF(H224=0,"",'[9]2025-2026'!C223)</f>
        <v/>
      </c>
      <c r="D224" s="68" t="str">
        <f>'[9]2025'!C224</f>
        <v/>
      </c>
      <c r="E224" s="68" t="str">
        <f>'[9]2025'!D224</f>
        <v/>
      </c>
      <c r="F224" s="20" t="str">
        <f>'[9]2025'!E224</f>
        <v/>
      </c>
      <c r="G224" s="73" t="str">
        <f>'[9]2025'!F224</f>
        <v/>
      </c>
      <c r="H224" s="42">
        <f>'[9]2025'!G224</f>
        <v>0</v>
      </c>
      <c r="I224" s="13">
        <f>'[9]2025'!H224</f>
        <v>0</v>
      </c>
      <c r="J224" s="14">
        <f>'[9]2025'!I224</f>
        <v>0</v>
      </c>
      <c r="K224" s="15">
        <f>'[9]2025'!J224</f>
        <v>0</v>
      </c>
      <c r="L224" s="15">
        <f>'[9]2025'!K224</f>
        <v>0</v>
      </c>
      <c r="M224" s="15">
        <f>'[9]2025'!L224</f>
        <v>0</v>
      </c>
      <c r="N224" s="16" t="str">
        <f t="shared" si="12"/>
        <v/>
      </c>
      <c r="O224" s="17" t="str">
        <f t="shared" si="13"/>
        <v/>
      </c>
      <c r="P224" s="17" t="str">
        <f t="shared" si="13"/>
        <v/>
      </c>
      <c r="Q224" s="18" t="str">
        <f t="shared" si="14"/>
        <v/>
      </c>
      <c r="R224" s="18" t="e">
        <f t="shared" si="15"/>
        <v>#DIV/0!</v>
      </c>
      <c r="S224" s="36" t="s">
        <v>40</v>
      </c>
      <c r="T224" s="48" t="e">
        <f>SUM(I220:I226)/SUM(L220:L226)</f>
        <v>#DIV/0!</v>
      </c>
      <c r="U224" s="1738"/>
    </row>
    <row r="225" spans="1:21">
      <c r="A225" s="10" t="s">
        <v>15</v>
      </c>
      <c r="B225" s="19">
        <f>CHAMNORD!B225</f>
        <v>46242</v>
      </c>
      <c r="C225" s="75" t="str">
        <f>IF(H225=0,"",'[9]2025-2026'!C224)</f>
        <v/>
      </c>
      <c r="D225" s="68" t="str">
        <f>'[9]2025'!C225</f>
        <v/>
      </c>
      <c r="E225" s="68" t="str">
        <f>'[9]2025'!D225</f>
        <v/>
      </c>
      <c r="F225" s="20" t="str">
        <f>'[9]2025'!E225</f>
        <v/>
      </c>
      <c r="G225" s="73" t="str">
        <f>'[9]2025'!F225</f>
        <v/>
      </c>
      <c r="H225" s="42">
        <f>'[9]2025'!G225</f>
        <v>0</v>
      </c>
      <c r="I225" s="13">
        <f>'[9]2025'!H225</f>
        <v>0</v>
      </c>
      <c r="J225" s="14">
        <f>'[9]2025'!I225</f>
        <v>0</v>
      </c>
      <c r="K225" s="15">
        <f>'[9]2025'!J225</f>
        <v>0</v>
      </c>
      <c r="L225" s="15">
        <f>'[9]2025'!K225</f>
        <v>0</v>
      </c>
      <c r="M225" s="15">
        <f>'[9]2025'!L225</f>
        <v>0</v>
      </c>
      <c r="N225" s="16" t="str">
        <f t="shared" si="12"/>
        <v/>
      </c>
      <c r="O225" s="17" t="str">
        <f t="shared" si="13"/>
        <v/>
      </c>
      <c r="P225" s="17" t="str">
        <f t="shared" si="13"/>
        <v/>
      </c>
      <c r="Q225" s="18" t="str">
        <f t="shared" si="14"/>
        <v/>
      </c>
      <c r="R225" s="18" t="e">
        <f t="shared" si="15"/>
        <v>#DIV/0!</v>
      </c>
      <c r="S225" s="36">
        <f>SUM(J220:J226)</f>
        <v>0</v>
      </c>
      <c r="T225" s="30" t="s">
        <v>3</v>
      </c>
      <c r="U225" s="1738"/>
    </row>
    <row r="226" spans="1:21" ht="18" thickBot="1">
      <c r="A226" s="10" t="s">
        <v>16</v>
      </c>
      <c r="B226" s="19">
        <f>CHAMNORD!B226</f>
        <v>46243</v>
      </c>
      <c r="C226" s="75" t="str">
        <f>IF(H226=0,"",'[9]2025-2026'!C225)</f>
        <v/>
      </c>
      <c r="D226" s="68" t="str">
        <f>'[9]2025'!C226</f>
        <v/>
      </c>
      <c r="E226" s="68" t="str">
        <f>'[9]2025'!D226</f>
        <v/>
      </c>
      <c r="F226" s="20" t="str">
        <f>'[9]2025'!E226</f>
        <v/>
      </c>
      <c r="G226" s="73" t="str">
        <f>'[9]2025'!F226</f>
        <v/>
      </c>
      <c r="H226" s="42">
        <f>'[9]2025'!G226</f>
        <v>0</v>
      </c>
      <c r="I226" s="13">
        <f>'[9]2025'!H226</f>
        <v>0</v>
      </c>
      <c r="J226" s="14">
        <f>'[9]2025'!I226</f>
        <v>0</v>
      </c>
      <c r="K226" s="15">
        <f>'[9]2025'!J226</f>
        <v>0</v>
      </c>
      <c r="L226" s="15">
        <f>'[9]2025'!K226</f>
        <v>0</v>
      </c>
      <c r="M226" s="15">
        <f>'[9]2025'!L226</f>
        <v>0</v>
      </c>
      <c r="N226" s="16" t="str">
        <f t="shared" si="12"/>
        <v/>
      </c>
      <c r="O226" s="17" t="str">
        <f t="shared" si="13"/>
        <v/>
      </c>
      <c r="P226" s="17" t="str">
        <f t="shared" si="13"/>
        <v/>
      </c>
      <c r="Q226" s="18" t="str">
        <f t="shared" si="14"/>
        <v/>
      </c>
      <c r="R226" s="18" t="e">
        <f t="shared" si="15"/>
        <v>#DIV/0!</v>
      </c>
      <c r="S226" s="37" t="e">
        <f>(S225-SUM(F220:F226))/SUM(F220:F226)</f>
        <v>#DIV/0!</v>
      </c>
      <c r="T226" s="47" t="e">
        <f>SUM(M220:M226)/SUM(I220:I226)</f>
        <v>#DIV/0!</v>
      </c>
      <c r="U226" s="1739"/>
    </row>
    <row r="227" spans="1:21" ht="17" customHeight="1" thickTop="1">
      <c r="A227" s="10" t="s">
        <v>9</v>
      </c>
      <c r="B227" s="19">
        <f>CHAMNORD!B227</f>
        <v>46244</v>
      </c>
      <c r="C227" s="75" t="str">
        <f>IF(H227=0,"",'[9]2025-2026'!C226)</f>
        <v/>
      </c>
      <c r="D227" s="68" t="str">
        <f>'[9]2025'!C227</f>
        <v/>
      </c>
      <c r="E227" s="68" t="str">
        <f>'[9]2025'!D227</f>
        <v/>
      </c>
      <c r="F227" s="20" t="str">
        <f>'[9]2025'!E227</f>
        <v/>
      </c>
      <c r="G227" s="73" t="str">
        <f>'[9]2025'!F227</f>
        <v/>
      </c>
      <c r="H227" s="42">
        <f>'[9]2025'!G227</f>
        <v>0</v>
      </c>
      <c r="I227" s="13">
        <f>'[9]2025'!H227</f>
        <v>0</v>
      </c>
      <c r="J227" s="14">
        <f>'[9]2025'!I227</f>
        <v>0</v>
      </c>
      <c r="K227" s="15">
        <f>'[9]2025'!J227</f>
        <v>0</v>
      </c>
      <c r="L227" s="15">
        <f>'[9]2025'!K227</f>
        <v>0</v>
      </c>
      <c r="M227" s="15">
        <f>'[9]2025'!L227</f>
        <v>0</v>
      </c>
      <c r="N227" s="16" t="str">
        <f t="shared" si="12"/>
        <v/>
      </c>
      <c r="O227" s="17" t="str">
        <f t="shared" si="13"/>
        <v/>
      </c>
      <c r="P227" s="17" t="str">
        <f t="shared" si="13"/>
        <v/>
      </c>
      <c r="Q227" s="18" t="str">
        <f t="shared" si="14"/>
        <v/>
      </c>
      <c r="R227" s="18" t="e">
        <f t="shared" si="15"/>
        <v>#DIV/0!</v>
      </c>
      <c r="S227" s="33" t="s">
        <v>39</v>
      </c>
      <c r="T227" s="31" t="s">
        <v>42</v>
      </c>
      <c r="U227" s="1737" t="s">
        <v>115</v>
      </c>
    </row>
    <row r="228" spans="1:21">
      <c r="A228" s="10" t="s">
        <v>11</v>
      </c>
      <c r="B228" s="19">
        <f>CHAMNORD!B228</f>
        <v>46245</v>
      </c>
      <c r="C228" s="75" t="str">
        <f>IF(H228=0,"",'[9]2025-2026'!C227)</f>
        <v/>
      </c>
      <c r="D228" s="68" t="str">
        <f>'[9]2025'!C228</f>
        <v/>
      </c>
      <c r="E228" s="68" t="str">
        <f>'[9]2025'!D228</f>
        <v/>
      </c>
      <c r="F228" s="20" t="str">
        <f>'[9]2025'!E228</f>
        <v/>
      </c>
      <c r="G228" s="73" t="str">
        <f>'[9]2025'!F228</f>
        <v/>
      </c>
      <c r="H228" s="42">
        <f>'[9]2025'!G228</f>
        <v>0</v>
      </c>
      <c r="I228" s="13">
        <f>'[9]2025'!H228</f>
        <v>0</v>
      </c>
      <c r="J228" s="14">
        <f>'[9]2025'!I228</f>
        <v>0</v>
      </c>
      <c r="K228" s="15">
        <f>'[9]2025'!J228</f>
        <v>0</v>
      </c>
      <c r="L228" s="15">
        <f>'[9]2025'!K228</f>
        <v>0</v>
      </c>
      <c r="M228" s="15">
        <f>'[9]2025'!L228</f>
        <v>0</v>
      </c>
      <c r="N228" s="16" t="str">
        <f t="shared" si="12"/>
        <v/>
      </c>
      <c r="O228" s="17" t="str">
        <f t="shared" si="13"/>
        <v/>
      </c>
      <c r="P228" s="17" t="str">
        <f t="shared" si="13"/>
        <v/>
      </c>
      <c r="Q228" s="18" t="str">
        <f t="shared" si="14"/>
        <v/>
      </c>
      <c r="R228" s="18" t="e">
        <f t="shared" si="15"/>
        <v>#DIV/0!</v>
      </c>
      <c r="S228" s="34">
        <f>SUM(I227:I233)</f>
        <v>0</v>
      </c>
      <c r="T228" s="45" t="s">
        <v>41</v>
      </c>
      <c r="U228" s="1738"/>
    </row>
    <row r="229" spans="1:21">
      <c r="A229" s="10" t="s">
        <v>12</v>
      </c>
      <c r="B229" s="19">
        <f>CHAMNORD!B229</f>
        <v>46246</v>
      </c>
      <c r="C229" s="75" t="str">
        <f>IF(H229=0,"",'[9]2025-2026'!C228)</f>
        <v/>
      </c>
      <c r="D229" s="68" t="str">
        <f>'[9]2025'!C229</f>
        <v/>
      </c>
      <c r="E229" s="68" t="str">
        <f>'[9]2025'!D229</f>
        <v/>
      </c>
      <c r="F229" s="20" t="str">
        <f>'[9]2025'!E229</f>
        <v/>
      </c>
      <c r="G229" s="73" t="str">
        <f>'[9]2025'!F229</f>
        <v/>
      </c>
      <c r="H229" s="42">
        <f>'[9]2025'!G229</f>
        <v>0</v>
      </c>
      <c r="I229" s="13">
        <f>'[9]2025'!H229</f>
        <v>0</v>
      </c>
      <c r="J229" s="14">
        <f>'[9]2025'!I229</f>
        <v>0</v>
      </c>
      <c r="K229" s="15">
        <f>'[9]2025'!J229</f>
        <v>0</v>
      </c>
      <c r="L229" s="15">
        <f>'[9]2025'!K229</f>
        <v>0</v>
      </c>
      <c r="M229" s="15">
        <f>'[9]2025'!L229</f>
        <v>0</v>
      </c>
      <c r="N229" s="16" t="str">
        <f t="shared" si="12"/>
        <v/>
      </c>
      <c r="O229" s="17" t="str">
        <f t="shared" si="13"/>
        <v/>
      </c>
      <c r="P229" s="17" t="str">
        <f t="shared" si="13"/>
        <v/>
      </c>
      <c r="Q229" s="18" t="str">
        <f t="shared" si="14"/>
        <v/>
      </c>
      <c r="R229" s="18" t="e">
        <f t="shared" si="15"/>
        <v>#DIV/0!</v>
      </c>
      <c r="S229" s="35" t="e">
        <f>(S228-SUM(E227:E233))/SUM(E227:E233)</f>
        <v>#DIV/0!</v>
      </c>
      <c r="T229" s="48" t="e">
        <f>SUM(I227:I233)/SUM(K227:K233)</f>
        <v>#DIV/0!</v>
      </c>
      <c r="U229" s="1738"/>
    </row>
    <row r="230" spans="1:21">
      <c r="A230" s="10" t="s">
        <v>13</v>
      </c>
      <c r="B230" s="19">
        <f>CHAMNORD!B230</f>
        <v>46247</v>
      </c>
      <c r="C230" s="75" t="str">
        <f>IF(H230=0,"",'[9]2025-2026'!C229)</f>
        <v/>
      </c>
      <c r="D230" s="68" t="str">
        <f>'[9]2025'!C230</f>
        <v/>
      </c>
      <c r="E230" s="68" t="str">
        <f>'[9]2025'!D230</f>
        <v/>
      </c>
      <c r="F230" s="20" t="str">
        <f>'[9]2025'!E230</f>
        <v/>
      </c>
      <c r="G230" s="73" t="str">
        <f>'[9]2025'!F230</f>
        <v/>
      </c>
      <c r="H230" s="42">
        <f>'[9]2025'!G230</f>
        <v>0</v>
      </c>
      <c r="I230" s="13">
        <f>'[9]2025'!H230</f>
        <v>0</v>
      </c>
      <c r="J230" s="14">
        <f>'[9]2025'!I230</f>
        <v>0</v>
      </c>
      <c r="K230" s="15">
        <f>'[9]2025'!J230</f>
        <v>0</v>
      </c>
      <c r="L230" s="15">
        <f>'[9]2025'!K230</f>
        <v>0</v>
      </c>
      <c r="M230" s="15">
        <f>'[9]2025'!L230</f>
        <v>0</v>
      </c>
      <c r="N230" s="16" t="str">
        <f t="shared" si="12"/>
        <v/>
      </c>
      <c r="O230" s="17" t="str">
        <f t="shared" si="13"/>
        <v/>
      </c>
      <c r="P230" s="17" t="str">
        <f t="shared" si="13"/>
        <v/>
      </c>
      <c r="Q230" s="18" t="str">
        <f t="shared" si="14"/>
        <v/>
      </c>
      <c r="R230" s="18" t="e">
        <f t="shared" si="15"/>
        <v>#DIV/0!</v>
      </c>
      <c r="S230" s="34"/>
      <c r="T230" s="29" t="s">
        <v>8</v>
      </c>
      <c r="U230" s="1738"/>
    </row>
    <row r="231" spans="1:21">
      <c r="A231" s="10" t="s">
        <v>14</v>
      </c>
      <c r="B231" s="19">
        <f>CHAMNORD!B231</f>
        <v>46248</v>
      </c>
      <c r="C231" s="75" t="str">
        <f>IF(H231=0,"",'[9]2025-2026'!C230)</f>
        <v/>
      </c>
      <c r="D231" s="68" t="str">
        <f>'[9]2025'!C231</f>
        <v/>
      </c>
      <c r="E231" s="68" t="str">
        <f>'[9]2025'!D231</f>
        <v/>
      </c>
      <c r="F231" s="20" t="str">
        <f>'[9]2025'!E231</f>
        <v/>
      </c>
      <c r="G231" s="73" t="str">
        <f>'[9]2025'!F231</f>
        <v/>
      </c>
      <c r="H231" s="42">
        <f>'[9]2025'!G231</f>
        <v>0</v>
      </c>
      <c r="I231" s="13">
        <f>'[9]2025'!H231</f>
        <v>0</v>
      </c>
      <c r="J231" s="14">
        <f>'[9]2025'!I231</f>
        <v>0</v>
      </c>
      <c r="K231" s="15">
        <f>'[9]2025'!J231</f>
        <v>0</v>
      </c>
      <c r="L231" s="15">
        <f>'[9]2025'!K231</f>
        <v>0</v>
      </c>
      <c r="M231" s="15">
        <f>'[9]2025'!L231</f>
        <v>0</v>
      </c>
      <c r="N231" s="16" t="str">
        <f t="shared" si="12"/>
        <v/>
      </c>
      <c r="O231" s="17" t="str">
        <f t="shared" si="13"/>
        <v/>
      </c>
      <c r="P231" s="17" t="str">
        <f t="shared" si="13"/>
        <v/>
      </c>
      <c r="Q231" s="18" t="str">
        <f t="shared" si="14"/>
        <v/>
      </c>
      <c r="R231" s="18" t="e">
        <f t="shared" si="15"/>
        <v>#DIV/0!</v>
      </c>
      <c r="S231" s="36" t="s">
        <v>40</v>
      </c>
      <c r="T231" s="48" t="e">
        <f>SUM(I227:I233)/SUM(L227:L233)</f>
        <v>#DIV/0!</v>
      </c>
      <c r="U231" s="1738"/>
    </row>
    <row r="232" spans="1:21">
      <c r="A232" s="10" t="s">
        <v>15</v>
      </c>
      <c r="B232" s="19">
        <f>CHAMNORD!B232</f>
        <v>46249</v>
      </c>
      <c r="C232" s="75" t="str">
        <f>IF(H232=0,"",'[9]2025-2026'!C231)</f>
        <v/>
      </c>
      <c r="D232" s="68" t="str">
        <f>'[9]2025'!C232</f>
        <v/>
      </c>
      <c r="E232" s="68" t="str">
        <f>'[9]2025'!D232</f>
        <v/>
      </c>
      <c r="F232" s="20" t="str">
        <f>'[9]2025'!E232</f>
        <v/>
      </c>
      <c r="G232" s="73" t="str">
        <f>'[9]2025'!F232</f>
        <v/>
      </c>
      <c r="H232" s="42">
        <f>'[9]2025'!G232</f>
        <v>0</v>
      </c>
      <c r="I232" s="13">
        <f>'[9]2025'!H232</f>
        <v>0</v>
      </c>
      <c r="J232" s="14">
        <f>'[9]2025'!I232</f>
        <v>0</v>
      </c>
      <c r="K232" s="15">
        <f>'[9]2025'!J232</f>
        <v>0</v>
      </c>
      <c r="L232" s="15">
        <f>'[9]2025'!K232</f>
        <v>0</v>
      </c>
      <c r="M232" s="15">
        <f>'[9]2025'!L232</f>
        <v>0</v>
      </c>
      <c r="N232" s="16" t="str">
        <f t="shared" si="12"/>
        <v/>
      </c>
      <c r="O232" s="17" t="str">
        <f t="shared" si="13"/>
        <v/>
      </c>
      <c r="P232" s="17" t="str">
        <f t="shared" si="13"/>
        <v/>
      </c>
      <c r="Q232" s="18" t="str">
        <f t="shared" si="14"/>
        <v/>
      </c>
      <c r="R232" s="18" t="e">
        <f t="shared" si="15"/>
        <v>#DIV/0!</v>
      </c>
      <c r="S232" s="36">
        <f>SUM(J227:J233)</f>
        <v>0</v>
      </c>
      <c r="T232" s="30" t="s">
        <v>3</v>
      </c>
      <c r="U232" s="1738"/>
    </row>
    <row r="233" spans="1:21" ht="18" thickBot="1">
      <c r="A233" s="10" t="s">
        <v>16</v>
      </c>
      <c r="B233" s="19">
        <f>CHAMNORD!B233</f>
        <v>46250</v>
      </c>
      <c r="C233" s="75" t="str">
        <f>IF(H233=0,"",'[9]2025-2026'!C232)</f>
        <v/>
      </c>
      <c r="D233" s="68" t="str">
        <f>'[9]2025'!C233</f>
        <v/>
      </c>
      <c r="E233" s="68" t="str">
        <f>'[9]2025'!D233</f>
        <v/>
      </c>
      <c r="F233" s="20" t="str">
        <f>'[9]2025'!E233</f>
        <v/>
      </c>
      <c r="G233" s="73" t="str">
        <f>'[9]2025'!F233</f>
        <v/>
      </c>
      <c r="H233" s="42">
        <f>'[9]2025'!G233</f>
        <v>0</v>
      </c>
      <c r="I233" s="13">
        <f>'[9]2025'!H233</f>
        <v>0</v>
      </c>
      <c r="J233" s="14">
        <f>'[9]2025'!I233</f>
        <v>0</v>
      </c>
      <c r="K233" s="15">
        <f>'[9]2025'!J233</f>
        <v>0</v>
      </c>
      <c r="L233" s="15">
        <f>'[9]2025'!K233</f>
        <v>0</v>
      </c>
      <c r="M233" s="15">
        <f>'[9]2025'!L233</f>
        <v>0</v>
      </c>
      <c r="N233" s="16" t="str">
        <f t="shared" si="12"/>
        <v/>
      </c>
      <c r="O233" s="17" t="str">
        <f t="shared" si="13"/>
        <v/>
      </c>
      <c r="P233" s="17" t="str">
        <f t="shared" si="13"/>
        <v/>
      </c>
      <c r="Q233" s="18" t="str">
        <f t="shared" si="14"/>
        <v/>
      </c>
      <c r="R233" s="18" t="e">
        <f t="shared" si="15"/>
        <v>#DIV/0!</v>
      </c>
      <c r="S233" s="37" t="e">
        <f>(S232-SUM(F227:F233))/SUM(F227:F233)</f>
        <v>#DIV/0!</v>
      </c>
      <c r="T233" s="47" t="e">
        <f>SUM(M227:M233)/SUM(I227:I233)</f>
        <v>#DIV/0!</v>
      </c>
      <c r="U233" s="1739"/>
    </row>
    <row r="234" spans="1:21" ht="17" customHeight="1" thickTop="1">
      <c r="A234" s="10" t="s">
        <v>9</v>
      </c>
      <c r="B234" s="19">
        <f>CHAMNORD!B234</f>
        <v>46251</v>
      </c>
      <c r="C234" s="75" t="str">
        <f>IF(H234=0,"",'[9]2025-2026'!C233)</f>
        <v/>
      </c>
      <c r="D234" s="68" t="str">
        <f>'[9]2025'!C234</f>
        <v/>
      </c>
      <c r="E234" s="68" t="str">
        <f>'[9]2025'!D234</f>
        <v/>
      </c>
      <c r="F234" s="20" t="str">
        <f>'[9]2025'!E234</f>
        <v/>
      </c>
      <c r="G234" s="73" t="str">
        <f>'[9]2025'!F234</f>
        <v/>
      </c>
      <c r="H234" s="42">
        <f>'[9]2025'!G234</f>
        <v>0</v>
      </c>
      <c r="I234" s="13">
        <f>'[9]2025'!H234</f>
        <v>0</v>
      </c>
      <c r="J234" s="14">
        <f>'[9]2025'!I234</f>
        <v>0</v>
      </c>
      <c r="K234" s="15">
        <f>'[9]2025'!J234</f>
        <v>0</v>
      </c>
      <c r="L234" s="15">
        <f>'[9]2025'!K234</f>
        <v>0</v>
      </c>
      <c r="M234" s="15">
        <f>'[9]2025'!L234</f>
        <v>0</v>
      </c>
      <c r="N234" s="16" t="str">
        <f t="shared" si="12"/>
        <v/>
      </c>
      <c r="O234" s="17" t="str">
        <f t="shared" si="13"/>
        <v/>
      </c>
      <c r="P234" s="17" t="str">
        <f t="shared" si="13"/>
        <v/>
      </c>
      <c r="Q234" s="18" t="str">
        <f t="shared" si="14"/>
        <v/>
      </c>
      <c r="R234" s="18" t="e">
        <f t="shared" si="15"/>
        <v>#DIV/0!</v>
      </c>
      <c r="S234" s="33" t="s">
        <v>39</v>
      </c>
      <c r="T234" s="31" t="s">
        <v>42</v>
      </c>
      <c r="U234" s="1737" t="s">
        <v>116</v>
      </c>
    </row>
    <row r="235" spans="1:21">
      <c r="A235" s="10" t="s">
        <v>11</v>
      </c>
      <c r="B235" s="19">
        <f>CHAMNORD!B235</f>
        <v>46252</v>
      </c>
      <c r="C235" s="75" t="str">
        <f>IF(H235=0,"",'[9]2025-2026'!C234)</f>
        <v/>
      </c>
      <c r="D235" s="68" t="str">
        <f>'[9]2025'!C235</f>
        <v/>
      </c>
      <c r="E235" s="68" t="str">
        <f>'[9]2025'!D235</f>
        <v/>
      </c>
      <c r="F235" s="20" t="str">
        <f>'[9]2025'!E235</f>
        <v/>
      </c>
      <c r="G235" s="73" t="str">
        <f>'[9]2025'!F235</f>
        <v/>
      </c>
      <c r="H235" s="42">
        <f>'[9]2025'!G235</f>
        <v>0</v>
      </c>
      <c r="I235" s="13">
        <f>'[9]2025'!H235</f>
        <v>0</v>
      </c>
      <c r="J235" s="14">
        <f>'[9]2025'!I235</f>
        <v>0</v>
      </c>
      <c r="K235" s="15">
        <f>'[9]2025'!J235</f>
        <v>0</v>
      </c>
      <c r="L235" s="15">
        <f>'[9]2025'!K235</f>
        <v>0</v>
      </c>
      <c r="M235" s="15">
        <f>'[9]2025'!L235</f>
        <v>0</v>
      </c>
      <c r="N235" s="16" t="str">
        <f t="shared" si="12"/>
        <v/>
      </c>
      <c r="O235" s="17" t="str">
        <f t="shared" si="13"/>
        <v/>
      </c>
      <c r="P235" s="17" t="str">
        <f t="shared" si="13"/>
        <v/>
      </c>
      <c r="Q235" s="18" t="str">
        <f t="shared" si="14"/>
        <v/>
      </c>
      <c r="R235" s="18" t="e">
        <f t="shared" si="15"/>
        <v>#DIV/0!</v>
      </c>
      <c r="S235" s="34">
        <f>SUM(I234:I240)</f>
        <v>0</v>
      </c>
      <c r="T235" s="45" t="s">
        <v>41</v>
      </c>
      <c r="U235" s="1738"/>
    </row>
    <row r="236" spans="1:21">
      <c r="A236" s="10" t="s">
        <v>12</v>
      </c>
      <c r="B236" s="19">
        <f>CHAMNORD!B236</f>
        <v>46253</v>
      </c>
      <c r="C236" s="75" t="str">
        <f>IF(H236=0,"",'[9]2025-2026'!C235)</f>
        <v/>
      </c>
      <c r="D236" s="68" t="str">
        <f>'[9]2025'!C236</f>
        <v/>
      </c>
      <c r="E236" s="68" t="str">
        <f>'[9]2025'!D236</f>
        <v/>
      </c>
      <c r="F236" s="20" t="str">
        <f>'[9]2025'!E236</f>
        <v/>
      </c>
      <c r="G236" s="73" t="str">
        <f>'[9]2025'!F236</f>
        <v/>
      </c>
      <c r="H236" s="42">
        <f>'[9]2025'!G236</f>
        <v>0</v>
      </c>
      <c r="I236" s="13">
        <f>'[9]2025'!H236</f>
        <v>0</v>
      </c>
      <c r="J236" s="14">
        <f>'[9]2025'!I236</f>
        <v>0</v>
      </c>
      <c r="K236" s="15">
        <f>'[9]2025'!J236</f>
        <v>0</v>
      </c>
      <c r="L236" s="15">
        <f>'[9]2025'!K236</f>
        <v>0</v>
      </c>
      <c r="M236" s="15">
        <f>'[9]2025'!L236</f>
        <v>0</v>
      </c>
      <c r="N236" s="16" t="str">
        <f t="shared" si="12"/>
        <v/>
      </c>
      <c r="O236" s="17" t="str">
        <f t="shared" si="13"/>
        <v/>
      </c>
      <c r="P236" s="17" t="str">
        <f t="shared" si="13"/>
        <v/>
      </c>
      <c r="Q236" s="18" t="str">
        <f t="shared" si="14"/>
        <v/>
      </c>
      <c r="R236" s="18" t="e">
        <f t="shared" si="15"/>
        <v>#DIV/0!</v>
      </c>
      <c r="S236" s="35" t="e">
        <f>(S235-SUM(E234:E240))/SUM(E234:E240)</f>
        <v>#DIV/0!</v>
      </c>
      <c r="T236" s="48" t="e">
        <f>SUM(I234:I240)/SUM(K234:K240)</f>
        <v>#DIV/0!</v>
      </c>
      <c r="U236" s="1738"/>
    </row>
    <row r="237" spans="1:21">
      <c r="A237" s="10" t="s">
        <v>13</v>
      </c>
      <c r="B237" s="19">
        <f>CHAMNORD!B237</f>
        <v>46254</v>
      </c>
      <c r="C237" s="75" t="str">
        <f>IF(H237=0,"",'[9]2025-2026'!C236)</f>
        <v/>
      </c>
      <c r="D237" s="68" t="str">
        <f>'[9]2025'!C237</f>
        <v/>
      </c>
      <c r="E237" s="68" t="str">
        <f>'[9]2025'!D237</f>
        <v/>
      </c>
      <c r="F237" s="20" t="str">
        <f>'[9]2025'!E237</f>
        <v/>
      </c>
      <c r="G237" s="73" t="str">
        <f>'[9]2025'!F237</f>
        <v/>
      </c>
      <c r="H237" s="42">
        <f>'[9]2025'!G237</f>
        <v>0</v>
      </c>
      <c r="I237" s="13">
        <f>'[9]2025'!H237</f>
        <v>0</v>
      </c>
      <c r="J237" s="14">
        <f>'[9]2025'!I237</f>
        <v>0</v>
      </c>
      <c r="K237" s="15">
        <f>'[9]2025'!J237</f>
        <v>0</v>
      </c>
      <c r="L237" s="15">
        <f>'[9]2025'!K237</f>
        <v>0</v>
      </c>
      <c r="M237" s="15">
        <f>'[9]2025'!L237</f>
        <v>0</v>
      </c>
      <c r="N237" s="16" t="str">
        <f t="shared" si="12"/>
        <v/>
      </c>
      <c r="O237" s="17" t="str">
        <f t="shared" si="13"/>
        <v/>
      </c>
      <c r="P237" s="17" t="str">
        <f t="shared" si="13"/>
        <v/>
      </c>
      <c r="Q237" s="18" t="str">
        <f t="shared" si="14"/>
        <v/>
      </c>
      <c r="R237" s="18" t="e">
        <f t="shared" si="15"/>
        <v>#DIV/0!</v>
      </c>
      <c r="S237" s="34"/>
      <c r="T237" s="29" t="s">
        <v>8</v>
      </c>
      <c r="U237" s="1738"/>
    </row>
    <row r="238" spans="1:21">
      <c r="A238" s="10" t="s">
        <v>14</v>
      </c>
      <c r="B238" s="19">
        <f>CHAMNORD!B238</f>
        <v>46255</v>
      </c>
      <c r="C238" s="75" t="str">
        <f>IF(H238=0,"",'[9]2025-2026'!C237)</f>
        <v/>
      </c>
      <c r="D238" s="68" t="str">
        <f>'[9]2025'!C238</f>
        <v/>
      </c>
      <c r="E238" s="68" t="str">
        <f>'[9]2025'!D238</f>
        <v/>
      </c>
      <c r="F238" s="20" t="str">
        <f>'[9]2025'!E238</f>
        <v/>
      </c>
      <c r="G238" s="73" t="str">
        <f>'[9]2025'!F238</f>
        <v/>
      </c>
      <c r="H238" s="42">
        <f>'[9]2025'!G238</f>
        <v>0</v>
      </c>
      <c r="I238" s="13">
        <f>'[9]2025'!H238</f>
        <v>0</v>
      </c>
      <c r="J238" s="14">
        <f>'[9]2025'!I238</f>
        <v>0</v>
      </c>
      <c r="K238" s="15">
        <f>'[9]2025'!J238</f>
        <v>0</v>
      </c>
      <c r="L238" s="15">
        <f>'[9]2025'!K238</f>
        <v>0</v>
      </c>
      <c r="M238" s="15">
        <f>'[9]2025'!L238</f>
        <v>0</v>
      </c>
      <c r="N238" s="16" t="str">
        <f t="shared" si="12"/>
        <v/>
      </c>
      <c r="O238" s="17" t="str">
        <f t="shared" si="13"/>
        <v/>
      </c>
      <c r="P238" s="17" t="str">
        <f t="shared" si="13"/>
        <v/>
      </c>
      <c r="Q238" s="18" t="str">
        <f t="shared" si="14"/>
        <v/>
      </c>
      <c r="R238" s="18" t="e">
        <f t="shared" si="15"/>
        <v>#DIV/0!</v>
      </c>
      <c r="S238" s="36" t="s">
        <v>40</v>
      </c>
      <c r="T238" s="48" t="e">
        <f>SUM(I234:I240)/SUM(L234:L240)</f>
        <v>#DIV/0!</v>
      </c>
      <c r="U238" s="1738"/>
    </row>
    <row r="239" spans="1:21">
      <c r="A239" s="10" t="s">
        <v>15</v>
      </c>
      <c r="B239" s="19">
        <f>CHAMNORD!B239</f>
        <v>46256</v>
      </c>
      <c r="C239" s="75" t="str">
        <f>IF(H239=0,"",'[9]2025-2026'!C238)</f>
        <v/>
      </c>
      <c r="D239" s="68" t="str">
        <f>'[9]2025'!C239</f>
        <v/>
      </c>
      <c r="E239" s="68" t="str">
        <f>'[9]2025'!D239</f>
        <v/>
      </c>
      <c r="F239" s="20" t="str">
        <f>'[9]2025'!E239</f>
        <v/>
      </c>
      <c r="G239" s="73" t="str">
        <f>'[9]2025'!F239</f>
        <v/>
      </c>
      <c r="H239" s="42">
        <f>'[9]2025'!G239</f>
        <v>0</v>
      </c>
      <c r="I239" s="13">
        <f>'[9]2025'!H239</f>
        <v>0</v>
      </c>
      <c r="J239" s="14">
        <f>'[9]2025'!I239</f>
        <v>0</v>
      </c>
      <c r="K239" s="15">
        <f>'[9]2025'!J239</f>
        <v>0</v>
      </c>
      <c r="L239" s="15">
        <f>'[9]2025'!K239</f>
        <v>0</v>
      </c>
      <c r="M239" s="15">
        <f>'[9]2025'!L239</f>
        <v>0</v>
      </c>
      <c r="N239" s="16" t="str">
        <f t="shared" si="12"/>
        <v/>
      </c>
      <c r="O239" s="17" t="str">
        <f t="shared" si="13"/>
        <v/>
      </c>
      <c r="P239" s="17" t="str">
        <f t="shared" si="13"/>
        <v/>
      </c>
      <c r="Q239" s="18" t="str">
        <f t="shared" si="14"/>
        <v/>
      </c>
      <c r="R239" s="18" t="e">
        <f t="shared" si="15"/>
        <v>#DIV/0!</v>
      </c>
      <c r="S239" s="36">
        <f>SUM(J234:J240)</f>
        <v>0</v>
      </c>
      <c r="T239" s="30" t="s">
        <v>3</v>
      </c>
      <c r="U239" s="1738"/>
    </row>
    <row r="240" spans="1:21" ht="18" thickBot="1">
      <c r="A240" s="10" t="s">
        <v>16</v>
      </c>
      <c r="B240" s="19">
        <f>CHAMNORD!B240</f>
        <v>46257</v>
      </c>
      <c r="C240" s="75" t="str">
        <f>IF(H240=0,"",'[9]2025-2026'!C239)</f>
        <v/>
      </c>
      <c r="D240" s="68" t="str">
        <f>'[9]2025'!C240</f>
        <v/>
      </c>
      <c r="E240" s="68" t="str">
        <f>'[9]2025'!D240</f>
        <v/>
      </c>
      <c r="F240" s="20" t="str">
        <f>'[9]2025'!E240</f>
        <v/>
      </c>
      <c r="G240" s="73" t="str">
        <f>'[9]2025'!F240</f>
        <v/>
      </c>
      <c r="H240" s="42">
        <f>'[9]2025'!G240</f>
        <v>0</v>
      </c>
      <c r="I240" s="13">
        <f>'[9]2025'!H240</f>
        <v>0</v>
      </c>
      <c r="J240" s="14">
        <f>'[9]2025'!I240</f>
        <v>0</v>
      </c>
      <c r="K240" s="15">
        <f>'[9]2025'!J240</f>
        <v>0</v>
      </c>
      <c r="L240" s="15">
        <f>'[9]2025'!K240</f>
        <v>0</v>
      </c>
      <c r="M240" s="15">
        <f>'[9]2025'!L240</f>
        <v>0</v>
      </c>
      <c r="N240" s="16" t="str">
        <f t="shared" si="12"/>
        <v/>
      </c>
      <c r="O240" s="17" t="str">
        <f t="shared" si="13"/>
        <v/>
      </c>
      <c r="P240" s="17" t="str">
        <f t="shared" si="13"/>
        <v/>
      </c>
      <c r="Q240" s="18" t="str">
        <f t="shared" si="14"/>
        <v/>
      </c>
      <c r="R240" s="18" t="e">
        <f t="shared" si="15"/>
        <v>#DIV/0!</v>
      </c>
      <c r="S240" s="37" t="e">
        <f>(S239-SUM(F234:F240))/SUM(F234:F240)</f>
        <v>#DIV/0!</v>
      </c>
      <c r="T240" s="47" t="e">
        <f>SUM(M234:M240)/SUM(I234:I240)</f>
        <v>#DIV/0!</v>
      </c>
      <c r="U240" s="1739"/>
    </row>
    <row r="241" spans="1:21" ht="17" customHeight="1" thickTop="1">
      <c r="A241" s="10" t="s">
        <v>9</v>
      </c>
      <c r="B241" s="19">
        <f>CHAMNORD!B241</f>
        <v>46258</v>
      </c>
      <c r="C241" s="75" t="str">
        <f>IF(H241=0,"",'[9]2025-2026'!C240)</f>
        <v/>
      </c>
      <c r="D241" s="68" t="str">
        <f>'[9]2025'!C241</f>
        <v/>
      </c>
      <c r="E241" s="68" t="str">
        <f>'[9]2025'!D241</f>
        <v/>
      </c>
      <c r="F241" s="20" t="str">
        <f>'[9]2025'!E241</f>
        <v/>
      </c>
      <c r="G241" s="73" t="str">
        <f>'[9]2025'!F241</f>
        <v/>
      </c>
      <c r="H241" s="42">
        <f>'[9]2025'!G241</f>
        <v>0</v>
      </c>
      <c r="I241" s="13">
        <f>'[9]2025'!H241</f>
        <v>0</v>
      </c>
      <c r="J241" s="14">
        <f>'[9]2025'!I241</f>
        <v>0</v>
      </c>
      <c r="K241" s="15">
        <f>'[9]2025'!J241</f>
        <v>0</v>
      </c>
      <c r="L241" s="15">
        <f>'[9]2025'!K241</f>
        <v>0</v>
      </c>
      <c r="M241" s="15">
        <f>'[9]2025'!L241</f>
        <v>0</v>
      </c>
      <c r="N241" s="16" t="str">
        <f t="shared" si="12"/>
        <v/>
      </c>
      <c r="O241" s="17" t="str">
        <f t="shared" si="13"/>
        <v/>
      </c>
      <c r="P241" s="17" t="str">
        <f t="shared" si="13"/>
        <v/>
      </c>
      <c r="Q241" s="18" t="str">
        <f t="shared" si="14"/>
        <v/>
      </c>
      <c r="R241" s="18" t="e">
        <f t="shared" si="15"/>
        <v>#DIV/0!</v>
      </c>
      <c r="S241" s="33" t="s">
        <v>39</v>
      </c>
      <c r="T241" s="31" t="s">
        <v>42</v>
      </c>
      <c r="U241" s="1737" t="s">
        <v>117</v>
      </c>
    </row>
    <row r="242" spans="1:21">
      <c r="A242" s="10" t="s">
        <v>11</v>
      </c>
      <c r="B242" s="19">
        <f>CHAMNORD!B242</f>
        <v>46259</v>
      </c>
      <c r="C242" s="75" t="str">
        <f>IF(H242=0,"",'[9]2025-2026'!C241)</f>
        <v/>
      </c>
      <c r="D242" s="68" t="str">
        <f>'[9]2025'!C242</f>
        <v/>
      </c>
      <c r="E242" s="68" t="str">
        <f>'[9]2025'!D242</f>
        <v/>
      </c>
      <c r="F242" s="20" t="str">
        <f>'[9]2025'!E242</f>
        <v/>
      </c>
      <c r="G242" s="73" t="str">
        <f>'[9]2025'!F242</f>
        <v/>
      </c>
      <c r="H242" s="42">
        <f>'[9]2025'!G242</f>
        <v>0</v>
      </c>
      <c r="I242" s="13">
        <f>'[9]2025'!H242</f>
        <v>0</v>
      </c>
      <c r="J242" s="14">
        <f>'[9]2025'!I242</f>
        <v>0</v>
      </c>
      <c r="K242" s="15">
        <f>'[9]2025'!J242</f>
        <v>0</v>
      </c>
      <c r="L242" s="15">
        <f>'[9]2025'!K242</f>
        <v>0</v>
      </c>
      <c r="M242" s="15">
        <f>'[9]2025'!L242</f>
        <v>0</v>
      </c>
      <c r="N242" s="16" t="str">
        <f t="shared" si="12"/>
        <v/>
      </c>
      <c r="O242" s="17" t="str">
        <f t="shared" si="13"/>
        <v/>
      </c>
      <c r="P242" s="17" t="str">
        <f t="shared" si="13"/>
        <v/>
      </c>
      <c r="Q242" s="18" t="str">
        <f t="shared" si="14"/>
        <v/>
      </c>
      <c r="R242" s="18" t="e">
        <f t="shared" si="15"/>
        <v>#DIV/0!</v>
      </c>
      <c r="S242" s="34">
        <f>SUM(I241:I247)</f>
        <v>0</v>
      </c>
      <c r="T242" s="45" t="s">
        <v>41</v>
      </c>
      <c r="U242" s="1738"/>
    </row>
    <row r="243" spans="1:21">
      <c r="A243" s="10" t="s">
        <v>12</v>
      </c>
      <c r="B243" s="19">
        <f>CHAMNORD!B243</f>
        <v>46260</v>
      </c>
      <c r="C243" s="75" t="str">
        <f>IF(H243=0,"",'[9]2025-2026'!C242)</f>
        <v/>
      </c>
      <c r="D243" s="68" t="str">
        <f>'[9]2025'!C243</f>
        <v/>
      </c>
      <c r="E243" s="68" t="str">
        <f>'[9]2025'!D243</f>
        <v/>
      </c>
      <c r="F243" s="20" t="str">
        <f>'[9]2025'!E243</f>
        <v/>
      </c>
      <c r="G243" s="73" t="str">
        <f>'[9]2025'!F243</f>
        <v/>
      </c>
      <c r="H243" s="42">
        <f>'[9]2025'!G243</f>
        <v>0</v>
      </c>
      <c r="I243" s="13">
        <f>'[9]2025'!H243</f>
        <v>0</v>
      </c>
      <c r="J243" s="14">
        <f>'[9]2025'!I243</f>
        <v>0</v>
      </c>
      <c r="K243" s="15">
        <f>'[9]2025'!J243</f>
        <v>0</v>
      </c>
      <c r="L243" s="15">
        <f>'[9]2025'!K243</f>
        <v>0</v>
      </c>
      <c r="M243" s="15">
        <f>'[9]2025'!L243</f>
        <v>0</v>
      </c>
      <c r="N243" s="16" t="str">
        <f t="shared" si="12"/>
        <v/>
      </c>
      <c r="O243" s="17" t="str">
        <f t="shared" si="13"/>
        <v/>
      </c>
      <c r="P243" s="17" t="str">
        <f t="shared" si="13"/>
        <v/>
      </c>
      <c r="Q243" s="18" t="str">
        <f t="shared" si="14"/>
        <v/>
      </c>
      <c r="R243" s="18" t="e">
        <f t="shared" si="15"/>
        <v>#DIV/0!</v>
      </c>
      <c r="S243" s="35" t="e">
        <f>(S242-SUM(E241:E247))/SUM(E241:E247)</f>
        <v>#DIV/0!</v>
      </c>
      <c r="T243" s="48" t="e">
        <f>SUM(I241:I247)/SUM(K241:K247)</f>
        <v>#DIV/0!</v>
      </c>
      <c r="U243" s="1738"/>
    </row>
    <row r="244" spans="1:21">
      <c r="A244" s="10" t="s">
        <v>13</v>
      </c>
      <c r="B244" s="19">
        <f>CHAMNORD!B244</f>
        <v>46261</v>
      </c>
      <c r="C244" s="75" t="str">
        <f>IF(H244=0,"",'[9]2025-2026'!C243)</f>
        <v/>
      </c>
      <c r="D244" s="68" t="str">
        <f>'[9]2025'!C244</f>
        <v/>
      </c>
      <c r="E244" s="68" t="str">
        <f>'[9]2025'!D244</f>
        <v/>
      </c>
      <c r="F244" s="20" t="str">
        <f>'[9]2025'!E244</f>
        <v/>
      </c>
      <c r="G244" s="73" t="str">
        <f>'[9]2025'!F244</f>
        <v/>
      </c>
      <c r="H244" s="42">
        <f>'[9]2025'!G244</f>
        <v>0</v>
      </c>
      <c r="I244" s="13">
        <f>'[9]2025'!H244</f>
        <v>0</v>
      </c>
      <c r="J244" s="14">
        <f>'[9]2025'!I244</f>
        <v>0</v>
      </c>
      <c r="K244" s="15">
        <f>'[9]2025'!J244</f>
        <v>0</v>
      </c>
      <c r="L244" s="15">
        <f>'[9]2025'!K244</f>
        <v>0</v>
      </c>
      <c r="M244" s="15">
        <f>'[9]2025'!L244</f>
        <v>0</v>
      </c>
      <c r="N244" s="16" t="str">
        <f t="shared" si="12"/>
        <v/>
      </c>
      <c r="O244" s="17" t="str">
        <f t="shared" si="13"/>
        <v/>
      </c>
      <c r="P244" s="17" t="str">
        <f t="shared" si="13"/>
        <v/>
      </c>
      <c r="Q244" s="18" t="str">
        <f t="shared" si="14"/>
        <v/>
      </c>
      <c r="R244" s="18" t="e">
        <f t="shared" si="15"/>
        <v>#DIV/0!</v>
      </c>
      <c r="S244" s="34"/>
      <c r="T244" s="29" t="s">
        <v>8</v>
      </c>
      <c r="U244" s="1738"/>
    </row>
    <row r="245" spans="1:21">
      <c r="A245" s="10" t="s">
        <v>14</v>
      </c>
      <c r="B245" s="19">
        <f>CHAMNORD!B245</f>
        <v>46262</v>
      </c>
      <c r="C245" s="75" t="str">
        <f>IF(H245=0,"",'[9]2025-2026'!C244)</f>
        <v/>
      </c>
      <c r="D245" s="68" t="str">
        <f>'[9]2025'!C245</f>
        <v/>
      </c>
      <c r="E245" s="68" t="str">
        <f>'[9]2025'!D245</f>
        <v/>
      </c>
      <c r="F245" s="20" t="str">
        <f>'[9]2025'!E245</f>
        <v/>
      </c>
      <c r="G245" s="73" t="str">
        <f>'[9]2025'!F245</f>
        <v/>
      </c>
      <c r="H245" s="42">
        <f>'[9]2025'!G245</f>
        <v>0</v>
      </c>
      <c r="I245" s="13">
        <f>'[9]2025'!H245</f>
        <v>0</v>
      </c>
      <c r="J245" s="14">
        <f>'[9]2025'!I245</f>
        <v>0</v>
      </c>
      <c r="K245" s="15">
        <f>'[9]2025'!J245</f>
        <v>0</v>
      </c>
      <c r="L245" s="15">
        <f>'[9]2025'!K245</f>
        <v>0</v>
      </c>
      <c r="M245" s="15">
        <f>'[9]2025'!L245</f>
        <v>0</v>
      </c>
      <c r="N245" s="16" t="str">
        <f t="shared" si="12"/>
        <v/>
      </c>
      <c r="O245" s="17" t="str">
        <f t="shared" si="13"/>
        <v/>
      </c>
      <c r="P245" s="17" t="str">
        <f t="shared" si="13"/>
        <v/>
      </c>
      <c r="Q245" s="18" t="str">
        <f t="shared" si="14"/>
        <v/>
      </c>
      <c r="R245" s="18" t="e">
        <f t="shared" si="15"/>
        <v>#DIV/0!</v>
      </c>
      <c r="S245" s="36" t="s">
        <v>40</v>
      </c>
      <c r="T245" s="48" t="e">
        <f>SUM(I241:I247)/SUM(L241:L247)</f>
        <v>#DIV/0!</v>
      </c>
      <c r="U245" s="1738"/>
    </row>
    <row r="246" spans="1:21">
      <c r="A246" s="10" t="s">
        <v>15</v>
      </c>
      <c r="B246" s="19">
        <f>CHAMNORD!B246</f>
        <v>46263</v>
      </c>
      <c r="C246" s="75" t="str">
        <f>IF(H246=0,"",'[9]2025-2026'!C245)</f>
        <v/>
      </c>
      <c r="D246" s="68" t="str">
        <f>'[9]2025'!C246</f>
        <v/>
      </c>
      <c r="E246" s="68" t="str">
        <f>'[9]2025'!D246</f>
        <v/>
      </c>
      <c r="F246" s="20" t="str">
        <f>'[9]2025'!E246</f>
        <v/>
      </c>
      <c r="G246" s="73" t="str">
        <f>'[9]2025'!F246</f>
        <v/>
      </c>
      <c r="H246" s="42">
        <f>'[9]2025'!G246</f>
        <v>0</v>
      </c>
      <c r="I246" s="13">
        <f>'[9]2025'!H246</f>
        <v>0</v>
      </c>
      <c r="J246" s="14">
        <f>'[9]2025'!I246</f>
        <v>0</v>
      </c>
      <c r="K246" s="15">
        <f>'[9]2025'!J246</f>
        <v>0</v>
      </c>
      <c r="L246" s="15">
        <f>'[9]2025'!K246</f>
        <v>0</v>
      </c>
      <c r="M246" s="15">
        <f>'[9]2025'!L246</f>
        <v>0</v>
      </c>
      <c r="N246" s="16" t="str">
        <f t="shared" si="12"/>
        <v/>
      </c>
      <c r="O246" s="17" t="str">
        <f t="shared" si="13"/>
        <v/>
      </c>
      <c r="P246" s="17" t="str">
        <f t="shared" si="13"/>
        <v/>
      </c>
      <c r="Q246" s="18" t="str">
        <f t="shared" si="14"/>
        <v/>
      </c>
      <c r="R246" s="18" t="e">
        <f t="shared" si="15"/>
        <v>#DIV/0!</v>
      </c>
      <c r="S246" s="36">
        <f>SUM(J241:J247)</f>
        <v>0</v>
      </c>
      <c r="T246" s="30" t="s">
        <v>3</v>
      </c>
      <c r="U246" s="1738"/>
    </row>
    <row r="247" spans="1:21" ht="18" thickBot="1">
      <c r="A247" s="10" t="s">
        <v>16</v>
      </c>
      <c r="B247" s="19">
        <f>CHAMNORD!B247</f>
        <v>46264</v>
      </c>
      <c r="C247" s="75" t="str">
        <f>IF(H247=0,"",'[9]2025-2026'!C246)</f>
        <v/>
      </c>
      <c r="D247" s="68" t="str">
        <f>'[9]2025'!C247</f>
        <v/>
      </c>
      <c r="E247" s="68" t="str">
        <f>'[9]2025'!D247</f>
        <v/>
      </c>
      <c r="F247" s="20" t="str">
        <f>'[9]2025'!E247</f>
        <v/>
      </c>
      <c r="G247" s="73" t="str">
        <f>'[9]2025'!F247</f>
        <v/>
      </c>
      <c r="H247" s="42">
        <f>'[9]2025'!G247</f>
        <v>0</v>
      </c>
      <c r="I247" s="13">
        <f>'[9]2025'!H247</f>
        <v>0</v>
      </c>
      <c r="J247" s="14">
        <f>'[9]2025'!I247</f>
        <v>0</v>
      </c>
      <c r="K247" s="15">
        <f>'[9]2025'!J247</f>
        <v>0</v>
      </c>
      <c r="L247" s="15">
        <f>'[9]2025'!K247</f>
        <v>0</v>
      </c>
      <c r="M247" s="15">
        <f>'[9]2025'!L247</f>
        <v>0</v>
      </c>
      <c r="N247" s="16" t="str">
        <f t="shared" si="12"/>
        <v/>
      </c>
      <c r="O247" s="17" t="str">
        <f t="shared" si="13"/>
        <v/>
      </c>
      <c r="P247" s="17" t="str">
        <f t="shared" si="13"/>
        <v/>
      </c>
      <c r="Q247" s="18" t="str">
        <f t="shared" si="14"/>
        <v/>
      </c>
      <c r="R247" s="18" t="e">
        <f t="shared" si="15"/>
        <v>#DIV/0!</v>
      </c>
      <c r="S247" s="37" t="e">
        <f>(S246-SUM(F241:F247))/SUM(F241:F247)</f>
        <v>#DIV/0!</v>
      </c>
      <c r="T247" s="47" t="e">
        <f>SUM(M241:M247)/SUM(I241:I247)</f>
        <v>#DIV/0!</v>
      </c>
      <c r="U247" s="1739"/>
    </row>
    <row r="248" spans="1:21" ht="17" customHeight="1" thickTop="1">
      <c r="A248" s="10" t="s">
        <v>9</v>
      </c>
      <c r="B248" s="19">
        <f>CHAMNORD!B248</f>
        <v>46265</v>
      </c>
      <c r="C248" s="75" t="str">
        <f>IF(H248=0,"",'[9]2025-2026'!C247)</f>
        <v/>
      </c>
      <c r="D248" s="68" t="str">
        <f>'[9]2025'!C248</f>
        <v/>
      </c>
      <c r="E248" s="68" t="str">
        <f>'[9]2025'!D248</f>
        <v/>
      </c>
      <c r="F248" s="20" t="str">
        <f>'[9]2025'!E248</f>
        <v/>
      </c>
      <c r="G248" s="73" t="str">
        <f>'[9]2025'!F248</f>
        <v/>
      </c>
      <c r="H248" s="42">
        <f>'[9]2025'!G248</f>
        <v>0</v>
      </c>
      <c r="I248" s="13">
        <f>'[9]2025'!H248</f>
        <v>0</v>
      </c>
      <c r="J248" s="14">
        <f>'[9]2025'!I248</f>
        <v>0</v>
      </c>
      <c r="K248" s="15">
        <f>'[9]2025'!J248</f>
        <v>0</v>
      </c>
      <c r="L248" s="15">
        <f>'[9]2025'!K248</f>
        <v>0</v>
      </c>
      <c r="M248" s="15">
        <f>'[9]2025'!L248</f>
        <v>0</v>
      </c>
      <c r="N248" s="16" t="str">
        <f t="shared" si="12"/>
        <v/>
      </c>
      <c r="O248" s="17" t="str">
        <f t="shared" si="13"/>
        <v/>
      </c>
      <c r="P248" s="17" t="str">
        <f t="shared" si="13"/>
        <v/>
      </c>
      <c r="Q248" s="18" t="str">
        <f t="shared" si="14"/>
        <v/>
      </c>
      <c r="R248" s="18" t="e">
        <f t="shared" si="15"/>
        <v>#DIV/0!</v>
      </c>
      <c r="S248" s="33" t="s">
        <v>39</v>
      </c>
      <c r="T248" s="31" t="s">
        <v>42</v>
      </c>
      <c r="U248" s="1737" t="s">
        <v>118</v>
      </c>
    </row>
    <row r="249" spans="1:21">
      <c r="A249" s="10" t="s">
        <v>11</v>
      </c>
      <c r="B249" s="19">
        <f>CHAMNORD!B249</f>
        <v>46266</v>
      </c>
      <c r="C249" s="75" t="str">
        <f>IF(H249=0,"",'[9]2025-2026'!C248)</f>
        <v/>
      </c>
      <c r="D249" s="68" t="str">
        <f>'[9]2025'!C249</f>
        <v/>
      </c>
      <c r="E249" s="68" t="str">
        <f>'[9]2025'!D249</f>
        <v/>
      </c>
      <c r="F249" s="20" t="str">
        <f>'[9]2025'!E249</f>
        <v/>
      </c>
      <c r="G249" s="73" t="str">
        <f>'[9]2025'!F249</f>
        <v/>
      </c>
      <c r="H249" s="42">
        <f>'[9]2025'!G249</f>
        <v>0</v>
      </c>
      <c r="I249" s="13">
        <f>'[9]2025'!H249</f>
        <v>0</v>
      </c>
      <c r="J249" s="14">
        <f>'[9]2025'!I249</f>
        <v>0</v>
      </c>
      <c r="K249" s="15">
        <f>'[9]2025'!J249</f>
        <v>0</v>
      </c>
      <c r="L249" s="15">
        <f>'[9]2025'!K249</f>
        <v>0</v>
      </c>
      <c r="M249" s="15">
        <f>'[9]2025'!L249</f>
        <v>0</v>
      </c>
      <c r="N249" s="16" t="str">
        <f t="shared" si="12"/>
        <v/>
      </c>
      <c r="O249" s="17" t="str">
        <f t="shared" si="13"/>
        <v/>
      </c>
      <c r="P249" s="17" t="str">
        <f t="shared" si="13"/>
        <v/>
      </c>
      <c r="Q249" s="18" t="str">
        <f t="shared" si="14"/>
        <v/>
      </c>
      <c r="R249" s="18" t="e">
        <f t="shared" si="15"/>
        <v>#DIV/0!</v>
      </c>
      <c r="S249" s="34">
        <f>SUM(I248:I254)</f>
        <v>0</v>
      </c>
      <c r="T249" s="45" t="s">
        <v>41</v>
      </c>
      <c r="U249" s="1738"/>
    </row>
    <row r="250" spans="1:21">
      <c r="A250" s="10" t="s">
        <v>12</v>
      </c>
      <c r="B250" s="19">
        <f>CHAMNORD!B250</f>
        <v>46267</v>
      </c>
      <c r="C250" s="75" t="str">
        <f>IF(H250=0,"",'[9]2025-2026'!C249)</f>
        <v/>
      </c>
      <c r="D250" s="68" t="str">
        <f>'[9]2025'!C250</f>
        <v/>
      </c>
      <c r="E250" s="68" t="str">
        <f>'[9]2025'!D250</f>
        <v/>
      </c>
      <c r="F250" s="20" t="str">
        <f>'[9]2025'!E250</f>
        <v/>
      </c>
      <c r="G250" s="73" t="str">
        <f>'[9]2025'!F250</f>
        <v/>
      </c>
      <c r="H250" s="42">
        <f>'[9]2025'!G250</f>
        <v>0</v>
      </c>
      <c r="I250" s="13">
        <f>'[9]2025'!H250</f>
        <v>0</v>
      </c>
      <c r="J250" s="14">
        <f>'[9]2025'!I250</f>
        <v>0</v>
      </c>
      <c r="K250" s="15">
        <f>'[9]2025'!J250</f>
        <v>0</v>
      </c>
      <c r="L250" s="15">
        <f>'[9]2025'!K250</f>
        <v>0</v>
      </c>
      <c r="M250" s="15">
        <f>'[9]2025'!L250</f>
        <v>0</v>
      </c>
      <c r="N250" s="16" t="str">
        <f t="shared" si="12"/>
        <v/>
      </c>
      <c r="O250" s="17" t="str">
        <f t="shared" si="13"/>
        <v/>
      </c>
      <c r="P250" s="17" t="str">
        <f t="shared" si="13"/>
        <v/>
      </c>
      <c r="Q250" s="18" t="str">
        <f t="shared" si="14"/>
        <v/>
      </c>
      <c r="R250" s="18" t="e">
        <f t="shared" si="15"/>
        <v>#DIV/0!</v>
      </c>
      <c r="S250" s="35" t="e">
        <f>(S249-SUM(E248:E254))/SUM(E248:E254)</f>
        <v>#DIV/0!</v>
      </c>
      <c r="T250" s="48" t="e">
        <f>SUM(I248:I254)/SUM(K248:K254)</f>
        <v>#DIV/0!</v>
      </c>
      <c r="U250" s="1738"/>
    </row>
    <row r="251" spans="1:21">
      <c r="A251" s="10" t="s">
        <v>13</v>
      </c>
      <c r="B251" s="19">
        <f>CHAMNORD!B251</f>
        <v>46268</v>
      </c>
      <c r="C251" s="75" t="str">
        <f>IF(H251=0,"",'[9]2025-2026'!C250)</f>
        <v/>
      </c>
      <c r="D251" s="68" t="str">
        <f>'[9]2025'!C251</f>
        <v/>
      </c>
      <c r="E251" s="68" t="str">
        <f>'[9]2025'!D251</f>
        <v/>
      </c>
      <c r="F251" s="20" t="str">
        <f>'[9]2025'!E251</f>
        <v/>
      </c>
      <c r="G251" s="73" t="str">
        <f>'[9]2025'!F251</f>
        <v/>
      </c>
      <c r="H251" s="42">
        <f>'[9]2025'!G251</f>
        <v>0</v>
      </c>
      <c r="I251" s="13">
        <f>'[9]2025'!H251</f>
        <v>0</v>
      </c>
      <c r="J251" s="14">
        <f>'[9]2025'!I251</f>
        <v>0</v>
      </c>
      <c r="K251" s="15">
        <f>'[9]2025'!J251</f>
        <v>0</v>
      </c>
      <c r="L251" s="15">
        <f>'[9]2025'!K251</f>
        <v>0</v>
      </c>
      <c r="M251" s="15">
        <f>'[9]2025'!L251</f>
        <v>0</v>
      </c>
      <c r="N251" s="16" t="str">
        <f t="shared" si="12"/>
        <v/>
      </c>
      <c r="O251" s="17" t="str">
        <f t="shared" si="13"/>
        <v/>
      </c>
      <c r="P251" s="17" t="str">
        <f t="shared" si="13"/>
        <v/>
      </c>
      <c r="Q251" s="18" t="str">
        <f t="shared" si="14"/>
        <v/>
      </c>
      <c r="R251" s="18" t="e">
        <f t="shared" si="15"/>
        <v>#DIV/0!</v>
      </c>
      <c r="S251" s="34"/>
      <c r="T251" s="29" t="s">
        <v>8</v>
      </c>
      <c r="U251" s="1738"/>
    </row>
    <row r="252" spans="1:21">
      <c r="A252" s="10" t="s">
        <v>14</v>
      </c>
      <c r="B252" s="19">
        <f>CHAMNORD!B252</f>
        <v>46269</v>
      </c>
      <c r="C252" s="75" t="str">
        <f>IF(H252=0,"",'[9]2025-2026'!C251)</f>
        <v/>
      </c>
      <c r="D252" s="68" t="str">
        <f>'[9]2025'!C252</f>
        <v/>
      </c>
      <c r="E252" s="68" t="str">
        <f>'[9]2025'!D252</f>
        <v/>
      </c>
      <c r="F252" s="20" t="str">
        <f>'[9]2025'!E252</f>
        <v/>
      </c>
      <c r="G252" s="73" t="str">
        <f>'[9]2025'!F252</f>
        <v/>
      </c>
      <c r="H252" s="42">
        <f>'[9]2025'!G252</f>
        <v>0</v>
      </c>
      <c r="I252" s="13">
        <f>'[9]2025'!H252</f>
        <v>0</v>
      </c>
      <c r="J252" s="14">
        <f>'[9]2025'!I252</f>
        <v>0</v>
      </c>
      <c r="K252" s="15">
        <f>'[9]2025'!J252</f>
        <v>0</v>
      </c>
      <c r="L252" s="15">
        <f>'[9]2025'!K252</f>
        <v>0</v>
      </c>
      <c r="M252" s="15">
        <f>'[9]2025'!L252</f>
        <v>0</v>
      </c>
      <c r="N252" s="16" t="str">
        <f t="shared" si="12"/>
        <v/>
      </c>
      <c r="O252" s="17" t="str">
        <f t="shared" si="13"/>
        <v/>
      </c>
      <c r="P252" s="17" t="str">
        <f t="shared" si="13"/>
        <v/>
      </c>
      <c r="Q252" s="18" t="str">
        <f t="shared" si="14"/>
        <v/>
      </c>
      <c r="R252" s="18" t="e">
        <f t="shared" si="15"/>
        <v>#DIV/0!</v>
      </c>
      <c r="S252" s="36" t="s">
        <v>40</v>
      </c>
      <c r="T252" s="48" t="e">
        <f>SUM(I248:I254)/SUM(L248:L254)</f>
        <v>#DIV/0!</v>
      </c>
      <c r="U252" s="1738"/>
    </row>
    <row r="253" spans="1:21">
      <c r="A253" s="10" t="s">
        <v>15</v>
      </c>
      <c r="B253" s="19">
        <f>CHAMNORD!B253</f>
        <v>46270</v>
      </c>
      <c r="C253" s="75" t="str">
        <f>IF(H253=0,"",'[9]2025-2026'!C252)</f>
        <v/>
      </c>
      <c r="D253" s="68" t="str">
        <f>'[9]2025'!C253</f>
        <v/>
      </c>
      <c r="E253" s="68" t="str">
        <f>'[9]2025'!D253</f>
        <v/>
      </c>
      <c r="F253" s="20" t="str">
        <f>'[9]2025'!E253</f>
        <v/>
      </c>
      <c r="G253" s="73" t="str">
        <f>'[9]2025'!F253</f>
        <v/>
      </c>
      <c r="H253" s="42">
        <f>'[9]2025'!G253</f>
        <v>0</v>
      </c>
      <c r="I253" s="13">
        <f>'[9]2025'!H253</f>
        <v>0</v>
      </c>
      <c r="J253" s="14">
        <f>'[9]2025'!I253</f>
        <v>0</v>
      </c>
      <c r="K253" s="15">
        <f>'[9]2025'!J253</f>
        <v>0</v>
      </c>
      <c r="L253" s="15">
        <f>'[9]2025'!K253</f>
        <v>0</v>
      </c>
      <c r="M253" s="15">
        <f>'[9]2025'!L253</f>
        <v>0</v>
      </c>
      <c r="N253" s="16" t="str">
        <f t="shared" si="12"/>
        <v/>
      </c>
      <c r="O253" s="17" t="str">
        <f t="shared" si="13"/>
        <v/>
      </c>
      <c r="P253" s="17" t="str">
        <f t="shared" si="13"/>
        <v/>
      </c>
      <c r="Q253" s="18" t="str">
        <f t="shared" si="14"/>
        <v/>
      </c>
      <c r="R253" s="18" t="e">
        <f t="shared" si="15"/>
        <v>#DIV/0!</v>
      </c>
      <c r="S253" s="36">
        <f>SUM(J248:J254)</f>
        <v>0</v>
      </c>
      <c r="T253" s="30" t="s">
        <v>3</v>
      </c>
      <c r="U253" s="1738"/>
    </row>
    <row r="254" spans="1:21" ht="18" thickBot="1">
      <c r="A254" s="10" t="s">
        <v>16</v>
      </c>
      <c r="B254" s="19">
        <f>CHAMNORD!B254</f>
        <v>46271</v>
      </c>
      <c r="C254" s="75" t="str">
        <f>IF(H254=0,"",'[9]2025-2026'!C253)</f>
        <v/>
      </c>
      <c r="D254" s="68" t="str">
        <f>'[9]2025'!C254</f>
        <v/>
      </c>
      <c r="E254" s="68" t="str">
        <f>'[9]2025'!D254</f>
        <v/>
      </c>
      <c r="F254" s="20" t="str">
        <f>'[9]2025'!E254</f>
        <v/>
      </c>
      <c r="G254" s="73" t="str">
        <f>'[9]2025'!F254</f>
        <v/>
      </c>
      <c r="H254" s="42">
        <f>'[9]2025'!G254</f>
        <v>0</v>
      </c>
      <c r="I254" s="13">
        <f>'[9]2025'!H254</f>
        <v>0</v>
      </c>
      <c r="J254" s="14">
        <f>'[9]2025'!I254</f>
        <v>0</v>
      </c>
      <c r="K254" s="15">
        <f>'[9]2025'!J254</f>
        <v>0</v>
      </c>
      <c r="L254" s="15">
        <f>'[9]2025'!K254</f>
        <v>0</v>
      </c>
      <c r="M254" s="15">
        <f>'[9]2025'!L254</f>
        <v>0</v>
      </c>
      <c r="N254" s="16" t="str">
        <f t="shared" si="12"/>
        <v/>
      </c>
      <c r="O254" s="17" t="str">
        <f t="shared" si="13"/>
        <v/>
      </c>
      <c r="P254" s="17" t="str">
        <f t="shared" si="13"/>
        <v/>
      </c>
      <c r="Q254" s="18" t="str">
        <f t="shared" si="14"/>
        <v/>
      </c>
      <c r="R254" s="18" t="e">
        <f t="shared" si="15"/>
        <v>#DIV/0!</v>
      </c>
      <c r="S254" s="37" t="e">
        <f>(S253-SUM(F248:F254))/SUM(F248:F254)</f>
        <v>#DIV/0!</v>
      </c>
      <c r="T254" s="47" t="e">
        <f>SUM(M248:M254)/SUM(I248:I254)</f>
        <v>#DIV/0!</v>
      </c>
      <c r="U254" s="1739"/>
    </row>
    <row r="255" spans="1:21" ht="17" customHeight="1" thickTop="1">
      <c r="A255" s="10" t="s">
        <v>9</v>
      </c>
      <c r="B255" s="19">
        <f>CHAMNORD!B255</f>
        <v>46272</v>
      </c>
      <c r="C255" s="75" t="str">
        <f>IF(H255=0,"",'[9]2025-2026'!C254)</f>
        <v/>
      </c>
      <c r="D255" s="68" t="str">
        <f>'[9]2025'!C255</f>
        <v/>
      </c>
      <c r="E255" s="68" t="str">
        <f>'[9]2025'!D255</f>
        <v/>
      </c>
      <c r="F255" s="20" t="str">
        <f>'[9]2025'!E255</f>
        <v/>
      </c>
      <c r="G255" s="73" t="str">
        <f>'[9]2025'!F255</f>
        <v/>
      </c>
      <c r="H255" s="42">
        <f>'[9]2025'!G255</f>
        <v>0</v>
      </c>
      <c r="I255" s="13">
        <f>'[9]2025'!H255</f>
        <v>0</v>
      </c>
      <c r="J255" s="14">
        <f>'[9]2025'!I255</f>
        <v>0</v>
      </c>
      <c r="K255" s="15">
        <f>'[9]2025'!J255</f>
        <v>0</v>
      </c>
      <c r="L255" s="15">
        <f>'[9]2025'!K255</f>
        <v>0</v>
      </c>
      <c r="M255" s="15">
        <f>'[9]2025'!L255</f>
        <v>0</v>
      </c>
      <c r="N255" s="16" t="str">
        <f t="shared" si="12"/>
        <v/>
      </c>
      <c r="O255" s="17" t="str">
        <f t="shared" si="13"/>
        <v/>
      </c>
      <c r="P255" s="17" t="str">
        <f t="shared" si="13"/>
        <v/>
      </c>
      <c r="Q255" s="18" t="str">
        <f t="shared" si="14"/>
        <v/>
      </c>
      <c r="R255" s="18" t="e">
        <f t="shared" si="15"/>
        <v>#DIV/0!</v>
      </c>
      <c r="S255" s="33" t="s">
        <v>39</v>
      </c>
      <c r="T255" s="31" t="s">
        <v>42</v>
      </c>
      <c r="U255" s="1737" t="s">
        <v>119</v>
      </c>
    </row>
    <row r="256" spans="1:21">
      <c r="A256" s="10" t="s">
        <v>11</v>
      </c>
      <c r="B256" s="19">
        <f>CHAMNORD!B256</f>
        <v>46273</v>
      </c>
      <c r="C256" s="75" t="str">
        <f>IF(H256=0,"",'[9]2025-2026'!C255)</f>
        <v/>
      </c>
      <c r="D256" s="68" t="str">
        <f>'[9]2025'!C256</f>
        <v/>
      </c>
      <c r="E256" s="68" t="str">
        <f>'[9]2025'!D256</f>
        <v/>
      </c>
      <c r="F256" s="20" t="str">
        <f>'[9]2025'!E256</f>
        <v/>
      </c>
      <c r="G256" s="73" t="str">
        <f>'[9]2025'!F256</f>
        <v/>
      </c>
      <c r="H256" s="42">
        <f>'[9]2025'!G256</f>
        <v>0</v>
      </c>
      <c r="I256" s="13">
        <f>'[9]2025'!H256</f>
        <v>0</v>
      </c>
      <c r="J256" s="14">
        <f>'[9]2025'!I256</f>
        <v>0</v>
      </c>
      <c r="K256" s="15">
        <f>'[9]2025'!J256</f>
        <v>0</v>
      </c>
      <c r="L256" s="15">
        <f>'[9]2025'!K256</f>
        <v>0</v>
      </c>
      <c r="M256" s="15">
        <f>'[9]2025'!L256</f>
        <v>0</v>
      </c>
      <c r="N256" s="16" t="str">
        <f t="shared" si="12"/>
        <v/>
      </c>
      <c r="O256" s="17" t="str">
        <f t="shared" si="13"/>
        <v/>
      </c>
      <c r="P256" s="17" t="str">
        <f t="shared" si="13"/>
        <v/>
      </c>
      <c r="Q256" s="18" t="str">
        <f t="shared" si="14"/>
        <v/>
      </c>
      <c r="R256" s="18" t="e">
        <f t="shared" si="15"/>
        <v>#DIV/0!</v>
      </c>
      <c r="S256" s="34">
        <f>SUM(I255:I261)</f>
        <v>0</v>
      </c>
      <c r="T256" s="45" t="s">
        <v>41</v>
      </c>
      <c r="U256" s="1738"/>
    </row>
    <row r="257" spans="1:21">
      <c r="A257" s="10" t="s">
        <v>12</v>
      </c>
      <c r="B257" s="19">
        <f>CHAMNORD!B257</f>
        <v>46274</v>
      </c>
      <c r="C257" s="75" t="str">
        <f>IF(H257=0,"",'[9]2025-2026'!C256)</f>
        <v/>
      </c>
      <c r="D257" s="68" t="str">
        <f>'[9]2025'!C257</f>
        <v/>
      </c>
      <c r="E257" s="68" t="str">
        <f>'[9]2025'!D257</f>
        <v/>
      </c>
      <c r="F257" s="20" t="str">
        <f>'[9]2025'!E257</f>
        <v/>
      </c>
      <c r="G257" s="73" t="str">
        <f>'[9]2025'!F257</f>
        <v/>
      </c>
      <c r="H257" s="42">
        <f>'[9]2025'!G257</f>
        <v>0</v>
      </c>
      <c r="I257" s="13">
        <f>'[9]2025'!H257</f>
        <v>0</v>
      </c>
      <c r="J257" s="14">
        <f>'[9]2025'!I257</f>
        <v>0</v>
      </c>
      <c r="K257" s="15">
        <f>'[9]2025'!J257</f>
        <v>0</v>
      </c>
      <c r="L257" s="15">
        <f>'[9]2025'!K257</f>
        <v>0</v>
      </c>
      <c r="M257" s="15">
        <f>'[9]2025'!L257</f>
        <v>0</v>
      </c>
      <c r="N257" s="16" t="str">
        <f t="shared" si="12"/>
        <v/>
      </c>
      <c r="O257" s="17" t="str">
        <f t="shared" si="13"/>
        <v/>
      </c>
      <c r="P257" s="17" t="str">
        <f t="shared" si="13"/>
        <v/>
      </c>
      <c r="Q257" s="18" t="str">
        <f t="shared" si="14"/>
        <v/>
      </c>
      <c r="R257" s="18" t="e">
        <f t="shared" si="15"/>
        <v>#DIV/0!</v>
      </c>
      <c r="S257" s="35" t="e">
        <f>(S256-SUM(E255:E261))/SUM(E255:E261)</f>
        <v>#DIV/0!</v>
      </c>
      <c r="T257" s="48" t="e">
        <f>SUM(I255:I261)/SUM(K255:K261)</f>
        <v>#DIV/0!</v>
      </c>
      <c r="U257" s="1738"/>
    </row>
    <row r="258" spans="1:21">
      <c r="A258" s="10" t="s">
        <v>13</v>
      </c>
      <c r="B258" s="19">
        <f>CHAMNORD!B258</f>
        <v>46275</v>
      </c>
      <c r="C258" s="75" t="str">
        <f>IF(H258=0,"",'[9]2025-2026'!C257)</f>
        <v/>
      </c>
      <c r="D258" s="68" t="str">
        <f>'[9]2025'!C258</f>
        <v/>
      </c>
      <c r="E258" s="68" t="str">
        <f>'[9]2025'!D258</f>
        <v/>
      </c>
      <c r="F258" s="20" t="str">
        <f>'[9]2025'!E258</f>
        <v/>
      </c>
      <c r="G258" s="73" t="str">
        <f>'[9]2025'!F258</f>
        <v/>
      </c>
      <c r="H258" s="42">
        <f>'[9]2025'!G258</f>
        <v>0</v>
      </c>
      <c r="I258" s="13">
        <f>'[9]2025'!H258</f>
        <v>0</v>
      </c>
      <c r="J258" s="14">
        <f>'[9]2025'!I258</f>
        <v>0</v>
      </c>
      <c r="K258" s="15">
        <f>'[9]2025'!J258</f>
        <v>0</v>
      </c>
      <c r="L258" s="15">
        <f>'[9]2025'!K258</f>
        <v>0</v>
      </c>
      <c r="M258" s="15">
        <f>'[9]2025'!L258</f>
        <v>0</v>
      </c>
      <c r="N258" s="16" t="str">
        <f t="shared" si="12"/>
        <v/>
      </c>
      <c r="O258" s="17" t="str">
        <f t="shared" si="13"/>
        <v/>
      </c>
      <c r="P258" s="17" t="str">
        <f t="shared" si="13"/>
        <v/>
      </c>
      <c r="Q258" s="18" t="str">
        <f t="shared" si="14"/>
        <v/>
      </c>
      <c r="R258" s="18" t="e">
        <f t="shared" si="15"/>
        <v>#DIV/0!</v>
      </c>
      <c r="S258" s="34"/>
      <c r="T258" s="29" t="s">
        <v>8</v>
      </c>
      <c r="U258" s="1738"/>
    </row>
    <row r="259" spans="1:21">
      <c r="A259" s="10" t="s">
        <v>14</v>
      </c>
      <c r="B259" s="19">
        <f>CHAMNORD!B259</f>
        <v>46276</v>
      </c>
      <c r="C259" s="75" t="str">
        <f>IF(H259=0,"",'[9]2025-2026'!C258)</f>
        <v/>
      </c>
      <c r="D259" s="68" t="str">
        <f>'[9]2025'!C259</f>
        <v/>
      </c>
      <c r="E259" s="68" t="str">
        <f>'[9]2025'!D259</f>
        <v/>
      </c>
      <c r="F259" s="20" t="str">
        <f>'[9]2025'!E259</f>
        <v/>
      </c>
      <c r="G259" s="73" t="str">
        <f>'[9]2025'!F259</f>
        <v/>
      </c>
      <c r="H259" s="42">
        <f>'[9]2025'!G259</f>
        <v>0</v>
      </c>
      <c r="I259" s="13">
        <f>'[9]2025'!H259</f>
        <v>0</v>
      </c>
      <c r="J259" s="14">
        <f>'[9]2025'!I259</f>
        <v>0</v>
      </c>
      <c r="K259" s="15">
        <f>'[9]2025'!J259</f>
        <v>0</v>
      </c>
      <c r="L259" s="15">
        <f>'[9]2025'!K259</f>
        <v>0</v>
      </c>
      <c r="M259" s="15">
        <f>'[9]2025'!L259</f>
        <v>0</v>
      </c>
      <c r="N259" s="16" t="str">
        <f t="shared" si="12"/>
        <v/>
      </c>
      <c r="O259" s="17" t="str">
        <f t="shared" si="13"/>
        <v/>
      </c>
      <c r="P259" s="17" t="str">
        <f t="shared" si="13"/>
        <v/>
      </c>
      <c r="Q259" s="18" t="str">
        <f t="shared" si="14"/>
        <v/>
      </c>
      <c r="R259" s="18" t="e">
        <f t="shared" si="15"/>
        <v>#DIV/0!</v>
      </c>
      <c r="S259" s="36" t="s">
        <v>40</v>
      </c>
      <c r="T259" s="48" t="e">
        <f>SUM(I255:I261)/SUM(L255:L261)</f>
        <v>#DIV/0!</v>
      </c>
      <c r="U259" s="1738"/>
    </row>
    <row r="260" spans="1:21">
      <c r="A260" s="10" t="s">
        <v>15</v>
      </c>
      <c r="B260" s="19">
        <f>CHAMNORD!B260</f>
        <v>46277</v>
      </c>
      <c r="C260" s="75" t="str">
        <f>IF(H260=0,"",'[9]2025-2026'!C259)</f>
        <v/>
      </c>
      <c r="D260" s="68" t="str">
        <f>'[9]2025'!C260</f>
        <v/>
      </c>
      <c r="E260" s="68" t="str">
        <f>'[9]2025'!D260</f>
        <v/>
      </c>
      <c r="F260" s="20" t="str">
        <f>'[9]2025'!E260</f>
        <v/>
      </c>
      <c r="G260" s="73" t="str">
        <f>'[9]2025'!F260</f>
        <v/>
      </c>
      <c r="H260" s="42">
        <f>'[9]2025'!G260</f>
        <v>0</v>
      </c>
      <c r="I260" s="13">
        <f>'[9]2025'!H260</f>
        <v>0</v>
      </c>
      <c r="J260" s="14">
        <f>'[9]2025'!I260</f>
        <v>0</v>
      </c>
      <c r="K260" s="15">
        <f>'[9]2025'!J260</f>
        <v>0</v>
      </c>
      <c r="L260" s="15">
        <f>'[9]2025'!K260</f>
        <v>0</v>
      </c>
      <c r="M260" s="15">
        <f>'[9]2025'!L260</f>
        <v>0</v>
      </c>
      <c r="N260" s="16" t="str">
        <f t="shared" ref="N260:N323" si="16">IF(M260=0,"",M260/I260)</f>
        <v/>
      </c>
      <c r="O260" s="17" t="str">
        <f t="shared" ref="O260:P323" si="17">IF(I260=0,"",(I260-E260)/E260)</f>
        <v/>
      </c>
      <c r="P260" s="17" t="str">
        <f t="shared" si="17"/>
        <v/>
      </c>
      <c r="Q260" s="18" t="str">
        <f t="shared" ref="Q260:Q323" si="18">IF(I260=0,"",I260/K260)</f>
        <v/>
      </c>
      <c r="R260" s="18" t="e">
        <f t="shared" ref="R260:R323" si="19">I260/L260</f>
        <v>#DIV/0!</v>
      </c>
      <c r="S260" s="36">
        <f>SUM(J255:J261)</f>
        <v>0</v>
      </c>
      <c r="T260" s="30" t="s">
        <v>3</v>
      </c>
      <c r="U260" s="1738"/>
    </row>
    <row r="261" spans="1:21" ht="18" thickBot="1">
      <c r="A261" s="10" t="s">
        <v>16</v>
      </c>
      <c r="B261" s="19">
        <f>CHAMNORD!B261</f>
        <v>46278</v>
      </c>
      <c r="C261" s="75" t="str">
        <f>IF(H261=0,"",'[9]2025-2026'!C260)</f>
        <v/>
      </c>
      <c r="D261" s="68" t="str">
        <f>'[9]2025'!C261</f>
        <v/>
      </c>
      <c r="E261" s="68" t="str">
        <f>'[9]2025'!D261</f>
        <v/>
      </c>
      <c r="F261" s="20" t="str">
        <f>'[9]2025'!E261</f>
        <v/>
      </c>
      <c r="G261" s="73" t="str">
        <f>'[9]2025'!F261</f>
        <v/>
      </c>
      <c r="H261" s="42">
        <f>'[9]2025'!G261</f>
        <v>0</v>
      </c>
      <c r="I261" s="13">
        <f>'[9]2025'!H261</f>
        <v>0</v>
      </c>
      <c r="J261" s="14">
        <f>'[9]2025'!I261</f>
        <v>0</v>
      </c>
      <c r="K261" s="15">
        <f>'[9]2025'!J261</f>
        <v>0</v>
      </c>
      <c r="L261" s="15">
        <f>'[9]2025'!K261</f>
        <v>0</v>
      </c>
      <c r="M261" s="15">
        <f>'[9]2025'!L261</f>
        <v>0</v>
      </c>
      <c r="N261" s="16" t="str">
        <f t="shared" si="16"/>
        <v/>
      </c>
      <c r="O261" s="17" t="str">
        <f t="shared" si="17"/>
        <v/>
      </c>
      <c r="P261" s="17" t="str">
        <f t="shared" si="17"/>
        <v/>
      </c>
      <c r="Q261" s="18" t="str">
        <f t="shared" si="18"/>
        <v/>
      </c>
      <c r="R261" s="18" t="e">
        <f t="shared" si="19"/>
        <v>#DIV/0!</v>
      </c>
      <c r="S261" s="37" t="e">
        <f>(S260-SUM(F255:F261))/SUM(F255:F261)</f>
        <v>#DIV/0!</v>
      </c>
      <c r="T261" s="47" t="e">
        <f>SUM(M255:M261)/SUM(I255:I261)</f>
        <v>#DIV/0!</v>
      </c>
      <c r="U261" s="1739"/>
    </row>
    <row r="262" spans="1:21" ht="17" customHeight="1" thickTop="1">
      <c r="A262" s="10" t="s">
        <v>9</v>
      </c>
      <c r="B262" s="19">
        <f>CHAMNORD!B262</f>
        <v>46279</v>
      </c>
      <c r="C262" s="75" t="str">
        <f>IF(H262=0,"",'[9]2025-2026'!C261)</f>
        <v/>
      </c>
      <c r="D262" s="68" t="str">
        <f>'[9]2025'!C262</f>
        <v/>
      </c>
      <c r="E262" s="68" t="str">
        <f>'[9]2025'!D262</f>
        <v/>
      </c>
      <c r="F262" s="20" t="str">
        <f>'[9]2025'!E262</f>
        <v/>
      </c>
      <c r="G262" s="73" t="str">
        <f>'[9]2025'!F262</f>
        <v/>
      </c>
      <c r="H262" s="42">
        <f>'[9]2025'!G262</f>
        <v>0</v>
      </c>
      <c r="I262" s="13">
        <f>'[9]2025'!H262</f>
        <v>0</v>
      </c>
      <c r="J262" s="14">
        <f>'[9]2025'!I262</f>
        <v>0</v>
      </c>
      <c r="K262" s="15">
        <f>'[9]2025'!J262</f>
        <v>0</v>
      </c>
      <c r="L262" s="15">
        <f>'[9]2025'!K262</f>
        <v>0</v>
      </c>
      <c r="M262" s="15">
        <f>'[9]2025'!L262</f>
        <v>0</v>
      </c>
      <c r="N262" s="16" t="str">
        <f t="shared" si="16"/>
        <v/>
      </c>
      <c r="O262" s="17" t="str">
        <f t="shared" si="17"/>
        <v/>
      </c>
      <c r="P262" s="17" t="str">
        <f t="shared" si="17"/>
        <v/>
      </c>
      <c r="Q262" s="18" t="str">
        <f t="shared" si="18"/>
        <v/>
      </c>
      <c r="R262" s="18" t="e">
        <f t="shared" si="19"/>
        <v>#DIV/0!</v>
      </c>
      <c r="S262" s="33" t="s">
        <v>39</v>
      </c>
      <c r="T262" s="31" t="s">
        <v>42</v>
      </c>
      <c r="U262" s="1737" t="s">
        <v>120</v>
      </c>
    </row>
    <row r="263" spans="1:21">
      <c r="A263" s="10" t="s">
        <v>11</v>
      </c>
      <c r="B263" s="19">
        <f>CHAMNORD!B263</f>
        <v>46280</v>
      </c>
      <c r="C263" s="75" t="str">
        <f>IF(H263=0,"",'[9]2025-2026'!C262)</f>
        <v/>
      </c>
      <c r="D263" s="68" t="str">
        <f>'[9]2025'!C263</f>
        <v/>
      </c>
      <c r="E263" s="68" t="str">
        <f>'[9]2025'!D263</f>
        <v/>
      </c>
      <c r="F263" s="20" t="str">
        <f>'[9]2025'!E263</f>
        <v/>
      </c>
      <c r="G263" s="73" t="str">
        <f>'[9]2025'!F263</f>
        <v/>
      </c>
      <c r="H263" s="42">
        <f>'[9]2025'!G263</f>
        <v>0</v>
      </c>
      <c r="I263" s="13">
        <f>'[9]2025'!H263</f>
        <v>0</v>
      </c>
      <c r="J263" s="14">
        <f>'[9]2025'!I263</f>
        <v>0</v>
      </c>
      <c r="K263" s="15">
        <f>'[9]2025'!J263</f>
        <v>0</v>
      </c>
      <c r="L263" s="15">
        <f>'[9]2025'!K263</f>
        <v>0</v>
      </c>
      <c r="M263" s="15">
        <f>'[9]2025'!L263</f>
        <v>0</v>
      </c>
      <c r="N263" s="16" t="str">
        <f t="shared" si="16"/>
        <v/>
      </c>
      <c r="O263" s="17" t="str">
        <f t="shared" si="17"/>
        <v/>
      </c>
      <c r="P263" s="17" t="str">
        <f t="shared" si="17"/>
        <v/>
      </c>
      <c r="Q263" s="18" t="str">
        <f t="shared" si="18"/>
        <v/>
      </c>
      <c r="R263" s="18" t="e">
        <f t="shared" si="19"/>
        <v>#DIV/0!</v>
      </c>
      <c r="S263" s="34">
        <f>SUM(I262:I268)</f>
        <v>0</v>
      </c>
      <c r="T263" s="45" t="s">
        <v>41</v>
      </c>
      <c r="U263" s="1738"/>
    </row>
    <row r="264" spans="1:21">
      <c r="A264" s="10" t="s">
        <v>12</v>
      </c>
      <c r="B264" s="19">
        <f>CHAMNORD!B264</f>
        <v>46281</v>
      </c>
      <c r="C264" s="75" t="str">
        <f>IF(H264=0,"",'[9]2025-2026'!C263)</f>
        <v/>
      </c>
      <c r="D264" s="68" t="str">
        <f>'[9]2025'!C264</f>
        <v/>
      </c>
      <c r="E264" s="68" t="str">
        <f>'[9]2025'!D264</f>
        <v/>
      </c>
      <c r="F264" s="20" t="str">
        <f>'[9]2025'!E264</f>
        <v/>
      </c>
      <c r="G264" s="73" t="str">
        <f>'[9]2025'!F264</f>
        <v/>
      </c>
      <c r="H264" s="42">
        <f>'[9]2025'!G264</f>
        <v>0</v>
      </c>
      <c r="I264" s="13">
        <f>'[9]2025'!H264</f>
        <v>0</v>
      </c>
      <c r="J264" s="14">
        <f>'[9]2025'!I264</f>
        <v>0</v>
      </c>
      <c r="K264" s="15">
        <f>'[9]2025'!J264</f>
        <v>0</v>
      </c>
      <c r="L264" s="15">
        <f>'[9]2025'!K264</f>
        <v>0</v>
      </c>
      <c r="M264" s="15">
        <f>'[9]2025'!L264</f>
        <v>0</v>
      </c>
      <c r="N264" s="16" t="str">
        <f t="shared" si="16"/>
        <v/>
      </c>
      <c r="O264" s="17" t="str">
        <f t="shared" si="17"/>
        <v/>
      </c>
      <c r="P264" s="17" t="str">
        <f t="shared" si="17"/>
        <v/>
      </c>
      <c r="Q264" s="18" t="str">
        <f t="shared" si="18"/>
        <v/>
      </c>
      <c r="R264" s="18" t="e">
        <f t="shared" si="19"/>
        <v>#DIV/0!</v>
      </c>
      <c r="S264" s="35" t="e">
        <f>(S263-SUM(E262:E268))/SUM(E262:E268)</f>
        <v>#DIV/0!</v>
      </c>
      <c r="T264" s="48" t="e">
        <f>SUM(I262:I268)/SUM(K262:K268)</f>
        <v>#DIV/0!</v>
      </c>
      <c r="U264" s="1738"/>
    </row>
    <row r="265" spans="1:21">
      <c r="A265" s="10" t="s">
        <v>13</v>
      </c>
      <c r="B265" s="19">
        <f>CHAMNORD!B265</f>
        <v>46282</v>
      </c>
      <c r="C265" s="75" t="str">
        <f>IF(H265=0,"",'[9]2025-2026'!C264)</f>
        <v/>
      </c>
      <c r="D265" s="68" t="str">
        <f>'[9]2025'!C265</f>
        <v/>
      </c>
      <c r="E265" s="68" t="str">
        <f>'[9]2025'!D265</f>
        <v/>
      </c>
      <c r="F265" s="20" t="str">
        <f>'[9]2025'!E265</f>
        <v/>
      </c>
      <c r="G265" s="73" t="str">
        <f>'[9]2025'!F265</f>
        <v/>
      </c>
      <c r="H265" s="42">
        <f>'[9]2025'!G265</f>
        <v>0</v>
      </c>
      <c r="I265" s="13">
        <f>'[9]2025'!H265</f>
        <v>0</v>
      </c>
      <c r="J265" s="14">
        <f>'[9]2025'!I265</f>
        <v>0</v>
      </c>
      <c r="K265" s="15">
        <f>'[9]2025'!J265</f>
        <v>0</v>
      </c>
      <c r="L265" s="15">
        <f>'[9]2025'!K265</f>
        <v>0</v>
      </c>
      <c r="M265" s="15">
        <f>'[9]2025'!L265</f>
        <v>0</v>
      </c>
      <c r="N265" s="16" t="str">
        <f t="shared" si="16"/>
        <v/>
      </c>
      <c r="O265" s="17" t="str">
        <f t="shared" si="17"/>
        <v/>
      </c>
      <c r="P265" s="17" t="str">
        <f t="shared" si="17"/>
        <v/>
      </c>
      <c r="Q265" s="18" t="str">
        <f t="shared" si="18"/>
        <v/>
      </c>
      <c r="R265" s="18" t="e">
        <f t="shared" si="19"/>
        <v>#DIV/0!</v>
      </c>
      <c r="S265" s="34"/>
      <c r="T265" s="29" t="s">
        <v>8</v>
      </c>
      <c r="U265" s="1738"/>
    </row>
    <row r="266" spans="1:21">
      <c r="A266" s="10" t="s">
        <v>14</v>
      </c>
      <c r="B266" s="19">
        <f>CHAMNORD!B266</f>
        <v>46283</v>
      </c>
      <c r="C266" s="75" t="str">
        <f>IF(H266=0,"",'[9]2025-2026'!C265)</f>
        <v/>
      </c>
      <c r="D266" s="68" t="str">
        <f>'[9]2025'!C266</f>
        <v/>
      </c>
      <c r="E266" s="68" t="str">
        <f>'[9]2025'!D266</f>
        <v/>
      </c>
      <c r="F266" s="20" t="str">
        <f>'[9]2025'!E266</f>
        <v/>
      </c>
      <c r="G266" s="73" t="str">
        <f>'[9]2025'!F266</f>
        <v/>
      </c>
      <c r="H266" s="42">
        <f>'[9]2025'!G266</f>
        <v>0</v>
      </c>
      <c r="I266" s="13">
        <f>'[9]2025'!H266</f>
        <v>0</v>
      </c>
      <c r="J266" s="14">
        <f>'[9]2025'!I266</f>
        <v>0</v>
      </c>
      <c r="K266" s="15">
        <f>'[9]2025'!J266</f>
        <v>0</v>
      </c>
      <c r="L266" s="15">
        <f>'[9]2025'!K266</f>
        <v>0</v>
      </c>
      <c r="M266" s="15">
        <f>'[9]2025'!L266</f>
        <v>0</v>
      </c>
      <c r="N266" s="16" t="str">
        <f t="shared" si="16"/>
        <v/>
      </c>
      <c r="O266" s="17" t="str">
        <f t="shared" si="17"/>
        <v/>
      </c>
      <c r="P266" s="17" t="str">
        <f t="shared" si="17"/>
        <v/>
      </c>
      <c r="Q266" s="18" t="str">
        <f t="shared" si="18"/>
        <v/>
      </c>
      <c r="R266" s="18" t="e">
        <f t="shared" si="19"/>
        <v>#DIV/0!</v>
      </c>
      <c r="S266" s="36" t="s">
        <v>40</v>
      </c>
      <c r="T266" s="48" t="e">
        <f>SUM(I262:I268)/SUM(L262:L268)</f>
        <v>#DIV/0!</v>
      </c>
      <c r="U266" s="1738"/>
    </row>
    <row r="267" spans="1:21">
      <c r="A267" s="10" t="s">
        <v>15</v>
      </c>
      <c r="B267" s="19">
        <f>CHAMNORD!B267</f>
        <v>46284</v>
      </c>
      <c r="C267" s="75" t="str">
        <f>IF(H267=0,"",'[9]2025-2026'!C266)</f>
        <v/>
      </c>
      <c r="D267" s="68" t="str">
        <f>'[9]2025'!C267</f>
        <v/>
      </c>
      <c r="E267" s="68" t="str">
        <f>'[9]2025'!D267</f>
        <v/>
      </c>
      <c r="F267" s="20" t="str">
        <f>'[9]2025'!E267</f>
        <v/>
      </c>
      <c r="G267" s="73" t="str">
        <f>'[9]2025'!F267</f>
        <v/>
      </c>
      <c r="H267" s="42">
        <f>'[9]2025'!G267</f>
        <v>0</v>
      </c>
      <c r="I267" s="13">
        <f>'[9]2025'!H267</f>
        <v>0</v>
      </c>
      <c r="J267" s="14">
        <f>'[9]2025'!I267</f>
        <v>0</v>
      </c>
      <c r="K267" s="15">
        <f>'[9]2025'!J267</f>
        <v>0</v>
      </c>
      <c r="L267" s="15">
        <f>'[9]2025'!K267</f>
        <v>0</v>
      </c>
      <c r="M267" s="15">
        <f>'[9]2025'!L267</f>
        <v>0</v>
      </c>
      <c r="N267" s="16" t="str">
        <f t="shared" si="16"/>
        <v/>
      </c>
      <c r="O267" s="17" t="str">
        <f t="shared" si="17"/>
        <v/>
      </c>
      <c r="P267" s="17" t="str">
        <f t="shared" si="17"/>
        <v/>
      </c>
      <c r="Q267" s="18" t="str">
        <f t="shared" si="18"/>
        <v/>
      </c>
      <c r="R267" s="18" t="e">
        <f t="shared" si="19"/>
        <v>#DIV/0!</v>
      </c>
      <c r="S267" s="36">
        <f>SUM(J262:J268)</f>
        <v>0</v>
      </c>
      <c r="T267" s="30" t="s">
        <v>3</v>
      </c>
      <c r="U267" s="1738"/>
    </row>
    <row r="268" spans="1:21" ht="18" thickBot="1">
      <c r="A268" s="10" t="s">
        <v>16</v>
      </c>
      <c r="B268" s="19">
        <f>CHAMNORD!B268</f>
        <v>46285</v>
      </c>
      <c r="C268" s="75" t="str">
        <f>IF(H268=0,"",'[9]2025-2026'!C267)</f>
        <v/>
      </c>
      <c r="D268" s="68" t="str">
        <f>'[9]2025'!C268</f>
        <v/>
      </c>
      <c r="E268" s="68" t="str">
        <f>'[9]2025'!D268</f>
        <v/>
      </c>
      <c r="F268" s="20" t="str">
        <f>'[9]2025'!E268</f>
        <v/>
      </c>
      <c r="G268" s="73" t="str">
        <f>'[9]2025'!F268</f>
        <v/>
      </c>
      <c r="H268" s="42">
        <f>'[9]2025'!G268</f>
        <v>0</v>
      </c>
      <c r="I268" s="13">
        <f>'[9]2025'!H268</f>
        <v>0</v>
      </c>
      <c r="J268" s="14">
        <f>'[9]2025'!I268</f>
        <v>0</v>
      </c>
      <c r="K268" s="15">
        <f>'[9]2025'!J268</f>
        <v>0</v>
      </c>
      <c r="L268" s="15">
        <f>'[9]2025'!K268</f>
        <v>0</v>
      </c>
      <c r="M268" s="15">
        <f>'[9]2025'!L268</f>
        <v>0</v>
      </c>
      <c r="N268" s="16" t="str">
        <f t="shared" si="16"/>
        <v/>
      </c>
      <c r="O268" s="17" t="str">
        <f t="shared" si="17"/>
        <v/>
      </c>
      <c r="P268" s="17" t="str">
        <f t="shared" si="17"/>
        <v/>
      </c>
      <c r="Q268" s="18" t="str">
        <f t="shared" si="18"/>
        <v/>
      </c>
      <c r="R268" s="18" t="e">
        <f t="shared" si="19"/>
        <v>#DIV/0!</v>
      </c>
      <c r="S268" s="37" t="e">
        <f>(S267-SUM(F262:F268))/SUM(F262:F268)</f>
        <v>#DIV/0!</v>
      </c>
      <c r="T268" s="47" t="e">
        <f>SUM(M262:M268)/SUM(I262:I268)</f>
        <v>#DIV/0!</v>
      </c>
      <c r="U268" s="1739"/>
    </row>
    <row r="269" spans="1:21" ht="17" customHeight="1" thickTop="1">
      <c r="A269" s="10" t="s">
        <v>9</v>
      </c>
      <c r="B269" s="19">
        <f>CHAMNORD!B269</f>
        <v>46286</v>
      </c>
      <c r="C269" s="75" t="str">
        <f>IF(H269=0,"",'[9]2025-2026'!C268)</f>
        <v/>
      </c>
      <c r="D269" s="68" t="str">
        <f>'[9]2025'!C269</f>
        <v/>
      </c>
      <c r="E269" s="68" t="str">
        <f>'[9]2025'!D269</f>
        <v/>
      </c>
      <c r="F269" s="20" t="str">
        <f>'[9]2025'!E269</f>
        <v/>
      </c>
      <c r="G269" s="73" t="str">
        <f>'[9]2025'!F269</f>
        <v/>
      </c>
      <c r="H269" s="42">
        <f>'[9]2025'!G269</f>
        <v>0</v>
      </c>
      <c r="I269" s="13">
        <f>'[9]2025'!H269</f>
        <v>0</v>
      </c>
      <c r="J269" s="14">
        <f>'[9]2025'!I269</f>
        <v>0</v>
      </c>
      <c r="K269" s="15">
        <f>'[9]2025'!J269</f>
        <v>0</v>
      </c>
      <c r="L269" s="15">
        <f>'[9]2025'!K269</f>
        <v>0</v>
      </c>
      <c r="M269" s="15">
        <f>'[9]2025'!L269</f>
        <v>0</v>
      </c>
      <c r="N269" s="16" t="str">
        <f t="shared" si="16"/>
        <v/>
      </c>
      <c r="O269" s="17" t="str">
        <f t="shared" si="17"/>
        <v/>
      </c>
      <c r="P269" s="17" t="str">
        <f t="shared" si="17"/>
        <v/>
      </c>
      <c r="Q269" s="18" t="str">
        <f t="shared" si="18"/>
        <v/>
      </c>
      <c r="R269" s="18" t="e">
        <f t="shared" si="19"/>
        <v>#DIV/0!</v>
      </c>
      <c r="S269" s="33" t="s">
        <v>39</v>
      </c>
      <c r="T269" s="31" t="s">
        <v>42</v>
      </c>
      <c r="U269" s="1737" t="s">
        <v>121</v>
      </c>
    </row>
    <row r="270" spans="1:21">
      <c r="A270" s="10" t="s">
        <v>11</v>
      </c>
      <c r="B270" s="19">
        <f>CHAMNORD!B270</f>
        <v>46287</v>
      </c>
      <c r="C270" s="75" t="str">
        <f>IF(H270=0,"",'[9]2025-2026'!C269)</f>
        <v/>
      </c>
      <c r="D270" s="68" t="str">
        <f>'[9]2025'!C270</f>
        <v/>
      </c>
      <c r="E270" s="68" t="str">
        <f>'[9]2025'!D270</f>
        <v/>
      </c>
      <c r="F270" s="20" t="str">
        <f>'[9]2025'!E270</f>
        <v/>
      </c>
      <c r="G270" s="73" t="str">
        <f>'[9]2025'!F270</f>
        <v/>
      </c>
      <c r="H270" s="42">
        <f>'[9]2025'!G270</f>
        <v>0</v>
      </c>
      <c r="I270" s="13">
        <f>'[9]2025'!H270</f>
        <v>0</v>
      </c>
      <c r="J270" s="14">
        <f>'[9]2025'!I270</f>
        <v>0</v>
      </c>
      <c r="K270" s="15">
        <f>'[9]2025'!J270</f>
        <v>0</v>
      </c>
      <c r="L270" s="15">
        <f>'[9]2025'!K270</f>
        <v>0</v>
      </c>
      <c r="M270" s="15">
        <f>'[9]2025'!L270</f>
        <v>0</v>
      </c>
      <c r="N270" s="16" t="str">
        <f t="shared" si="16"/>
        <v/>
      </c>
      <c r="O270" s="17" t="str">
        <f t="shared" si="17"/>
        <v/>
      </c>
      <c r="P270" s="17" t="str">
        <f t="shared" si="17"/>
        <v/>
      </c>
      <c r="Q270" s="18" t="str">
        <f t="shared" si="18"/>
        <v/>
      </c>
      <c r="R270" s="18" t="e">
        <f t="shared" si="19"/>
        <v>#DIV/0!</v>
      </c>
      <c r="S270" s="34">
        <f>SUM(I269:I275)</f>
        <v>0</v>
      </c>
      <c r="T270" s="45" t="s">
        <v>41</v>
      </c>
      <c r="U270" s="1738"/>
    </row>
    <row r="271" spans="1:21">
      <c r="A271" s="10" t="s">
        <v>12</v>
      </c>
      <c r="B271" s="19">
        <f>CHAMNORD!B271</f>
        <v>46288</v>
      </c>
      <c r="C271" s="75" t="str">
        <f>IF(H271=0,"",'[9]2025-2026'!C270)</f>
        <v/>
      </c>
      <c r="D271" s="68" t="str">
        <f>'[9]2025'!C271</f>
        <v/>
      </c>
      <c r="E271" s="68" t="str">
        <f>'[9]2025'!D271</f>
        <v/>
      </c>
      <c r="F271" s="20" t="str">
        <f>'[9]2025'!E271</f>
        <v/>
      </c>
      <c r="G271" s="73" t="str">
        <f>'[9]2025'!F271</f>
        <v/>
      </c>
      <c r="H271" s="42">
        <f>'[9]2025'!G271</f>
        <v>0</v>
      </c>
      <c r="I271" s="13">
        <f>'[9]2025'!H271</f>
        <v>0</v>
      </c>
      <c r="J271" s="14">
        <f>'[9]2025'!I271</f>
        <v>0</v>
      </c>
      <c r="K271" s="15">
        <f>'[9]2025'!J271</f>
        <v>0</v>
      </c>
      <c r="L271" s="15">
        <f>'[9]2025'!K271</f>
        <v>0</v>
      </c>
      <c r="M271" s="15">
        <f>'[9]2025'!L271</f>
        <v>0</v>
      </c>
      <c r="N271" s="16" t="str">
        <f t="shared" si="16"/>
        <v/>
      </c>
      <c r="O271" s="17" t="str">
        <f t="shared" si="17"/>
        <v/>
      </c>
      <c r="P271" s="17" t="str">
        <f t="shared" si="17"/>
        <v/>
      </c>
      <c r="Q271" s="18" t="str">
        <f t="shared" si="18"/>
        <v/>
      </c>
      <c r="R271" s="18" t="e">
        <f t="shared" si="19"/>
        <v>#DIV/0!</v>
      </c>
      <c r="S271" s="35" t="e">
        <f>(S270-SUM(E269:E275))/SUM(E269:E275)</f>
        <v>#DIV/0!</v>
      </c>
      <c r="T271" s="48" t="e">
        <f>SUM(I269:I275)/SUM(K269:K275)</f>
        <v>#DIV/0!</v>
      </c>
      <c r="U271" s="1738"/>
    </row>
    <row r="272" spans="1:21">
      <c r="A272" s="10" t="s">
        <v>13</v>
      </c>
      <c r="B272" s="19">
        <f>CHAMNORD!B272</f>
        <v>46289</v>
      </c>
      <c r="C272" s="75" t="str">
        <f>IF(H272=0,"",'[9]2025-2026'!C271)</f>
        <v/>
      </c>
      <c r="D272" s="68" t="str">
        <f>'[9]2025'!C272</f>
        <v/>
      </c>
      <c r="E272" s="68" t="str">
        <f>'[9]2025'!D272</f>
        <v/>
      </c>
      <c r="F272" s="20" t="str">
        <f>'[9]2025'!E272</f>
        <v/>
      </c>
      <c r="G272" s="73" t="str">
        <f>'[9]2025'!F272</f>
        <v/>
      </c>
      <c r="H272" s="42">
        <f>'[9]2025'!G272</f>
        <v>0</v>
      </c>
      <c r="I272" s="13">
        <f>'[9]2025'!H272</f>
        <v>0</v>
      </c>
      <c r="J272" s="14">
        <f>'[9]2025'!I272</f>
        <v>0</v>
      </c>
      <c r="K272" s="15">
        <f>'[9]2025'!J272</f>
        <v>0</v>
      </c>
      <c r="L272" s="15">
        <f>'[9]2025'!K272</f>
        <v>0</v>
      </c>
      <c r="M272" s="15">
        <f>'[9]2025'!L272</f>
        <v>0</v>
      </c>
      <c r="N272" s="16" t="str">
        <f t="shared" si="16"/>
        <v/>
      </c>
      <c r="O272" s="17" t="str">
        <f t="shared" si="17"/>
        <v/>
      </c>
      <c r="P272" s="17" t="str">
        <f t="shared" si="17"/>
        <v/>
      </c>
      <c r="Q272" s="18" t="str">
        <f t="shared" si="18"/>
        <v/>
      </c>
      <c r="R272" s="18" t="e">
        <f t="shared" si="19"/>
        <v>#DIV/0!</v>
      </c>
      <c r="S272" s="34"/>
      <c r="T272" s="29" t="s">
        <v>8</v>
      </c>
      <c r="U272" s="1738"/>
    </row>
    <row r="273" spans="1:21">
      <c r="A273" s="10" t="s">
        <v>14</v>
      </c>
      <c r="B273" s="19">
        <f>CHAMNORD!B273</f>
        <v>46290</v>
      </c>
      <c r="C273" s="75" t="str">
        <f>IF(H273=0,"",'[9]2025-2026'!C272)</f>
        <v/>
      </c>
      <c r="D273" s="68" t="str">
        <f>'[9]2025'!C273</f>
        <v/>
      </c>
      <c r="E273" s="68" t="str">
        <f>'[9]2025'!D273</f>
        <v/>
      </c>
      <c r="F273" s="20" t="str">
        <f>'[9]2025'!E273</f>
        <v/>
      </c>
      <c r="G273" s="73" t="str">
        <f>'[9]2025'!F273</f>
        <v/>
      </c>
      <c r="H273" s="42">
        <f>'[9]2025'!G273</f>
        <v>0</v>
      </c>
      <c r="I273" s="13">
        <f>'[9]2025'!H273</f>
        <v>0</v>
      </c>
      <c r="J273" s="14">
        <f>'[9]2025'!I273</f>
        <v>0</v>
      </c>
      <c r="K273" s="15">
        <f>'[9]2025'!J273</f>
        <v>0</v>
      </c>
      <c r="L273" s="15">
        <f>'[9]2025'!K273</f>
        <v>0</v>
      </c>
      <c r="M273" s="15">
        <f>'[9]2025'!L273</f>
        <v>0</v>
      </c>
      <c r="N273" s="16" t="str">
        <f t="shared" si="16"/>
        <v/>
      </c>
      <c r="O273" s="17" t="str">
        <f t="shared" si="17"/>
        <v/>
      </c>
      <c r="P273" s="17" t="str">
        <f t="shared" si="17"/>
        <v/>
      </c>
      <c r="Q273" s="18" t="str">
        <f t="shared" si="18"/>
        <v/>
      </c>
      <c r="R273" s="18" t="e">
        <f t="shared" si="19"/>
        <v>#DIV/0!</v>
      </c>
      <c r="S273" s="36" t="s">
        <v>40</v>
      </c>
      <c r="T273" s="48" t="e">
        <f>SUM(I269:I275)/SUM(L269:L275)</f>
        <v>#DIV/0!</v>
      </c>
      <c r="U273" s="1738"/>
    </row>
    <row r="274" spans="1:21">
      <c r="A274" s="10" t="s">
        <v>15</v>
      </c>
      <c r="B274" s="19">
        <f>CHAMNORD!B274</f>
        <v>46291</v>
      </c>
      <c r="C274" s="75" t="str">
        <f>IF(H274=0,"",'[9]2025-2026'!C273)</f>
        <v/>
      </c>
      <c r="D274" s="68" t="str">
        <f>'[9]2025'!C274</f>
        <v/>
      </c>
      <c r="E274" s="68" t="str">
        <f>'[9]2025'!D274</f>
        <v/>
      </c>
      <c r="F274" s="20" t="str">
        <f>'[9]2025'!E274</f>
        <v/>
      </c>
      <c r="G274" s="73" t="str">
        <f>'[9]2025'!F274</f>
        <v/>
      </c>
      <c r="H274" s="42">
        <f>'[9]2025'!G274</f>
        <v>0</v>
      </c>
      <c r="I274" s="13">
        <f>'[9]2025'!H274</f>
        <v>0</v>
      </c>
      <c r="J274" s="14">
        <f>'[9]2025'!I274</f>
        <v>0</v>
      </c>
      <c r="K274" s="15">
        <f>'[9]2025'!J274</f>
        <v>0</v>
      </c>
      <c r="L274" s="15">
        <f>'[9]2025'!K274</f>
        <v>0</v>
      </c>
      <c r="M274" s="15">
        <f>'[9]2025'!L274</f>
        <v>0</v>
      </c>
      <c r="N274" s="16" t="str">
        <f t="shared" si="16"/>
        <v/>
      </c>
      <c r="O274" s="17" t="str">
        <f t="shared" si="17"/>
        <v/>
      </c>
      <c r="P274" s="17" t="str">
        <f t="shared" si="17"/>
        <v/>
      </c>
      <c r="Q274" s="18" t="str">
        <f t="shared" si="18"/>
        <v/>
      </c>
      <c r="R274" s="18" t="e">
        <f t="shared" si="19"/>
        <v>#DIV/0!</v>
      </c>
      <c r="S274" s="36">
        <f>SUM(J269:J275)</f>
        <v>0</v>
      </c>
      <c r="T274" s="30" t="s">
        <v>3</v>
      </c>
      <c r="U274" s="1738"/>
    </row>
    <row r="275" spans="1:21" ht="18" thickBot="1">
      <c r="A275" s="10" t="s">
        <v>16</v>
      </c>
      <c r="B275" s="19">
        <f>CHAMNORD!B275</f>
        <v>46292</v>
      </c>
      <c r="C275" s="75" t="str">
        <f>IF(H275=0,"",'[9]2025-2026'!C274)</f>
        <v/>
      </c>
      <c r="D275" s="68" t="str">
        <f>'[9]2025'!C275</f>
        <v/>
      </c>
      <c r="E275" s="68" t="str">
        <f>'[9]2025'!D275</f>
        <v/>
      </c>
      <c r="F275" s="20" t="str">
        <f>'[9]2025'!E275</f>
        <v/>
      </c>
      <c r="G275" s="73" t="str">
        <f>'[9]2025'!F275</f>
        <v/>
      </c>
      <c r="H275" s="42">
        <f>'[9]2025'!G275</f>
        <v>0</v>
      </c>
      <c r="I275" s="13">
        <f>'[9]2025'!H275</f>
        <v>0</v>
      </c>
      <c r="J275" s="14">
        <f>'[9]2025'!I275</f>
        <v>0</v>
      </c>
      <c r="K275" s="15">
        <f>'[9]2025'!J275</f>
        <v>0</v>
      </c>
      <c r="L275" s="15">
        <f>'[9]2025'!K275</f>
        <v>0</v>
      </c>
      <c r="M275" s="15">
        <f>'[9]2025'!L275</f>
        <v>0</v>
      </c>
      <c r="N275" s="16" t="str">
        <f t="shared" si="16"/>
        <v/>
      </c>
      <c r="O275" s="17" t="str">
        <f t="shared" si="17"/>
        <v/>
      </c>
      <c r="P275" s="17" t="str">
        <f t="shared" si="17"/>
        <v/>
      </c>
      <c r="Q275" s="18" t="str">
        <f t="shared" si="18"/>
        <v/>
      </c>
      <c r="R275" s="18" t="e">
        <f t="shared" si="19"/>
        <v>#DIV/0!</v>
      </c>
      <c r="S275" s="37" t="e">
        <f>(S274-SUM(F269:F275))/SUM(F269:F275)</f>
        <v>#DIV/0!</v>
      </c>
      <c r="T275" s="47" t="e">
        <f>SUM(M269:M275)/SUM(I269:I275)</f>
        <v>#DIV/0!</v>
      </c>
      <c r="U275" s="1739"/>
    </row>
    <row r="276" spans="1:21" ht="17" customHeight="1" thickTop="1">
      <c r="A276" s="10" t="s">
        <v>9</v>
      </c>
      <c r="B276" s="19">
        <f>CHAMNORD!B276</f>
        <v>46293</v>
      </c>
      <c r="C276" s="75" t="str">
        <f>IF(H276=0,"",'[9]2025-2026'!C275)</f>
        <v/>
      </c>
      <c r="D276" s="68" t="str">
        <f>'[9]2025'!C276</f>
        <v/>
      </c>
      <c r="E276" s="68" t="str">
        <f>'[9]2025'!D276</f>
        <v/>
      </c>
      <c r="F276" s="20" t="str">
        <f>'[9]2025'!E276</f>
        <v/>
      </c>
      <c r="G276" s="73" t="str">
        <f>'[9]2025'!F276</f>
        <v/>
      </c>
      <c r="H276" s="42">
        <f>'[9]2025'!G276</f>
        <v>0</v>
      </c>
      <c r="I276" s="13">
        <f>'[9]2025'!H276</f>
        <v>0</v>
      </c>
      <c r="J276" s="14">
        <f>'[9]2025'!I276</f>
        <v>0</v>
      </c>
      <c r="K276" s="15">
        <f>'[9]2025'!J276</f>
        <v>0</v>
      </c>
      <c r="L276" s="15">
        <f>'[9]2025'!K276</f>
        <v>0</v>
      </c>
      <c r="M276" s="15">
        <f>'[9]2025'!L276</f>
        <v>0</v>
      </c>
      <c r="N276" s="16" t="str">
        <f t="shared" si="16"/>
        <v/>
      </c>
      <c r="O276" s="17" t="str">
        <f t="shared" si="17"/>
        <v/>
      </c>
      <c r="P276" s="17" t="str">
        <f t="shared" si="17"/>
        <v/>
      </c>
      <c r="Q276" s="18" t="str">
        <f t="shared" si="18"/>
        <v/>
      </c>
      <c r="R276" s="18" t="e">
        <f t="shared" si="19"/>
        <v>#DIV/0!</v>
      </c>
      <c r="S276" s="33" t="s">
        <v>39</v>
      </c>
      <c r="T276" s="31" t="s">
        <v>42</v>
      </c>
      <c r="U276" s="1737" t="s">
        <v>122</v>
      </c>
    </row>
    <row r="277" spans="1:21">
      <c r="A277" s="10" t="s">
        <v>11</v>
      </c>
      <c r="B277" s="19">
        <f>CHAMNORD!B277</f>
        <v>46294</v>
      </c>
      <c r="C277" s="75" t="str">
        <f>IF(H277=0,"",'[9]2025-2026'!C276)</f>
        <v/>
      </c>
      <c r="D277" s="68" t="str">
        <f>'[9]2025'!C277</f>
        <v/>
      </c>
      <c r="E277" s="68" t="str">
        <f>'[9]2025'!D277</f>
        <v/>
      </c>
      <c r="F277" s="20" t="str">
        <f>'[9]2025'!E277</f>
        <v/>
      </c>
      <c r="G277" s="73" t="str">
        <f>'[9]2025'!F277</f>
        <v/>
      </c>
      <c r="H277" s="42">
        <f>'[9]2025'!G277</f>
        <v>0</v>
      </c>
      <c r="I277" s="13">
        <f>'[9]2025'!H277</f>
        <v>0</v>
      </c>
      <c r="J277" s="14">
        <f>'[9]2025'!I277</f>
        <v>0</v>
      </c>
      <c r="K277" s="15">
        <f>'[9]2025'!J277</f>
        <v>0</v>
      </c>
      <c r="L277" s="15">
        <f>'[9]2025'!K277</f>
        <v>0</v>
      </c>
      <c r="M277" s="15">
        <f>'[9]2025'!L277</f>
        <v>0</v>
      </c>
      <c r="N277" s="16" t="str">
        <f t="shared" si="16"/>
        <v/>
      </c>
      <c r="O277" s="17" t="str">
        <f t="shared" si="17"/>
        <v/>
      </c>
      <c r="P277" s="17" t="str">
        <f t="shared" si="17"/>
        <v/>
      </c>
      <c r="Q277" s="18" t="str">
        <f t="shared" si="18"/>
        <v/>
      </c>
      <c r="R277" s="18" t="e">
        <f t="shared" si="19"/>
        <v>#DIV/0!</v>
      </c>
      <c r="S277" s="34">
        <f>SUM(I276:I282)</f>
        <v>0</v>
      </c>
      <c r="T277" s="45" t="s">
        <v>41</v>
      </c>
      <c r="U277" s="1738"/>
    </row>
    <row r="278" spans="1:21">
      <c r="A278" s="10" t="s">
        <v>12</v>
      </c>
      <c r="B278" s="19">
        <f>CHAMNORD!B278</f>
        <v>46295</v>
      </c>
      <c r="C278" s="75" t="str">
        <f>IF(H278=0,"",'[9]2025-2026'!C277)</f>
        <v/>
      </c>
      <c r="D278" s="68" t="str">
        <f>'[9]2025'!C278</f>
        <v/>
      </c>
      <c r="E278" s="68" t="str">
        <f>'[9]2025'!D278</f>
        <v/>
      </c>
      <c r="F278" s="20" t="str">
        <f>'[9]2025'!E278</f>
        <v/>
      </c>
      <c r="G278" s="73" t="str">
        <f>'[9]2025'!F278</f>
        <v/>
      </c>
      <c r="H278" s="42">
        <f>'[9]2025'!G278</f>
        <v>0</v>
      </c>
      <c r="I278" s="13">
        <f>'[9]2025'!H278</f>
        <v>0</v>
      </c>
      <c r="J278" s="14">
        <f>'[9]2025'!I278</f>
        <v>0</v>
      </c>
      <c r="K278" s="15">
        <f>'[9]2025'!J278</f>
        <v>0</v>
      </c>
      <c r="L278" s="15">
        <f>'[9]2025'!K278</f>
        <v>0</v>
      </c>
      <c r="M278" s="15">
        <f>'[9]2025'!L278</f>
        <v>0</v>
      </c>
      <c r="N278" s="16" t="str">
        <f t="shared" si="16"/>
        <v/>
      </c>
      <c r="O278" s="17" t="str">
        <f t="shared" si="17"/>
        <v/>
      </c>
      <c r="P278" s="17" t="str">
        <f t="shared" si="17"/>
        <v/>
      </c>
      <c r="Q278" s="18" t="str">
        <f t="shared" si="18"/>
        <v/>
      </c>
      <c r="R278" s="18" t="e">
        <f t="shared" si="19"/>
        <v>#DIV/0!</v>
      </c>
      <c r="S278" s="35" t="e">
        <f>(S277-SUM(E276:E282))/SUM(E276:E282)</f>
        <v>#DIV/0!</v>
      </c>
      <c r="T278" s="48" t="e">
        <f>SUM(I276:I282)/SUM(K276:K282)</f>
        <v>#DIV/0!</v>
      </c>
      <c r="U278" s="1738"/>
    </row>
    <row r="279" spans="1:21">
      <c r="A279" s="10" t="s">
        <v>13</v>
      </c>
      <c r="B279" s="19">
        <f>CHAMNORD!B279</f>
        <v>46296</v>
      </c>
      <c r="C279" s="75" t="str">
        <f>IF(H279=0,"",'[9]2025-2026'!C278)</f>
        <v/>
      </c>
      <c r="D279" s="68" t="str">
        <f>'[9]2025'!C279</f>
        <v/>
      </c>
      <c r="E279" s="68" t="str">
        <f>'[9]2025'!D279</f>
        <v/>
      </c>
      <c r="F279" s="20" t="str">
        <f>'[9]2025'!E279</f>
        <v/>
      </c>
      <c r="G279" s="73" t="str">
        <f>'[9]2025'!F279</f>
        <v/>
      </c>
      <c r="H279" s="42">
        <f>'[9]2025'!G279</f>
        <v>0</v>
      </c>
      <c r="I279" s="13">
        <f>'[9]2025'!H279</f>
        <v>0</v>
      </c>
      <c r="J279" s="14">
        <f>'[9]2025'!I279</f>
        <v>0</v>
      </c>
      <c r="K279" s="15">
        <f>'[9]2025'!J279</f>
        <v>0</v>
      </c>
      <c r="L279" s="15">
        <f>'[9]2025'!K279</f>
        <v>0</v>
      </c>
      <c r="M279" s="15">
        <f>'[9]2025'!L279</f>
        <v>0</v>
      </c>
      <c r="N279" s="16" t="str">
        <f t="shared" si="16"/>
        <v/>
      </c>
      <c r="O279" s="17" t="str">
        <f t="shared" si="17"/>
        <v/>
      </c>
      <c r="P279" s="17" t="str">
        <f t="shared" si="17"/>
        <v/>
      </c>
      <c r="Q279" s="18" t="str">
        <f t="shared" si="18"/>
        <v/>
      </c>
      <c r="R279" s="18" t="e">
        <f t="shared" si="19"/>
        <v>#DIV/0!</v>
      </c>
      <c r="S279" s="34"/>
      <c r="T279" s="29" t="s">
        <v>8</v>
      </c>
      <c r="U279" s="1738"/>
    </row>
    <row r="280" spans="1:21">
      <c r="A280" s="10" t="s">
        <v>14</v>
      </c>
      <c r="B280" s="19">
        <f>CHAMNORD!B280</f>
        <v>46297</v>
      </c>
      <c r="C280" s="75" t="str">
        <f>IF(H280=0,"",'[9]2025-2026'!C279)</f>
        <v/>
      </c>
      <c r="D280" s="68" t="str">
        <f>'[9]2025'!C280</f>
        <v/>
      </c>
      <c r="E280" s="68" t="str">
        <f>'[9]2025'!D280</f>
        <v/>
      </c>
      <c r="F280" s="20" t="str">
        <f>'[9]2025'!E280</f>
        <v/>
      </c>
      <c r="G280" s="73" t="str">
        <f>'[9]2025'!F280</f>
        <v/>
      </c>
      <c r="H280" s="42">
        <f>'[9]2025'!G280</f>
        <v>0</v>
      </c>
      <c r="I280" s="13">
        <f>'[9]2025'!H280</f>
        <v>0</v>
      </c>
      <c r="J280" s="14">
        <f>'[9]2025'!I280</f>
        <v>0</v>
      </c>
      <c r="K280" s="15">
        <f>'[9]2025'!J280</f>
        <v>0</v>
      </c>
      <c r="L280" s="15">
        <f>'[9]2025'!K280</f>
        <v>0</v>
      </c>
      <c r="M280" s="15">
        <f>'[9]2025'!L280</f>
        <v>0</v>
      </c>
      <c r="N280" s="16" t="str">
        <f t="shared" si="16"/>
        <v/>
      </c>
      <c r="O280" s="17" t="str">
        <f t="shared" si="17"/>
        <v/>
      </c>
      <c r="P280" s="17" t="str">
        <f t="shared" si="17"/>
        <v/>
      </c>
      <c r="Q280" s="18" t="str">
        <f t="shared" si="18"/>
        <v/>
      </c>
      <c r="R280" s="18" t="e">
        <f t="shared" si="19"/>
        <v>#DIV/0!</v>
      </c>
      <c r="S280" s="36" t="s">
        <v>40</v>
      </c>
      <c r="T280" s="48" t="e">
        <f>SUM(I276:I282)/SUM(L276:L282)</f>
        <v>#DIV/0!</v>
      </c>
      <c r="U280" s="1738"/>
    </row>
    <row r="281" spans="1:21">
      <c r="A281" s="10" t="s">
        <v>15</v>
      </c>
      <c r="B281" s="19">
        <f>CHAMNORD!B281</f>
        <v>46298</v>
      </c>
      <c r="C281" s="75" t="str">
        <f>IF(H281=0,"",'[9]2025-2026'!C280)</f>
        <v/>
      </c>
      <c r="D281" s="68" t="str">
        <f>'[9]2025'!C281</f>
        <v/>
      </c>
      <c r="E281" s="68" t="str">
        <f>'[9]2025'!D281</f>
        <v/>
      </c>
      <c r="F281" s="20" t="str">
        <f>'[9]2025'!E281</f>
        <v/>
      </c>
      <c r="G281" s="73" t="str">
        <f>'[9]2025'!F281</f>
        <v/>
      </c>
      <c r="H281" s="42">
        <f>'[9]2025'!G281</f>
        <v>0</v>
      </c>
      <c r="I281" s="13">
        <f>'[9]2025'!H281</f>
        <v>0</v>
      </c>
      <c r="J281" s="14">
        <f>'[9]2025'!I281</f>
        <v>0</v>
      </c>
      <c r="K281" s="15">
        <f>'[9]2025'!J281</f>
        <v>0</v>
      </c>
      <c r="L281" s="15">
        <f>'[9]2025'!K281</f>
        <v>0</v>
      </c>
      <c r="M281" s="15">
        <f>'[9]2025'!L281</f>
        <v>0</v>
      </c>
      <c r="N281" s="16" t="str">
        <f t="shared" si="16"/>
        <v/>
      </c>
      <c r="O281" s="17" t="str">
        <f t="shared" si="17"/>
        <v/>
      </c>
      <c r="P281" s="17" t="str">
        <f t="shared" si="17"/>
        <v/>
      </c>
      <c r="Q281" s="18" t="str">
        <f t="shared" si="18"/>
        <v/>
      </c>
      <c r="R281" s="18" t="e">
        <f t="shared" si="19"/>
        <v>#DIV/0!</v>
      </c>
      <c r="S281" s="36">
        <f>SUM(J276:J282)</f>
        <v>0</v>
      </c>
      <c r="T281" s="30" t="s">
        <v>3</v>
      </c>
      <c r="U281" s="1738"/>
    </row>
    <row r="282" spans="1:21" ht="18" thickBot="1">
      <c r="A282" s="10" t="s">
        <v>16</v>
      </c>
      <c r="B282" s="19">
        <f>CHAMNORD!B282</f>
        <v>46299</v>
      </c>
      <c r="C282" s="75" t="str">
        <f>IF(H282=0,"",'[9]2025-2026'!C281)</f>
        <v/>
      </c>
      <c r="D282" s="68" t="str">
        <f>'[9]2025'!C282</f>
        <v/>
      </c>
      <c r="E282" s="68" t="str">
        <f>'[9]2025'!D282</f>
        <v/>
      </c>
      <c r="F282" s="20" t="str">
        <f>'[9]2025'!E282</f>
        <v/>
      </c>
      <c r="G282" s="73" t="str">
        <f>'[9]2025'!F282</f>
        <v/>
      </c>
      <c r="H282" s="42">
        <f>'[9]2025'!G282</f>
        <v>0</v>
      </c>
      <c r="I282" s="13">
        <f>'[9]2025'!H282</f>
        <v>0</v>
      </c>
      <c r="J282" s="14">
        <f>'[9]2025'!I282</f>
        <v>0</v>
      </c>
      <c r="K282" s="15">
        <f>'[9]2025'!J282</f>
        <v>0</v>
      </c>
      <c r="L282" s="15">
        <f>'[9]2025'!K282</f>
        <v>0</v>
      </c>
      <c r="M282" s="15">
        <f>'[9]2025'!L282</f>
        <v>0</v>
      </c>
      <c r="N282" s="16" t="str">
        <f t="shared" si="16"/>
        <v/>
      </c>
      <c r="O282" s="17" t="str">
        <f t="shared" si="17"/>
        <v/>
      </c>
      <c r="P282" s="17" t="str">
        <f t="shared" si="17"/>
        <v/>
      </c>
      <c r="Q282" s="18" t="str">
        <f t="shared" si="18"/>
        <v/>
      </c>
      <c r="R282" s="18" t="e">
        <f t="shared" si="19"/>
        <v>#DIV/0!</v>
      </c>
      <c r="S282" s="37" t="e">
        <f>(S281-SUM(F276:F282))/SUM(F276:F282)</f>
        <v>#DIV/0!</v>
      </c>
      <c r="T282" s="47" t="e">
        <f>SUM(M276:M282)/SUM(I276:I282)</f>
        <v>#DIV/0!</v>
      </c>
      <c r="U282" s="1739"/>
    </row>
    <row r="283" spans="1:21" ht="17" customHeight="1" thickTop="1">
      <c r="A283" s="10" t="s">
        <v>9</v>
      </c>
      <c r="B283" s="19">
        <f>CHAMNORD!B283</f>
        <v>46300</v>
      </c>
      <c r="C283" s="75" t="str">
        <f>IF(H283=0,"",'[9]2025-2026'!C282)</f>
        <v/>
      </c>
      <c r="D283" s="68" t="str">
        <f>'[9]2025'!C283</f>
        <v/>
      </c>
      <c r="E283" s="68" t="str">
        <f>'[9]2025'!D283</f>
        <v/>
      </c>
      <c r="F283" s="20" t="str">
        <f>'[9]2025'!E283</f>
        <v/>
      </c>
      <c r="G283" s="73" t="str">
        <f>'[9]2025'!F283</f>
        <v/>
      </c>
      <c r="H283" s="42">
        <f>'[9]2025'!G283</f>
        <v>0</v>
      </c>
      <c r="I283" s="13">
        <f>'[9]2025'!H283</f>
        <v>0</v>
      </c>
      <c r="J283" s="14">
        <f>'[9]2025'!I283</f>
        <v>0</v>
      </c>
      <c r="K283" s="15">
        <f>'[9]2025'!J283</f>
        <v>0</v>
      </c>
      <c r="L283" s="15">
        <f>'[9]2025'!K283</f>
        <v>0</v>
      </c>
      <c r="M283" s="15">
        <f>'[9]2025'!L283</f>
        <v>0</v>
      </c>
      <c r="N283" s="16" t="str">
        <f t="shared" si="16"/>
        <v/>
      </c>
      <c r="O283" s="17" t="str">
        <f t="shared" si="17"/>
        <v/>
      </c>
      <c r="P283" s="17" t="str">
        <f t="shared" si="17"/>
        <v/>
      </c>
      <c r="Q283" s="18" t="str">
        <f t="shared" si="18"/>
        <v/>
      </c>
      <c r="R283" s="18" t="e">
        <f t="shared" si="19"/>
        <v>#DIV/0!</v>
      </c>
      <c r="S283" s="33" t="s">
        <v>39</v>
      </c>
      <c r="T283" s="31" t="s">
        <v>42</v>
      </c>
      <c r="U283" s="1737" t="s">
        <v>123</v>
      </c>
    </row>
    <row r="284" spans="1:21">
      <c r="A284" s="10" t="s">
        <v>11</v>
      </c>
      <c r="B284" s="19">
        <f>CHAMNORD!B284</f>
        <v>46301</v>
      </c>
      <c r="C284" s="75" t="str">
        <f>IF(H284=0,"",'[9]2025-2026'!C283)</f>
        <v/>
      </c>
      <c r="D284" s="68" t="str">
        <f>'[9]2025'!C284</f>
        <v/>
      </c>
      <c r="E284" s="68" t="str">
        <f>'[9]2025'!D284</f>
        <v/>
      </c>
      <c r="F284" s="20" t="str">
        <f>'[9]2025'!E284</f>
        <v/>
      </c>
      <c r="G284" s="73" t="str">
        <f>'[9]2025'!F284</f>
        <v/>
      </c>
      <c r="H284" s="42">
        <f>'[9]2025'!G284</f>
        <v>0</v>
      </c>
      <c r="I284" s="13">
        <f>'[9]2025'!H284</f>
        <v>0</v>
      </c>
      <c r="J284" s="14">
        <f>'[9]2025'!I284</f>
        <v>0</v>
      </c>
      <c r="K284" s="15">
        <f>'[9]2025'!J284</f>
        <v>0</v>
      </c>
      <c r="L284" s="15">
        <f>'[9]2025'!K284</f>
        <v>0</v>
      </c>
      <c r="M284" s="15">
        <f>'[9]2025'!L284</f>
        <v>0</v>
      </c>
      <c r="N284" s="16" t="str">
        <f t="shared" si="16"/>
        <v/>
      </c>
      <c r="O284" s="17" t="str">
        <f t="shared" si="17"/>
        <v/>
      </c>
      <c r="P284" s="17" t="str">
        <f t="shared" si="17"/>
        <v/>
      </c>
      <c r="Q284" s="18" t="str">
        <f t="shared" si="18"/>
        <v/>
      </c>
      <c r="R284" s="18" t="e">
        <f t="shared" si="19"/>
        <v>#DIV/0!</v>
      </c>
      <c r="S284" s="34">
        <f>SUM(I283:I289)</f>
        <v>0</v>
      </c>
      <c r="T284" s="45" t="s">
        <v>41</v>
      </c>
      <c r="U284" s="1738"/>
    </row>
    <row r="285" spans="1:21">
      <c r="A285" s="10" t="s">
        <v>12</v>
      </c>
      <c r="B285" s="19">
        <f>CHAMNORD!B285</f>
        <v>46302</v>
      </c>
      <c r="C285" s="75" t="str">
        <f>IF(H285=0,"",'[9]2025-2026'!C284)</f>
        <v/>
      </c>
      <c r="D285" s="68" t="str">
        <f>'[9]2025'!C285</f>
        <v/>
      </c>
      <c r="E285" s="68" t="str">
        <f>'[9]2025'!D285</f>
        <v/>
      </c>
      <c r="F285" s="20" t="str">
        <f>'[9]2025'!E285</f>
        <v/>
      </c>
      <c r="G285" s="73" t="str">
        <f>'[9]2025'!F285</f>
        <v/>
      </c>
      <c r="H285" s="42">
        <f>'[9]2025'!G285</f>
        <v>0</v>
      </c>
      <c r="I285" s="13">
        <f>'[9]2025'!H285</f>
        <v>0</v>
      </c>
      <c r="J285" s="14">
        <f>'[9]2025'!I285</f>
        <v>0</v>
      </c>
      <c r="K285" s="15">
        <f>'[9]2025'!J285</f>
        <v>0</v>
      </c>
      <c r="L285" s="15">
        <f>'[9]2025'!K285</f>
        <v>0</v>
      </c>
      <c r="M285" s="15">
        <f>'[9]2025'!L285</f>
        <v>0</v>
      </c>
      <c r="N285" s="16" t="str">
        <f t="shared" si="16"/>
        <v/>
      </c>
      <c r="O285" s="17" t="str">
        <f t="shared" si="17"/>
        <v/>
      </c>
      <c r="P285" s="17" t="str">
        <f t="shared" si="17"/>
        <v/>
      </c>
      <c r="Q285" s="18" t="str">
        <f t="shared" si="18"/>
        <v/>
      </c>
      <c r="R285" s="18" t="e">
        <f t="shared" si="19"/>
        <v>#DIV/0!</v>
      </c>
      <c r="S285" s="35" t="e">
        <f>(S284-SUM(E283:E289))/SUM(E283:E289)</f>
        <v>#DIV/0!</v>
      </c>
      <c r="T285" s="48" t="e">
        <f>SUM(I283:I289)/SUM(K283:K289)</f>
        <v>#DIV/0!</v>
      </c>
      <c r="U285" s="1738"/>
    </row>
    <row r="286" spans="1:21">
      <c r="A286" s="10" t="s">
        <v>13</v>
      </c>
      <c r="B286" s="19">
        <f>CHAMNORD!B286</f>
        <v>46303</v>
      </c>
      <c r="C286" s="75" t="str">
        <f>IF(H286=0,"",'[9]2025-2026'!C285)</f>
        <v/>
      </c>
      <c r="D286" s="68" t="str">
        <f>'[9]2025'!C286</f>
        <v/>
      </c>
      <c r="E286" s="68" t="str">
        <f>'[9]2025'!D286</f>
        <v/>
      </c>
      <c r="F286" s="20" t="str">
        <f>'[9]2025'!E286</f>
        <v/>
      </c>
      <c r="G286" s="73" t="str">
        <f>'[9]2025'!F286</f>
        <v/>
      </c>
      <c r="H286" s="42">
        <f>'[9]2025'!G286</f>
        <v>0</v>
      </c>
      <c r="I286" s="13">
        <f>'[9]2025'!H286</f>
        <v>0</v>
      </c>
      <c r="J286" s="14">
        <f>'[9]2025'!I286</f>
        <v>0</v>
      </c>
      <c r="K286" s="15">
        <f>'[9]2025'!J286</f>
        <v>0</v>
      </c>
      <c r="L286" s="15">
        <f>'[9]2025'!K286</f>
        <v>0</v>
      </c>
      <c r="M286" s="15">
        <f>'[9]2025'!L286</f>
        <v>0</v>
      </c>
      <c r="N286" s="16" t="str">
        <f t="shared" si="16"/>
        <v/>
      </c>
      <c r="O286" s="17" t="str">
        <f t="shared" si="17"/>
        <v/>
      </c>
      <c r="P286" s="17" t="str">
        <f t="shared" si="17"/>
        <v/>
      </c>
      <c r="Q286" s="18" t="str">
        <f t="shared" si="18"/>
        <v/>
      </c>
      <c r="R286" s="18" t="e">
        <f t="shared" si="19"/>
        <v>#DIV/0!</v>
      </c>
      <c r="S286" s="34"/>
      <c r="T286" s="29" t="s">
        <v>8</v>
      </c>
      <c r="U286" s="1738"/>
    </row>
    <row r="287" spans="1:21">
      <c r="A287" s="10" t="s">
        <v>14</v>
      </c>
      <c r="B287" s="19">
        <f>CHAMNORD!B287</f>
        <v>46304</v>
      </c>
      <c r="C287" s="75" t="str">
        <f>IF(H287=0,"",'[9]2025-2026'!C286)</f>
        <v/>
      </c>
      <c r="D287" s="68" t="str">
        <f>'[9]2025'!C287</f>
        <v/>
      </c>
      <c r="E287" s="68" t="str">
        <f>'[9]2025'!D287</f>
        <v/>
      </c>
      <c r="F287" s="20" t="str">
        <f>'[9]2025'!E287</f>
        <v/>
      </c>
      <c r="G287" s="73" t="str">
        <f>'[9]2025'!F287</f>
        <v/>
      </c>
      <c r="H287" s="42">
        <f>'[9]2025'!G287</f>
        <v>0</v>
      </c>
      <c r="I287" s="13">
        <f>'[9]2025'!H287</f>
        <v>0</v>
      </c>
      <c r="J287" s="14">
        <f>'[9]2025'!I287</f>
        <v>0</v>
      </c>
      <c r="K287" s="15">
        <f>'[9]2025'!J287</f>
        <v>0</v>
      </c>
      <c r="L287" s="15">
        <f>'[9]2025'!K287</f>
        <v>0</v>
      </c>
      <c r="M287" s="15">
        <f>'[9]2025'!L287</f>
        <v>0</v>
      </c>
      <c r="N287" s="16" t="str">
        <f t="shared" si="16"/>
        <v/>
      </c>
      <c r="O287" s="17" t="str">
        <f t="shared" si="17"/>
        <v/>
      </c>
      <c r="P287" s="17" t="str">
        <f t="shared" si="17"/>
        <v/>
      </c>
      <c r="Q287" s="18" t="str">
        <f t="shared" si="18"/>
        <v/>
      </c>
      <c r="R287" s="18" t="e">
        <f t="shared" si="19"/>
        <v>#DIV/0!</v>
      </c>
      <c r="S287" s="36" t="s">
        <v>40</v>
      </c>
      <c r="T287" s="48" t="e">
        <f>SUM(I283:I289)/SUM(L283:L289)</f>
        <v>#DIV/0!</v>
      </c>
      <c r="U287" s="1738"/>
    </row>
    <row r="288" spans="1:21">
      <c r="A288" s="10" t="s">
        <v>15</v>
      </c>
      <c r="B288" s="19">
        <f>CHAMNORD!B288</f>
        <v>46305</v>
      </c>
      <c r="C288" s="75" t="str">
        <f>IF(H288=0,"",'[9]2025-2026'!C287)</f>
        <v/>
      </c>
      <c r="D288" s="68" t="str">
        <f>'[9]2025'!C288</f>
        <v/>
      </c>
      <c r="E288" s="68" t="str">
        <f>'[9]2025'!D288</f>
        <v/>
      </c>
      <c r="F288" s="20" t="str">
        <f>'[9]2025'!E288</f>
        <v/>
      </c>
      <c r="G288" s="73" t="str">
        <f>'[9]2025'!F288</f>
        <v/>
      </c>
      <c r="H288" s="42">
        <f>'[9]2025'!G288</f>
        <v>0</v>
      </c>
      <c r="I288" s="13">
        <f>'[9]2025'!H288</f>
        <v>0</v>
      </c>
      <c r="J288" s="14">
        <f>'[9]2025'!I288</f>
        <v>0</v>
      </c>
      <c r="K288" s="15">
        <f>'[9]2025'!J288</f>
        <v>0</v>
      </c>
      <c r="L288" s="15">
        <f>'[9]2025'!K288</f>
        <v>0</v>
      </c>
      <c r="M288" s="15">
        <f>'[9]2025'!L288</f>
        <v>0</v>
      </c>
      <c r="N288" s="16" t="str">
        <f t="shared" si="16"/>
        <v/>
      </c>
      <c r="O288" s="17" t="str">
        <f t="shared" si="17"/>
        <v/>
      </c>
      <c r="P288" s="17" t="str">
        <f t="shared" si="17"/>
        <v/>
      </c>
      <c r="Q288" s="18" t="str">
        <f t="shared" si="18"/>
        <v/>
      </c>
      <c r="R288" s="18" t="e">
        <f t="shared" si="19"/>
        <v>#DIV/0!</v>
      </c>
      <c r="S288" s="36">
        <f>SUM(J283:J289)</f>
        <v>0</v>
      </c>
      <c r="T288" s="30" t="s">
        <v>3</v>
      </c>
      <c r="U288" s="1738"/>
    </row>
    <row r="289" spans="1:21" ht="18" thickBot="1">
      <c r="A289" s="10" t="s">
        <v>16</v>
      </c>
      <c r="B289" s="19">
        <f>CHAMNORD!B289</f>
        <v>46306</v>
      </c>
      <c r="C289" s="75" t="str">
        <f>IF(H289=0,"",'[9]2025-2026'!C288)</f>
        <v/>
      </c>
      <c r="D289" s="68" t="str">
        <f>'[9]2025'!C289</f>
        <v/>
      </c>
      <c r="E289" s="68" t="str">
        <f>'[9]2025'!D289</f>
        <v/>
      </c>
      <c r="F289" s="20" t="str">
        <f>'[9]2025'!E289</f>
        <v/>
      </c>
      <c r="G289" s="73" t="str">
        <f>'[9]2025'!F289</f>
        <v/>
      </c>
      <c r="H289" s="42">
        <f>'[9]2025'!G289</f>
        <v>0</v>
      </c>
      <c r="I289" s="13">
        <f>'[9]2025'!H289</f>
        <v>0</v>
      </c>
      <c r="J289" s="14">
        <f>'[9]2025'!I289</f>
        <v>0</v>
      </c>
      <c r="K289" s="15">
        <f>'[9]2025'!J289</f>
        <v>0</v>
      </c>
      <c r="L289" s="15">
        <f>'[9]2025'!K289</f>
        <v>0</v>
      </c>
      <c r="M289" s="15">
        <f>'[9]2025'!L289</f>
        <v>0</v>
      </c>
      <c r="N289" s="16" t="str">
        <f t="shared" si="16"/>
        <v/>
      </c>
      <c r="O289" s="17" t="str">
        <f t="shared" si="17"/>
        <v/>
      </c>
      <c r="P289" s="17" t="str">
        <f t="shared" si="17"/>
        <v/>
      </c>
      <c r="Q289" s="18" t="str">
        <f t="shared" si="18"/>
        <v/>
      </c>
      <c r="R289" s="18" t="e">
        <f t="shared" si="19"/>
        <v>#DIV/0!</v>
      </c>
      <c r="S289" s="37" t="e">
        <f>(S288-SUM(F283:F289))/SUM(F283:F289)</f>
        <v>#DIV/0!</v>
      </c>
      <c r="T289" s="47" t="e">
        <f>SUM(M283:M289)/SUM(I283:I289)</f>
        <v>#DIV/0!</v>
      </c>
      <c r="U289" s="1739"/>
    </row>
    <row r="290" spans="1:21" ht="17" customHeight="1" thickTop="1">
      <c r="A290" s="10" t="s">
        <v>9</v>
      </c>
      <c r="B290" s="19">
        <f>CHAMNORD!B290</f>
        <v>46307</v>
      </c>
      <c r="C290" s="75" t="str">
        <f>IF(H290=0,"",'[9]2025-2026'!C289)</f>
        <v/>
      </c>
      <c r="D290" s="68" t="str">
        <f>'[9]2025'!C290</f>
        <v/>
      </c>
      <c r="E290" s="68" t="str">
        <f>'[9]2025'!D290</f>
        <v/>
      </c>
      <c r="F290" s="20" t="str">
        <f>'[9]2025'!E290</f>
        <v/>
      </c>
      <c r="G290" s="73" t="str">
        <f>'[9]2025'!F290</f>
        <v/>
      </c>
      <c r="H290" s="42">
        <f>'[9]2025'!G290</f>
        <v>0</v>
      </c>
      <c r="I290" s="13">
        <f>'[9]2025'!H290</f>
        <v>0</v>
      </c>
      <c r="J290" s="14">
        <f>'[9]2025'!I290</f>
        <v>0</v>
      </c>
      <c r="K290" s="15">
        <f>'[9]2025'!J290</f>
        <v>0</v>
      </c>
      <c r="L290" s="15">
        <f>'[9]2025'!K290</f>
        <v>0</v>
      </c>
      <c r="M290" s="15">
        <f>'[9]2025'!L290</f>
        <v>0</v>
      </c>
      <c r="N290" s="16" t="str">
        <f t="shared" si="16"/>
        <v/>
      </c>
      <c r="O290" s="17" t="str">
        <f t="shared" si="17"/>
        <v/>
      </c>
      <c r="P290" s="17" t="str">
        <f t="shared" si="17"/>
        <v/>
      </c>
      <c r="Q290" s="18" t="str">
        <f t="shared" si="18"/>
        <v/>
      </c>
      <c r="R290" s="18" t="e">
        <f t="shared" si="19"/>
        <v>#DIV/0!</v>
      </c>
      <c r="S290" s="33" t="s">
        <v>39</v>
      </c>
      <c r="T290" s="31" t="s">
        <v>42</v>
      </c>
      <c r="U290" s="1737" t="s">
        <v>124</v>
      </c>
    </row>
    <row r="291" spans="1:21">
      <c r="A291" s="10" t="s">
        <v>11</v>
      </c>
      <c r="B291" s="19">
        <f>CHAMNORD!B291</f>
        <v>46308</v>
      </c>
      <c r="C291" s="75" t="str">
        <f>IF(H291=0,"",'[9]2025-2026'!C290)</f>
        <v/>
      </c>
      <c r="D291" s="68" t="str">
        <f>'[9]2025'!C291</f>
        <v/>
      </c>
      <c r="E291" s="68" t="str">
        <f>'[9]2025'!D291</f>
        <v/>
      </c>
      <c r="F291" s="20" t="str">
        <f>'[9]2025'!E291</f>
        <v/>
      </c>
      <c r="G291" s="73" t="str">
        <f>'[9]2025'!F291</f>
        <v/>
      </c>
      <c r="H291" s="42">
        <f>'[9]2025'!G291</f>
        <v>0</v>
      </c>
      <c r="I291" s="13">
        <f>'[9]2025'!H291</f>
        <v>0</v>
      </c>
      <c r="J291" s="14">
        <f>'[9]2025'!I291</f>
        <v>0</v>
      </c>
      <c r="K291" s="15">
        <f>'[9]2025'!J291</f>
        <v>0</v>
      </c>
      <c r="L291" s="15">
        <f>'[9]2025'!K291</f>
        <v>0</v>
      </c>
      <c r="M291" s="15">
        <f>'[9]2025'!L291</f>
        <v>0</v>
      </c>
      <c r="N291" s="16" t="str">
        <f t="shared" si="16"/>
        <v/>
      </c>
      <c r="O291" s="17" t="str">
        <f t="shared" si="17"/>
        <v/>
      </c>
      <c r="P291" s="17" t="str">
        <f t="shared" si="17"/>
        <v/>
      </c>
      <c r="Q291" s="18" t="str">
        <f t="shared" si="18"/>
        <v/>
      </c>
      <c r="R291" s="18" t="e">
        <f t="shared" si="19"/>
        <v>#DIV/0!</v>
      </c>
      <c r="S291" s="34">
        <f>SUM(I290:I296)</f>
        <v>0</v>
      </c>
      <c r="T291" s="45" t="s">
        <v>41</v>
      </c>
      <c r="U291" s="1738"/>
    </row>
    <row r="292" spans="1:21">
      <c r="A292" s="10" t="s">
        <v>12</v>
      </c>
      <c r="B292" s="19">
        <f>CHAMNORD!B292</f>
        <v>46309</v>
      </c>
      <c r="C292" s="75" t="str">
        <f>IF(H292=0,"",'[9]2025-2026'!C291)</f>
        <v/>
      </c>
      <c r="D292" s="68" t="str">
        <f>'[9]2025'!C292</f>
        <v/>
      </c>
      <c r="E292" s="68" t="str">
        <f>'[9]2025'!D292</f>
        <v/>
      </c>
      <c r="F292" s="20" t="str">
        <f>'[9]2025'!E292</f>
        <v/>
      </c>
      <c r="G292" s="73" t="str">
        <f>'[9]2025'!F292</f>
        <v/>
      </c>
      <c r="H292" s="42">
        <f>'[9]2025'!G292</f>
        <v>0</v>
      </c>
      <c r="I292" s="13">
        <f>'[9]2025'!H292</f>
        <v>0</v>
      </c>
      <c r="J292" s="14">
        <f>'[9]2025'!I292</f>
        <v>0</v>
      </c>
      <c r="K292" s="15">
        <f>'[9]2025'!J292</f>
        <v>0</v>
      </c>
      <c r="L292" s="15">
        <f>'[9]2025'!K292</f>
        <v>0</v>
      </c>
      <c r="M292" s="15">
        <f>'[9]2025'!L292</f>
        <v>0</v>
      </c>
      <c r="N292" s="16" t="str">
        <f t="shared" si="16"/>
        <v/>
      </c>
      <c r="O292" s="17" t="str">
        <f t="shared" si="17"/>
        <v/>
      </c>
      <c r="P292" s="17" t="str">
        <f t="shared" si="17"/>
        <v/>
      </c>
      <c r="Q292" s="18" t="str">
        <f t="shared" si="18"/>
        <v/>
      </c>
      <c r="R292" s="18" t="e">
        <f t="shared" si="19"/>
        <v>#DIV/0!</v>
      </c>
      <c r="S292" s="35" t="e">
        <f>(S291-SUM(E290:E296))/SUM(E290:E296)</f>
        <v>#DIV/0!</v>
      </c>
      <c r="T292" s="48" t="e">
        <f>SUM(I290:I296)/SUM(K290:K296)</f>
        <v>#DIV/0!</v>
      </c>
      <c r="U292" s="1738"/>
    </row>
    <row r="293" spans="1:21">
      <c r="A293" s="10" t="s">
        <v>13</v>
      </c>
      <c r="B293" s="19">
        <f>CHAMNORD!B293</f>
        <v>46310</v>
      </c>
      <c r="C293" s="75" t="str">
        <f>IF(H293=0,"",'[9]2025-2026'!C292)</f>
        <v/>
      </c>
      <c r="D293" s="68" t="str">
        <f>'[9]2025'!C293</f>
        <v/>
      </c>
      <c r="E293" s="68" t="str">
        <f>'[9]2025'!D293</f>
        <v/>
      </c>
      <c r="F293" s="20" t="str">
        <f>'[9]2025'!E293</f>
        <v/>
      </c>
      <c r="G293" s="73" t="str">
        <f>'[9]2025'!F293</f>
        <v/>
      </c>
      <c r="H293" s="42">
        <f>'[9]2025'!G293</f>
        <v>0</v>
      </c>
      <c r="I293" s="13">
        <f>'[9]2025'!H293</f>
        <v>0</v>
      </c>
      <c r="J293" s="14">
        <f>'[9]2025'!I293</f>
        <v>0</v>
      </c>
      <c r="K293" s="15">
        <f>'[9]2025'!J293</f>
        <v>0</v>
      </c>
      <c r="L293" s="15">
        <f>'[9]2025'!K293</f>
        <v>0</v>
      </c>
      <c r="M293" s="15">
        <f>'[9]2025'!L293</f>
        <v>0</v>
      </c>
      <c r="N293" s="16" t="str">
        <f t="shared" si="16"/>
        <v/>
      </c>
      <c r="O293" s="17" t="str">
        <f t="shared" si="17"/>
        <v/>
      </c>
      <c r="P293" s="17" t="str">
        <f t="shared" si="17"/>
        <v/>
      </c>
      <c r="Q293" s="18" t="str">
        <f t="shared" si="18"/>
        <v/>
      </c>
      <c r="R293" s="18" t="e">
        <f t="shared" si="19"/>
        <v>#DIV/0!</v>
      </c>
      <c r="S293" s="34"/>
      <c r="T293" s="29" t="s">
        <v>8</v>
      </c>
      <c r="U293" s="1738"/>
    </row>
    <row r="294" spans="1:21">
      <c r="A294" s="10" t="s">
        <v>14</v>
      </c>
      <c r="B294" s="19">
        <f>CHAMNORD!B294</f>
        <v>46311</v>
      </c>
      <c r="C294" s="75" t="str">
        <f>IF(H294=0,"",'[9]2025-2026'!C293)</f>
        <v/>
      </c>
      <c r="D294" s="68" t="str">
        <f>'[9]2025'!C294</f>
        <v/>
      </c>
      <c r="E294" s="68" t="str">
        <f>'[9]2025'!D294</f>
        <v/>
      </c>
      <c r="F294" s="20" t="str">
        <f>'[9]2025'!E294</f>
        <v/>
      </c>
      <c r="G294" s="73" t="str">
        <f>'[9]2025'!F294</f>
        <v/>
      </c>
      <c r="H294" s="42">
        <f>'[9]2025'!G294</f>
        <v>0</v>
      </c>
      <c r="I294" s="13">
        <f>'[9]2025'!H294</f>
        <v>0</v>
      </c>
      <c r="J294" s="14">
        <f>'[9]2025'!I294</f>
        <v>0</v>
      </c>
      <c r="K294" s="15">
        <f>'[9]2025'!J294</f>
        <v>0</v>
      </c>
      <c r="L294" s="15">
        <f>'[9]2025'!K294</f>
        <v>0</v>
      </c>
      <c r="M294" s="15">
        <f>'[9]2025'!L294</f>
        <v>0</v>
      </c>
      <c r="N294" s="16" t="str">
        <f t="shared" si="16"/>
        <v/>
      </c>
      <c r="O294" s="17" t="str">
        <f t="shared" si="17"/>
        <v/>
      </c>
      <c r="P294" s="17" t="str">
        <f t="shared" si="17"/>
        <v/>
      </c>
      <c r="Q294" s="18" t="str">
        <f t="shared" si="18"/>
        <v/>
      </c>
      <c r="R294" s="18" t="e">
        <f t="shared" si="19"/>
        <v>#DIV/0!</v>
      </c>
      <c r="S294" s="36" t="s">
        <v>40</v>
      </c>
      <c r="T294" s="48" t="e">
        <f>SUM(I290:I296)/SUM(L290:L296)</f>
        <v>#DIV/0!</v>
      </c>
      <c r="U294" s="1738"/>
    </row>
    <row r="295" spans="1:21">
      <c r="A295" s="10" t="s">
        <v>15</v>
      </c>
      <c r="B295" s="19">
        <f>CHAMNORD!B295</f>
        <v>46312</v>
      </c>
      <c r="C295" s="75" t="str">
        <f>IF(H295=0,"",'[9]2025-2026'!C294)</f>
        <v/>
      </c>
      <c r="D295" s="68" t="str">
        <f>'[9]2025'!C295</f>
        <v/>
      </c>
      <c r="E295" s="68" t="str">
        <f>'[9]2025'!D295</f>
        <v/>
      </c>
      <c r="F295" s="20" t="str">
        <f>'[9]2025'!E295</f>
        <v/>
      </c>
      <c r="G295" s="73" t="str">
        <f>'[9]2025'!F295</f>
        <v/>
      </c>
      <c r="H295" s="42">
        <f>'[9]2025'!G295</f>
        <v>0</v>
      </c>
      <c r="I295" s="13">
        <f>'[9]2025'!H295</f>
        <v>0</v>
      </c>
      <c r="J295" s="14">
        <f>'[9]2025'!I295</f>
        <v>0</v>
      </c>
      <c r="K295" s="15">
        <f>'[9]2025'!J295</f>
        <v>0</v>
      </c>
      <c r="L295" s="15">
        <f>'[9]2025'!K295</f>
        <v>0</v>
      </c>
      <c r="M295" s="15">
        <f>'[9]2025'!L295</f>
        <v>0</v>
      </c>
      <c r="N295" s="16" t="str">
        <f t="shared" si="16"/>
        <v/>
      </c>
      <c r="O295" s="17" t="str">
        <f t="shared" si="17"/>
        <v/>
      </c>
      <c r="P295" s="17" t="str">
        <f t="shared" si="17"/>
        <v/>
      </c>
      <c r="Q295" s="18" t="str">
        <f t="shared" si="18"/>
        <v/>
      </c>
      <c r="R295" s="18" t="e">
        <f t="shared" si="19"/>
        <v>#DIV/0!</v>
      </c>
      <c r="S295" s="36">
        <f>SUM(J290:J296)</f>
        <v>0</v>
      </c>
      <c r="T295" s="30" t="s">
        <v>3</v>
      </c>
      <c r="U295" s="1738"/>
    </row>
    <row r="296" spans="1:21" ht="18" thickBot="1">
      <c r="A296" s="10" t="s">
        <v>16</v>
      </c>
      <c r="B296" s="19">
        <f>CHAMNORD!B296</f>
        <v>46313</v>
      </c>
      <c r="C296" s="75" t="str">
        <f>IF(H296=0,"",'[9]2025-2026'!C295)</f>
        <v/>
      </c>
      <c r="D296" s="68" t="str">
        <f>'[9]2025'!C296</f>
        <v/>
      </c>
      <c r="E296" s="68" t="str">
        <f>'[9]2025'!D296</f>
        <v/>
      </c>
      <c r="F296" s="20" t="str">
        <f>'[9]2025'!E296</f>
        <v/>
      </c>
      <c r="G296" s="73" t="str">
        <f>'[9]2025'!F296</f>
        <v/>
      </c>
      <c r="H296" s="42">
        <f>'[9]2025'!G296</f>
        <v>0</v>
      </c>
      <c r="I296" s="13">
        <f>'[9]2025'!H296</f>
        <v>0</v>
      </c>
      <c r="J296" s="14">
        <f>'[9]2025'!I296</f>
        <v>0</v>
      </c>
      <c r="K296" s="15">
        <f>'[9]2025'!J296</f>
        <v>0</v>
      </c>
      <c r="L296" s="15">
        <f>'[9]2025'!K296</f>
        <v>0</v>
      </c>
      <c r="M296" s="15">
        <f>'[9]2025'!L296</f>
        <v>0</v>
      </c>
      <c r="N296" s="16" t="str">
        <f t="shared" si="16"/>
        <v/>
      </c>
      <c r="O296" s="17" t="str">
        <f t="shared" si="17"/>
        <v/>
      </c>
      <c r="P296" s="17" t="str">
        <f t="shared" si="17"/>
        <v/>
      </c>
      <c r="Q296" s="18" t="str">
        <f t="shared" si="18"/>
        <v/>
      </c>
      <c r="R296" s="18" t="e">
        <f t="shared" si="19"/>
        <v>#DIV/0!</v>
      </c>
      <c r="S296" s="37" t="e">
        <f>(S295-SUM(F290:F296))/SUM(F290:F296)</f>
        <v>#DIV/0!</v>
      </c>
      <c r="T296" s="47" t="e">
        <f>SUM(M290:M296)/SUM(I290:I296)</f>
        <v>#DIV/0!</v>
      </c>
      <c r="U296" s="1739"/>
    </row>
    <row r="297" spans="1:21" ht="17" customHeight="1" thickTop="1">
      <c r="A297" s="10" t="s">
        <v>9</v>
      </c>
      <c r="B297" s="19">
        <f>CHAMNORD!B297</f>
        <v>46314</v>
      </c>
      <c r="C297" s="75" t="str">
        <f>IF(H297=0,"",'[9]2025-2026'!C296)</f>
        <v/>
      </c>
      <c r="D297" s="68" t="str">
        <f>'[9]2025'!C297</f>
        <v/>
      </c>
      <c r="E297" s="68" t="str">
        <f>'[9]2025'!D297</f>
        <v/>
      </c>
      <c r="F297" s="20" t="str">
        <f>'[9]2025'!E297</f>
        <v/>
      </c>
      <c r="G297" s="73" t="str">
        <f>'[9]2025'!F297</f>
        <v/>
      </c>
      <c r="H297" s="42">
        <f>'[9]2025'!G297</f>
        <v>0</v>
      </c>
      <c r="I297" s="13">
        <f>'[9]2025'!H297</f>
        <v>0</v>
      </c>
      <c r="J297" s="14">
        <f>'[9]2025'!I297</f>
        <v>0</v>
      </c>
      <c r="K297" s="15">
        <f>'[9]2025'!J297</f>
        <v>0</v>
      </c>
      <c r="L297" s="15">
        <f>'[9]2025'!K297</f>
        <v>0</v>
      </c>
      <c r="M297" s="15">
        <f>'[9]2025'!L297</f>
        <v>0</v>
      </c>
      <c r="N297" s="16" t="str">
        <f t="shared" si="16"/>
        <v/>
      </c>
      <c r="O297" s="17" t="str">
        <f t="shared" si="17"/>
        <v/>
      </c>
      <c r="P297" s="17" t="str">
        <f t="shared" si="17"/>
        <v/>
      </c>
      <c r="Q297" s="18" t="str">
        <f t="shared" si="18"/>
        <v/>
      </c>
      <c r="R297" s="18" t="e">
        <f t="shared" si="19"/>
        <v>#DIV/0!</v>
      </c>
      <c r="S297" s="33" t="s">
        <v>39</v>
      </c>
      <c r="T297" s="31" t="s">
        <v>42</v>
      </c>
      <c r="U297" s="1737" t="s">
        <v>125</v>
      </c>
    </row>
    <row r="298" spans="1:21">
      <c r="A298" s="10" t="s">
        <v>11</v>
      </c>
      <c r="B298" s="19">
        <f>CHAMNORD!B298</f>
        <v>46315</v>
      </c>
      <c r="C298" s="75" t="str">
        <f>IF(H298=0,"",'[9]2025-2026'!C297)</f>
        <v/>
      </c>
      <c r="D298" s="68" t="str">
        <f>'[9]2025'!C298</f>
        <v/>
      </c>
      <c r="E298" s="68" t="str">
        <f>'[9]2025'!D298</f>
        <v/>
      </c>
      <c r="F298" s="20" t="str">
        <f>'[9]2025'!E298</f>
        <v/>
      </c>
      <c r="G298" s="73" t="str">
        <f>'[9]2025'!F298</f>
        <v/>
      </c>
      <c r="H298" s="42">
        <f>'[9]2025'!G298</f>
        <v>0</v>
      </c>
      <c r="I298" s="13">
        <f>'[9]2025'!H298</f>
        <v>0</v>
      </c>
      <c r="J298" s="14">
        <f>'[9]2025'!I298</f>
        <v>0</v>
      </c>
      <c r="K298" s="15">
        <f>'[9]2025'!J298</f>
        <v>0</v>
      </c>
      <c r="L298" s="15">
        <f>'[9]2025'!K298</f>
        <v>0</v>
      </c>
      <c r="M298" s="15">
        <f>'[9]2025'!L298</f>
        <v>0</v>
      </c>
      <c r="N298" s="16" t="str">
        <f t="shared" si="16"/>
        <v/>
      </c>
      <c r="O298" s="17" t="str">
        <f t="shared" si="17"/>
        <v/>
      </c>
      <c r="P298" s="17" t="str">
        <f t="shared" si="17"/>
        <v/>
      </c>
      <c r="Q298" s="18" t="str">
        <f t="shared" si="18"/>
        <v/>
      </c>
      <c r="R298" s="18" t="e">
        <f t="shared" si="19"/>
        <v>#DIV/0!</v>
      </c>
      <c r="S298" s="34">
        <f>SUM(I297:I303)</f>
        <v>0</v>
      </c>
      <c r="T298" s="45" t="s">
        <v>41</v>
      </c>
      <c r="U298" s="1738"/>
    </row>
    <row r="299" spans="1:21">
      <c r="A299" s="10" t="s">
        <v>12</v>
      </c>
      <c r="B299" s="19">
        <f>CHAMNORD!B299</f>
        <v>46316</v>
      </c>
      <c r="C299" s="75" t="str">
        <f>IF(H299=0,"",'[9]2025-2026'!C298)</f>
        <v/>
      </c>
      <c r="D299" s="68" t="str">
        <f>'[9]2025'!C299</f>
        <v/>
      </c>
      <c r="E299" s="68" t="str">
        <f>'[9]2025'!D299</f>
        <v/>
      </c>
      <c r="F299" s="20" t="str">
        <f>'[9]2025'!E299</f>
        <v/>
      </c>
      <c r="G299" s="73" t="str">
        <f>'[9]2025'!F299</f>
        <v/>
      </c>
      <c r="H299" s="42">
        <f>'[9]2025'!G299</f>
        <v>0</v>
      </c>
      <c r="I299" s="13">
        <f>'[9]2025'!H299</f>
        <v>0</v>
      </c>
      <c r="J299" s="14">
        <f>'[9]2025'!I299</f>
        <v>0</v>
      </c>
      <c r="K299" s="15">
        <f>'[9]2025'!J299</f>
        <v>0</v>
      </c>
      <c r="L299" s="15">
        <f>'[9]2025'!K299</f>
        <v>0</v>
      </c>
      <c r="M299" s="15">
        <f>'[9]2025'!L299</f>
        <v>0</v>
      </c>
      <c r="N299" s="16" t="str">
        <f t="shared" si="16"/>
        <v/>
      </c>
      <c r="O299" s="17" t="str">
        <f t="shared" si="17"/>
        <v/>
      </c>
      <c r="P299" s="17" t="str">
        <f t="shared" si="17"/>
        <v/>
      </c>
      <c r="Q299" s="18" t="str">
        <f t="shared" si="18"/>
        <v/>
      </c>
      <c r="R299" s="18" t="e">
        <f t="shared" si="19"/>
        <v>#DIV/0!</v>
      </c>
      <c r="S299" s="35" t="e">
        <f>(S298-SUM(E297:E303))/SUM(E297:E303)</f>
        <v>#DIV/0!</v>
      </c>
      <c r="T299" s="48" t="e">
        <f>SUM(I297:I303)/SUM(K297:K303)</f>
        <v>#DIV/0!</v>
      </c>
      <c r="U299" s="1738"/>
    </row>
    <row r="300" spans="1:21">
      <c r="A300" s="10" t="s">
        <v>13</v>
      </c>
      <c r="B300" s="19">
        <f>CHAMNORD!B300</f>
        <v>46317</v>
      </c>
      <c r="C300" s="75" t="str">
        <f>IF(H300=0,"",'[9]2025-2026'!C299)</f>
        <v/>
      </c>
      <c r="D300" s="68" t="str">
        <f>'[9]2025'!C300</f>
        <v/>
      </c>
      <c r="E300" s="68" t="str">
        <f>'[9]2025'!D300</f>
        <v/>
      </c>
      <c r="F300" s="20" t="str">
        <f>'[9]2025'!E300</f>
        <v/>
      </c>
      <c r="G300" s="73" t="str">
        <f>'[9]2025'!F300</f>
        <v/>
      </c>
      <c r="H300" s="42">
        <f>'[9]2025'!G300</f>
        <v>0</v>
      </c>
      <c r="I300" s="13">
        <f>'[9]2025'!H300</f>
        <v>0</v>
      </c>
      <c r="J300" s="14">
        <f>'[9]2025'!I300</f>
        <v>0</v>
      </c>
      <c r="K300" s="15">
        <f>'[9]2025'!J300</f>
        <v>0</v>
      </c>
      <c r="L300" s="15">
        <f>'[9]2025'!K300</f>
        <v>0</v>
      </c>
      <c r="M300" s="15">
        <f>'[9]2025'!L300</f>
        <v>0</v>
      </c>
      <c r="N300" s="16" t="str">
        <f t="shared" si="16"/>
        <v/>
      </c>
      <c r="O300" s="17" t="str">
        <f t="shared" si="17"/>
        <v/>
      </c>
      <c r="P300" s="17" t="str">
        <f t="shared" si="17"/>
        <v/>
      </c>
      <c r="Q300" s="18" t="str">
        <f t="shared" si="18"/>
        <v/>
      </c>
      <c r="R300" s="18" t="e">
        <f t="shared" si="19"/>
        <v>#DIV/0!</v>
      </c>
      <c r="S300" s="34"/>
      <c r="T300" s="29" t="s">
        <v>8</v>
      </c>
      <c r="U300" s="1738"/>
    </row>
    <row r="301" spans="1:21">
      <c r="A301" s="10" t="s">
        <v>14</v>
      </c>
      <c r="B301" s="19">
        <f>CHAMNORD!B301</f>
        <v>46318</v>
      </c>
      <c r="C301" s="75" t="str">
        <f>IF(H301=0,"",'[9]2025-2026'!C300)</f>
        <v/>
      </c>
      <c r="D301" s="68" t="str">
        <f>'[9]2025'!C301</f>
        <v/>
      </c>
      <c r="E301" s="68" t="str">
        <f>'[9]2025'!D301</f>
        <v/>
      </c>
      <c r="F301" s="20" t="str">
        <f>'[9]2025'!E301</f>
        <v/>
      </c>
      <c r="G301" s="73" t="str">
        <f>'[9]2025'!F301</f>
        <v/>
      </c>
      <c r="H301" s="42">
        <f>'[9]2025'!G301</f>
        <v>0</v>
      </c>
      <c r="I301" s="13">
        <f>'[9]2025'!H301</f>
        <v>0</v>
      </c>
      <c r="J301" s="14">
        <f>'[9]2025'!I301</f>
        <v>0</v>
      </c>
      <c r="K301" s="15">
        <f>'[9]2025'!J301</f>
        <v>0</v>
      </c>
      <c r="L301" s="15">
        <f>'[9]2025'!K301</f>
        <v>0</v>
      </c>
      <c r="M301" s="15">
        <f>'[9]2025'!L301</f>
        <v>0</v>
      </c>
      <c r="N301" s="16" t="str">
        <f t="shared" si="16"/>
        <v/>
      </c>
      <c r="O301" s="17" t="str">
        <f t="shared" si="17"/>
        <v/>
      </c>
      <c r="P301" s="17" t="str">
        <f t="shared" si="17"/>
        <v/>
      </c>
      <c r="Q301" s="18" t="str">
        <f t="shared" si="18"/>
        <v/>
      </c>
      <c r="R301" s="18" t="e">
        <f t="shared" si="19"/>
        <v>#DIV/0!</v>
      </c>
      <c r="S301" s="36" t="s">
        <v>40</v>
      </c>
      <c r="T301" s="48" t="e">
        <f>SUM(I297:I303)/SUM(L297:L303)</f>
        <v>#DIV/0!</v>
      </c>
      <c r="U301" s="1738"/>
    </row>
    <row r="302" spans="1:21">
      <c r="A302" s="10" t="s">
        <v>15</v>
      </c>
      <c r="B302" s="19">
        <f>CHAMNORD!B302</f>
        <v>46319</v>
      </c>
      <c r="C302" s="75" t="str">
        <f>IF(H302=0,"",'[9]2025-2026'!C301)</f>
        <v/>
      </c>
      <c r="D302" s="68" t="str">
        <f>'[9]2025'!C302</f>
        <v/>
      </c>
      <c r="E302" s="68" t="str">
        <f>'[9]2025'!D302</f>
        <v/>
      </c>
      <c r="F302" s="20" t="str">
        <f>'[9]2025'!E302</f>
        <v/>
      </c>
      <c r="G302" s="73" t="str">
        <f>'[9]2025'!F302</f>
        <v/>
      </c>
      <c r="H302" s="42">
        <f>'[9]2025'!G302</f>
        <v>0</v>
      </c>
      <c r="I302" s="13">
        <f>'[9]2025'!H302</f>
        <v>0</v>
      </c>
      <c r="J302" s="14">
        <f>'[9]2025'!I302</f>
        <v>0</v>
      </c>
      <c r="K302" s="15">
        <f>'[9]2025'!J302</f>
        <v>0</v>
      </c>
      <c r="L302" s="15">
        <f>'[9]2025'!K302</f>
        <v>0</v>
      </c>
      <c r="M302" s="15">
        <f>'[9]2025'!L302</f>
        <v>0</v>
      </c>
      <c r="N302" s="16" t="str">
        <f t="shared" si="16"/>
        <v/>
      </c>
      <c r="O302" s="17" t="str">
        <f t="shared" si="17"/>
        <v/>
      </c>
      <c r="P302" s="17" t="str">
        <f t="shared" si="17"/>
        <v/>
      </c>
      <c r="Q302" s="18" t="str">
        <f t="shared" si="18"/>
        <v/>
      </c>
      <c r="R302" s="18" t="e">
        <f t="shared" si="19"/>
        <v>#DIV/0!</v>
      </c>
      <c r="S302" s="36">
        <f>SUM(J297:J303)</f>
        <v>0</v>
      </c>
      <c r="T302" s="30" t="s">
        <v>3</v>
      </c>
      <c r="U302" s="1738"/>
    </row>
    <row r="303" spans="1:21" ht="18" thickBot="1">
      <c r="A303" s="10" t="s">
        <v>16</v>
      </c>
      <c r="B303" s="19">
        <f>CHAMNORD!B303</f>
        <v>46320</v>
      </c>
      <c r="C303" s="75" t="str">
        <f>IF(H303=0,"",'[9]2025-2026'!C302)</f>
        <v/>
      </c>
      <c r="D303" s="68" t="str">
        <f>'[9]2025'!C303</f>
        <v/>
      </c>
      <c r="E303" s="68" t="str">
        <f>'[9]2025'!D303</f>
        <v/>
      </c>
      <c r="F303" s="20" t="str">
        <f>'[9]2025'!E303</f>
        <v/>
      </c>
      <c r="G303" s="73" t="str">
        <f>'[9]2025'!F303</f>
        <v/>
      </c>
      <c r="H303" s="42">
        <f>'[9]2025'!G303</f>
        <v>0</v>
      </c>
      <c r="I303" s="13">
        <f>'[9]2025'!H303</f>
        <v>0</v>
      </c>
      <c r="J303" s="14">
        <f>'[9]2025'!I303</f>
        <v>0</v>
      </c>
      <c r="K303" s="15">
        <f>'[9]2025'!J303</f>
        <v>0</v>
      </c>
      <c r="L303" s="15">
        <f>'[9]2025'!K303</f>
        <v>0</v>
      </c>
      <c r="M303" s="15">
        <f>'[9]2025'!L303</f>
        <v>0</v>
      </c>
      <c r="N303" s="16" t="str">
        <f t="shared" si="16"/>
        <v/>
      </c>
      <c r="O303" s="17" t="str">
        <f t="shared" si="17"/>
        <v/>
      </c>
      <c r="P303" s="17" t="str">
        <f t="shared" si="17"/>
        <v/>
      </c>
      <c r="Q303" s="18" t="str">
        <f t="shared" si="18"/>
        <v/>
      </c>
      <c r="R303" s="18" t="e">
        <f t="shared" si="19"/>
        <v>#DIV/0!</v>
      </c>
      <c r="S303" s="37" t="e">
        <f>(S302-SUM(F297:F303))/SUM(F297:F303)</f>
        <v>#DIV/0!</v>
      </c>
      <c r="T303" s="47" t="e">
        <f>SUM(M297:M303)/SUM(I297:I303)</f>
        <v>#DIV/0!</v>
      </c>
      <c r="U303" s="1739"/>
    </row>
    <row r="304" spans="1:21" ht="17" customHeight="1" thickTop="1">
      <c r="A304" s="10" t="s">
        <v>9</v>
      </c>
      <c r="B304" s="19">
        <f>CHAMNORD!B304</f>
        <v>46321</v>
      </c>
      <c r="C304" s="75" t="str">
        <f>IF(H304=0,"",'[9]2025-2026'!C303)</f>
        <v/>
      </c>
      <c r="D304" s="68" t="str">
        <f>'[9]2025'!C304</f>
        <v/>
      </c>
      <c r="E304" s="68" t="str">
        <f>'[9]2025'!D304</f>
        <v/>
      </c>
      <c r="F304" s="20" t="str">
        <f>'[9]2025'!E304</f>
        <v/>
      </c>
      <c r="G304" s="73" t="str">
        <f>'[9]2025'!F304</f>
        <v/>
      </c>
      <c r="H304" s="42">
        <f>'[9]2025'!G304</f>
        <v>0</v>
      </c>
      <c r="I304" s="13">
        <f>'[9]2025'!H304</f>
        <v>0</v>
      </c>
      <c r="J304" s="14">
        <f>'[9]2025'!I304</f>
        <v>0</v>
      </c>
      <c r="K304" s="15">
        <f>'[9]2025'!J304</f>
        <v>0</v>
      </c>
      <c r="L304" s="15">
        <f>'[9]2025'!K304</f>
        <v>0</v>
      </c>
      <c r="M304" s="15">
        <f>'[9]2025'!L304</f>
        <v>0</v>
      </c>
      <c r="N304" s="16" t="str">
        <f t="shared" si="16"/>
        <v/>
      </c>
      <c r="O304" s="17" t="str">
        <f t="shared" si="17"/>
        <v/>
      </c>
      <c r="P304" s="17" t="str">
        <f t="shared" si="17"/>
        <v/>
      </c>
      <c r="Q304" s="18" t="str">
        <f t="shared" si="18"/>
        <v/>
      </c>
      <c r="R304" s="18" t="e">
        <f t="shared" si="19"/>
        <v>#DIV/0!</v>
      </c>
      <c r="S304" s="33" t="s">
        <v>39</v>
      </c>
      <c r="T304" s="31" t="s">
        <v>42</v>
      </c>
      <c r="U304" s="1737" t="s">
        <v>126</v>
      </c>
    </row>
    <row r="305" spans="1:21">
      <c r="A305" s="10" t="s">
        <v>11</v>
      </c>
      <c r="B305" s="19">
        <f>CHAMNORD!B305</f>
        <v>46322</v>
      </c>
      <c r="C305" s="75" t="str">
        <f>IF(H305=0,"",'[9]2025-2026'!C304)</f>
        <v/>
      </c>
      <c r="D305" s="68" t="str">
        <f>'[9]2025'!C305</f>
        <v/>
      </c>
      <c r="E305" s="68" t="str">
        <f>'[9]2025'!D305</f>
        <v/>
      </c>
      <c r="F305" s="20" t="str">
        <f>'[9]2025'!E305</f>
        <v/>
      </c>
      <c r="G305" s="73" t="str">
        <f>'[9]2025'!F305</f>
        <v/>
      </c>
      <c r="H305" s="42">
        <f>'[9]2025'!G305</f>
        <v>0</v>
      </c>
      <c r="I305" s="13">
        <f>'[9]2025'!H305</f>
        <v>0</v>
      </c>
      <c r="J305" s="14">
        <f>'[9]2025'!I305</f>
        <v>0</v>
      </c>
      <c r="K305" s="15">
        <f>'[9]2025'!J305</f>
        <v>0</v>
      </c>
      <c r="L305" s="15">
        <f>'[9]2025'!K305</f>
        <v>0</v>
      </c>
      <c r="M305" s="15">
        <f>'[9]2025'!L305</f>
        <v>0</v>
      </c>
      <c r="N305" s="16" t="str">
        <f t="shared" si="16"/>
        <v/>
      </c>
      <c r="O305" s="17" t="str">
        <f t="shared" si="17"/>
        <v/>
      </c>
      <c r="P305" s="17" t="str">
        <f t="shared" si="17"/>
        <v/>
      </c>
      <c r="Q305" s="18" t="str">
        <f t="shared" si="18"/>
        <v/>
      </c>
      <c r="R305" s="18" t="e">
        <f t="shared" si="19"/>
        <v>#DIV/0!</v>
      </c>
      <c r="S305" s="34">
        <f>SUM(I304:I310)</f>
        <v>0</v>
      </c>
      <c r="T305" s="45" t="s">
        <v>41</v>
      </c>
      <c r="U305" s="1738"/>
    </row>
    <row r="306" spans="1:21">
      <c r="A306" s="10" t="s">
        <v>12</v>
      </c>
      <c r="B306" s="19">
        <f>CHAMNORD!B306</f>
        <v>46323</v>
      </c>
      <c r="C306" s="75" t="str">
        <f>IF(H306=0,"",'[9]2025-2026'!C305)</f>
        <v/>
      </c>
      <c r="D306" s="68" t="str">
        <f>'[9]2025'!C306</f>
        <v/>
      </c>
      <c r="E306" s="68" t="str">
        <f>'[9]2025'!D306</f>
        <v/>
      </c>
      <c r="F306" s="20" t="str">
        <f>'[9]2025'!E306</f>
        <v/>
      </c>
      <c r="G306" s="73" t="str">
        <f>'[9]2025'!F306</f>
        <v/>
      </c>
      <c r="H306" s="42">
        <f>'[9]2025'!G306</f>
        <v>0</v>
      </c>
      <c r="I306" s="13">
        <f>'[9]2025'!H306</f>
        <v>0</v>
      </c>
      <c r="J306" s="14">
        <f>'[9]2025'!I306</f>
        <v>0</v>
      </c>
      <c r="K306" s="15">
        <f>'[9]2025'!J306</f>
        <v>0</v>
      </c>
      <c r="L306" s="15">
        <f>'[9]2025'!K306</f>
        <v>0</v>
      </c>
      <c r="M306" s="15">
        <f>'[9]2025'!L306</f>
        <v>0</v>
      </c>
      <c r="N306" s="16" t="str">
        <f t="shared" si="16"/>
        <v/>
      </c>
      <c r="O306" s="17" t="str">
        <f t="shared" si="17"/>
        <v/>
      </c>
      <c r="P306" s="17" t="str">
        <f t="shared" si="17"/>
        <v/>
      </c>
      <c r="Q306" s="18" t="str">
        <f t="shared" si="18"/>
        <v/>
      </c>
      <c r="R306" s="18" t="e">
        <f t="shared" si="19"/>
        <v>#DIV/0!</v>
      </c>
      <c r="S306" s="35" t="e">
        <f>(S305-SUM(E304:E310))/SUM(E304:E310)</f>
        <v>#DIV/0!</v>
      </c>
      <c r="T306" s="48" t="e">
        <f>SUM(I304:I310)/SUM(K304:K310)</f>
        <v>#DIV/0!</v>
      </c>
      <c r="U306" s="1738"/>
    </row>
    <row r="307" spans="1:21">
      <c r="A307" s="10" t="s">
        <v>13</v>
      </c>
      <c r="B307" s="19">
        <f>CHAMNORD!B307</f>
        <v>46324</v>
      </c>
      <c r="C307" s="75" t="str">
        <f>IF(H307=0,"",'[9]2025-2026'!C306)</f>
        <v/>
      </c>
      <c r="D307" s="68" t="str">
        <f>'[9]2025'!C307</f>
        <v/>
      </c>
      <c r="E307" s="68" t="str">
        <f>'[9]2025'!D307</f>
        <v/>
      </c>
      <c r="F307" s="20" t="str">
        <f>'[9]2025'!E307</f>
        <v/>
      </c>
      <c r="G307" s="73" t="str">
        <f>'[9]2025'!F307</f>
        <v/>
      </c>
      <c r="H307" s="42">
        <f>'[9]2025'!G307</f>
        <v>0</v>
      </c>
      <c r="I307" s="13">
        <f>'[9]2025'!H307</f>
        <v>0</v>
      </c>
      <c r="J307" s="14">
        <f>'[9]2025'!I307</f>
        <v>0</v>
      </c>
      <c r="K307" s="15">
        <f>'[9]2025'!J307</f>
        <v>0</v>
      </c>
      <c r="L307" s="15">
        <f>'[9]2025'!K307</f>
        <v>0</v>
      </c>
      <c r="M307" s="15">
        <f>'[9]2025'!L307</f>
        <v>0</v>
      </c>
      <c r="N307" s="16" t="str">
        <f t="shared" si="16"/>
        <v/>
      </c>
      <c r="O307" s="17" t="str">
        <f t="shared" si="17"/>
        <v/>
      </c>
      <c r="P307" s="17" t="str">
        <f t="shared" si="17"/>
        <v/>
      </c>
      <c r="Q307" s="18" t="str">
        <f t="shared" si="18"/>
        <v/>
      </c>
      <c r="R307" s="18" t="e">
        <f t="shared" si="19"/>
        <v>#DIV/0!</v>
      </c>
      <c r="S307" s="34"/>
      <c r="T307" s="29" t="s">
        <v>8</v>
      </c>
      <c r="U307" s="1738"/>
    </row>
    <row r="308" spans="1:21">
      <c r="A308" s="10" t="s">
        <v>14</v>
      </c>
      <c r="B308" s="19">
        <f>CHAMNORD!B308</f>
        <v>46325</v>
      </c>
      <c r="C308" s="75" t="str">
        <f>IF(H308=0,"",'[9]2025-2026'!C307)</f>
        <v/>
      </c>
      <c r="D308" s="68" t="str">
        <f>'[9]2025'!C308</f>
        <v/>
      </c>
      <c r="E308" s="68" t="str">
        <f>'[9]2025'!D308</f>
        <v/>
      </c>
      <c r="F308" s="20" t="str">
        <f>'[9]2025'!E308</f>
        <v/>
      </c>
      <c r="G308" s="73" t="str">
        <f>'[9]2025'!F308</f>
        <v/>
      </c>
      <c r="H308" s="42">
        <f>'[9]2025'!G308</f>
        <v>0</v>
      </c>
      <c r="I308" s="13">
        <f>'[9]2025'!H308</f>
        <v>0</v>
      </c>
      <c r="J308" s="14">
        <f>'[9]2025'!I308</f>
        <v>0</v>
      </c>
      <c r="K308" s="15">
        <f>'[9]2025'!J308</f>
        <v>0</v>
      </c>
      <c r="L308" s="15">
        <f>'[9]2025'!K308</f>
        <v>0</v>
      </c>
      <c r="M308" s="15">
        <f>'[9]2025'!L308</f>
        <v>0</v>
      </c>
      <c r="N308" s="16" t="str">
        <f t="shared" si="16"/>
        <v/>
      </c>
      <c r="O308" s="17" t="str">
        <f t="shared" si="17"/>
        <v/>
      </c>
      <c r="P308" s="17" t="str">
        <f t="shared" si="17"/>
        <v/>
      </c>
      <c r="Q308" s="18" t="str">
        <f t="shared" si="18"/>
        <v/>
      </c>
      <c r="R308" s="18" t="e">
        <f t="shared" si="19"/>
        <v>#DIV/0!</v>
      </c>
      <c r="S308" s="36" t="s">
        <v>40</v>
      </c>
      <c r="T308" s="48" t="e">
        <f>SUM(I304:I310)/SUM(L304:L310)</f>
        <v>#DIV/0!</v>
      </c>
      <c r="U308" s="1738"/>
    </row>
    <row r="309" spans="1:21">
      <c r="A309" s="10" t="s">
        <v>15</v>
      </c>
      <c r="B309" s="19">
        <f>CHAMNORD!B309</f>
        <v>46326</v>
      </c>
      <c r="C309" s="75" t="str">
        <f>IF(H309=0,"",'[9]2025-2026'!C308)</f>
        <v/>
      </c>
      <c r="D309" s="68" t="str">
        <f>'[9]2025'!C309</f>
        <v/>
      </c>
      <c r="E309" s="68" t="str">
        <f>'[9]2025'!D309</f>
        <v/>
      </c>
      <c r="F309" s="20" t="str">
        <f>'[9]2025'!E309</f>
        <v/>
      </c>
      <c r="G309" s="73" t="str">
        <f>'[9]2025'!F309</f>
        <v/>
      </c>
      <c r="H309" s="42">
        <f>'[9]2025'!G309</f>
        <v>0</v>
      </c>
      <c r="I309" s="13">
        <f>'[9]2025'!H309</f>
        <v>0</v>
      </c>
      <c r="J309" s="14">
        <f>'[9]2025'!I309</f>
        <v>0</v>
      </c>
      <c r="K309" s="15">
        <f>'[9]2025'!J309</f>
        <v>0</v>
      </c>
      <c r="L309" s="15">
        <f>'[9]2025'!K309</f>
        <v>0</v>
      </c>
      <c r="M309" s="15">
        <f>'[9]2025'!L309</f>
        <v>0</v>
      </c>
      <c r="N309" s="16" t="str">
        <f t="shared" si="16"/>
        <v/>
      </c>
      <c r="O309" s="17" t="str">
        <f t="shared" si="17"/>
        <v/>
      </c>
      <c r="P309" s="17" t="str">
        <f t="shared" si="17"/>
        <v/>
      </c>
      <c r="Q309" s="18" t="str">
        <f t="shared" si="18"/>
        <v/>
      </c>
      <c r="R309" s="18" t="e">
        <f t="shared" si="19"/>
        <v>#DIV/0!</v>
      </c>
      <c r="S309" s="36">
        <f>SUM(J304:J310)</f>
        <v>0</v>
      </c>
      <c r="T309" s="30" t="s">
        <v>3</v>
      </c>
      <c r="U309" s="1738"/>
    </row>
    <row r="310" spans="1:21" ht="18" thickBot="1">
      <c r="A310" s="10" t="s">
        <v>16</v>
      </c>
      <c r="B310" s="19">
        <f>CHAMNORD!B310</f>
        <v>46327</v>
      </c>
      <c r="C310" s="75" t="str">
        <f>IF(H310=0,"",'[9]2025-2026'!C309)</f>
        <v/>
      </c>
      <c r="D310" s="68" t="str">
        <f>'[9]2025'!C310</f>
        <v/>
      </c>
      <c r="E310" s="68" t="str">
        <f>'[9]2025'!D310</f>
        <v/>
      </c>
      <c r="F310" s="20" t="str">
        <f>'[9]2025'!E310</f>
        <v/>
      </c>
      <c r="G310" s="73" t="str">
        <f>'[9]2025'!F310</f>
        <v/>
      </c>
      <c r="H310" s="42">
        <f>'[9]2025'!G310</f>
        <v>0</v>
      </c>
      <c r="I310" s="13">
        <f>'[9]2025'!H310</f>
        <v>0</v>
      </c>
      <c r="J310" s="14">
        <f>'[9]2025'!I310</f>
        <v>0</v>
      </c>
      <c r="K310" s="15">
        <f>'[9]2025'!J310</f>
        <v>0</v>
      </c>
      <c r="L310" s="15">
        <f>'[9]2025'!K310</f>
        <v>0</v>
      </c>
      <c r="M310" s="15">
        <f>'[9]2025'!L310</f>
        <v>0</v>
      </c>
      <c r="N310" s="16" t="str">
        <f t="shared" si="16"/>
        <v/>
      </c>
      <c r="O310" s="17" t="str">
        <f t="shared" si="17"/>
        <v/>
      </c>
      <c r="P310" s="17" t="str">
        <f t="shared" si="17"/>
        <v/>
      </c>
      <c r="Q310" s="18" t="str">
        <f t="shared" si="18"/>
        <v/>
      </c>
      <c r="R310" s="18" t="e">
        <f t="shared" si="19"/>
        <v>#DIV/0!</v>
      </c>
      <c r="S310" s="37" t="e">
        <f>(S309-SUM(F304:F310))/SUM(F304:F310)</f>
        <v>#DIV/0!</v>
      </c>
      <c r="T310" s="47" t="e">
        <f>SUM(M304:M310)/SUM(I304:I310)</f>
        <v>#DIV/0!</v>
      </c>
      <c r="U310" s="1739"/>
    </row>
    <row r="311" spans="1:21" ht="17" customHeight="1" thickTop="1">
      <c r="A311" s="10" t="s">
        <v>9</v>
      </c>
      <c r="B311" s="19">
        <f>CHAMNORD!B311</f>
        <v>46328</v>
      </c>
      <c r="C311" s="75" t="str">
        <f>IF(H311=0,"",'[9]2025-2026'!C310)</f>
        <v/>
      </c>
      <c r="D311" s="68" t="str">
        <f>'[9]2025'!C311</f>
        <v/>
      </c>
      <c r="E311" s="68" t="str">
        <f>'[9]2025'!D311</f>
        <v/>
      </c>
      <c r="F311" s="20" t="str">
        <f>'[9]2025'!E311</f>
        <v/>
      </c>
      <c r="G311" s="73" t="str">
        <f>'[9]2025'!F311</f>
        <v/>
      </c>
      <c r="H311" s="42">
        <f>'[9]2025'!G311</f>
        <v>0</v>
      </c>
      <c r="I311" s="13">
        <f>'[9]2025'!H311</f>
        <v>0</v>
      </c>
      <c r="J311" s="14">
        <f>'[9]2025'!I311</f>
        <v>0</v>
      </c>
      <c r="K311" s="15">
        <f>'[9]2025'!J311</f>
        <v>0</v>
      </c>
      <c r="L311" s="15">
        <f>'[9]2025'!K311</f>
        <v>0</v>
      </c>
      <c r="M311" s="15">
        <f>'[9]2025'!L311</f>
        <v>0</v>
      </c>
      <c r="N311" s="16" t="str">
        <f t="shared" si="16"/>
        <v/>
      </c>
      <c r="O311" s="17" t="str">
        <f t="shared" si="17"/>
        <v/>
      </c>
      <c r="P311" s="17" t="str">
        <f t="shared" si="17"/>
        <v/>
      </c>
      <c r="Q311" s="18" t="str">
        <f t="shared" si="18"/>
        <v/>
      </c>
      <c r="R311" s="18" t="e">
        <f t="shared" si="19"/>
        <v>#DIV/0!</v>
      </c>
      <c r="S311" s="33" t="s">
        <v>39</v>
      </c>
      <c r="T311" s="31" t="s">
        <v>42</v>
      </c>
      <c r="U311" s="1737" t="s">
        <v>127</v>
      </c>
    </row>
    <row r="312" spans="1:21">
      <c r="A312" s="10" t="s">
        <v>11</v>
      </c>
      <c r="B312" s="19">
        <f>CHAMNORD!B312</f>
        <v>46329</v>
      </c>
      <c r="C312" s="75" t="str">
        <f>IF(H312=0,"",'[9]2025-2026'!C311)</f>
        <v/>
      </c>
      <c r="D312" s="68" t="str">
        <f>'[9]2025'!C312</f>
        <v/>
      </c>
      <c r="E312" s="68" t="str">
        <f>'[9]2025'!D312</f>
        <v/>
      </c>
      <c r="F312" s="20" t="str">
        <f>'[9]2025'!E312</f>
        <v/>
      </c>
      <c r="G312" s="73" t="str">
        <f>'[9]2025'!F312</f>
        <v/>
      </c>
      <c r="H312" s="42">
        <f>'[9]2025'!G312</f>
        <v>0</v>
      </c>
      <c r="I312" s="13">
        <f>'[9]2025'!H312</f>
        <v>0</v>
      </c>
      <c r="J312" s="14">
        <f>'[9]2025'!I312</f>
        <v>0</v>
      </c>
      <c r="K312" s="15">
        <f>'[9]2025'!J312</f>
        <v>0</v>
      </c>
      <c r="L312" s="15">
        <f>'[9]2025'!K312</f>
        <v>0</v>
      </c>
      <c r="M312" s="15">
        <f>'[9]2025'!L312</f>
        <v>0</v>
      </c>
      <c r="N312" s="16" t="str">
        <f t="shared" si="16"/>
        <v/>
      </c>
      <c r="O312" s="17" t="str">
        <f t="shared" si="17"/>
        <v/>
      </c>
      <c r="P312" s="17" t="str">
        <f t="shared" si="17"/>
        <v/>
      </c>
      <c r="Q312" s="18" t="str">
        <f t="shared" si="18"/>
        <v/>
      </c>
      <c r="R312" s="18" t="e">
        <f t="shared" si="19"/>
        <v>#DIV/0!</v>
      </c>
      <c r="S312" s="34">
        <f>SUM(I311:I317)</f>
        <v>0</v>
      </c>
      <c r="T312" s="45" t="s">
        <v>41</v>
      </c>
      <c r="U312" s="1738"/>
    </row>
    <row r="313" spans="1:21">
      <c r="A313" s="10" t="s">
        <v>12</v>
      </c>
      <c r="B313" s="19">
        <f>CHAMNORD!B313</f>
        <v>46330</v>
      </c>
      <c r="C313" s="75" t="str">
        <f>IF(H313=0,"",'[9]2025-2026'!C312)</f>
        <v/>
      </c>
      <c r="D313" s="68" t="str">
        <f>'[9]2025'!C313</f>
        <v/>
      </c>
      <c r="E313" s="68" t="str">
        <f>'[9]2025'!D313</f>
        <v/>
      </c>
      <c r="F313" s="20" t="str">
        <f>'[9]2025'!E313</f>
        <v/>
      </c>
      <c r="G313" s="73" t="str">
        <f>'[9]2025'!F313</f>
        <v/>
      </c>
      <c r="H313" s="42">
        <f>'[9]2025'!G313</f>
        <v>0</v>
      </c>
      <c r="I313" s="13">
        <f>'[9]2025'!H313</f>
        <v>0</v>
      </c>
      <c r="J313" s="14">
        <f>'[9]2025'!I313</f>
        <v>0</v>
      </c>
      <c r="K313" s="15">
        <f>'[9]2025'!J313</f>
        <v>0</v>
      </c>
      <c r="L313" s="15">
        <f>'[9]2025'!K313</f>
        <v>0</v>
      </c>
      <c r="M313" s="15">
        <f>'[9]2025'!L313</f>
        <v>0</v>
      </c>
      <c r="N313" s="16" t="str">
        <f t="shared" si="16"/>
        <v/>
      </c>
      <c r="O313" s="17" t="str">
        <f t="shared" si="17"/>
        <v/>
      </c>
      <c r="P313" s="17" t="str">
        <f t="shared" si="17"/>
        <v/>
      </c>
      <c r="Q313" s="18" t="str">
        <f t="shared" si="18"/>
        <v/>
      </c>
      <c r="R313" s="18" t="e">
        <f t="shared" si="19"/>
        <v>#DIV/0!</v>
      </c>
      <c r="S313" s="35" t="e">
        <f>(S312-SUM(E311:E317))/SUM(E311:E317)</f>
        <v>#DIV/0!</v>
      </c>
      <c r="T313" s="48" t="e">
        <f>SUM(I311:I317)/SUM(K311:K317)</f>
        <v>#DIV/0!</v>
      </c>
      <c r="U313" s="1738"/>
    </row>
    <row r="314" spans="1:21">
      <c r="A314" s="10" t="s">
        <v>13</v>
      </c>
      <c r="B314" s="19">
        <f>CHAMNORD!B314</f>
        <v>46331</v>
      </c>
      <c r="C314" s="75" t="str">
        <f>IF(H314=0,"",'[9]2025-2026'!C313)</f>
        <v/>
      </c>
      <c r="D314" s="68" t="str">
        <f>'[9]2025'!C314</f>
        <v/>
      </c>
      <c r="E314" s="68" t="str">
        <f>'[9]2025'!D314</f>
        <v/>
      </c>
      <c r="F314" s="20" t="str">
        <f>'[9]2025'!E314</f>
        <v/>
      </c>
      <c r="G314" s="73" t="str">
        <f>'[9]2025'!F314</f>
        <v/>
      </c>
      <c r="H314" s="42">
        <f>'[9]2025'!G314</f>
        <v>0</v>
      </c>
      <c r="I314" s="13">
        <f>'[9]2025'!H314</f>
        <v>0</v>
      </c>
      <c r="J314" s="14">
        <f>'[9]2025'!I314</f>
        <v>0</v>
      </c>
      <c r="K314" s="15">
        <f>'[9]2025'!J314</f>
        <v>0</v>
      </c>
      <c r="L314" s="15">
        <f>'[9]2025'!K314</f>
        <v>0</v>
      </c>
      <c r="M314" s="15">
        <f>'[9]2025'!L314</f>
        <v>0</v>
      </c>
      <c r="N314" s="16" t="str">
        <f t="shared" si="16"/>
        <v/>
      </c>
      <c r="O314" s="17" t="str">
        <f t="shared" si="17"/>
        <v/>
      </c>
      <c r="P314" s="17" t="str">
        <f t="shared" si="17"/>
        <v/>
      </c>
      <c r="Q314" s="18" t="str">
        <f t="shared" si="18"/>
        <v/>
      </c>
      <c r="R314" s="18" t="e">
        <f t="shared" si="19"/>
        <v>#DIV/0!</v>
      </c>
      <c r="S314" s="34"/>
      <c r="T314" s="29" t="s">
        <v>8</v>
      </c>
      <c r="U314" s="1738"/>
    </row>
    <row r="315" spans="1:21">
      <c r="A315" s="10" t="s">
        <v>14</v>
      </c>
      <c r="B315" s="19">
        <f>CHAMNORD!B315</f>
        <v>46332</v>
      </c>
      <c r="C315" s="75" t="str">
        <f>IF(H315=0,"",'[9]2025-2026'!C314)</f>
        <v/>
      </c>
      <c r="D315" s="68" t="str">
        <f>'[9]2025'!C315</f>
        <v/>
      </c>
      <c r="E315" s="68" t="str">
        <f>'[9]2025'!D315</f>
        <v/>
      </c>
      <c r="F315" s="20" t="str">
        <f>'[9]2025'!E315</f>
        <v/>
      </c>
      <c r="G315" s="73" t="str">
        <f>'[9]2025'!F315</f>
        <v/>
      </c>
      <c r="H315" s="42">
        <f>'[9]2025'!G315</f>
        <v>0</v>
      </c>
      <c r="I315" s="13">
        <f>'[9]2025'!H315</f>
        <v>0</v>
      </c>
      <c r="J315" s="14">
        <f>'[9]2025'!I315</f>
        <v>0</v>
      </c>
      <c r="K315" s="15">
        <f>'[9]2025'!J315</f>
        <v>0</v>
      </c>
      <c r="L315" s="15">
        <f>'[9]2025'!K315</f>
        <v>0</v>
      </c>
      <c r="M315" s="15">
        <f>'[9]2025'!L315</f>
        <v>0</v>
      </c>
      <c r="N315" s="16" t="str">
        <f t="shared" si="16"/>
        <v/>
      </c>
      <c r="O315" s="17" t="str">
        <f t="shared" si="17"/>
        <v/>
      </c>
      <c r="P315" s="17" t="str">
        <f t="shared" si="17"/>
        <v/>
      </c>
      <c r="Q315" s="18" t="str">
        <f t="shared" si="18"/>
        <v/>
      </c>
      <c r="R315" s="18" t="e">
        <f t="shared" si="19"/>
        <v>#DIV/0!</v>
      </c>
      <c r="S315" s="36" t="s">
        <v>40</v>
      </c>
      <c r="T315" s="48" t="e">
        <f>SUM(I311:I317)/SUM(L311:L317)</f>
        <v>#DIV/0!</v>
      </c>
      <c r="U315" s="1738"/>
    </row>
    <row r="316" spans="1:21">
      <c r="A316" s="10" t="s">
        <v>15</v>
      </c>
      <c r="B316" s="19">
        <f>CHAMNORD!B316</f>
        <v>46333</v>
      </c>
      <c r="C316" s="75" t="str">
        <f>IF(H316=0,"",'[9]2025-2026'!C315)</f>
        <v/>
      </c>
      <c r="D316" s="68" t="str">
        <f>'[9]2025'!C316</f>
        <v/>
      </c>
      <c r="E316" s="68" t="str">
        <f>'[9]2025'!D316</f>
        <v/>
      </c>
      <c r="F316" s="20" t="str">
        <f>'[9]2025'!E316</f>
        <v/>
      </c>
      <c r="G316" s="73" t="str">
        <f>'[9]2025'!F316</f>
        <v/>
      </c>
      <c r="H316" s="42">
        <f>'[9]2025'!G316</f>
        <v>0</v>
      </c>
      <c r="I316" s="13">
        <f>'[9]2025'!H316</f>
        <v>0</v>
      </c>
      <c r="J316" s="14">
        <f>'[9]2025'!I316</f>
        <v>0</v>
      </c>
      <c r="K316" s="15">
        <f>'[9]2025'!J316</f>
        <v>0</v>
      </c>
      <c r="L316" s="15">
        <f>'[9]2025'!K316</f>
        <v>0</v>
      </c>
      <c r="M316" s="15">
        <f>'[9]2025'!L316</f>
        <v>0</v>
      </c>
      <c r="N316" s="16" t="str">
        <f t="shared" si="16"/>
        <v/>
      </c>
      <c r="O316" s="17" t="str">
        <f t="shared" si="17"/>
        <v/>
      </c>
      <c r="P316" s="17" t="str">
        <f t="shared" si="17"/>
        <v/>
      </c>
      <c r="Q316" s="18" t="str">
        <f t="shared" si="18"/>
        <v/>
      </c>
      <c r="R316" s="18" t="e">
        <f t="shared" si="19"/>
        <v>#DIV/0!</v>
      </c>
      <c r="S316" s="36">
        <f>SUM(J311:J317)</f>
        <v>0</v>
      </c>
      <c r="T316" s="30" t="s">
        <v>3</v>
      </c>
      <c r="U316" s="1738"/>
    </row>
    <row r="317" spans="1:21" ht="18" thickBot="1">
      <c r="A317" s="10" t="s">
        <v>16</v>
      </c>
      <c r="B317" s="19">
        <f>CHAMNORD!B317</f>
        <v>46334</v>
      </c>
      <c r="C317" s="75" t="str">
        <f>IF(H317=0,"",'[9]2025-2026'!C316)</f>
        <v/>
      </c>
      <c r="D317" s="68" t="str">
        <f>'[9]2025'!C317</f>
        <v/>
      </c>
      <c r="E317" s="68" t="str">
        <f>'[9]2025'!D317</f>
        <v/>
      </c>
      <c r="F317" s="20" t="str">
        <f>'[9]2025'!E317</f>
        <v/>
      </c>
      <c r="G317" s="73" t="str">
        <f>'[9]2025'!F317</f>
        <v/>
      </c>
      <c r="H317" s="42">
        <f>'[9]2025'!G317</f>
        <v>0</v>
      </c>
      <c r="I317" s="13">
        <f>'[9]2025'!H317</f>
        <v>0</v>
      </c>
      <c r="J317" s="14">
        <f>'[9]2025'!I317</f>
        <v>0</v>
      </c>
      <c r="K317" s="15">
        <f>'[9]2025'!J317</f>
        <v>0</v>
      </c>
      <c r="L317" s="15">
        <f>'[9]2025'!K317</f>
        <v>0</v>
      </c>
      <c r="M317" s="15">
        <f>'[9]2025'!L317</f>
        <v>0</v>
      </c>
      <c r="N317" s="16" t="str">
        <f t="shared" si="16"/>
        <v/>
      </c>
      <c r="O317" s="17" t="str">
        <f t="shared" si="17"/>
        <v/>
      </c>
      <c r="P317" s="17" t="str">
        <f t="shared" si="17"/>
        <v/>
      </c>
      <c r="Q317" s="18" t="str">
        <f t="shared" si="18"/>
        <v/>
      </c>
      <c r="R317" s="18" t="e">
        <f t="shared" si="19"/>
        <v>#DIV/0!</v>
      </c>
      <c r="S317" s="37" t="e">
        <f>(S316-SUM(F311:F317))/SUM(F311:F317)</f>
        <v>#DIV/0!</v>
      </c>
      <c r="T317" s="47" t="e">
        <f>SUM(M311:M317)/SUM(I311:I317)</f>
        <v>#DIV/0!</v>
      </c>
      <c r="U317" s="1739"/>
    </row>
    <row r="318" spans="1:21" ht="17" customHeight="1" thickTop="1">
      <c r="A318" s="10" t="s">
        <v>9</v>
      </c>
      <c r="B318" s="19">
        <f>CHAMNORD!B318</f>
        <v>46335</v>
      </c>
      <c r="C318" s="75" t="str">
        <f>IF(H318=0,"",'[9]2025-2026'!C317)</f>
        <v/>
      </c>
      <c r="D318" s="68" t="str">
        <f>'[9]2025'!C318</f>
        <v/>
      </c>
      <c r="E318" s="68" t="str">
        <f>'[9]2025'!D318</f>
        <v/>
      </c>
      <c r="F318" s="20" t="str">
        <f>'[9]2025'!E318</f>
        <v/>
      </c>
      <c r="G318" s="73" t="str">
        <f>'[9]2025'!F318</f>
        <v/>
      </c>
      <c r="H318" s="42">
        <f>'[9]2025'!G318</f>
        <v>0</v>
      </c>
      <c r="I318" s="13">
        <f>'[9]2025'!H318</f>
        <v>0</v>
      </c>
      <c r="J318" s="14">
        <f>'[9]2025'!I318</f>
        <v>0</v>
      </c>
      <c r="K318" s="15">
        <f>'[9]2025'!J318</f>
        <v>0</v>
      </c>
      <c r="L318" s="15">
        <f>'[9]2025'!K318</f>
        <v>0</v>
      </c>
      <c r="M318" s="15">
        <f>'[9]2025'!L318</f>
        <v>0</v>
      </c>
      <c r="N318" s="16" t="str">
        <f t="shared" si="16"/>
        <v/>
      </c>
      <c r="O318" s="17" t="str">
        <f t="shared" si="17"/>
        <v/>
      </c>
      <c r="P318" s="17" t="str">
        <f t="shared" si="17"/>
        <v/>
      </c>
      <c r="Q318" s="18" t="str">
        <f t="shared" si="18"/>
        <v/>
      </c>
      <c r="R318" s="18" t="e">
        <f t="shared" si="19"/>
        <v>#DIV/0!</v>
      </c>
      <c r="S318" s="33" t="s">
        <v>39</v>
      </c>
      <c r="T318" s="31" t="s">
        <v>42</v>
      </c>
      <c r="U318" s="1737" t="s">
        <v>128</v>
      </c>
    </row>
    <row r="319" spans="1:21">
      <c r="A319" s="10" t="s">
        <v>11</v>
      </c>
      <c r="B319" s="19">
        <f>CHAMNORD!B319</f>
        <v>46336</v>
      </c>
      <c r="C319" s="75" t="str">
        <f>IF(H319=0,"",'[9]2025-2026'!C318)</f>
        <v/>
      </c>
      <c r="D319" s="68" t="str">
        <f>'[9]2025'!C319</f>
        <v/>
      </c>
      <c r="E319" s="68" t="str">
        <f>'[9]2025'!D319</f>
        <v/>
      </c>
      <c r="F319" s="20" t="str">
        <f>'[9]2025'!E319</f>
        <v/>
      </c>
      <c r="G319" s="73" t="str">
        <f>'[9]2025'!F319</f>
        <v/>
      </c>
      <c r="H319" s="42">
        <f>'[9]2025'!G319</f>
        <v>0</v>
      </c>
      <c r="I319" s="13">
        <f>'[9]2025'!H319</f>
        <v>0</v>
      </c>
      <c r="J319" s="14">
        <f>'[9]2025'!I319</f>
        <v>0</v>
      </c>
      <c r="K319" s="15">
        <f>'[9]2025'!J319</f>
        <v>0</v>
      </c>
      <c r="L319" s="15">
        <f>'[9]2025'!K319</f>
        <v>0</v>
      </c>
      <c r="M319" s="15">
        <f>'[9]2025'!L319</f>
        <v>0</v>
      </c>
      <c r="N319" s="16" t="str">
        <f t="shared" si="16"/>
        <v/>
      </c>
      <c r="O319" s="17" t="str">
        <f t="shared" si="17"/>
        <v/>
      </c>
      <c r="P319" s="17" t="str">
        <f t="shared" si="17"/>
        <v/>
      </c>
      <c r="Q319" s="18" t="str">
        <f t="shared" si="18"/>
        <v/>
      </c>
      <c r="R319" s="18" t="e">
        <f t="shared" si="19"/>
        <v>#DIV/0!</v>
      </c>
      <c r="S319" s="34">
        <f>SUM(I318:I324)</f>
        <v>0</v>
      </c>
      <c r="T319" s="45" t="s">
        <v>41</v>
      </c>
      <c r="U319" s="1738"/>
    </row>
    <row r="320" spans="1:21">
      <c r="A320" s="10" t="s">
        <v>12</v>
      </c>
      <c r="B320" s="19">
        <f>CHAMNORD!B320</f>
        <v>46337</v>
      </c>
      <c r="C320" s="75" t="str">
        <f>IF(H320=0,"",'[9]2025-2026'!C319)</f>
        <v/>
      </c>
      <c r="D320" s="68" t="str">
        <f>'[9]2025'!C320</f>
        <v/>
      </c>
      <c r="E320" s="68" t="str">
        <f>'[9]2025'!D320</f>
        <v/>
      </c>
      <c r="F320" s="20" t="str">
        <f>'[9]2025'!E320</f>
        <v/>
      </c>
      <c r="G320" s="73" t="str">
        <f>'[9]2025'!F320</f>
        <v/>
      </c>
      <c r="H320" s="42">
        <f>'[9]2025'!G320</f>
        <v>0</v>
      </c>
      <c r="I320" s="13">
        <f>'[9]2025'!H320</f>
        <v>0</v>
      </c>
      <c r="J320" s="14">
        <f>'[9]2025'!I320</f>
        <v>0</v>
      </c>
      <c r="K320" s="15">
        <f>'[9]2025'!J320</f>
        <v>0</v>
      </c>
      <c r="L320" s="15">
        <f>'[9]2025'!K320</f>
        <v>0</v>
      </c>
      <c r="M320" s="15">
        <f>'[9]2025'!L320</f>
        <v>0</v>
      </c>
      <c r="N320" s="16" t="str">
        <f t="shared" si="16"/>
        <v/>
      </c>
      <c r="O320" s="17" t="str">
        <f t="shared" si="17"/>
        <v/>
      </c>
      <c r="P320" s="17" t="str">
        <f t="shared" si="17"/>
        <v/>
      </c>
      <c r="Q320" s="18" t="str">
        <f t="shared" si="18"/>
        <v/>
      </c>
      <c r="R320" s="18" t="e">
        <f t="shared" si="19"/>
        <v>#DIV/0!</v>
      </c>
      <c r="S320" s="35" t="e">
        <f>(S319-SUM(E318:E324))/SUM(E318:E324)</f>
        <v>#DIV/0!</v>
      </c>
      <c r="T320" s="48" t="e">
        <f>SUM(I318:I324)/SUM(K318:K324)</f>
        <v>#DIV/0!</v>
      </c>
      <c r="U320" s="1738"/>
    </row>
    <row r="321" spans="1:21">
      <c r="A321" s="10" t="s">
        <v>13</v>
      </c>
      <c r="B321" s="19">
        <f>CHAMNORD!B321</f>
        <v>46338</v>
      </c>
      <c r="C321" s="75" t="str">
        <f>IF(H321=0,"",'[9]2025-2026'!C320)</f>
        <v/>
      </c>
      <c r="D321" s="68" t="str">
        <f>'[9]2025'!C321</f>
        <v/>
      </c>
      <c r="E321" s="68" t="str">
        <f>'[9]2025'!D321</f>
        <v/>
      </c>
      <c r="F321" s="20" t="str">
        <f>'[9]2025'!E321</f>
        <v/>
      </c>
      <c r="G321" s="73" t="str">
        <f>'[9]2025'!F321</f>
        <v/>
      </c>
      <c r="H321" s="42">
        <f>'[9]2025'!G321</f>
        <v>0</v>
      </c>
      <c r="I321" s="13">
        <f>'[9]2025'!H321</f>
        <v>0</v>
      </c>
      <c r="J321" s="14">
        <f>'[9]2025'!I321</f>
        <v>0</v>
      </c>
      <c r="K321" s="15">
        <f>'[9]2025'!J321</f>
        <v>0</v>
      </c>
      <c r="L321" s="15">
        <f>'[9]2025'!K321</f>
        <v>0</v>
      </c>
      <c r="M321" s="15">
        <f>'[9]2025'!L321</f>
        <v>0</v>
      </c>
      <c r="N321" s="16" t="str">
        <f t="shared" si="16"/>
        <v/>
      </c>
      <c r="O321" s="17" t="str">
        <f t="shared" si="17"/>
        <v/>
      </c>
      <c r="P321" s="17" t="str">
        <f t="shared" si="17"/>
        <v/>
      </c>
      <c r="Q321" s="18" t="str">
        <f t="shared" si="18"/>
        <v/>
      </c>
      <c r="R321" s="18" t="e">
        <f t="shared" si="19"/>
        <v>#DIV/0!</v>
      </c>
      <c r="S321" s="34"/>
      <c r="T321" s="29" t="s">
        <v>8</v>
      </c>
      <c r="U321" s="1738"/>
    </row>
    <row r="322" spans="1:21">
      <c r="A322" s="10" t="s">
        <v>14</v>
      </c>
      <c r="B322" s="19">
        <f>CHAMNORD!B322</f>
        <v>46339</v>
      </c>
      <c r="C322" s="75" t="str">
        <f>IF(H322=0,"",'[9]2025-2026'!C321)</f>
        <v/>
      </c>
      <c r="D322" s="68" t="str">
        <f>'[9]2025'!C322</f>
        <v/>
      </c>
      <c r="E322" s="68" t="str">
        <f>'[9]2025'!D322</f>
        <v/>
      </c>
      <c r="F322" s="20" t="str">
        <f>'[9]2025'!E322</f>
        <v/>
      </c>
      <c r="G322" s="73" t="str">
        <f>'[9]2025'!F322</f>
        <v/>
      </c>
      <c r="H322" s="42">
        <f>'[9]2025'!G322</f>
        <v>0</v>
      </c>
      <c r="I322" s="13">
        <f>'[9]2025'!H322</f>
        <v>0</v>
      </c>
      <c r="J322" s="14">
        <f>'[9]2025'!I322</f>
        <v>0</v>
      </c>
      <c r="K322" s="15">
        <f>'[9]2025'!J322</f>
        <v>0</v>
      </c>
      <c r="L322" s="15">
        <f>'[9]2025'!K322</f>
        <v>0</v>
      </c>
      <c r="M322" s="15">
        <f>'[9]2025'!L322</f>
        <v>0</v>
      </c>
      <c r="N322" s="16" t="str">
        <f t="shared" si="16"/>
        <v/>
      </c>
      <c r="O322" s="17" t="str">
        <f t="shared" si="17"/>
        <v/>
      </c>
      <c r="P322" s="17" t="str">
        <f t="shared" si="17"/>
        <v/>
      </c>
      <c r="Q322" s="18" t="str">
        <f t="shared" si="18"/>
        <v/>
      </c>
      <c r="R322" s="18" t="e">
        <f t="shared" si="19"/>
        <v>#DIV/0!</v>
      </c>
      <c r="S322" s="36" t="s">
        <v>40</v>
      </c>
      <c r="T322" s="48" t="e">
        <f>SUM(I318:I324)/SUM(L318:L324)</f>
        <v>#DIV/0!</v>
      </c>
      <c r="U322" s="1738"/>
    </row>
    <row r="323" spans="1:21">
      <c r="A323" s="10" t="s">
        <v>15</v>
      </c>
      <c r="B323" s="19">
        <f>CHAMNORD!B323</f>
        <v>46340</v>
      </c>
      <c r="C323" s="75" t="str">
        <f>IF(H323=0,"",'[9]2025-2026'!C322)</f>
        <v/>
      </c>
      <c r="D323" s="68" t="str">
        <f>'[9]2025'!C323</f>
        <v/>
      </c>
      <c r="E323" s="68" t="str">
        <f>'[9]2025'!D323</f>
        <v/>
      </c>
      <c r="F323" s="20" t="str">
        <f>'[9]2025'!E323</f>
        <v/>
      </c>
      <c r="G323" s="73" t="str">
        <f>'[9]2025'!F323</f>
        <v/>
      </c>
      <c r="H323" s="42">
        <f>'[9]2025'!G323</f>
        <v>0</v>
      </c>
      <c r="I323" s="13">
        <f>'[9]2025'!H323</f>
        <v>0</v>
      </c>
      <c r="J323" s="14">
        <f>'[9]2025'!I323</f>
        <v>0</v>
      </c>
      <c r="K323" s="15">
        <f>'[9]2025'!J323</f>
        <v>0</v>
      </c>
      <c r="L323" s="15">
        <f>'[9]2025'!K323</f>
        <v>0</v>
      </c>
      <c r="M323" s="15">
        <f>'[9]2025'!L323</f>
        <v>0</v>
      </c>
      <c r="N323" s="16" t="str">
        <f t="shared" si="16"/>
        <v/>
      </c>
      <c r="O323" s="17" t="str">
        <f t="shared" si="17"/>
        <v/>
      </c>
      <c r="P323" s="17" t="str">
        <f t="shared" si="17"/>
        <v/>
      </c>
      <c r="Q323" s="18" t="str">
        <f t="shared" si="18"/>
        <v/>
      </c>
      <c r="R323" s="18" t="e">
        <f t="shared" si="19"/>
        <v>#DIV/0!</v>
      </c>
      <c r="S323" s="36">
        <f>SUM(J318:J324)</f>
        <v>0</v>
      </c>
      <c r="T323" s="30" t="s">
        <v>3</v>
      </c>
      <c r="U323" s="1738"/>
    </row>
    <row r="324" spans="1:21" ht="18" thickBot="1">
      <c r="A324" s="10" t="s">
        <v>16</v>
      </c>
      <c r="B324" s="19">
        <f>CHAMNORD!B324</f>
        <v>46341</v>
      </c>
      <c r="C324" s="75" t="str">
        <f>IF(H324=0,"",'[9]2025-2026'!C323)</f>
        <v/>
      </c>
      <c r="D324" s="68" t="str">
        <f>'[9]2025'!C324</f>
        <v/>
      </c>
      <c r="E324" s="68" t="str">
        <f>'[9]2025'!D324</f>
        <v/>
      </c>
      <c r="F324" s="20" t="str">
        <f>'[9]2025'!E324</f>
        <v/>
      </c>
      <c r="G324" s="73" t="str">
        <f>'[9]2025'!F324</f>
        <v/>
      </c>
      <c r="H324" s="42">
        <f>'[9]2025'!G324</f>
        <v>0</v>
      </c>
      <c r="I324" s="13">
        <f>'[9]2025'!H324</f>
        <v>0</v>
      </c>
      <c r="J324" s="14">
        <f>'[9]2025'!I324</f>
        <v>0</v>
      </c>
      <c r="K324" s="15">
        <f>'[9]2025'!J324</f>
        <v>0</v>
      </c>
      <c r="L324" s="15">
        <f>'[9]2025'!K324</f>
        <v>0</v>
      </c>
      <c r="M324" s="15">
        <f>'[9]2025'!L324</f>
        <v>0</v>
      </c>
      <c r="N324" s="16" t="str">
        <f t="shared" ref="N324:N368" si="20">IF(M324=0,"",M324/I324)</f>
        <v/>
      </c>
      <c r="O324" s="17" t="str">
        <f t="shared" ref="O324:P368" si="21">IF(I324=0,"",(I324-E324)/E324)</f>
        <v/>
      </c>
      <c r="P324" s="17" t="str">
        <f t="shared" si="21"/>
        <v/>
      </c>
      <c r="Q324" s="18" t="str">
        <f t="shared" ref="Q324:Q368" si="22">IF(I324=0,"",I324/K324)</f>
        <v/>
      </c>
      <c r="R324" s="18" t="e">
        <f t="shared" ref="R324:R368" si="23">I324/L324</f>
        <v>#DIV/0!</v>
      </c>
      <c r="S324" s="37" t="e">
        <f>(S323-SUM(F318:F324))/SUM(F318:F324)</f>
        <v>#DIV/0!</v>
      </c>
      <c r="T324" s="47" t="e">
        <f>SUM(M318:M324)/SUM(I318:I324)</f>
        <v>#DIV/0!</v>
      </c>
      <c r="U324" s="1739"/>
    </row>
    <row r="325" spans="1:21" ht="17" customHeight="1" thickTop="1">
      <c r="A325" s="10" t="s">
        <v>9</v>
      </c>
      <c r="B325" s="19">
        <f>CHAMNORD!B325</f>
        <v>46342</v>
      </c>
      <c r="C325" s="75" t="str">
        <f>IF(H325=0,"",'[9]2025-2026'!C324)</f>
        <v/>
      </c>
      <c r="D325" s="68" t="str">
        <f>'[9]2025'!C325</f>
        <v/>
      </c>
      <c r="E325" s="68" t="str">
        <f>'[9]2025'!D325</f>
        <v/>
      </c>
      <c r="F325" s="20" t="str">
        <f>'[9]2025'!E325</f>
        <v/>
      </c>
      <c r="G325" s="73" t="str">
        <f>'[9]2025'!F325</f>
        <v/>
      </c>
      <c r="H325" s="42">
        <f>'[9]2025'!G325</f>
        <v>0</v>
      </c>
      <c r="I325" s="13">
        <f>'[9]2025'!H325</f>
        <v>0</v>
      </c>
      <c r="J325" s="14">
        <f>'[9]2025'!I325</f>
        <v>0</v>
      </c>
      <c r="K325" s="15">
        <f>'[9]2025'!J325</f>
        <v>0</v>
      </c>
      <c r="L325" s="15">
        <f>'[9]2025'!K325</f>
        <v>0</v>
      </c>
      <c r="M325" s="15">
        <f>'[9]2025'!L325</f>
        <v>0</v>
      </c>
      <c r="N325" s="16" t="str">
        <f t="shared" si="20"/>
        <v/>
      </c>
      <c r="O325" s="17" t="str">
        <f t="shared" si="21"/>
        <v/>
      </c>
      <c r="P325" s="17" t="str">
        <f t="shared" si="21"/>
        <v/>
      </c>
      <c r="Q325" s="18" t="str">
        <f t="shared" si="22"/>
        <v/>
      </c>
      <c r="R325" s="18" t="e">
        <f t="shared" si="23"/>
        <v>#DIV/0!</v>
      </c>
      <c r="S325" s="33" t="s">
        <v>39</v>
      </c>
      <c r="T325" s="31" t="s">
        <v>42</v>
      </c>
      <c r="U325" s="1737" t="s">
        <v>129</v>
      </c>
    </row>
    <row r="326" spans="1:21">
      <c r="A326" s="10" t="s">
        <v>11</v>
      </c>
      <c r="B326" s="19">
        <f>CHAMNORD!B326</f>
        <v>46343</v>
      </c>
      <c r="C326" s="75" t="str">
        <f>IF(H326=0,"",'[9]2025-2026'!C325)</f>
        <v/>
      </c>
      <c r="D326" s="68" t="str">
        <f>'[9]2025'!C326</f>
        <v/>
      </c>
      <c r="E326" s="68" t="str">
        <f>'[9]2025'!D326</f>
        <v/>
      </c>
      <c r="F326" s="20" t="str">
        <f>'[9]2025'!E326</f>
        <v/>
      </c>
      <c r="G326" s="73" t="str">
        <f>'[9]2025'!F326</f>
        <v/>
      </c>
      <c r="H326" s="42">
        <f>'[9]2025'!G326</f>
        <v>0</v>
      </c>
      <c r="I326" s="13">
        <f>'[9]2025'!H326</f>
        <v>0</v>
      </c>
      <c r="J326" s="14">
        <f>'[9]2025'!I326</f>
        <v>0</v>
      </c>
      <c r="K326" s="15">
        <f>'[9]2025'!J326</f>
        <v>0</v>
      </c>
      <c r="L326" s="15">
        <f>'[9]2025'!K326</f>
        <v>0</v>
      </c>
      <c r="M326" s="15">
        <f>'[9]2025'!L326</f>
        <v>0</v>
      </c>
      <c r="N326" s="16" t="str">
        <f t="shared" si="20"/>
        <v/>
      </c>
      <c r="O326" s="17" t="str">
        <f t="shared" si="21"/>
        <v/>
      </c>
      <c r="P326" s="17" t="str">
        <f t="shared" si="21"/>
        <v/>
      </c>
      <c r="Q326" s="18" t="str">
        <f t="shared" si="22"/>
        <v/>
      </c>
      <c r="R326" s="18" t="e">
        <f t="shared" si="23"/>
        <v>#DIV/0!</v>
      </c>
      <c r="S326" s="34">
        <f>SUM(I325:I331)</f>
        <v>0</v>
      </c>
      <c r="T326" s="45" t="s">
        <v>41</v>
      </c>
      <c r="U326" s="1738"/>
    </row>
    <row r="327" spans="1:21">
      <c r="A327" s="10" t="s">
        <v>12</v>
      </c>
      <c r="B327" s="19">
        <f>CHAMNORD!B327</f>
        <v>46344</v>
      </c>
      <c r="C327" s="75" t="str">
        <f>IF(H327=0,"",'[9]2025-2026'!C326)</f>
        <v/>
      </c>
      <c r="D327" s="68" t="str">
        <f>'[9]2025'!C327</f>
        <v/>
      </c>
      <c r="E327" s="68" t="str">
        <f>'[9]2025'!D327</f>
        <v/>
      </c>
      <c r="F327" s="20" t="str">
        <f>'[9]2025'!E327</f>
        <v/>
      </c>
      <c r="G327" s="73" t="str">
        <f>'[9]2025'!F327</f>
        <v/>
      </c>
      <c r="H327" s="42">
        <f>'[9]2025'!G327</f>
        <v>0</v>
      </c>
      <c r="I327" s="13">
        <f>'[9]2025'!H327</f>
        <v>0</v>
      </c>
      <c r="J327" s="14">
        <f>'[9]2025'!I327</f>
        <v>0</v>
      </c>
      <c r="K327" s="15">
        <f>'[9]2025'!J327</f>
        <v>0</v>
      </c>
      <c r="L327" s="15">
        <f>'[9]2025'!K327</f>
        <v>0</v>
      </c>
      <c r="M327" s="15">
        <f>'[9]2025'!L327</f>
        <v>0</v>
      </c>
      <c r="N327" s="16" t="str">
        <f t="shared" si="20"/>
        <v/>
      </c>
      <c r="O327" s="17" t="str">
        <f t="shared" si="21"/>
        <v/>
      </c>
      <c r="P327" s="17" t="str">
        <f t="shared" si="21"/>
        <v/>
      </c>
      <c r="Q327" s="18" t="str">
        <f t="shared" si="22"/>
        <v/>
      </c>
      <c r="R327" s="18" t="e">
        <f t="shared" si="23"/>
        <v>#DIV/0!</v>
      </c>
      <c r="S327" s="35" t="e">
        <f>(S326-SUM(E325:E331))/SUM(E325:E331)</f>
        <v>#DIV/0!</v>
      </c>
      <c r="T327" s="48" t="e">
        <f>SUM(I325:I331)/SUM(K325:K331)</f>
        <v>#DIV/0!</v>
      </c>
      <c r="U327" s="1738"/>
    </row>
    <row r="328" spans="1:21">
      <c r="A328" s="10" t="s">
        <v>13</v>
      </c>
      <c r="B328" s="19">
        <f>CHAMNORD!B328</f>
        <v>46345</v>
      </c>
      <c r="C328" s="75" t="str">
        <f>IF(H328=0,"",'[9]2025-2026'!C327)</f>
        <v/>
      </c>
      <c r="D328" s="68" t="str">
        <f>'[9]2025'!C328</f>
        <v/>
      </c>
      <c r="E328" s="68" t="str">
        <f>'[9]2025'!D328</f>
        <v/>
      </c>
      <c r="F328" s="20" t="str">
        <f>'[9]2025'!E328</f>
        <v/>
      </c>
      <c r="G328" s="73" t="str">
        <f>'[9]2025'!F328</f>
        <v/>
      </c>
      <c r="H328" s="42">
        <f>'[9]2025'!G328</f>
        <v>0</v>
      </c>
      <c r="I328" s="13">
        <f>'[9]2025'!H328</f>
        <v>0</v>
      </c>
      <c r="J328" s="14">
        <f>'[9]2025'!I328</f>
        <v>0</v>
      </c>
      <c r="K328" s="15">
        <f>'[9]2025'!J328</f>
        <v>0</v>
      </c>
      <c r="L328" s="15">
        <f>'[9]2025'!K328</f>
        <v>0</v>
      </c>
      <c r="M328" s="15">
        <f>'[9]2025'!L328</f>
        <v>0</v>
      </c>
      <c r="N328" s="16" t="str">
        <f t="shared" si="20"/>
        <v/>
      </c>
      <c r="O328" s="17" t="str">
        <f t="shared" si="21"/>
        <v/>
      </c>
      <c r="P328" s="17" t="str">
        <f t="shared" si="21"/>
        <v/>
      </c>
      <c r="Q328" s="18" t="str">
        <f t="shared" si="22"/>
        <v/>
      </c>
      <c r="R328" s="18" t="e">
        <f t="shared" si="23"/>
        <v>#DIV/0!</v>
      </c>
      <c r="S328" s="34"/>
      <c r="T328" s="29" t="s">
        <v>8</v>
      </c>
      <c r="U328" s="1738"/>
    </row>
    <row r="329" spans="1:21">
      <c r="A329" s="10" t="s">
        <v>14</v>
      </c>
      <c r="B329" s="19">
        <f>CHAMNORD!B329</f>
        <v>46346</v>
      </c>
      <c r="C329" s="75" t="str">
        <f>IF(H329=0,"",'[9]2025-2026'!C328)</f>
        <v/>
      </c>
      <c r="D329" s="68" t="str">
        <f>'[9]2025'!C329</f>
        <v/>
      </c>
      <c r="E329" s="68" t="str">
        <f>'[9]2025'!D329</f>
        <v/>
      </c>
      <c r="F329" s="20" t="str">
        <f>'[9]2025'!E329</f>
        <v/>
      </c>
      <c r="G329" s="73" t="str">
        <f>'[9]2025'!F329</f>
        <v/>
      </c>
      <c r="H329" s="42">
        <f>'[9]2025'!G329</f>
        <v>0</v>
      </c>
      <c r="I329" s="13">
        <f>'[9]2025'!H329</f>
        <v>0</v>
      </c>
      <c r="J329" s="14">
        <f>'[9]2025'!I329</f>
        <v>0</v>
      </c>
      <c r="K329" s="15">
        <f>'[9]2025'!J329</f>
        <v>0</v>
      </c>
      <c r="L329" s="15">
        <f>'[9]2025'!K329</f>
        <v>0</v>
      </c>
      <c r="M329" s="15">
        <f>'[9]2025'!L329</f>
        <v>0</v>
      </c>
      <c r="N329" s="16" t="str">
        <f t="shared" si="20"/>
        <v/>
      </c>
      <c r="O329" s="17" t="str">
        <f t="shared" si="21"/>
        <v/>
      </c>
      <c r="P329" s="17" t="str">
        <f t="shared" si="21"/>
        <v/>
      </c>
      <c r="Q329" s="18" t="str">
        <f t="shared" si="22"/>
        <v/>
      </c>
      <c r="R329" s="18" t="e">
        <f t="shared" si="23"/>
        <v>#DIV/0!</v>
      </c>
      <c r="S329" s="36" t="s">
        <v>40</v>
      </c>
      <c r="T329" s="48" t="e">
        <f>SUM(I325:I331)/SUM(L325:L331)</f>
        <v>#DIV/0!</v>
      </c>
      <c r="U329" s="1738"/>
    </row>
    <row r="330" spans="1:21">
      <c r="A330" s="10" t="s">
        <v>15</v>
      </c>
      <c r="B330" s="19">
        <f>CHAMNORD!B330</f>
        <v>46347</v>
      </c>
      <c r="C330" s="75" t="str">
        <f>IF(H330=0,"",'[9]2025-2026'!C329)</f>
        <v/>
      </c>
      <c r="D330" s="68" t="str">
        <f>'[9]2025'!C330</f>
        <v/>
      </c>
      <c r="E330" s="68" t="str">
        <f>'[9]2025'!D330</f>
        <v/>
      </c>
      <c r="F330" s="20" t="str">
        <f>'[9]2025'!E330</f>
        <v/>
      </c>
      <c r="G330" s="73" t="str">
        <f>'[9]2025'!F330</f>
        <v/>
      </c>
      <c r="H330" s="42">
        <f>'[9]2025'!G330</f>
        <v>0</v>
      </c>
      <c r="I330" s="13">
        <f>'[9]2025'!H330</f>
        <v>0</v>
      </c>
      <c r="J330" s="14">
        <f>'[9]2025'!I330</f>
        <v>0</v>
      </c>
      <c r="K330" s="15">
        <f>'[9]2025'!J330</f>
        <v>0</v>
      </c>
      <c r="L330" s="15">
        <f>'[9]2025'!K330</f>
        <v>0</v>
      </c>
      <c r="M330" s="15">
        <f>'[9]2025'!L330</f>
        <v>0</v>
      </c>
      <c r="N330" s="16" t="str">
        <f t="shared" si="20"/>
        <v/>
      </c>
      <c r="O330" s="17" t="str">
        <f t="shared" si="21"/>
        <v/>
      </c>
      <c r="P330" s="17" t="str">
        <f t="shared" si="21"/>
        <v/>
      </c>
      <c r="Q330" s="18" t="str">
        <f t="shared" si="22"/>
        <v/>
      </c>
      <c r="R330" s="18" t="e">
        <f t="shared" si="23"/>
        <v>#DIV/0!</v>
      </c>
      <c r="S330" s="36">
        <f>SUM(J325:J331)</f>
        <v>0</v>
      </c>
      <c r="T330" s="30" t="s">
        <v>3</v>
      </c>
      <c r="U330" s="1738"/>
    </row>
    <row r="331" spans="1:21" ht="18" thickBot="1">
      <c r="A331" s="10" t="s">
        <v>16</v>
      </c>
      <c r="B331" s="19">
        <f>CHAMNORD!B331</f>
        <v>46348</v>
      </c>
      <c r="C331" s="75" t="str">
        <f>IF(H331=0,"",'[9]2025-2026'!C330)</f>
        <v/>
      </c>
      <c r="D331" s="68" t="str">
        <f>'[9]2025'!C331</f>
        <v/>
      </c>
      <c r="E331" s="68" t="str">
        <f>'[9]2025'!D331</f>
        <v/>
      </c>
      <c r="F331" s="20" t="str">
        <f>'[9]2025'!E331</f>
        <v/>
      </c>
      <c r="G331" s="73" t="str">
        <f>'[9]2025'!F331</f>
        <v/>
      </c>
      <c r="H331" s="42">
        <f>'[9]2025'!G331</f>
        <v>0</v>
      </c>
      <c r="I331" s="13">
        <f>'[9]2025'!H331</f>
        <v>0</v>
      </c>
      <c r="J331" s="14">
        <f>'[9]2025'!I331</f>
        <v>0</v>
      </c>
      <c r="K331" s="15">
        <f>'[9]2025'!J331</f>
        <v>0</v>
      </c>
      <c r="L331" s="15">
        <f>'[9]2025'!K331</f>
        <v>0</v>
      </c>
      <c r="M331" s="15">
        <f>'[9]2025'!L331</f>
        <v>0</v>
      </c>
      <c r="N331" s="16" t="str">
        <f t="shared" si="20"/>
        <v/>
      </c>
      <c r="O331" s="17" t="str">
        <f t="shared" si="21"/>
        <v/>
      </c>
      <c r="P331" s="17" t="str">
        <f t="shared" si="21"/>
        <v/>
      </c>
      <c r="Q331" s="18" t="str">
        <f t="shared" si="22"/>
        <v/>
      </c>
      <c r="R331" s="18" t="e">
        <f t="shared" si="23"/>
        <v>#DIV/0!</v>
      </c>
      <c r="S331" s="37" t="e">
        <f>(S330-SUM(F325:F331))/SUM(F325:F331)</f>
        <v>#DIV/0!</v>
      </c>
      <c r="T331" s="47" t="e">
        <f>SUM(M325:M331)/SUM(I325:I331)</f>
        <v>#DIV/0!</v>
      </c>
      <c r="U331" s="1739"/>
    </row>
    <row r="332" spans="1:21" ht="17" customHeight="1" thickTop="1">
      <c r="A332" s="10" t="s">
        <v>9</v>
      </c>
      <c r="B332" s="19">
        <f>CHAMNORD!B332</f>
        <v>46349</v>
      </c>
      <c r="C332" s="75" t="str">
        <f>IF(H332=0,"",'[9]2025-2026'!C331)</f>
        <v/>
      </c>
      <c r="D332" s="68" t="str">
        <f>'[9]2025'!C332</f>
        <v/>
      </c>
      <c r="E332" s="68" t="str">
        <f>'[9]2025'!D332</f>
        <v/>
      </c>
      <c r="F332" s="20" t="str">
        <f>'[9]2025'!E332</f>
        <v/>
      </c>
      <c r="G332" s="73" t="str">
        <f>'[9]2025'!F332</f>
        <v/>
      </c>
      <c r="H332" s="42">
        <f>'[9]2025'!G332</f>
        <v>0</v>
      </c>
      <c r="I332" s="13">
        <f>'[9]2025'!H332</f>
        <v>0</v>
      </c>
      <c r="J332" s="14">
        <f>'[9]2025'!I332</f>
        <v>0</v>
      </c>
      <c r="K332" s="15">
        <f>'[9]2025'!J332</f>
        <v>0</v>
      </c>
      <c r="L332" s="15">
        <f>'[9]2025'!K332</f>
        <v>0</v>
      </c>
      <c r="M332" s="15">
        <f>'[9]2025'!L332</f>
        <v>0</v>
      </c>
      <c r="N332" s="16" t="str">
        <f t="shared" si="20"/>
        <v/>
      </c>
      <c r="O332" s="17" t="str">
        <f t="shared" si="21"/>
        <v/>
      </c>
      <c r="P332" s="17" t="str">
        <f t="shared" si="21"/>
        <v/>
      </c>
      <c r="Q332" s="18" t="str">
        <f t="shared" si="22"/>
        <v/>
      </c>
      <c r="R332" s="18" t="e">
        <f t="shared" si="23"/>
        <v>#DIV/0!</v>
      </c>
      <c r="S332" s="33" t="s">
        <v>39</v>
      </c>
      <c r="T332" s="31" t="s">
        <v>42</v>
      </c>
      <c r="U332" s="1737" t="s">
        <v>130</v>
      </c>
    </row>
    <row r="333" spans="1:21">
      <c r="A333" s="10" t="s">
        <v>11</v>
      </c>
      <c r="B333" s="19">
        <f>CHAMNORD!B333</f>
        <v>46350</v>
      </c>
      <c r="C333" s="75" t="str">
        <f>IF(H333=0,"",'[9]2025-2026'!C332)</f>
        <v/>
      </c>
      <c r="D333" s="68" t="str">
        <f>'[9]2025'!C333</f>
        <v/>
      </c>
      <c r="E333" s="68" t="str">
        <f>'[9]2025'!D333</f>
        <v/>
      </c>
      <c r="F333" s="20" t="str">
        <f>'[9]2025'!E333</f>
        <v/>
      </c>
      <c r="G333" s="73" t="str">
        <f>'[9]2025'!F333</f>
        <v/>
      </c>
      <c r="H333" s="42">
        <f>'[9]2025'!G333</f>
        <v>0</v>
      </c>
      <c r="I333" s="13">
        <f>'[9]2025'!H333</f>
        <v>0</v>
      </c>
      <c r="J333" s="14">
        <f>'[9]2025'!I333</f>
        <v>0</v>
      </c>
      <c r="K333" s="15">
        <f>'[9]2025'!J333</f>
        <v>0</v>
      </c>
      <c r="L333" s="15">
        <f>'[9]2025'!K333</f>
        <v>0</v>
      </c>
      <c r="M333" s="15">
        <f>'[9]2025'!L333</f>
        <v>0</v>
      </c>
      <c r="N333" s="16" t="str">
        <f t="shared" si="20"/>
        <v/>
      </c>
      <c r="O333" s="17" t="str">
        <f t="shared" si="21"/>
        <v/>
      </c>
      <c r="P333" s="17" t="str">
        <f t="shared" si="21"/>
        <v/>
      </c>
      <c r="Q333" s="18" t="str">
        <f t="shared" si="22"/>
        <v/>
      </c>
      <c r="R333" s="18" t="e">
        <f t="shared" si="23"/>
        <v>#DIV/0!</v>
      </c>
      <c r="S333" s="34">
        <f>SUM(I332:I338)</f>
        <v>0</v>
      </c>
      <c r="T333" s="45" t="s">
        <v>41</v>
      </c>
      <c r="U333" s="1738"/>
    </row>
    <row r="334" spans="1:21">
      <c r="A334" s="10" t="s">
        <v>12</v>
      </c>
      <c r="B334" s="19">
        <f>CHAMNORD!B334</f>
        <v>46351</v>
      </c>
      <c r="C334" s="75" t="str">
        <f>IF(H334=0,"",'[9]2025-2026'!C333)</f>
        <v/>
      </c>
      <c r="D334" s="68" t="str">
        <f>'[9]2025'!C334</f>
        <v/>
      </c>
      <c r="E334" s="68" t="str">
        <f>'[9]2025'!D334</f>
        <v/>
      </c>
      <c r="F334" s="20" t="str">
        <f>'[9]2025'!E334</f>
        <v/>
      </c>
      <c r="G334" s="73" t="str">
        <f>'[9]2025'!F334</f>
        <v/>
      </c>
      <c r="H334" s="42">
        <f>'[9]2025'!G334</f>
        <v>0</v>
      </c>
      <c r="I334" s="13">
        <f>'[9]2025'!H334</f>
        <v>0</v>
      </c>
      <c r="J334" s="14">
        <f>'[9]2025'!I334</f>
        <v>0</v>
      </c>
      <c r="K334" s="15">
        <f>'[9]2025'!J334</f>
        <v>0</v>
      </c>
      <c r="L334" s="15">
        <f>'[9]2025'!K334</f>
        <v>0</v>
      </c>
      <c r="M334" s="15">
        <f>'[9]2025'!L334</f>
        <v>0</v>
      </c>
      <c r="N334" s="16" t="str">
        <f t="shared" si="20"/>
        <v/>
      </c>
      <c r="O334" s="17" t="str">
        <f t="shared" si="21"/>
        <v/>
      </c>
      <c r="P334" s="17" t="str">
        <f t="shared" si="21"/>
        <v/>
      </c>
      <c r="Q334" s="18" t="str">
        <f t="shared" si="22"/>
        <v/>
      </c>
      <c r="R334" s="18" t="e">
        <f t="shared" si="23"/>
        <v>#DIV/0!</v>
      </c>
      <c r="S334" s="35" t="e">
        <f>(S333-SUM(E332:E338))/SUM(E332:E338)</f>
        <v>#DIV/0!</v>
      </c>
      <c r="T334" s="48" t="e">
        <f>SUM(I332:I338)/SUM(K332:K338)</f>
        <v>#DIV/0!</v>
      </c>
      <c r="U334" s="1738"/>
    </row>
    <row r="335" spans="1:21">
      <c r="A335" s="10" t="s">
        <v>13</v>
      </c>
      <c r="B335" s="19">
        <f>CHAMNORD!B335</f>
        <v>46352</v>
      </c>
      <c r="C335" s="75" t="str">
        <f>IF(H335=0,"",'[9]2025-2026'!C334)</f>
        <v/>
      </c>
      <c r="D335" s="68" t="str">
        <f>'[9]2025'!C335</f>
        <v/>
      </c>
      <c r="E335" s="68" t="str">
        <f>'[9]2025'!D335</f>
        <v/>
      </c>
      <c r="F335" s="20" t="str">
        <f>'[9]2025'!E335</f>
        <v/>
      </c>
      <c r="G335" s="73" t="str">
        <f>'[9]2025'!F335</f>
        <v/>
      </c>
      <c r="H335" s="42">
        <f>'[9]2025'!G335</f>
        <v>0</v>
      </c>
      <c r="I335" s="13">
        <f>'[9]2025'!H335</f>
        <v>0</v>
      </c>
      <c r="J335" s="14">
        <f>'[9]2025'!I335</f>
        <v>0</v>
      </c>
      <c r="K335" s="15">
        <f>'[9]2025'!J335</f>
        <v>0</v>
      </c>
      <c r="L335" s="15">
        <f>'[9]2025'!K335</f>
        <v>0</v>
      </c>
      <c r="M335" s="15">
        <f>'[9]2025'!L335</f>
        <v>0</v>
      </c>
      <c r="N335" s="16" t="str">
        <f t="shared" si="20"/>
        <v/>
      </c>
      <c r="O335" s="17" t="str">
        <f t="shared" si="21"/>
        <v/>
      </c>
      <c r="P335" s="17" t="str">
        <f t="shared" si="21"/>
        <v/>
      </c>
      <c r="Q335" s="18" t="str">
        <f t="shared" si="22"/>
        <v/>
      </c>
      <c r="R335" s="18" t="e">
        <f t="shared" si="23"/>
        <v>#DIV/0!</v>
      </c>
      <c r="S335" s="34"/>
      <c r="T335" s="29" t="s">
        <v>8</v>
      </c>
      <c r="U335" s="1738"/>
    </row>
    <row r="336" spans="1:21">
      <c r="A336" s="10" t="s">
        <v>14</v>
      </c>
      <c r="B336" s="19">
        <f>CHAMNORD!B336</f>
        <v>46353</v>
      </c>
      <c r="C336" s="75" t="str">
        <f>IF(H336=0,"",'[9]2025-2026'!C335)</f>
        <v/>
      </c>
      <c r="D336" s="68" t="str">
        <f>'[9]2025'!C336</f>
        <v/>
      </c>
      <c r="E336" s="68" t="str">
        <f>'[9]2025'!D336</f>
        <v/>
      </c>
      <c r="F336" s="20" t="str">
        <f>'[9]2025'!E336</f>
        <v/>
      </c>
      <c r="G336" s="73" t="str">
        <f>'[9]2025'!F336</f>
        <v/>
      </c>
      <c r="H336" s="42">
        <f>'[9]2025'!G336</f>
        <v>0</v>
      </c>
      <c r="I336" s="13">
        <f>'[9]2025'!H336</f>
        <v>0</v>
      </c>
      <c r="J336" s="14">
        <f>'[9]2025'!I336</f>
        <v>0</v>
      </c>
      <c r="K336" s="15">
        <f>'[9]2025'!J336</f>
        <v>0</v>
      </c>
      <c r="L336" s="15">
        <f>'[9]2025'!K336</f>
        <v>0</v>
      </c>
      <c r="M336" s="15">
        <f>'[9]2025'!L336</f>
        <v>0</v>
      </c>
      <c r="N336" s="16" t="str">
        <f t="shared" si="20"/>
        <v/>
      </c>
      <c r="O336" s="17" t="str">
        <f t="shared" si="21"/>
        <v/>
      </c>
      <c r="P336" s="17" t="str">
        <f t="shared" si="21"/>
        <v/>
      </c>
      <c r="Q336" s="18" t="str">
        <f t="shared" si="22"/>
        <v/>
      </c>
      <c r="R336" s="18" t="e">
        <f t="shared" si="23"/>
        <v>#DIV/0!</v>
      </c>
      <c r="S336" s="36" t="s">
        <v>40</v>
      </c>
      <c r="T336" s="48" t="e">
        <f>SUM(I332:I338)/SUM(L332:L338)</f>
        <v>#DIV/0!</v>
      </c>
      <c r="U336" s="1738"/>
    </row>
    <row r="337" spans="1:21">
      <c r="A337" s="10" t="s">
        <v>15</v>
      </c>
      <c r="B337" s="19">
        <f>CHAMNORD!B337</f>
        <v>46354</v>
      </c>
      <c r="C337" s="75" t="str">
        <f>IF(H337=0,"",'[9]2025-2026'!C336)</f>
        <v/>
      </c>
      <c r="D337" s="68" t="str">
        <f>'[9]2025'!C337</f>
        <v/>
      </c>
      <c r="E337" s="68" t="str">
        <f>'[9]2025'!D337</f>
        <v/>
      </c>
      <c r="F337" s="20" t="str">
        <f>'[9]2025'!E337</f>
        <v/>
      </c>
      <c r="G337" s="73" t="str">
        <f>'[9]2025'!F337</f>
        <v/>
      </c>
      <c r="H337" s="42">
        <f>'[9]2025'!G337</f>
        <v>0</v>
      </c>
      <c r="I337" s="13">
        <f>'[9]2025'!H337</f>
        <v>0</v>
      </c>
      <c r="J337" s="14">
        <f>'[9]2025'!I337</f>
        <v>0</v>
      </c>
      <c r="K337" s="15">
        <f>'[9]2025'!J337</f>
        <v>0</v>
      </c>
      <c r="L337" s="15">
        <f>'[9]2025'!K337</f>
        <v>0</v>
      </c>
      <c r="M337" s="15">
        <f>'[9]2025'!L337</f>
        <v>0</v>
      </c>
      <c r="N337" s="16" t="str">
        <f t="shared" si="20"/>
        <v/>
      </c>
      <c r="O337" s="17" t="str">
        <f t="shared" si="21"/>
        <v/>
      </c>
      <c r="P337" s="17" t="str">
        <f t="shared" si="21"/>
        <v/>
      </c>
      <c r="Q337" s="18" t="str">
        <f t="shared" si="22"/>
        <v/>
      </c>
      <c r="R337" s="18" t="e">
        <f t="shared" si="23"/>
        <v>#DIV/0!</v>
      </c>
      <c r="S337" s="36">
        <f>SUM(J332:J338)</f>
        <v>0</v>
      </c>
      <c r="T337" s="30" t="s">
        <v>3</v>
      </c>
      <c r="U337" s="1738"/>
    </row>
    <row r="338" spans="1:21" ht="18" thickBot="1">
      <c r="A338" s="10" t="s">
        <v>16</v>
      </c>
      <c r="B338" s="19">
        <f>CHAMNORD!B338</f>
        <v>46355</v>
      </c>
      <c r="C338" s="75" t="str">
        <f>IF(H338=0,"",'[9]2025-2026'!C337)</f>
        <v/>
      </c>
      <c r="D338" s="68" t="str">
        <f>'[9]2025'!C338</f>
        <v/>
      </c>
      <c r="E338" s="68" t="str">
        <f>'[9]2025'!D338</f>
        <v/>
      </c>
      <c r="F338" s="20" t="str">
        <f>'[9]2025'!E338</f>
        <v/>
      </c>
      <c r="G338" s="73" t="str">
        <f>'[9]2025'!F338</f>
        <v/>
      </c>
      <c r="H338" s="42">
        <f>'[9]2025'!G338</f>
        <v>0</v>
      </c>
      <c r="I338" s="13">
        <f>'[9]2025'!H338</f>
        <v>0</v>
      </c>
      <c r="J338" s="14">
        <f>'[9]2025'!I338</f>
        <v>0</v>
      </c>
      <c r="K338" s="15">
        <f>'[9]2025'!J338</f>
        <v>0</v>
      </c>
      <c r="L338" s="15">
        <f>'[9]2025'!K338</f>
        <v>0</v>
      </c>
      <c r="M338" s="15">
        <f>'[9]2025'!L338</f>
        <v>0</v>
      </c>
      <c r="N338" s="16" t="str">
        <f t="shared" si="20"/>
        <v/>
      </c>
      <c r="O338" s="17" t="str">
        <f t="shared" si="21"/>
        <v/>
      </c>
      <c r="P338" s="17" t="str">
        <f t="shared" si="21"/>
        <v/>
      </c>
      <c r="Q338" s="18" t="str">
        <f t="shared" si="22"/>
        <v/>
      </c>
      <c r="R338" s="18" t="e">
        <f t="shared" si="23"/>
        <v>#DIV/0!</v>
      </c>
      <c r="S338" s="37" t="e">
        <f>(S337-SUM(F332:F338))/SUM(F332:F338)</f>
        <v>#DIV/0!</v>
      </c>
      <c r="T338" s="47" t="e">
        <f>SUM(M332:M338)/SUM(I332:I338)</f>
        <v>#DIV/0!</v>
      </c>
      <c r="U338" s="1739"/>
    </row>
    <row r="339" spans="1:21" ht="17" customHeight="1" thickTop="1">
      <c r="A339" s="10" t="s">
        <v>9</v>
      </c>
      <c r="B339" s="19">
        <f>CHAMNORD!B339</f>
        <v>46356</v>
      </c>
      <c r="C339" s="75" t="str">
        <f>IF(H339=0,"",'[9]2025-2026'!C338)</f>
        <v/>
      </c>
      <c r="D339" s="68" t="str">
        <f>'[9]2025'!C339</f>
        <v/>
      </c>
      <c r="E339" s="68" t="str">
        <f>'[9]2025'!D339</f>
        <v/>
      </c>
      <c r="F339" s="20" t="str">
        <f>'[9]2025'!E339</f>
        <v/>
      </c>
      <c r="G339" s="73" t="str">
        <f>'[9]2025'!F339</f>
        <v/>
      </c>
      <c r="H339" s="42">
        <f>'[9]2025'!G339</f>
        <v>0</v>
      </c>
      <c r="I339" s="13">
        <f>'[9]2025'!H339</f>
        <v>0</v>
      </c>
      <c r="J339" s="14">
        <f>'[9]2025'!I339</f>
        <v>0</v>
      </c>
      <c r="K339" s="15">
        <f>'[9]2025'!J339</f>
        <v>0</v>
      </c>
      <c r="L339" s="15">
        <f>'[9]2025'!K339</f>
        <v>0</v>
      </c>
      <c r="M339" s="15">
        <f>'[9]2025'!L339</f>
        <v>0</v>
      </c>
      <c r="N339" s="16" t="str">
        <f t="shared" si="20"/>
        <v/>
      </c>
      <c r="O339" s="17" t="str">
        <f t="shared" si="21"/>
        <v/>
      </c>
      <c r="P339" s="17" t="str">
        <f t="shared" si="21"/>
        <v/>
      </c>
      <c r="Q339" s="18" t="str">
        <f t="shared" si="22"/>
        <v/>
      </c>
      <c r="R339" s="18" t="e">
        <f t="shared" si="23"/>
        <v>#DIV/0!</v>
      </c>
      <c r="S339" s="33" t="s">
        <v>39</v>
      </c>
      <c r="T339" s="31" t="s">
        <v>42</v>
      </c>
      <c r="U339" s="1737" t="s">
        <v>131</v>
      </c>
    </row>
    <row r="340" spans="1:21">
      <c r="A340" s="10" t="s">
        <v>11</v>
      </c>
      <c r="B340" s="19">
        <f>CHAMNORD!B340</f>
        <v>46357</v>
      </c>
      <c r="C340" s="75" t="str">
        <f>IF(H340=0,"",'[9]2025-2026'!C339)</f>
        <v/>
      </c>
      <c r="D340" s="68" t="str">
        <f>'[9]2025'!C340</f>
        <v/>
      </c>
      <c r="E340" s="68" t="str">
        <f>'[9]2025'!D340</f>
        <v/>
      </c>
      <c r="F340" s="20" t="str">
        <f>'[9]2025'!E340</f>
        <v/>
      </c>
      <c r="G340" s="73" t="str">
        <f>'[9]2025'!F340</f>
        <v/>
      </c>
      <c r="H340" s="42">
        <f>'[9]2025'!G340</f>
        <v>0</v>
      </c>
      <c r="I340" s="13">
        <f>'[9]2025'!H340</f>
        <v>0</v>
      </c>
      <c r="J340" s="14">
        <f>'[9]2025'!I340</f>
        <v>0</v>
      </c>
      <c r="K340" s="15">
        <f>'[9]2025'!J340</f>
        <v>0</v>
      </c>
      <c r="L340" s="15">
        <f>'[9]2025'!K340</f>
        <v>0</v>
      </c>
      <c r="M340" s="15">
        <f>'[9]2025'!L340</f>
        <v>0</v>
      </c>
      <c r="N340" s="16" t="str">
        <f t="shared" si="20"/>
        <v/>
      </c>
      <c r="O340" s="17" t="str">
        <f t="shared" si="21"/>
        <v/>
      </c>
      <c r="P340" s="17" t="str">
        <f t="shared" si="21"/>
        <v/>
      </c>
      <c r="Q340" s="18" t="str">
        <f t="shared" si="22"/>
        <v/>
      </c>
      <c r="R340" s="18" t="e">
        <f t="shared" si="23"/>
        <v>#DIV/0!</v>
      </c>
      <c r="S340" s="34">
        <f>SUM(I339:I345)</f>
        <v>0</v>
      </c>
      <c r="T340" s="45" t="s">
        <v>41</v>
      </c>
      <c r="U340" s="1738"/>
    </row>
    <row r="341" spans="1:21">
      <c r="A341" s="10" t="s">
        <v>12</v>
      </c>
      <c r="B341" s="19">
        <f>CHAMNORD!B341</f>
        <v>46358</v>
      </c>
      <c r="C341" s="75" t="str">
        <f>IF(H341=0,"",'[9]2025-2026'!C340)</f>
        <v/>
      </c>
      <c r="D341" s="68" t="str">
        <f>'[9]2025'!C341</f>
        <v/>
      </c>
      <c r="E341" s="68" t="str">
        <f>'[9]2025'!D341</f>
        <v/>
      </c>
      <c r="F341" s="20" t="str">
        <f>'[9]2025'!E341</f>
        <v/>
      </c>
      <c r="G341" s="73" t="str">
        <f>'[9]2025'!F341</f>
        <v/>
      </c>
      <c r="H341" s="42">
        <f>'[9]2025'!G341</f>
        <v>0</v>
      </c>
      <c r="I341" s="13">
        <f>'[9]2025'!H341</f>
        <v>0</v>
      </c>
      <c r="J341" s="14">
        <f>'[9]2025'!I341</f>
        <v>0</v>
      </c>
      <c r="K341" s="15">
        <f>'[9]2025'!J341</f>
        <v>0</v>
      </c>
      <c r="L341" s="15">
        <f>'[9]2025'!K341</f>
        <v>0</v>
      </c>
      <c r="M341" s="15">
        <f>'[9]2025'!L341</f>
        <v>0</v>
      </c>
      <c r="N341" s="16" t="str">
        <f t="shared" si="20"/>
        <v/>
      </c>
      <c r="O341" s="17" t="str">
        <f t="shared" si="21"/>
        <v/>
      </c>
      <c r="P341" s="17" t="str">
        <f t="shared" si="21"/>
        <v/>
      </c>
      <c r="Q341" s="18" t="str">
        <f t="shared" si="22"/>
        <v/>
      </c>
      <c r="R341" s="18" t="e">
        <f t="shared" si="23"/>
        <v>#DIV/0!</v>
      </c>
      <c r="S341" s="35" t="e">
        <f>(S340-SUM(E339:E345))/SUM(E339:E345)</f>
        <v>#DIV/0!</v>
      </c>
      <c r="T341" s="48" t="e">
        <f>SUM(I339:I345)/SUM(K339:K345)</f>
        <v>#DIV/0!</v>
      </c>
      <c r="U341" s="1738"/>
    </row>
    <row r="342" spans="1:21">
      <c r="A342" s="10" t="s">
        <v>13</v>
      </c>
      <c r="B342" s="19">
        <f>CHAMNORD!B342</f>
        <v>46359</v>
      </c>
      <c r="C342" s="75" t="str">
        <f>IF(H342=0,"",'[9]2025-2026'!C341)</f>
        <v/>
      </c>
      <c r="D342" s="68" t="str">
        <f>'[9]2025'!C342</f>
        <v/>
      </c>
      <c r="E342" s="68" t="str">
        <f>'[9]2025'!D342</f>
        <v/>
      </c>
      <c r="F342" s="20" t="str">
        <f>'[9]2025'!E342</f>
        <v/>
      </c>
      <c r="G342" s="73" t="str">
        <f>'[9]2025'!F342</f>
        <v/>
      </c>
      <c r="H342" s="42">
        <f>'[9]2025'!G342</f>
        <v>0</v>
      </c>
      <c r="I342" s="13">
        <f>'[9]2025'!H342</f>
        <v>0</v>
      </c>
      <c r="J342" s="14">
        <f>'[9]2025'!I342</f>
        <v>0</v>
      </c>
      <c r="K342" s="15">
        <f>'[9]2025'!J342</f>
        <v>0</v>
      </c>
      <c r="L342" s="15">
        <f>'[9]2025'!K342</f>
        <v>0</v>
      </c>
      <c r="M342" s="15">
        <f>'[9]2025'!L342</f>
        <v>0</v>
      </c>
      <c r="N342" s="16" t="str">
        <f t="shared" si="20"/>
        <v/>
      </c>
      <c r="O342" s="17" t="str">
        <f t="shared" si="21"/>
        <v/>
      </c>
      <c r="P342" s="17" t="str">
        <f t="shared" si="21"/>
        <v/>
      </c>
      <c r="Q342" s="18" t="str">
        <f t="shared" si="22"/>
        <v/>
      </c>
      <c r="R342" s="18" t="e">
        <f t="shared" si="23"/>
        <v>#DIV/0!</v>
      </c>
      <c r="S342" s="34"/>
      <c r="T342" s="29" t="s">
        <v>8</v>
      </c>
      <c r="U342" s="1738"/>
    </row>
    <row r="343" spans="1:21">
      <c r="A343" s="10" t="s">
        <v>14</v>
      </c>
      <c r="B343" s="19">
        <f>CHAMNORD!B343</f>
        <v>46360</v>
      </c>
      <c r="C343" s="75" t="str">
        <f>IF(H343=0,"",'[9]2025-2026'!C342)</f>
        <v/>
      </c>
      <c r="D343" s="68" t="str">
        <f>'[9]2025'!C343</f>
        <v/>
      </c>
      <c r="E343" s="68" t="str">
        <f>'[9]2025'!D343</f>
        <v/>
      </c>
      <c r="F343" s="20" t="str">
        <f>'[9]2025'!E343</f>
        <v/>
      </c>
      <c r="G343" s="73" t="str">
        <f>'[9]2025'!F343</f>
        <v/>
      </c>
      <c r="H343" s="42">
        <f>'[9]2025'!G343</f>
        <v>0</v>
      </c>
      <c r="I343" s="13">
        <f>'[9]2025'!H343</f>
        <v>0</v>
      </c>
      <c r="J343" s="14">
        <f>'[9]2025'!I343</f>
        <v>0</v>
      </c>
      <c r="K343" s="15">
        <f>'[9]2025'!J343</f>
        <v>0</v>
      </c>
      <c r="L343" s="15">
        <f>'[9]2025'!K343</f>
        <v>0</v>
      </c>
      <c r="M343" s="15">
        <f>'[9]2025'!L343</f>
        <v>0</v>
      </c>
      <c r="N343" s="16" t="str">
        <f t="shared" si="20"/>
        <v/>
      </c>
      <c r="O343" s="17" t="str">
        <f t="shared" si="21"/>
        <v/>
      </c>
      <c r="P343" s="17" t="str">
        <f t="shared" si="21"/>
        <v/>
      </c>
      <c r="Q343" s="18" t="str">
        <f t="shared" si="22"/>
        <v/>
      </c>
      <c r="R343" s="18" t="e">
        <f t="shared" si="23"/>
        <v>#DIV/0!</v>
      </c>
      <c r="S343" s="36" t="s">
        <v>40</v>
      </c>
      <c r="T343" s="48" t="e">
        <f>SUM(I339:I345)/SUM(L339:L345)</f>
        <v>#DIV/0!</v>
      </c>
      <c r="U343" s="1738"/>
    </row>
    <row r="344" spans="1:21">
      <c r="A344" s="10" t="s">
        <v>15</v>
      </c>
      <c r="B344" s="19">
        <f>CHAMNORD!B344</f>
        <v>46361</v>
      </c>
      <c r="C344" s="75" t="str">
        <f>IF(H344=0,"",'[9]2025-2026'!C343)</f>
        <v/>
      </c>
      <c r="D344" s="68" t="str">
        <f>'[9]2025'!C344</f>
        <v/>
      </c>
      <c r="E344" s="68" t="str">
        <f>'[9]2025'!D344</f>
        <v/>
      </c>
      <c r="F344" s="20" t="str">
        <f>'[9]2025'!E344</f>
        <v/>
      </c>
      <c r="G344" s="73" t="str">
        <f>'[9]2025'!F344</f>
        <v/>
      </c>
      <c r="H344" s="42">
        <f>'[9]2025'!G344</f>
        <v>0</v>
      </c>
      <c r="I344" s="13">
        <f>'[9]2025'!H344</f>
        <v>0</v>
      </c>
      <c r="J344" s="14">
        <f>'[9]2025'!I344</f>
        <v>0</v>
      </c>
      <c r="K344" s="15">
        <f>'[9]2025'!J344</f>
        <v>0</v>
      </c>
      <c r="L344" s="15">
        <f>'[9]2025'!K344</f>
        <v>0</v>
      </c>
      <c r="M344" s="15">
        <f>'[9]2025'!L344</f>
        <v>0</v>
      </c>
      <c r="N344" s="16" t="str">
        <f t="shared" si="20"/>
        <v/>
      </c>
      <c r="O344" s="17" t="str">
        <f t="shared" si="21"/>
        <v/>
      </c>
      <c r="P344" s="17" t="str">
        <f t="shared" si="21"/>
        <v/>
      </c>
      <c r="Q344" s="18" t="str">
        <f t="shared" si="22"/>
        <v/>
      </c>
      <c r="R344" s="18" t="e">
        <f t="shared" si="23"/>
        <v>#DIV/0!</v>
      </c>
      <c r="S344" s="36">
        <f>SUM(J339:J345)</f>
        <v>0</v>
      </c>
      <c r="T344" s="30" t="s">
        <v>3</v>
      </c>
      <c r="U344" s="1738"/>
    </row>
    <row r="345" spans="1:21" ht="18" thickBot="1">
      <c r="A345" s="10" t="s">
        <v>16</v>
      </c>
      <c r="B345" s="19">
        <f>CHAMNORD!B345</f>
        <v>46362</v>
      </c>
      <c r="C345" s="75" t="str">
        <f>IF(H345=0,"",'[9]2025-2026'!C344)</f>
        <v/>
      </c>
      <c r="D345" s="68" t="str">
        <f>'[9]2025'!C345</f>
        <v/>
      </c>
      <c r="E345" s="68" t="str">
        <f>'[9]2025'!D345</f>
        <v/>
      </c>
      <c r="F345" s="20" t="str">
        <f>'[9]2025'!E345</f>
        <v/>
      </c>
      <c r="G345" s="73" t="str">
        <f>'[9]2025'!F345</f>
        <v/>
      </c>
      <c r="H345" s="42">
        <f>'[9]2025'!G345</f>
        <v>0</v>
      </c>
      <c r="I345" s="13">
        <f>'[9]2025'!H345</f>
        <v>0</v>
      </c>
      <c r="J345" s="14">
        <f>'[9]2025'!I345</f>
        <v>0</v>
      </c>
      <c r="K345" s="15">
        <f>'[9]2025'!J345</f>
        <v>0</v>
      </c>
      <c r="L345" s="15">
        <f>'[9]2025'!K345</f>
        <v>0</v>
      </c>
      <c r="M345" s="15">
        <f>'[9]2025'!L345</f>
        <v>0</v>
      </c>
      <c r="N345" s="16" t="str">
        <f t="shared" si="20"/>
        <v/>
      </c>
      <c r="O345" s="17" t="str">
        <f t="shared" si="21"/>
        <v/>
      </c>
      <c r="P345" s="17" t="str">
        <f t="shared" si="21"/>
        <v/>
      </c>
      <c r="Q345" s="18" t="str">
        <f t="shared" si="22"/>
        <v/>
      </c>
      <c r="R345" s="18" t="e">
        <f t="shared" si="23"/>
        <v>#DIV/0!</v>
      </c>
      <c r="S345" s="37" t="e">
        <f>(S344-SUM(F339:F345))/SUM(F339:F345)</f>
        <v>#DIV/0!</v>
      </c>
      <c r="T345" s="47" t="e">
        <f>SUM(M339:M345)/SUM(I339:I345)</f>
        <v>#DIV/0!</v>
      </c>
      <c r="U345" s="1739"/>
    </row>
    <row r="346" spans="1:21" ht="17" customHeight="1" thickTop="1">
      <c r="A346" s="10" t="s">
        <v>9</v>
      </c>
      <c r="B346" s="19">
        <f>CHAMNORD!B346</f>
        <v>46363</v>
      </c>
      <c r="C346" s="75" t="str">
        <f>IF(H346=0,"",'[9]2025-2026'!C345)</f>
        <v/>
      </c>
      <c r="D346" s="68" t="str">
        <f>'[9]2025'!C346</f>
        <v/>
      </c>
      <c r="E346" s="68" t="str">
        <f>'[9]2025'!D346</f>
        <v/>
      </c>
      <c r="F346" s="20" t="str">
        <f>'[9]2025'!E346</f>
        <v/>
      </c>
      <c r="G346" s="73" t="str">
        <f>'[9]2025'!F346</f>
        <v/>
      </c>
      <c r="H346" s="42">
        <f>'[9]2025'!G346</f>
        <v>0</v>
      </c>
      <c r="I346" s="13">
        <f>'[9]2025'!H346</f>
        <v>0</v>
      </c>
      <c r="J346" s="14">
        <f>'[9]2025'!I346</f>
        <v>0</v>
      </c>
      <c r="K346" s="15">
        <f>'[9]2025'!J346</f>
        <v>0</v>
      </c>
      <c r="L346" s="15">
        <f>'[9]2025'!K346</f>
        <v>0</v>
      </c>
      <c r="M346" s="15">
        <f>'[9]2025'!L346</f>
        <v>0</v>
      </c>
      <c r="N346" s="16" t="str">
        <f t="shared" si="20"/>
        <v/>
      </c>
      <c r="O346" s="17" t="str">
        <f t="shared" si="21"/>
        <v/>
      </c>
      <c r="P346" s="17" t="str">
        <f t="shared" si="21"/>
        <v/>
      </c>
      <c r="Q346" s="18" t="str">
        <f t="shared" si="22"/>
        <v/>
      </c>
      <c r="R346" s="18" t="e">
        <f t="shared" si="23"/>
        <v>#DIV/0!</v>
      </c>
      <c r="S346" s="33" t="s">
        <v>39</v>
      </c>
      <c r="T346" s="31" t="s">
        <v>42</v>
      </c>
      <c r="U346" s="1737" t="s">
        <v>132</v>
      </c>
    </row>
    <row r="347" spans="1:21">
      <c r="A347" s="10" t="s">
        <v>11</v>
      </c>
      <c r="B347" s="19">
        <f>CHAMNORD!B347</f>
        <v>46364</v>
      </c>
      <c r="C347" s="75" t="str">
        <f>IF(H347=0,"",'[9]2025-2026'!C346)</f>
        <v/>
      </c>
      <c r="D347" s="68" t="str">
        <f>'[9]2025'!C347</f>
        <v/>
      </c>
      <c r="E347" s="68" t="str">
        <f>'[9]2025'!D347</f>
        <v/>
      </c>
      <c r="F347" s="20" t="str">
        <f>'[9]2025'!E347</f>
        <v/>
      </c>
      <c r="G347" s="73" t="str">
        <f>'[9]2025'!F347</f>
        <v/>
      </c>
      <c r="H347" s="42">
        <f>'[9]2025'!G347</f>
        <v>0</v>
      </c>
      <c r="I347" s="13">
        <f>'[9]2025'!H347</f>
        <v>0</v>
      </c>
      <c r="J347" s="14">
        <f>'[9]2025'!I347</f>
        <v>0</v>
      </c>
      <c r="K347" s="15">
        <f>'[9]2025'!J347</f>
        <v>0</v>
      </c>
      <c r="L347" s="15">
        <f>'[9]2025'!K347</f>
        <v>0</v>
      </c>
      <c r="M347" s="15">
        <f>'[9]2025'!L347</f>
        <v>0</v>
      </c>
      <c r="N347" s="16" t="str">
        <f t="shared" si="20"/>
        <v/>
      </c>
      <c r="O347" s="17" t="str">
        <f t="shared" si="21"/>
        <v/>
      </c>
      <c r="P347" s="17" t="str">
        <f t="shared" si="21"/>
        <v/>
      </c>
      <c r="Q347" s="18" t="str">
        <f t="shared" si="22"/>
        <v/>
      </c>
      <c r="R347" s="18" t="e">
        <f t="shared" si="23"/>
        <v>#DIV/0!</v>
      </c>
      <c r="S347" s="34">
        <f>SUM(I346:I352)</f>
        <v>0</v>
      </c>
      <c r="T347" s="45" t="s">
        <v>41</v>
      </c>
      <c r="U347" s="1738"/>
    </row>
    <row r="348" spans="1:21">
      <c r="A348" s="10" t="s">
        <v>12</v>
      </c>
      <c r="B348" s="19">
        <f>CHAMNORD!B348</f>
        <v>46365</v>
      </c>
      <c r="C348" s="75" t="str">
        <f>IF(H348=0,"",'[9]2025-2026'!C347)</f>
        <v/>
      </c>
      <c r="D348" s="68" t="str">
        <f>'[9]2025'!C348</f>
        <v/>
      </c>
      <c r="E348" s="68" t="str">
        <f>'[9]2025'!D348</f>
        <v/>
      </c>
      <c r="F348" s="20" t="str">
        <f>'[9]2025'!E348</f>
        <v/>
      </c>
      <c r="G348" s="73" t="str">
        <f>'[9]2025'!F348</f>
        <v/>
      </c>
      <c r="H348" s="42">
        <f>'[9]2025'!G348</f>
        <v>0</v>
      </c>
      <c r="I348" s="13">
        <f>'[9]2025'!H348</f>
        <v>0</v>
      </c>
      <c r="J348" s="14">
        <f>'[9]2025'!I348</f>
        <v>0</v>
      </c>
      <c r="K348" s="15">
        <f>'[9]2025'!J348</f>
        <v>0</v>
      </c>
      <c r="L348" s="15">
        <f>'[9]2025'!K348</f>
        <v>0</v>
      </c>
      <c r="M348" s="15">
        <f>'[9]2025'!L348</f>
        <v>0</v>
      </c>
      <c r="N348" s="16" t="str">
        <f t="shared" si="20"/>
        <v/>
      </c>
      <c r="O348" s="17" t="str">
        <f t="shared" si="21"/>
        <v/>
      </c>
      <c r="P348" s="17" t="str">
        <f t="shared" si="21"/>
        <v/>
      </c>
      <c r="Q348" s="18" t="str">
        <f t="shared" si="22"/>
        <v/>
      </c>
      <c r="R348" s="18" t="e">
        <f t="shared" si="23"/>
        <v>#DIV/0!</v>
      </c>
      <c r="S348" s="35" t="e">
        <f>(S347-SUM(E346:E352))/SUM(E346:E352)</f>
        <v>#DIV/0!</v>
      </c>
      <c r="T348" s="48" t="e">
        <f>SUM(I346:I352)/SUM(K346:K352)</f>
        <v>#DIV/0!</v>
      </c>
      <c r="U348" s="1738"/>
    </row>
    <row r="349" spans="1:21">
      <c r="A349" s="10" t="s">
        <v>13</v>
      </c>
      <c r="B349" s="19">
        <f>CHAMNORD!B349</f>
        <v>46366</v>
      </c>
      <c r="C349" s="75" t="str">
        <f>IF(H349=0,"",'[9]2025-2026'!C348)</f>
        <v/>
      </c>
      <c r="D349" s="68" t="str">
        <f>'[9]2025'!C349</f>
        <v/>
      </c>
      <c r="E349" s="68" t="str">
        <f>'[9]2025'!D349</f>
        <v/>
      </c>
      <c r="F349" s="20" t="str">
        <f>'[9]2025'!E349</f>
        <v/>
      </c>
      <c r="G349" s="73" t="str">
        <f>'[9]2025'!F349</f>
        <v/>
      </c>
      <c r="H349" s="42">
        <f>'[9]2025'!G349</f>
        <v>0</v>
      </c>
      <c r="I349" s="13">
        <f>'[9]2025'!H349</f>
        <v>0</v>
      </c>
      <c r="J349" s="14">
        <f>'[9]2025'!I349</f>
        <v>0</v>
      </c>
      <c r="K349" s="15">
        <f>'[9]2025'!J349</f>
        <v>0</v>
      </c>
      <c r="L349" s="15">
        <f>'[9]2025'!K349</f>
        <v>0</v>
      </c>
      <c r="M349" s="15">
        <f>'[9]2025'!L349</f>
        <v>0</v>
      </c>
      <c r="N349" s="16" t="str">
        <f t="shared" si="20"/>
        <v/>
      </c>
      <c r="O349" s="17" t="str">
        <f t="shared" si="21"/>
        <v/>
      </c>
      <c r="P349" s="17" t="str">
        <f t="shared" si="21"/>
        <v/>
      </c>
      <c r="Q349" s="18" t="str">
        <f t="shared" si="22"/>
        <v/>
      </c>
      <c r="R349" s="18" t="e">
        <f t="shared" si="23"/>
        <v>#DIV/0!</v>
      </c>
      <c r="S349" s="34"/>
      <c r="T349" s="29" t="s">
        <v>8</v>
      </c>
      <c r="U349" s="1738"/>
    </row>
    <row r="350" spans="1:21">
      <c r="A350" s="10" t="s">
        <v>14</v>
      </c>
      <c r="B350" s="19">
        <f>CHAMNORD!B350</f>
        <v>46367</v>
      </c>
      <c r="C350" s="75" t="str">
        <f>IF(H350=0,"",'[9]2025-2026'!C349)</f>
        <v/>
      </c>
      <c r="D350" s="68" t="str">
        <f>'[9]2025'!C350</f>
        <v/>
      </c>
      <c r="E350" s="68" t="str">
        <f>'[9]2025'!D350</f>
        <v/>
      </c>
      <c r="F350" s="20" t="str">
        <f>'[9]2025'!E350</f>
        <v/>
      </c>
      <c r="G350" s="73" t="str">
        <f>'[9]2025'!F350</f>
        <v/>
      </c>
      <c r="H350" s="42">
        <f>'[9]2025'!G350</f>
        <v>0</v>
      </c>
      <c r="I350" s="13">
        <f>'[9]2025'!H350</f>
        <v>0</v>
      </c>
      <c r="J350" s="14">
        <f>'[9]2025'!I350</f>
        <v>0</v>
      </c>
      <c r="K350" s="15">
        <f>'[9]2025'!J350</f>
        <v>0</v>
      </c>
      <c r="L350" s="15">
        <f>'[9]2025'!K350</f>
        <v>0</v>
      </c>
      <c r="M350" s="15">
        <f>'[9]2025'!L350</f>
        <v>0</v>
      </c>
      <c r="N350" s="16" t="str">
        <f t="shared" si="20"/>
        <v/>
      </c>
      <c r="O350" s="17" t="str">
        <f t="shared" si="21"/>
        <v/>
      </c>
      <c r="P350" s="17" t="str">
        <f t="shared" si="21"/>
        <v/>
      </c>
      <c r="Q350" s="18" t="str">
        <f t="shared" si="22"/>
        <v/>
      </c>
      <c r="R350" s="18" t="e">
        <f t="shared" si="23"/>
        <v>#DIV/0!</v>
      </c>
      <c r="S350" s="36" t="s">
        <v>40</v>
      </c>
      <c r="T350" s="48" t="e">
        <f>SUM(I346:I352)/SUM(L346:L352)</f>
        <v>#DIV/0!</v>
      </c>
      <c r="U350" s="1738"/>
    </row>
    <row r="351" spans="1:21">
      <c r="A351" s="10" t="s">
        <v>15</v>
      </c>
      <c r="B351" s="19">
        <f>CHAMNORD!B351</f>
        <v>46368</v>
      </c>
      <c r="C351" s="75" t="str">
        <f>IF(H351=0,"",'[9]2025-2026'!C350)</f>
        <v/>
      </c>
      <c r="D351" s="68" t="str">
        <f>'[9]2025'!C351</f>
        <v/>
      </c>
      <c r="E351" s="68" t="str">
        <f>'[9]2025'!D351</f>
        <v/>
      </c>
      <c r="F351" s="20" t="str">
        <f>'[9]2025'!E351</f>
        <v/>
      </c>
      <c r="G351" s="73" t="str">
        <f>'[9]2025'!F351</f>
        <v/>
      </c>
      <c r="H351" s="42">
        <f>'[9]2025'!G351</f>
        <v>0</v>
      </c>
      <c r="I351" s="13">
        <f>'[9]2025'!H351</f>
        <v>0</v>
      </c>
      <c r="J351" s="14">
        <f>'[9]2025'!I351</f>
        <v>0</v>
      </c>
      <c r="K351" s="15">
        <f>'[9]2025'!J351</f>
        <v>0</v>
      </c>
      <c r="L351" s="15">
        <f>'[9]2025'!K351</f>
        <v>0</v>
      </c>
      <c r="M351" s="15">
        <f>'[9]2025'!L351</f>
        <v>0</v>
      </c>
      <c r="N351" s="16" t="str">
        <f t="shared" si="20"/>
        <v/>
      </c>
      <c r="O351" s="17" t="str">
        <f t="shared" si="21"/>
        <v/>
      </c>
      <c r="P351" s="17" t="str">
        <f t="shared" si="21"/>
        <v/>
      </c>
      <c r="Q351" s="18" t="str">
        <f t="shared" si="22"/>
        <v/>
      </c>
      <c r="R351" s="18" t="e">
        <f t="shared" si="23"/>
        <v>#DIV/0!</v>
      </c>
      <c r="S351" s="36">
        <f>SUM(J346:J352)</f>
        <v>0</v>
      </c>
      <c r="T351" s="30" t="s">
        <v>3</v>
      </c>
      <c r="U351" s="1738"/>
    </row>
    <row r="352" spans="1:21" ht="18" thickBot="1">
      <c r="A352" s="10" t="s">
        <v>16</v>
      </c>
      <c r="B352" s="19">
        <f>CHAMNORD!B352</f>
        <v>46369</v>
      </c>
      <c r="C352" s="75" t="str">
        <f>IF(H352=0,"",'[9]2025-2026'!C351)</f>
        <v/>
      </c>
      <c r="D352" s="68" t="str">
        <f>'[9]2025'!C352</f>
        <v/>
      </c>
      <c r="E352" s="68" t="str">
        <f>'[9]2025'!D352</f>
        <v/>
      </c>
      <c r="F352" s="20" t="str">
        <f>'[9]2025'!E352</f>
        <v/>
      </c>
      <c r="G352" s="73" t="str">
        <f>'[9]2025'!F352</f>
        <v/>
      </c>
      <c r="H352" s="42">
        <f>'[9]2025'!G352</f>
        <v>0</v>
      </c>
      <c r="I352" s="13">
        <f>'[9]2025'!H352</f>
        <v>0</v>
      </c>
      <c r="J352" s="14">
        <f>'[9]2025'!I352</f>
        <v>0</v>
      </c>
      <c r="K352" s="15">
        <f>'[9]2025'!J352</f>
        <v>0</v>
      </c>
      <c r="L352" s="15">
        <f>'[9]2025'!K352</f>
        <v>0</v>
      </c>
      <c r="M352" s="15">
        <f>'[9]2025'!L352</f>
        <v>0</v>
      </c>
      <c r="N352" s="16" t="str">
        <f t="shared" si="20"/>
        <v/>
      </c>
      <c r="O352" s="17" t="str">
        <f t="shared" si="21"/>
        <v/>
      </c>
      <c r="P352" s="17" t="str">
        <f t="shared" si="21"/>
        <v/>
      </c>
      <c r="Q352" s="18" t="str">
        <f t="shared" si="22"/>
        <v/>
      </c>
      <c r="R352" s="18" t="e">
        <f t="shared" si="23"/>
        <v>#DIV/0!</v>
      </c>
      <c r="S352" s="37" t="e">
        <f>(S351-SUM(F346:F352))/SUM(F346:F352)</f>
        <v>#DIV/0!</v>
      </c>
      <c r="T352" s="47" t="e">
        <f>SUM(M346:M352)/SUM(I346:I352)</f>
        <v>#DIV/0!</v>
      </c>
      <c r="U352" s="1739"/>
    </row>
    <row r="353" spans="1:21" ht="17" customHeight="1" thickTop="1">
      <c r="A353" s="10" t="s">
        <v>9</v>
      </c>
      <c r="B353" s="19">
        <f>CHAMNORD!B353</f>
        <v>46370</v>
      </c>
      <c r="C353" s="75" t="str">
        <f>IF(H353=0,"",'[9]2025-2026'!C352)</f>
        <v/>
      </c>
      <c r="D353" s="68" t="str">
        <f>'[9]2025'!C353</f>
        <v/>
      </c>
      <c r="E353" s="68" t="str">
        <f>'[9]2025'!D353</f>
        <v/>
      </c>
      <c r="F353" s="20" t="str">
        <f>'[9]2025'!E353</f>
        <v/>
      </c>
      <c r="G353" s="73" t="str">
        <f>'[9]2025'!F353</f>
        <v/>
      </c>
      <c r="H353" s="42">
        <f>'[9]2025'!G353</f>
        <v>0</v>
      </c>
      <c r="I353" s="13">
        <f>'[9]2025'!H353</f>
        <v>0</v>
      </c>
      <c r="J353" s="14">
        <f>'[9]2025'!I353</f>
        <v>0</v>
      </c>
      <c r="K353" s="15">
        <f>'[9]2025'!J353</f>
        <v>0</v>
      </c>
      <c r="L353" s="15">
        <f>'[9]2025'!K353</f>
        <v>0</v>
      </c>
      <c r="M353" s="15">
        <f>'[9]2025'!L353</f>
        <v>0</v>
      </c>
      <c r="N353" s="16" t="str">
        <f t="shared" si="20"/>
        <v/>
      </c>
      <c r="O353" s="17" t="str">
        <f t="shared" si="21"/>
        <v/>
      </c>
      <c r="P353" s="17" t="str">
        <f t="shared" si="21"/>
        <v/>
      </c>
      <c r="Q353" s="18" t="str">
        <f t="shared" si="22"/>
        <v/>
      </c>
      <c r="R353" s="18" t="e">
        <f t="shared" si="23"/>
        <v>#DIV/0!</v>
      </c>
      <c r="S353" s="33" t="s">
        <v>39</v>
      </c>
      <c r="T353" s="31" t="s">
        <v>42</v>
      </c>
      <c r="U353" s="1737" t="s">
        <v>133</v>
      </c>
    </row>
    <row r="354" spans="1:21">
      <c r="A354" s="10" t="s">
        <v>11</v>
      </c>
      <c r="B354" s="19">
        <f>CHAMNORD!B354</f>
        <v>46371</v>
      </c>
      <c r="C354" s="75" t="str">
        <f>IF(H354=0,"",'[9]2025-2026'!C353)</f>
        <v/>
      </c>
      <c r="D354" s="68" t="str">
        <f>'[9]2025'!C354</f>
        <v/>
      </c>
      <c r="E354" s="68" t="str">
        <f>'[9]2025'!D354</f>
        <v/>
      </c>
      <c r="F354" s="20" t="str">
        <f>'[9]2025'!E354</f>
        <v/>
      </c>
      <c r="G354" s="73" t="str">
        <f>'[9]2025'!F354</f>
        <v/>
      </c>
      <c r="H354" s="42">
        <f>'[9]2025'!G354</f>
        <v>0</v>
      </c>
      <c r="I354" s="13">
        <f>'[9]2025'!H354</f>
        <v>0</v>
      </c>
      <c r="J354" s="14">
        <f>'[9]2025'!I354</f>
        <v>0</v>
      </c>
      <c r="K354" s="15">
        <f>'[9]2025'!J354</f>
        <v>0</v>
      </c>
      <c r="L354" s="15">
        <f>'[9]2025'!K354</f>
        <v>0</v>
      </c>
      <c r="M354" s="15">
        <f>'[9]2025'!L354</f>
        <v>0</v>
      </c>
      <c r="N354" s="16" t="str">
        <f t="shared" si="20"/>
        <v/>
      </c>
      <c r="O354" s="17" t="str">
        <f t="shared" si="21"/>
        <v/>
      </c>
      <c r="P354" s="17" t="str">
        <f t="shared" si="21"/>
        <v/>
      </c>
      <c r="Q354" s="18" t="str">
        <f t="shared" si="22"/>
        <v/>
      </c>
      <c r="R354" s="18" t="e">
        <f t="shared" si="23"/>
        <v>#DIV/0!</v>
      </c>
      <c r="S354" s="34">
        <f>SUM(I353:I359)</f>
        <v>0</v>
      </c>
      <c r="T354" s="45" t="s">
        <v>41</v>
      </c>
      <c r="U354" s="1738"/>
    </row>
    <row r="355" spans="1:21">
      <c r="A355" s="10" t="s">
        <v>12</v>
      </c>
      <c r="B355" s="19">
        <f>CHAMNORD!B355</f>
        <v>46372</v>
      </c>
      <c r="C355" s="75" t="str">
        <f>IF(H355=0,"",'[9]2025-2026'!C354)</f>
        <v/>
      </c>
      <c r="D355" s="68" t="str">
        <f>'[9]2025'!C355</f>
        <v/>
      </c>
      <c r="E355" s="68" t="str">
        <f>'[9]2025'!D355</f>
        <v/>
      </c>
      <c r="F355" s="20" t="str">
        <f>'[9]2025'!E355</f>
        <v/>
      </c>
      <c r="G355" s="73" t="str">
        <f>'[9]2025'!F355</f>
        <v/>
      </c>
      <c r="H355" s="42">
        <f>'[9]2025'!G355</f>
        <v>0</v>
      </c>
      <c r="I355" s="13">
        <f>'[9]2025'!H355</f>
        <v>0</v>
      </c>
      <c r="J355" s="14">
        <f>'[9]2025'!I355</f>
        <v>0</v>
      </c>
      <c r="K355" s="15">
        <f>'[9]2025'!J355</f>
        <v>0</v>
      </c>
      <c r="L355" s="15">
        <f>'[9]2025'!K355</f>
        <v>0</v>
      </c>
      <c r="M355" s="15">
        <f>'[9]2025'!L355</f>
        <v>0</v>
      </c>
      <c r="N355" s="16" t="str">
        <f t="shared" si="20"/>
        <v/>
      </c>
      <c r="O355" s="17" t="str">
        <f t="shared" si="21"/>
        <v/>
      </c>
      <c r="P355" s="17" t="str">
        <f t="shared" si="21"/>
        <v/>
      </c>
      <c r="Q355" s="18" t="str">
        <f t="shared" si="22"/>
        <v/>
      </c>
      <c r="R355" s="18" t="e">
        <f t="shared" si="23"/>
        <v>#DIV/0!</v>
      </c>
      <c r="S355" s="35" t="e">
        <f>(S354-SUM(E353:E359))/SUM(E353:E359)</f>
        <v>#DIV/0!</v>
      </c>
      <c r="T355" s="48" t="e">
        <f>SUM(I353:I359)/SUM(K353:K359)</f>
        <v>#DIV/0!</v>
      </c>
      <c r="U355" s="1738"/>
    </row>
    <row r="356" spans="1:21">
      <c r="A356" s="10" t="s">
        <v>13</v>
      </c>
      <c r="B356" s="19">
        <f>CHAMNORD!B356</f>
        <v>46373</v>
      </c>
      <c r="C356" s="75" t="str">
        <f>IF(H356=0,"",'[9]2025-2026'!C355)</f>
        <v/>
      </c>
      <c r="D356" s="68" t="str">
        <f>'[9]2025'!C356</f>
        <v/>
      </c>
      <c r="E356" s="68" t="str">
        <f>'[9]2025'!D356</f>
        <v/>
      </c>
      <c r="F356" s="20" t="str">
        <f>'[9]2025'!E356</f>
        <v/>
      </c>
      <c r="G356" s="73" t="str">
        <f>'[9]2025'!F356</f>
        <v/>
      </c>
      <c r="H356" s="42">
        <f>'[9]2025'!G356</f>
        <v>0</v>
      </c>
      <c r="I356" s="13">
        <f>'[9]2025'!H356</f>
        <v>0</v>
      </c>
      <c r="J356" s="14">
        <f>'[9]2025'!I356</f>
        <v>0</v>
      </c>
      <c r="K356" s="15">
        <f>'[9]2025'!J356</f>
        <v>0</v>
      </c>
      <c r="L356" s="15">
        <f>'[9]2025'!K356</f>
        <v>0</v>
      </c>
      <c r="M356" s="15">
        <f>'[9]2025'!L356</f>
        <v>0</v>
      </c>
      <c r="N356" s="16" t="str">
        <f t="shared" si="20"/>
        <v/>
      </c>
      <c r="O356" s="17" t="str">
        <f t="shared" si="21"/>
        <v/>
      </c>
      <c r="P356" s="17" t="str">
        <f t="shared" si="21"/>
        <v/>
      </c>
      <c r="Q356" s="18" t="str">
        <f t="shared" si="22"/>
        <v/>
      </c>
      <c r="R356" s="18" t="e">
        <f t="shared" si="23"/>
        <v>#DIV/0!</v>
      </c>
      <c r="S356" s="34"/>
      <c r="T356" s="29" t="s">
        <v>8</v>
      </c>
      <c r="U356" s="1738"/>
    </row>
    <row r="357" spans="1:21">
      <c r="A357" s="10" t="s">
        <v>14</v>
      </c>
      <c r="B357" s="19">
        <f>CHAMNORD!B357</f>
        <v>46374</v>
      </c>
      <c r="C357" s="75" t="str">
        <f>IF(H357=0,"",'[9]2025-2026'!C356)</f>
        <v/>
      </c>
      <c r="D357" s="68" t="str">
        <f>'[9]2025'!C357</f>
        <v/>
      </c>
      <c r="E357" s="68" t="str">
        <f>'[9]2025'!D357</f>
        <v/>
      </c>
      <c r="F357" s="20" t="str">
        <f>'[9]2025'!E357</f>
        <v/>
      </c>
      <c r="G357" s="73" t="str">
        <f>'[9]2025'!F357</f>
        <v/>
      </c>
      <c r="H357" s="42">
        <f>'[9]2025'!G357</f>
        <v>0</v>
      </c>
      <c r="I357" s="13">
        <f>'[9]2025'!H357</f>
        <v>0</v>
      </c>
      <c r="J357" s="14">
        <f>'[9]2025'!I357</f>
        <v>0</v>
      </c>
      <c r="K357" s="15">
        <f>'[9]2025'!J357</f>
        <v>0</v>
      </c>
      <c r="L357" s="15">
        <f>'[9]2025'!K357</f>
        <v>0</v>
      </c>
      <c r="M357" s="15">
        <f>'[9]2025'!L357</f>
        <v>0</v>
      </c>
      <c r="N357" s="16" t="str">
        <f t="shared" si="20"/>
        <v/>
      </c>
      <c r="O357" s="17" t="str">
        <f t="shared" si="21"/>
        <v/>
      </c>
      <c r="P357" s="17" t="str">
        <f t="shared" si="21"/>
        <v/>
      </c>
      <c r="Q357" s="18" t="str">
        <f t="shared" si="22"/>
        <v/>
      </c>
      <c r="R357" s="18" t="e">
        <f t="shared" si="23"/>
        <v>#DIV/0!</v>
      </c>
      <c r="S357" s="36" t="s">
        <v>40</v>
      </c>
      <c r="T357" s="48" t="e">
        <f>SUM(I353:I359)/SUM(L353:L359)</f>
        <v>#DIV/0!</v>
      </c>
      <c r="U357" s="1738"/>
    </row>
    <row r="358" spans="1:21">
      <c r="A358" s="10" t="s">
        <v>15</v>
      </c>
      <c r="B358" s="19">
        <f>CHAMNORD!B358</f>
        <v>46375</v>
      </c>
      <c r="C358" s="75" t="str">
        <f>IF(H358=0,"",'[9]2025-2026'!C357)</f>
        <v/>
      </c>
      <c r="D358" s="68" t="str">
        <f>'[9]2025'!C358</f>
        <v/>
      </c>
      <c r="E358" s="68" t="str">
        <f>'[9]2025'!D358</f>
        <v/>
      </c>
      <c r="F358" s="20" t="str">
        <f>'[9]2025'!E358</f>
        <v/>
      </c>
      <c r="G358" s="73" t="str">
        <f>'[9]2025'!F358</f>
        <v/>
      </c>
      <c r="H358" s="42">
        <f>'[9]2025'!G358</f>
        <v>0</v>
      </c>
      <c r="I358" s="13">
        <f>'[9]2025'!H358</f>
        <v>0</v>
      </c>
      <c r="J358" s="14">
        <f>'[9]2025'!I358</f>
        <v>0</v>
      </c>
      <c r="K358" s="15">
        <f>'[9]2025'!J358</f>
        <v>0</v>
      </c>
      <c r="L358" s="15">
        <f>'[9]2025'!K358</f>
        <v>0</v>
      </c>
      <c r="M358" s="15">
        <f>'[9]2025'!L358</f>
        <v>0</v>
      </c>
      <c r="N358" s="16" t="str">
        <f t="shared" si="20"/>
        <v/>
      </c>
      <c r="O358" s="17" t="str">
        <f t="shared" si="21"/>
        <v/>
      </c>
      <c r="P358" s="17" t="str">
        <f t="shared" si="21"/>
        <v/>
      </c>
      <c r="Q358" s="18" t="str">
        <f t="shared" si="22"/>
        <v/>
      </c>
      <c r="R358" s="18" t="e">
        <f t="shared" si="23"/>
        <v>#DIV/0!</v>
      </c>
      <c r="S358" s="36">
        <f>SUM(J353:J359)</f>
        <v>0</v>
      </c>
      <c r="T358" s="30" t="s">
        <v>3</v>
      </c>
      <c r="U358" s="1738"/>
    </row>
    <row r="359" spans="1:21" ht="18" thickBot="1">
      <c r="A359" s="10" t="s">
        <v>16</v>
      </c>
      <c r="B359" s="19">
        <f>CHAMNORD!B359</f>
        <v>46376</v>
      </c>
      <c r="C359" s="75" t="str">
        <f>IF(H359=0,"",'[9]2025-2026'!C358)</f>
        <v/>
      </c>
      <c r="D359" s="68" t="str">
        <f>'[9]2025'!C359</f>
        <v/>
      </c>
      <c r="E359" s="68" t="str">
        <f>'[9]2025'!D359</f>
        <v/>
      </c>
      <c r="F359" s="20" t="str">
        <f>'[9]2025'!E359</f>
        <v/>
      </c>
      <c r="G359" s="73" t="str">
        <f>'[9]2025'!F359</f>
        <v/>
      </c>
      <c r="H359" s="42">
        <f>'[9]2025'!G359</f>
        <v>0</v>
      </c>
      <c r="I359" s="13">
        <f>'[9]2025'!H359</f>
        <v>0</v>
      </c>
      <c r="J359" s="14">
        <f>'[9]2025'!I359</f>
        <v>0</v>
      </c>
      <c r="K359" s="15">
        <f>'[9]2025'!J359</f>
        <v>0</v>
      </c>
      <c r="L359" s="15">
        <f>'[9]2025'!K359</f>
        <v>0</v>
      </c>
      <c r="M359" s="15">
        <f>'[9]2025'!L359</f>
        <v>0</v>
      </c>
      <c r="N359" s="16" t="str">
        <f t="shared" si="20"/>
        <v/>
      </c>
      <c r="O359" s="17" t="str">
        <f t="shared" si="21"/>
        <v/>
      </c>
      <c r="P359" s="17" t="str">
        <f t="shared" si="21"/>
        <v/>
      </c>
      <c r="Q359" s="18" t="str">
        <f t="shared" si="22"/>
        <v/>
      </c>
      <c r="R359" s="18" t="e">
        <f t="shared" si="23"/>
        <v>#DIV/0!</v>
      </c>
      <c r="S359" s="37" t="e">
        <f>(S358-SUM(F353:F359))/SUM(F353:F359)</f>
        <v>#DIV/0!</v>
      </c>
      <c r="T359" s="47" t="e">
        <f>SUM(M353:M359)/SUM(I353:I359)</f>
        <v>#DIV/0!</v>
      </c>
      <c r="U359" s="1739"/>
    </row>
    <row r="360" spans="1:21" ht="17" customHeight="1" thickTop="1">
      <c r="A360" s="10" t="s">
        <v>9</v>
      </c>
      <c r="B360" s="19">
        <f>CHAMNORD!B360</f>
        <v>46377</v>
      </c>
      <c r="C360" s="75" t="str">
        <f>IF(H360=0,"",'[9]2025-2026'!C359)</f>
        <v/>
      </c>
      <c r="D360" s="68" t="str">
        <f>'[9]2025'!C360</f>
        <v/>
      </c>
      <c r="E360" s="68" t="str">
        <f>'[9]2025'!D360</f>
        <v/>
      </c>
      <c r="F360" s="20" t="str">
        <f>'[9]2025'!E360</f>
        <v/>
      </c>
      <c r="G360" s="73" t="str">
        <f>'[9]2025'!F360</f>
        <v/>
      </c>
      <c r="H360" s="42">
        <f>'[9]2025'!G360</f>
        <v>0</v>
      </c>
      <c r="I360" s="13">
        <f>'[9]2025'!H360</f>
        <v>0</v>
      </c>
      <c r="J360" s="14">
        <f>'[9]2025'!I360</f>
        <v>0</v>
      </c>
      <c r="K360" s="15">
        <f>'[9]2025'!J360</f>
        <v>0</v>
      </c>
      <c r="L360" s="15">
        <f>'[9]2025'!K360</f>
        <v>0</v>
      </c>
      <c r="M360" s="15">
        <f>'[9]2025'!L360</f>
        <v>0</v>
      </c>
      <c r="N360" s="16" t="str">
        <f t="shared" si="20"/>
        <v/>
      </c>
      <c r="O360" s="17" t="str">
        <f t="shared" si="21"/>
        <v/>
      </c>
      <c r="P360" s="17" t="str">
        <f t="shared" si="21"/>
        <v/>
      </c>
      <c r="Q360" s="18" t="str">
        <f t="shared" si="22"/>
        <v/>
      </c>
      <c r="R360" s="18" t="e">
        <f t="shared" si="23"/>
        <v>#DIV/0!</v>
      </c>
      <c r="S360" s="33" t="s">
        <v>39</v>
      </c>
      <c r="T360" s="31" t="s">
        <v>42</v>
      </c>
      <c r="U360" s="1737" t="s">
        <v>134</v>
      </c>
    </row>
    <row r="361" spans="1:21">
      <c r="A361" s="10" t="s">
        <v>11</v>
      </c>
      <c r="B361" s="19">
        <f>CHAMNORD!B361</f>
        <v>46378</v>
      </c>
      <c r="C361" s="75" t="str">
        <f>IF(H361=0,"",'[9]2025-2026'!C360)</f>
        <v/>
      </c>
      <c r="D361" s="68" t="str">
        <f>'[9]2025'!C361</f>
        <v/>
      </c>
      <c r="E361" s="68" t="str">
        <f>'[9]2025'!D361</f>
        <v/>
      </c>
      <c r="F361" s="20" t="str">
        <f>'[9]2025'!E361</f>
        <v/>
      </c>
      <c r="G361" s="73" t="str">
        <f>'[9]2025'!F361</f>
        <v/>
      </c>
      <c r="H361" s="42">
        <f>'[9]2025'!G361</f>
        <v>0</v>
      </c>
      <c r="I361" s="13">
        <f>'[9]2025'!H361</f>
        <v>0</v>
      </c>
      <c r="J361" s="14">
        <f>'[9]2025'!I361</f>
        <v>0</v>
      </c>
      <c r="K361" s="15">
        <f>'[9]2025'!J361</f>
        <v>0</v>
      </c>
      <c r="L361" s="15">
        <f>'[9]2025'!K361</f>
        <v>0</v>
      </c>
      <c r="M361" s="15">
        <f>'[9]2025'!L361</f>
        <v>0</v>
      </c>
      <c r="N361" s="16" t="str">
        <f t="shared" si="20"/>
        <v/>
      </c>
      <c r="O361" s="17" t="str">
        <f t="shared" si="21"/>
        <v/>
      </c>
      <c r="P361" s="17" t="str">
        <f t="shared" si="21"/>
        <v/>
      </c>
      <c r="Q361" s="18" t="str">
        <f t="shared" si="22"/>
        <v/>
      </c>
      <c r="R361" s="18" t="e">
        <f t="shared" si="23"/>
        <v>#DIV/0!</v>
      </c>
      <c r="S361" s="34">
        <f>SUM(I360:I366)</f>
        <v>0</v>
      </c>
      <c r="T361" s="45" t="s">
        <v>41</v>
      </c>
      <c r="U361" s="1738"/>
    </row>
    <row r="362" spans="1:21">
      <c r="A362" s="10" t="s">
        <v>12</v>
      </c>
      <c r="B362" s="19">
        <f>CHAMNORD!B362</f>
        <v>46379</v>
      </c>
      <c r="C362" s="75" t="str">
        <f>IF(H362=0,"",'[9]2025-2026'!C361)</f>
        <v/>
      </c>
      <c r="D362" s="68" t="str">
        <f>'[9]2025'!C362</f>
        <v/>
      </c>
      <c r="E362" s="68" t="str">
        <f>'[9]2025'!D362</f>
        <v/>
      </c>
      <c r="F362" s="20" t="str">
        <f>'[9]2025'!E362</f>
        <v/>
      </c>
      <c r="G362" s="73" t="str">
        <f>'[9]2025'!F362</f>
        <v/>
      </c>
      <c r="H362" s="42">
        <f>'[9]2025'!G362</f>
        <v>0</v>
      </c>
      <c r="I362" s="13">
        <f>'[9]2025'!H362</f>
        <v>0</v>
      </c>
      <c r="J362" s="14">
        <f>'[9]2025'!I362</f>
        <v>0</v>
      </c>
      <c r="K362" s="15">
        <f>'[9]2025'!J362</f>
        <v>0</v>
      </c>
      <c r="L362" s="15">
        <f>'[9]2025'!K362</f>
        <v>0</v>
      </c>
      <c r="M362" s="15">
        <f>'[9]2025'!L362</f>
        <v>0</v>
      </c>
      <c r="N362" s="16" t="str">
        <f t="shared" si="20"/>
        <v/>
      </c>
      <c r="O362" s="17" t="str">
        <f t="shared" si="21"/>
        <v/>
      </c>
      <c r="P362" s="17" t="str">
        <f t="shared" si="21"/>
        <v/>
      </c>
      <c r="Q362" s="18" t="str">
        <f t="shared" si="22"/>
        <v/>
      </c>
      <c r="R362" s="18" t="e">
        <f t="shared" si="23"/>
        <v>#DIV/0!</v>
      </c>
      <c r="S362" s="35" t="e">
        <f>(S361-SUM(E360:E366))/SUM(E360:E366)</f>
        <v>#DIV/0!</v>
      </c>
      <c r="T362" s="48" t="e">
        <f>SUM(I360:I366)/SUM(K360:K366)</f>
        <v>#DIV/0!</v>
      </c>
      <c r="U362" s="1738"/>
    </row>
    <row r="363" spans="1:21">
      <c r="A363" s="10" t="s">
        <v>13</v>
      </c>
      <c r="B363" s="19">
        <f>CHAMNORD!B363</f>
        <v>46380</v>
      </c>
      <c r="C363" s="75" t="str">
        <f>IF(H363=0,"",'[9]2025-2026'!C362)</f>
        <v/>
      </c>
      <c r="D363" s="68" t="str">
        <f>'[9]2025'!C363</f>
        <v/>
      </c>
      <c r="E363" s="68" t="str">
        <f>'[9]2025'!D363</f>
        <v/>
      </c>
      <c r="F363" s="20" t="str">
        <f>'[9]2025'!E363</f>
        <v/>
      </c>
      <c r="G363" s="73" t="str">
        <f>'[9]2025'!F363</f>
        <v/>
      </c>
      <c r="H363" s="42">
        <f>'[9]2025'!G363</f>
        <v>0</v>
      </c>
      <c r="I363" s="13">
        <f>'[9]2025'!H363</f>
        <v>0</v>
      </c>
      <c r="J363" s="14">
        <f>'[9]2025'!I363</f>
        <v>0</v>
      </c>
      <c r="K363" s="15">
        <f>'[9]2025'!J363</f>
        <v>0</v>
      </c>
      <c r="L363" s="15">
        <f>'[9]2025'!K363</f>
        <v>0</v>
      </c>
      <c r="M363" s="15">
        <f>'[9]2025'!L363</f>
        <v>0</v>
      </c>
      <c r="N363" s="16" t="str">
        <f t="shared" si="20"/>
        <v/>
      </c>
      <c r="O363" s="17" t="str">
        <f t="shared" si="21"/>
        <v/>
      </c>
      <c r="P363" s="17" t="str">
        <f t="shared" si="21"/>
        <v/>
      </c>
      <c r="Q363" s="18" t="str">
        <f t="shared" si="22"/>
        <v/>
      </c>
      <c r="R363" s="18" t="e">
        <f t="shared" si="23"/>
        <v>#DIV/0!</v>
      </c>
      <c r="S363" s="34"/>
      <c r="T363" s="29" t="s">
        <v>8</v>
      </c>
      <c r="U363" s="1738"/>
    </row>
    <row r="364" spans="1:21">
      <c r="A364" s="10" t="s">
        <v>14</v>
      </c>
      <c r="B364" s="19">
        <f>CHAMNORD!B364</f>
        <v>46381</v>
      </c>
      <c r="C364" s="75" t="str">
        <f>IF(H364=0,"",'[9]2025-2026'!C363)</f>
        <v/>
      </c>
      <c r="D364" s="68" t="str">
        <f>'[9]2025'!C364</f>
        <v/>
      </c>
      <c r="E364" s="68" t="str">
        <f>'[9]2025'!D364</f>
        <v/>
      </c>
      <c r="F364" s="20" t="str">
        <f>'[9]2025'!E364</f>
        <v/>
      </c>
      <c r="G364" s="73" t="str">
        <f>'[9]2025'!F364</f>
        <v/>
      </c>
      <c r="H364" s="42">
        <f>'[9]2025'!G364</f>
        <v>0</v>
      </c>
      <c r="I364" s="13">
        <f>'[9]2025'!H364</f>
        <v>0</v>
      </c>
      <c r="J364" s="14">
        <f>'[9]2025'!I364</f>
        <v>0</v>
      </c>
      <c r="K364" s="15">
        <f>'[9]2025'!J364</f>
        <v>0</v>
      </c>
      <c r="L364" s="15">
        <f>'[9]2025'!K364</f>
        <v>0</v>
      </c>
      <c r="M364" s="15">
        <f>'[9]2025'!L364</f>
        <v>0</v>
      </c>
      <c r="N364" s="16" t="str">
        <f t="shared" si="20"/>
        <v/>
      </c>
      <c r="O364" s="17" t="str">
        <f t="shared" si="21"/>
        <v/>
      </c>
      <c r="P364" s="17" t="str">
        <f t="shared" si="21"/>
        <v/>
      </c>
      <c r="Q364" s="18" t="str">
        <f t="shared" si="22"/>
        <v/>
      </c>
      <c r="R364" s="18" t="e">
        <f t="shared" si="23"/>
        <v>#DIV/0!</v>
      </c>
      <c r="S364" s="36" t="s">
        <v>40</v>
      </c>
      <c r="T364" s="48" t="e">
        <f>SUM(I360:I366)/SUM(L360:L366)</f>
        <v>#DIV/0!</v>
      </c>
      <c r="U364" s="1738"/>
    </row>
    <row r="365" spans="1:21">
      <c r="A365" s="10" t="s">
        <v>15</v>
      </c>
      <c r="B365" s="19">
        <f>CHAMNORD!B365</f>
        <v>46382</v>
      </c>
      <c r="C365" s="75" t="str">
        <f>IF(H365=0,"",'[9]2025-2026'!C364)</f>
        <v/>
      </c>
      <c r="D365" s="68" t="str">
        <f>'[9]2025'!C365</f>
        <v/>
      </c>
      <c r="E365" s="68" t="str">
        <f>'[9]2025'!D365</f>
        <v/>
      </c>
      <c r="F365" s="20" t="str">
        <f>'[9]2025'!E365</f>
        <v/>
      </c>
      <c r="G365" s="73" t="str">
        <f>'[9]2025'!F365</f>
        <v/>
      </c>
      <c r="H365" s="42">
        <f>'[9]2025'!G365</f>
        <v>0</v>
      </c>
      <c r="I365" s="13">
        <f>'[9]2025'!H365</f>
        <v>0</v>
      </c>
      <c r="J365" s="14">
        <f>'[9]2025'!I365</f>
        <v>0</v>
      </c>
      <c r="K365" s="15">
        <f>'[9]2025'!J365</f>
        <v>0</v>
      </c>
      <c r="L365" s="15">
        <f>'[9]2025'!K365</f>
        <v>0</v>
      </c>
      <c r="M365" s="15">
        <f>'[9]2025'!L365</f>
        <v>0</v>
      </c>
      <c r="N365" s="16" t="str">
        <f t="shared" si="20"/>
        <v/>
      </c>
      <c r="O365" s="17" t="str">
        <f t="shared" si="21"/>
        <v/>
      </c>
      <c r="P365" s="17" t="str">
        <f t="shared" si="21"/>
        <v/>
      </c>
      <c r="Q365" s="18" t="str">
        <f t="shared" si="22"/>
        <v/>
      </c>
      <c r="R365" s="18" t="e">
        <f t="shared" si="23"/>
        <v>#DIV/0!</v>
      </c>
      <c r="S365" s="36">
        <f>SUM(J360:J366)</f>
        <v>0</v>
      </c>
      <c r="T365" s="30" t="s">
        <v>3</v>
      </c>
      <c r="U365" s="1738"/>
    </row>
    <row r="366" spans="1:21" ht="18" thickBot="1">
      <c r="A366" s="10" t="s">
        <v>16</v>
      </c>
      <c r="B366" s="19">
        <f>CHAMNORD!B366</f>
        <v>46383</v>
      </c>
      <c r="C366" s="75" t="str">
        <f>IF(H366=0,"",'[9]2025-2026'!C365)</f>
        <v/>
      </c>
      <c r="D366" s="68" t="str">
        <f>'[9]2025'!C366</f>
        <v/>
      </c>
      <c r="E366" s="68" t="str">
        <f>'[9]2025'!D366</f>
        <v/>
      </c>
      <c r="F366" s="20" t="str">
        <f>'[9]2025'!E366</f>
        <v/>
      </c>
      <c r="G366" s="73" t="str">
        <f>'[9]2025'!F366</f>
        <v/>
      </c>
      <c r="H366" s="42">
        <f>'[9]2025'!G366</f>
        <v>0</v>
      </c>
      <c r="I366" s="13">
        <f>'[9]2025'!H366</f>
        <v>0</v>
      </c>
      <c r="J366" s="14">
        <f>'[9]2025'!I366</f>
        <v>0</v>
      </c>
      <c r="K366" s="15">
        <f>'[9]2025'!J366</f>
        <v>0</v>
      </c>
      <c r="L366" s="15">
        <f>'[9]2025'!K366</f>
        <v>0</v>
      </c>
      <c r="M366" s="15">
        <f>'[9]2025'!L366</f>
        <v>0</v>
      </c>
      <c r="N366" s="16" t="str">
        <f t="shared" si="20"/>
        <v/>
      </c>
      <c r="O366" s="17" t="str">
        <f t="shared" si="21"/>
        <v/>
      </c>
      <c r="P366" s="17" t="str">
        <f t="shared" si="21"/>
        <v/>
      </c>
      <c r="Q366" s="18" t="str">
        <f t="shared" si="22"/>
        <v/>
      </c>
      <c r="R366" s="18" t="e">
        <f t="shared" si="23"/>
        <v>#DIV/0!</v>
      </c>
      <c r="S366" s="37" t="e">
        <f>(S365-SUM(F360:F366))/SUM(F360:F366)</f>
        <v>#DIV/0!</v>
      </c>
      <c r="T366" s="47" t="e">
        <f>SUM(M360:M366)/SUM(I360:I366)</f>
        <v>#DIV/0!</v>
      </c>
      <c r="U366" s="1739"/>
    </row>
    <row r="367" spans="1:21" ht="18" thickTop="1">
      <c r="A367" s="10" t="s">
        <v>9</v>
      </c>
      <c r="B367" s="19">
        <f>CHAMNORD!B367</f>
        <v>46384</v>
      </c>
      <c r="C367" s="75" t="str">
        <f>IF(H367=0,"",'[9]2025-2026'!C366)</f>
        <v/>
      </c>
      <c r="D367" s="68" t="str">
        <f>'[9]2025'!C367</f>
        <v/>
      </c>
      <c r="E367" s="68">
        <f>'[9]2025'!D367</f>
        <v>0</v>
      </c>
      <c r="F367" s="20" t="str">
        <f>'[9]2025'!E367</f>
        <v/>
      </c>
      <c r="G367" s="73" t="str">
        <f>'[9]2025'!F367</f>
        <v/>
      </c>
      <c r="H367" s="42">
        <f>'[9]2025'!G367</f>
        <v>0</v>
      </c>
      <c r="I367" s="13">
        <f>'[9]2025'!H367</f>
        <v>0</v>
      </c>
      <c r="J367" s="14">
        <f>'[9]2025'!I367</f>
        <v>0</v>
      </c>
      <c r="K367" s="15">
        <f>'[9]2025'!J367</f>
        <v>0</v>
      </c>
      <c r="L367" s="15">
        <f>'[9]2025'!K367</f>
        <v>0</v>
      </c>
      <c r="M367" s="15">
        <f>'[9]2025'!L367</f>
        <v>0</v>
      </c>
      <c r="N367" s="16" t="str">
        <f t="shared" si="20"/>
        <v/>
      </c>
      <c r="O367" s="17" t="str">
        <f t="shared" si="21"/>
        <v/>
      </c>
      <c r="P367" s="17" t="str">
        <f t="shared" si="21"/>
        <v/>
      </c>
      <c r="Q367" s="18" t="str">
        <f t="shared" si="22"/>
        <v/>
      </c>
      <c r="R367" s="18" t="e">
        <f t="shared" si="23"/>
        <v>#DIV/0!</v>
      </c>
      <c r="S367" s="33" t="s">
        <v>39</v>
      </c>
      <c r="T367" s="31" t="s">
        <v>42</v>
      </c>
      <c r="U367" s="1737" t="s">
        <v>135</v>
      </c>
    </row>
    <row r="368" spans="1:21">
      <c r="A368" s="10" t="s">
        <v>11</v>
      </c>
      <c r="B368" s="19">
        <f>CHAMNORD!B368</f>
        <v>46385</v>
      </c>
      <c r="C368" s="75" t="str">
        <f>IF(H368=0,"",'[9]2025-2026'!C367)</f>
        <v/>
      </c>
      <c r="D368" s="68" t="str">
        <f>'[9]2025'!C368</f>
        <v/>
      </c>
      <c r="E368" s="68">
        <f>'[9]2025'!D368</f>
        <v>0</v>
      </c>
      <c r="F368" s="20" t="str">
        <f>'[9]2025'!E368</f>
        <v/>
      </c>
      <c r="G368" s="73" t="str">
        <f>'[9]2025'!F368</f>
        <v/>
      </c>
      <c r="H368" s="42">
        <f>'[9]2025'!G368</f>
        <v>0</v>
      </c>
      <c r="I368" s="13">
        <f>'[9]2025'!H368</f>
        <v>0</v>
      </c>
      <c r="J368" s="14">
        <f>'[9]2025'!I368</f>
        <v>0</v>
      </c>
      <c r="K368" s="15">
        <f>'[9]2025'!J368</f>
        <v>0</v>
      </c>
      <c r="L368" s="15">
        <f>'[9]2025'!K368</f>
        <v>0</v>
      </c>
      <c r="M368" s="15">
        <f>'[9]2025'!L368</f>
        <v>0</v>
      </c>
      <c r="N368" s="17" t="str">
        <f t="shared" si="20"/>
        <v/>
      </c>
      <c r="O368" s="17" t="str">
        <f t="shared" si="21"/>
        <v/>
      </c>
      <c r="P368" s="17" t="str">
        <f t="shared" si="21"/>
        <v/>
      </c>
      <c r="Q368" s="18" t="str">
        <f t="shared" si="22"/>
        <v/>
      </c>
      <c r="R368" s="18" t="e">
        <f t="shared" si="23"/>
        <v>#DIV/0!</v>
      </c>
      <c r="S368" s="34">
        <f>SUM(I367:I373)</f>
        <v>0</v>
      </c>
      <c r="T368" s="45" t="s">
        <v>41</v>
      </c>
      <c r="U368" s="1738"/>
    </row>
    <row r="369" spans="1:26">
      <c r="A369" s="10" t="s">
        <v>12</v>
      </c>
      <c r="B369" s="19">
        <f>CHAMNORD!B369</f>
        <v>46386</v>
      </c>
      <c r="C369" s="75" t="str">
        <f>IF(H369=0,"",'[9]2025-2026'!C368)</f>
        <v/>
      </c>
      <c r="D369" s="68" t="str">
        <f>'[9]2025'!C369</f>
        <v/>
      </c>
      <c r="E369" s="68">
        <f>'[9]2025'!D369</f>
        <v>0</v>
      </c>
      <c r="F369" s="20">
        <f>'[9]2025'!E369</f>
        <v>0</v>
      </c>
      <c r="G369" s="73">
        <f>'[9]2025'!F369</f>
        <v>0</v>
      </c>
      <c r="H369" s="42">
        <f>'[9]2025'!G369</f>
        <v>0</v>
      </c>
      <c r="I369" s="13">
        <f>'[9]2025'!H369</f>
        <v>0</v>
      </c>
      <c r="J369" s="14">
        <f>'[9]2025'!I369</f>
        <v>0</v>
      </c>
      <c r="K369" s="15">
        <f>'[9]2025'!J369</f>
        <v>0</v>
      </c>
      <c r="L369" s="15">
        <f>'[9]2025'!K369</f>
        <v>0</v>
      </c>
      <c r="M369" s="15">
        <f>'[9]2025'!L369</f>
        <v>0</v>
      </c>
      <c r="N369" s="17"/>
      <c r="O369" s="17"/>
      <c r="Q369" s="18"/>
      <c r="R369" s="61"/>
      <c r="S369" s="35" t="e">
        <f>(S368-SUM(E367:E373))/SUM(E367:E373)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64">
        <f>CHAMNORD!B370</f>
        <v>46387</v>
      </c>
      <c r="C370" s="80" t="str">
        <f>IF(H370=0,"",'[9]2025-2026'!C369)</f>
        <v/>
      </c>
      <c r="D370" s="68"/>
      <c r="E370" s="68"/>
      <c r="F370" s="20"/>
      <c r="G370" s="73"/>
      <c r="H370" s="42"/>
      <c r="I370" s="13"/>
      <c r="J370" s="14"/>
      <c r="K370" s="15"/>
      <c r="L370" s="15"/>
      <c r="M370" s="15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64">
        <f>CHAMNORD!B371</f>
        <v>46388</v>
      </c>
      <c r="C371" s="80" t="str">
        <f>IF(H371=0,"",'[9]2025-2026'!C370)</f>
        <v/>
      </c>
      <c r="D371" s="68"/>
      <c r="E371" s="68"/>
      <c r="F371" s="20"/>
      <c r="G371" s="73"/>
      <c r="H371" s="42"/>
      <c r="I371" s="13"/>
      <c r="J371" s="14"/>
      <c r="K371" s="15"/>
      <c r="L371" s="15"/>
      <c r="M371" s="15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64">
        <f>CHAMNORD!B372</f>
        <v>46389</v>
      </c>
      <c r="C372" s="80" t="str">
        <f>IF(H372=0,"",'[9]2025-2026'!C371)</f>
        <v/>
      </c>
      <c r="D372" s="68"/>
      <c r="E372" s="68"/>
      <c r="F372" s="20"/>
      <c r="G372" s="73"/>
      <c r="H372" s="42"/>
      <c r="I372" s="13"/>
      <c r="J372" s="14"/>
      <c r="K372" s="15"/>
      <c r="L372" s="15"/>
      <c r="M372" s="15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64">
        <f>CHAMNORD!B373</f>
        <v>46390</v>
      </c>
      <c r="C373" s="81" t="str">
        <f>IF(H373=0,"",'[9]2025-2026'!C372)</f>
        <v/>
      </c>
      <c r="D373" s="71"/>
      <c r="E373" s="71"/>
      <c r="F373" s="21"/>
      <c r="G373" s="74"/>
      <c r="H373" s="43"/>
      <c r="I373" s="22"/>
      <c r="J373" s="23"/>
      <c r="K373" s="201"/>
      <c r="L373" s="201"/>
      <c r="M373" s="201"/>
      <c r="N373" s="25"/>
      <c r="O373" s="25"/>
      <c r="P373" s="25"/>
      <c r="Q373" s="26"/>
      <c r="R373" s="62"/>
      <c r="S373" s="37" t="e">
        <f>(S372-SUM(F367:F373))/SUM(F367:F373)</f>
        <v>#DIV/0!</v>
      </c>
      <c r="T373" s="47" t="e">
        <f>SUM(M367:M373)/SUM(I367:I373)</f>
        <v>#DIV/0!</v>
      </c>
      <c r="U373" s="1739"/>
    </row>
    <row r="374" spans="1:26" ht="17" customHeight="1">
      <c r="D374" s="69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233736.18</v>
      </c>
      <c r="E377" s="104"/>
      <c r="F377" s="102">
        <v>94</v>
      </c>
      <c r="G377" s="105">
        <f>M377/F377</f>
        <v>2667.3796808510638</v>
      </c>
      <c r="H377" s="84">
        <f>SUM(D$6:D$36)</f>
        <v>243907.66</v>
      </c>
      <c r="I377" s="84">
        <f t="shared" ref="I377:Q377" si="24">SUM(E$6:E$36)</f>
        <v>241814.21000000005</v>
      </c>
      <c r="J377" s="89">
        <f t="shared" si="24"/>
        <v>13519</v>
      </c>
      <c r="K377" s="84">
        <f t="shared" si="24"/>
        <v>258800</v>
      </c>
      <c r="L377" s="84">
        <f t="shared" si="24"/>
        <v>253415.66000000003</v>
      </c>
      <c r="M377" s="84">
        <f t="shared" si="24"/>
        <v>250733.68999999997</v>
      </c>
      <c r="N377" s="89">
        <f t="shared" si="24"/>
        <v>12782</v>
      </c>
      <c r="O377" s="89">
        <f t="shared" si="24"/>
        <v>2686.8</v>
      </c>
      <c r="P377" s="89">
        <f t="shared" si="24"/>
        <v>3252.3199999999993</v>
      </c>
      <c r="Q377" s="87">
        <f t="shared" si="24"/>
        <v>1600.1499999999999</v>
      </c>
      <c r="R377" s="87">
        <f>'[9]2025'!$G$387</f>
        <v>633.5</v>
      </c>
      <c r="S377" s="87">
        <f>'[9]2025'!$G$388</f>
        <v>-331.15</v>
      </c>
      <c r="T377" s="87">
        <f>'[9]2025'!$G$389</f>
        <v>170.43</v>
      </c>
      <c r="U377" s="27"/>
      <c r="V377" s="1502">
        <f>(L377-D377)/D377</f>
        <v>8.4195266646353337E-2</v>
      </c>
      <c r="W377" s="1502">
        <f>(L377-H377)/H377</f>
        <v>3.8981965552045514E-2</v>
      </c>
      <c r="X377" s="1502">
        <f>(M377-I377)/I377</f>
        <v>3.6885673509426599E-2</v>
      </c>
      <c r="Y377" s="1502">
        <f>(N377-J377)/J377</f>
        <v>-5.4515866558177382E-2</v>
      </c>
    </row>
    <row r="378" spans="1:26" ht="17" customHeight="1">
      <c r="B378" s="98" t="s">
        <v>25</v>
      </c>
      <c r="C378" s="204"/>
      <c r="D378" s="84">
        <f>SUM(C$37:C$64)</f>
        <v>229347.88999999998</v>
      </c>
      <c r="E378" s="104"/>
      <c r="F378" s="102">
        <v>94</v>
      </c>
      <c r="G378" s="105">
        <f t="shared" ref="G378:G388" si="25">M378/F378</f>
        <v>2316.3805319148937</v>
      </c>
      <c r="H378" s="83">
        <f>SUM(D$37:D$64)</f>
        <v>228469.26</v>
      </c>
      <c r="I378" s="83">
        <f t="shared" ref="I378:Q378" si="26">SUM(E$37:E$64)</f>
        <v>226023.33999999997</v>
      </c>
      <c r="J378" s="89">
        <f t="shared" si="26"/>
        <v>12284</v>
      </c>
      <c r="K378" s="84">
        <f t="shared" si="26"/>
        <v>240000</v>
      </c>
      <c r="L378" s="88">
        <f t="shared" si="26"/>
        <v>220557.87000000002</v>
      </c>
      <c r="M378" s="88">
        <f t="shared" si="26"/>
        <v>217739.77000000002</v>
      </c>
      <c r="N378" s="93">
        <f t="shared" si="26"/>
        <v>11185</v>
      </c>
      <c r="O378" s="93">
        <f t="shared" si="26"/>
        <v>2458.98</v>
      </c>
      <c r="P378" s="93">
        <f t="shared" si="26"/>
        <v>3014.22</v>
      </c>
      <c r="Q378" s="87">
        <f t="shared" si="26"/>
        <v>1327.7799999999997</v>
      </c>
      <c r="R378" s="87">
        <f>'[9]2025'!$H$387</f>
        <v>641.86000000000013</v>
      </c>
      <c r="S378" s="87">
        <f>'[9]2025'!$H$388</f>
        <v>-30.859999999999996</v>
      </c>
      <c r="T378" s="87">
        <f>'[9]2025'!$H$389</f>
        <v>18.049999999999997</v>
      </c>
      <c r="U378" s="27"/>
      <c r="V378" s="1502">
        <f t="shared" ref="V378:V388" si="27">(L378-D378)/D378</f>
        <v>-3.8326142874041534E-2</v>
      </c>
      <c r="W378" s="1502">
        <f t="shared" ref="W378:Y388" si="28">(L378-H378)/H378</f>
        <v>-3.4627809447975562E-2</v>
      </c>
      <c r="X378" s="1502">
        <f t="shared" si="28"/>
        <v>-3.6649179682062702E-2</v>
      </c>
      <c r="Y378" s="1502">
        <f t="shared" si="28"/>
        <v>-8.9465971996092478E-2</v>
      </c>
    </row>
    <row r="379" spans="1:26">
      <c r="B379" s="98" t="s">
        <v>17</v>
      </c>
      <c r="C379" s="204"/>
      <c r="D379" s="84">
        <f>SUM(C$65:C$95)</f>
        <v>242711.71000000002</v>
      </c>
      <c r="E379" s="104"/>
      <c r="F379" s="102">
        <v>94</v>
      </c>
      <c r="G379" s="105">
        <f t="shared" si="25"/>
        <v>2503.5722340425523</v>
      </c>
      <c r="H379" s="83">
        <f>SUM(D$65:D$95)</f>
        <v>240924.31999999998</v>
      </c>
      <c r="I379" s="83">
        <f t="shared" ref="I379:Q379" si="29">SUM(E$65:E$95)</f>
        <v>237728.59</v>
      </c>
      <c r="J379" s="90">
        <f t="shared" si="29"/>
        <v>12769</v>
      </c>
      <c r="K379" s="83">
        <f t="shared" si="29"/>
        <v>242100</v>
      </c>
      <c r="L379" s="83">
        <f t="shared" si="29"/>
        <v>238670.09</v>
      </c>
      <c r="M379" s="83">
        <f t="shared" si="29"/>
        <v>235335.78999999992</v>
      </c>
      <c r="N379" s="90">
        <f t="shared" si="29"/>
        <v>12196</v>
      </c>
      <c r="O379" s="90">
        <f t="shared" si="29"/>
        <v>2354.36</v>
      </c>
      <c r="P379" s="90">
        <f t="shared" si="29"/>
        <v>2933.5099999999998</v>
      </c>
      <c r="Q379" s="83">
        <f t="shared" si="29"/>
        <v>1274.7499999999998</v>
      </c>
      <c r="R379" s="87">
        <f>'[9]2025'!$I$387</f>
        <v>680.94999999999993</v>
      </c>
      <c r="S379" s="87">
        <f>'[9]2025'!$I$388</f>
        <v>-16.490000000000006</v>
      </c>
      <c r="T379" s="87">
        <f>'[9]2025'!$I$389</f>
        <v>203.17</v>
      </c>
      <c r="U379" s="27"/>
      <c r="V379" s="1502">
        <f t="shared" si="27"/>
        <v>-1.6651936571169246E-2</v>
      </c>
      <c r="W379" s="1502">
        <f t="shared" si="28"/>
        <v>-9.3565896543776964E-3</v>
      </c>
      <c r="X379" s="1502">
        <f t="shared" si="28"/>
        <v>-1.0065259714870961E-2</v>
      </c>
      <c r="Y379" s="1502">
        <f t="shared" si="28"/>
        <v>-4.4874304957318506E-2</v>
      </c>
    </row>
    <row r="380" spans="1:26">
      <c r="B380" s="98" t="s">
        <v>18</v>
      </c>
      <c r="C380" s="204"/>
      <c r="D380" s="84">
        <f>SUM(C$96:C$125)</f>
        <v>247568.9</v>
      </c>
      <c r="E380" s="104"/>
      <c r="F380" s="102">
        <v>94</v>
      </c>
      <c r="G380" s="105">
        <f t="shared" si="25"/>
        <v>2494.3069148936165</v>
      </c>
      <c r="H380" s="83">
        <f>SUM(D$96:D$125)</f>
        <v>251752.76999999996</v>
      </c>
      <c r="I380" s="83">
        <f t="shared" ref="I380:Q380" si="30">SUM(E$96:E$125)</f>
        <v>248493.63999999996</v>
      </c>
      <c r="J380" s="90">
        <f t="shared" si="30"/>
        <v>12963</v>
      </c>
      <c r="K380" s="83">
        <f t="shared" si="30"/>
        <v>245700</v>
      </c>
      <c r="L380" s="83">
        <f t="shared" si="30"/>
        <v>238954.48000000004</v>
      </c>
      <c r="M380" s="83">
        <f t="shared" si="30"/>
        <v>234464.84999999995</v>
      </c>
      <c r="N380" s="90">
        <f t="shared" si="30"/>
        <v>11910</v>
      </c>
      <c r="O380" s="90">
        <f t="shared" si="30"/>
        <v>2276.5700000000002</v>
      </c>
      <c r="P380" s="90">
        <f t="shared" si="30"/>
        <v>2855.4400000000005</v>
      </c>
      <c r="Q380" s="83">
        <f t="shared" si="30"/>
        <v>1131.26</v>
      </c>
      <c r="R380" s="87">
        <f>'[9]2025'!$J$387</f>
        <v>482.2</v>
      </c>
      <c r="S380" s="87">
        <f>'[9]2025'!$J$388</f>
        <v>-101.19000000000001</v>
      </c>
      <c r="T380" s="87">
        <f>'[9]2025'!$J$389</f>
        <v>106.11999999999999</v>
      </c>
      <c r="U380" s="27"/>
      <c r="V380" s="1502">
        <f t="shared" si="27"/>
        <v>-3.479605071557839E-2</v>
      </c>
      <c r="W380" s="1502">
        <f t="shared" si="28"/>
        <v>-5.0836739552061028E-2</v>
      </c>
      <c r="X380" s="1502">
        <f t="shared" si="28"/>
        <v>-5.6455328192705496E-2</v>
      </c>
      <c r="Y380" s="1502">
        <f t="shared" si="28"/>
        <v>-8.1231196482295764E-2</v>
      </c>
    </row>
    <row r="381" spans="1:26" ht="17" customHeight="1">
      <c r="B381" s="98" t="s">
        <v>19</v>
      </c>
      <c r="C381" s="204"/>
      <c r="D381" s="84">
        <f>SUM(C$126:C$156)</f>
        <v>248157.83</v>
      </c>
      <c r="E381" s="104"/>
      <c r="F381" s="102">
        <v>94</v>
      </c>
      <c r="G381" s="105">
        <f t="shared" si="25"/>
        <v>2605.0776595744678</v>
      </c>
      <c r="H381" s="84">
        <f>SUM(D$126:D$156)</f>
        <v>249034.7</v>
      </c>
      <c r="I381" s="84">
        <f t="shared" ref="I381:Q381" si="31">SUM(E$126:E$156)</f>
        <v>246482.56</v>
      </c>
      <c r="J381" s="89">
        <f t="shared" si="31"/>
        <v>12853</v>
      </c>
      <c r="K381" s="84">
        <f t="shared" si="31"/>
        <v>250000</v>
      </c>
      <c r="L381" s="84">
        <f t="shared" si="31"/>
        <v>248594.54999999996</v>
      </c>
      <c r="M381" s="84">
        <f t="shared" si="31"/>
        <v>244877.3</v>
      </c>
      <c r="N381" s="89">
        <f t="shared" si="31"/>
        <v>12570</v>
      </c>
      <c r="O381" s="89">
        <f t="shared" si="31"/>
        <v>2397.88</v>
      </c>
      <c r="P381" s="89">
        <f t="shared" si="31"/>
        <v>2907.0399999999995</v>
      </c>
      <c r="Q381" s="87">
        <f t="shared" si="31"/>
        <v>1180.8800000000001</v>
      </c>
      <c r="R381" s="87">
        <f>'[9]2025'!$K$387</f>
        <v>700.26</v>
      </c>
      <c r="S381" s="87">
        <f>'[9]2025'!$K$388</f>
        <v>14.780000000000005</v>
      </c>
      <c r="T381" s="87">
        <f>'[9]2025'!$K$389</f>
        <v>93.28</v>
      </c>
      <c r="U381" s="27"/>
      <c r="V381" s="1502">
        <f t="shared" si="27"/>
        <v>1.7598477549548692E-3</v>
      </c>
      <c r="W381" s="1502">
        <f t="shared" si="28"/>
        <v>-1.7674243790124524E-3</v>
      </c>
      <c r="X381" s="1502">
        <f t="shared" si="28"/>
        <v>-6.5126717281742338E-3</v>
      </c>
      <c r="Y381" s="1502">
        <f t="shared" si="28"/>
        <v>-2.2018205866334708E-2</v>
      </c>
    </row>
    <row r="382" spans="1:26" ht="17" customHeight="1">
      <c r="B382" s="98" t="s">
        <v>20</v>
      </c>
      <c r="C382" s="204"/>
      <c r="D382" s="84">
        <f>SUM(C$157:C$186)</f>
        <v>58695.630000000005</v>
      </c>
      <c r="E382" s="104"/>
      <c r="F382" s="102">
        <v>94</v>
      </c>
      <c r="G382" s="105">
        <f>M382/F382</f>
        <v>609.81893617021274</v>
      </c>
      <c r="H382" s="84">
        <f>SUM(D$157:D$186)</f>
        <v>56574.46</v>
      </c>
      <c r="I382" s="84">
        <f t="shared" ref="I382:Q382" si="32">SUM(E$157:E$186)</f>
        <v>55937.249999999993</v>
      </c>
      <c r="J382" s="89">
        <f t="shared" si="32"/>
        <v>3097</v>
      </c>
      <c r="K382" s="84">
        <f t="shared" si="32"/>
        <v>57600</v>
      </c>
      <c r="L382" s="84">
        <f t="shared" si="32"/>
        <v>58275.849999999991</v>
      </c>
      <c r="M382" s="84">
        <f t="shared" si="32"/>
        <v>57322.979999999996</v>
      </c>
      <c r="N382" s="89">
        <f t="shared" si="32"/>
        <v>2952</v>
      </c>
      <c r="O382" s="89">
        <f t="shared" si="32"/>
        <v>580.92000000000007</v>
      </c>
      <c r="P382" s="89">
        <f t="shared" si="32"/>
        <v>688.65000000000009</v>
      </c>
      <c r="Q382" s="87">
        <f t="shared" si="32"/>
        <v>331.88</v>
      </c>
      <c r="R382" s="87">
        <f>'[9]2025'!$L$387</f>
        <v>114.85999999999999</v>
      </c>
      <c r="S382" s="87">
        <f>'[9]2025'!$L$388</f>
        <v>1.2400000000000002</v>
      </c>
      <c r="T382" s="87">
        <f>'[9]2025'!$L$389</f>
        <v>0</v>
      </c>
      <c r="U382" s="27"/>
      <c r="V382" s="1502">
        <f t="shared" si="27"/>
        <v>-7.1518101092025652E-3</v>
      </c>
      <c r="W382" s="1502">
        <f t="shared" si="28"/>
        <v>3.007346424517339E-2</v>
      </c>
      <c r="X382" s="1502">
        <f t="shared" si="28"/>
        <v>2.4772937532681772E-2</v>
      </c>
      <c r="Y382" s="1502">
        <f t="shared" si="28"/>
        <v>-4.681950274459154E-2</v>
      </c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94</v>
      </c>
      <c r="G383" s="105">
        <f t="shared" si="25"/>
        <v>0</v>
      </c>
      <c r="H383" s="84">
        <f>SUM(D$187:D$217)</f>
        <v>0</v>
      </c>
      <c r="I383" s="84">
        <f t="shared" ref="I383:Q383" si="33">SUM(E$187:E$217)</f>
        <v>0</v>
      </c>
      <c r="J383" s="89">
        <f t="shared" si="33"/>
        <v>0</v>
      </c>
      <c r="K383" s="84">
        <f t="shared" si="33"/>
        <v>0</v>
      </c>
      <c r="L383" s="84">
        <f t="shared" si="33"/>
        <v>0</v>
      </c>
      <c r="M383" s="84">
        <f t="shared" si="33"/>
        <v>0</v>
      </c>
      <c r="N383" s="89">
        <f t="shared" si="33"/>
        <v>0</v>
      </c>
      <c r="O383" s="89">
        <f t="shared" si="33"/>
        <v>0</v>
      </c>
      <c r="P383" s="89">
        <f t="shared" si="33"/>
        <v>0</v>
      </c>
      <c r="Q383" s="87">
        <f t="shared" si="33"/>
        <v>0</v>
      </c>
      <c r="R383" s="87">
        <f>'[9]2025'!$M$387</f>
        <v>0</v>
      </c>
      <c r="S383" s="87">
        <f>'[9]2025'!$M$388</f>
        <v>0</v>
      </c>
      <c r="T383" s="87">
        <f>'[9]2025'!$M$389</f>
        <v>0</v>
      </c>
      <c r="U383" s="27"/>
      <c r="V383" s="1502" t="e">
        <f t="shared" si="27"/>
        <v>#DIV/0!</v>
      </c>
      <c r="W383" s="1502" t="e">
        <f t="shared" si="28"/>
        <v>#DIV/0!</v>
      </c>
      <c r="X383" s="1502" t="e">
        <f t="shared" si="28"/>
        <v>#DIV/0!</v>
      </c>
      <c r="Y383" s="1502" t="e">
        <f t="shared" si="28"/>
        <v>#DIV/0!</v>
      </c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94</v>
      </c>
      <c r="G384" s="105">
        <f t="shared" si="25"/>
        <v>0</v>
      </c>
      <c r="H384" s="84">
        <f>SUM(D$218:D$248)</f>
        <v>0</v>
      </c>
      <c r="I384" s="84">
        <f t="shared" ref="I384:Q384" si="34">SUM(E$218:E$248)</f>
        <v>0</v>
      </c>
      <c r="J384" s="89">
        <f t="shared" si="34"/>
        <v>0</v>
      </c>
      <c r="K384" s="84">
        <f t="shared" si="34"/>
        <v>0</v>
      </c>
      <c r="L384" s="84">
        <f t="shared" si="34"/>
        <v>0</v>
      </c>
      <c r="M384" s="84">
        <f t="shared" si="34"/>
        <v>0</v>
      </c>
      <c r="N384" s="89">
        <f t="shared" si="34"/>
        <v>0</v>
      </c>
      <c r="O384" s="89">
        <f t="shared" si="34"/>
        <v>0</v>
      </c>
      <c r="P384" s="89">
        <f t="shared" si="34"/>
        <v>0</v>
      </c>
      <c r="Q384" s="84">
        <f t="shared" si="34"/>
        <v>0</v>
      </c>
      <c r="R384" s="87">
        <f>'[9]2025'!$N$387</f>
        <v>0</v>
      </c>
      <c r="S384" s="87">
        <f>'[9]2025'!$N$388</f>
        <v>0</v>
      </c>
      <c r="T384" s="87">
        <f>'[9]2025'!$N$389</f>
        <v>0</v>
      </c>
      <c r="U384" s="27"/>
      <c r="V384" s="1502" t="e">
        <f t="shared" si="27"/>
        <v>#DIV/0!</v>
      </c>
      <c r="W384" s="1502" t="e">
        <f t="shared" si="28"/>
        <v>#DIV/0!</v>
      </c>
      <c r="X384" s="1502" t="e">
        <f t="shared" si="28"/>
        <v>#DIV/0!</v>
      </c>
      <c r="Y384" s="1502" t="e">
        <f t="shared" si="28"/>
        <v>#DIV/0!</v>
      </c>
    </row>
    <row r="385" spans="2:25" ht="17" customHeight="1">
      <c r="B385" s="98" t="s">
        <v>22</v>
      </c>
      <c r="C385" s="204"/>
      <c r="D385" s="84">
        <f>SUM(C$249:C$278)</f>
        <v>0</v>
      </c>
      <c r="E385" s="104"/>
      <c r="F385" s="102">
        <v>94</v>
      </c>
      <c r="G385" s="105">
        <f t="shared" si="25"/>
        <v>0</v>
      </c>
      <c r="H385" s="85">
        <f>SUM(D$249:D$278)</f>
        <v>0</v>
      </c>
      <c r="I385" s="85">
        <f t="shared" ref="I385:Q385" si="35">SUM(E$249:E$278)</f>
        <v>0</v>
      </c>
      <c r="J385" s="91">
        <f t="shared" si="35"/>
        <v>0</v>
      </c>
      <c r="K385" s="85">
        <f t="shared" si="35"/>
        <v>0</v>
      </c>
      <c r="L385" s="85">
        <f t="shared" si="35"/>
        <v>0</v>
      </c>
      <c r="M385" s="85">
        <f t="shared" si="35"/>
        <v>0</v>
      </c>
      <c r="N385" s="91">
        <f t="shared" si="35"/>
        <v>0</v>
      </c>
      <c r="O385" s="91">
        <f t="shared" si="35"/>
        <v>0</v>
      </c>
      <c r="P385" s="91">
        <f t="shared" si="35"/>
        <v>0</v>
      </c>
      <c r="Q385" s="85">
        <f t="shared" si="35"/>
        <v>0</v>
      </c>
      <c r="R385" s="87">
        <f>'[9]2025'!$O$387</f>
        <v>0</v>
      </c>
      <c r="S385" s="87">
        <f>'[9]2025'!$O$388</f>
        <v>0</v>
      </c>
      <c r="T385" s="87">
        <f>'[9]2025'!$O$389</f>
        <v>0</v>
      </c>
      <c r="U385" s="27"/>
      <c r="V385" s="1502" t="e">
        <f t="shared" si="27"/>
        <v>#DIV/0!</v>
      </c>
      <c r="W385" s="1502" t="e">
        <f t="shared" si="28"/>
        <v>#DIV/0!</v>
      </c>
      <c r="X385" s="1502" t="e">
        <f t="shared" si="28"/>
        <v>#DIV/0!</v>
      </c>
      <c r="Y385" s="1502" t="e">
        <f t="shared" si="28"/>
        <v>#DIV/0!</v>
      </c>
    </row>
    <row r="386" spans="2:25">
      <c r="B386" s="98" t="s">
        <v>23</v>
      </c>
      <c r="C386" s="204"/>
      <c r="D386" s="84">
        <f>SUM(C$279:C$309)</f>
        <v>0</v>
      </c>
      <c r="E386" s="104"/>
      <c r="F386" s="102">
        <v>94</v>
      </c>
      <c r="G386" s="105">
        <f t="shared" si="25"/>
        <v>0</v>
      </c>
      <c r="H386" s="84">
        <f>SUM(D$279:D$309)</f>
        <v>0</v>
      </c>
      <c r="I386" s="84">
        <f t="shared" ref="I386:Q386" si="36">SUM(E$279:E$309)</f>
        <v>0</v>
      </c>
      <c r="J386" s="89">
        <f t="shared" si="36"/>
        <v>0</v>
      </c>
      <c r="K386" s="84">
        <f t="shared" si="36"/>
        <v>0</v>
      </c>
      <c r="L386" s="84">
        <f t="shared" si="36"/>
        <v>0</v>
      </c>
      <c r="M386" s="84">
        <f t="shared" si="36"/>
        <v>0</v>
      </c>
      <c r="N386" s="89">
        <f t="shared" si="36"/>
        <v>0</v>
      </c>
      <c r="O386" s="89">
        <f t="shared" si="36"/>
        <v>0</v>
      </c>
      <c r="P386" s="89">
        <f t="shared" si="36"/>
        <v>0</v>
      </c>
      <c r="Q386" s="84">
        <f t="shared" si="36"/>
        <v>0</v>
      </c>
      <c r="R386" s="87">
        <f>'[9]2025'!$P$387</f>
        <v>0</v>
      </c>
      <c r="S386" s="87">
        <f>'[9]2025'!$P$388</f>
        <v>0</v>
      </c>
      <c r="T386" s="87">
        <f>'[9]2025'!$P$389</f>
        <v>0</v>
      </c>
      <c r="U386" s="27"/>
      <c r="V386" s="1502" t="e">
        <f t="shared" si="27"/>
        <v>#DIV/0!</v>
      </c>
      <c r="W386" s="1502" t="e">
        <f t="shared" si="28"/>
        <v>#DIV/0!</v>
      </c>
      <c r="X386" s="1502" t="e">
        <f t="shared" si="28"/>
        <v>#DIV/0!</v>
      </c>
      <c r="Y386" s="1502" t="e">
        <f t="shared" si="28"/>
        <v>#DIV/0!</v>
      </c>
    </row>
    <row r="387" spans="2:25">
      <c r="B387" s="98" t="s">
        <v>24</v>
      </c>
      <c r="C387" s="204"/>
      <c r="D387" s="84">
        <f>SUM(C$310:C$339)</f>
        <v>0</v>
      </c>
      <c r="E387" s="104"/>
      <c r="F387" s="102">
        <v>94</v>
      </c>
      <c r="G387" s="105">
        <f t="shared" si="25"/>
        <v>0</v>
      </c>
      <c r="H387" s="86">
        <f>SUM(D$310:D$339)</f>
        <v>0</v>
      </c>
      <c r="I387" s="86">
        <f t="shared" ref="I387:Q387" si="37">SUM(E$310:E$339)</f>
        <v>0</v>
      </c>
      <c r="J387" s="92">
        <f t="shared" si="37"/>
        <v>0</v>
      </c>
      <c r="K387" s="86">
        <f t="shared" si="37"/>
        <v>0</v>
      </c>
      <c r="L387" s="86">
        <f t="shared" si="37"/>
        <v>0</v>
      </c>
      <c r="M387" s="86">
        <f t="shared" si="37"/>
        <v>0</v>
      </c>
      <c r="N387" s="92">
        <f t="shared" si="37"/>
        <v>0</v>
      </c>
      <c r="O387" s="92">
        <f t="shared" si="37"/>
        <v>0</v>
      </c>
      <c r="P387" s="92">
        <f t="shared" si="37"/>
        <v>0</v>
      </c>
      <c r="Q387" s="86">
        <f t="shared" si="37"/>
        <v>0</v>
      </c>
      <c r="R387" s="87">
        <f>'[9]2025'!$Q$387</f>
        <v>0</v>
      </c>
      <c r="S387" s="87">
        <f>'[9]2025'!$Q$388</f>
        <v>0</v>
      </c>
      <c r="T387" s="87">
        <f>'[9]2025'!$Q$389</f>
        <v>0</v>
      </c>
      <c r="V387" s="1502" t="e">
        <f t="shared" si="27"/>
        <v>#DIV/0!</v>
      </c>
      <c r="W387" s="1502" t="e">
        <f t="shared" si="28"/>
        <v>#DIV/0!</v>
      </c>
      <c r="X387" s="1502" t="e">
        <f t="shared" si="28"/>
        <v>#DIV/0!</v>
      </c>
      <c r="Y387" s="1502" t="e">
        <f t="shared" si="28"/>
        <v>#DIV/0!</v>
      </c>
    </row>
    <row r="388" spans="2:25" ht="17" customHeight="1">
      <c r="B388" s="98" t="s">
        <v>27</v>
      </c>
      <c r="C388" s="204"/>
      <c r="D388" s="84">
        <f>SUM(C$340:C$370)</f>
        <v>0</v>
      </c>
      <c r="E388" s="104"/>
      <c r="F388" s="102">
        <v>94</v>
      </c>
      <c r="G388" s="105">
        <f t="shared" si="25"/>
        <v>0</v>
      </c>
      <c r="H388" s="84">
        <f>SUM(D$340:D$370)</f>
        <v>0</v>
      </c>
      <c r="I388" s="84">
        <f t="shared" ref="I388:Q388" si="38">SUM(E$340:E$370)</f>
        <v>0</v>
      </c>
      <c r="J388" s="89">
        <f t="shared" si="38"/>
        <v>0</v>
      </c>
      <c r="K388" s="84">
        <f t="shared" si="38"/>
        <v>0</v>
      </c>
      <c r="L388" s="84">
        <f t="shared" si="38"/>
        <v>0</v>
      </c>
      <c r="M388" s="84">
        <f t="shared" si="38"/>
        <v>0</v>
      </c>
      <c r="N388" s="89">
        <f t="shared" si="38"/>
        <v>0</v>
      </c>
      <c r="O388" s="89">
        <f t="shared" si="38"/>
        <v>0</v>
      </c>
      <c r="P388" s="89">
        <f t="shared" si="38"/>
        <v>0</v>
      </c>
      <c r="Q388" s="84">
        <f t="shared" si="38"/>
        <v>0</v>
      </c>
      <c r="R388" s="87">
        <f>'[9]2025'!$R$387</f>
        <v>0</v>
      </c>
      <c r="S388" s="87">
        <f>'[9]2025'!$R$388</f>
        <v>0</v>
      </c>
      <c r="T388" s="87">
        <f>'[9]2025'!$R$389</f>
        <v>0</v>
      </c>
      <c r="V388" s="1502" t="e">
        <f t="shared" si="27"/>
        <v>#DIV/0!</v>
      </c>
      <c r="W388" s="1502" t="e">
        <f t="shared" si="28"/>
        <v>#DIV/0!</v>
      </c>
      <c r="X388" s="1502" t="e">
        <f t="shared" si="28"/>
        <v>#DIV/0!</v>
      </c>
      <c r="Y388" s="1502" t="e">
        <f t="shared" si="28"/>
        <v>#DIV/0!</v>
      </c>
    </row>
    <row r="389" spans="2:25" ht="18" customHeight="1" thickBot="1">
      <c r="B389" s="99" t="s">
        <v>45</v>
      </c>
      <c r="C389" s="205"/>
      <c r="D389" s="96">
        <f>SUM(D377:D388)</f>
        <v>1260218.1400000001</v>
      </c>
      <c r="E389" s="106"/>
      <c r="F389" s="100">
        <f>AVERAGE(F377:F388)</f>
        <v>94</v>
      </c>
      <c r="G389" s="106">
        <f>SUM(G377:G388)</f>
        <v>13196.535957446809</v>
      </c>
      <c r="H389" s="96">
        <f>SUM(H377:H388)</f>
        <v>1270663.17</v>
      </c>
      <c r="I389" s="96">
        <f t="shared" ref="I389:T389" si="39">SUM(I377:I388)</f>
        <v>1256479.5900000001</v>
      </c>
      <c r="J389" s="97">
        <f t="shared" si="39"/>
        <v>67485</v>
      </c>
      <c r="K389" s="96">
        <f t="shared" si="39"/>
        <v>1294200</v>
      </c>
      <c r="L389" s="96">
        <f t="shared" si="39"/>
        <v>1258468.5000000002</v>
      </c>
      <c r="M389" s="96">
        <f t="shared" si="39"/>
        <v>1240474.3799999999</v>
      </c>
      <c r="N389" s="97">
        <f t="shared" si="39"/>
        <v>63595</v>
      </c>
      <c r="O389" s="97">
        <f t="shared" si="39"/>
        <v>12755.51</v>
      </c>
      <c r="P389" s="97">
        <f t="shared" si="39"/>
        <v>15651.179999999998</v>
      </c>
      <c r="Q389" s="96">
        <f t="shared" si="39"/>
        <v>6846.7</v>
      </c>
      <c r="R389" s="96">
        <f t="shared" si="39"/>
        <v>3253.6299999999997</v>
      </c>
      <c r="S389" s="96">
        <f t="shared" si="39"/>
        <v>-463.66999999999996</v>
      </c>
      <c r="T389" s="96">
        <f t="shared" si="39"/>
        <v>591.04999999999995</v>
      </c>
      <c r="V389" s="1502">
        <f>(L389-D389)/D389</f>
        <v>-1.3883628115366577E-3</v>
      </c>
      <c r="W389" s="1502">
        <f>(L389-H389)/H389</f>
        <v>-9.5970909426765661E-3</v>
      </c>
      <c r="X389" s="1502">
        <f>(M389-I389)/I389</f>
        <v>-1.273813767241551E-2</v>
      </c>
      <c r="Y389" s="1502">
        <f>(N389-J389)/J389</f>
        <v>-5.7642439060531972E-2</v>
      </c>
    </row>
    <row r="390" spans="2:25">
      <c r="T390" s="28"/>
      <c r="U390" s="38"/>
    </row>
  </sheetData>
  <mergeCells count="55">
    <mergeCell ref="U360:U366"/>
    <mergeCell ref="U367:U373"/>
    <mergeCell ref="U325:U331"/>
    <mergeCell ref="U332:U338"/>
    <mergeCell ref="U339:U345"/>
    <mergeCell ref="U346:U352"/>
    <mergeCell ref="U353:U359"/>
    <mergeCell ref="U318:U324"/>
    <mergeCell ref="U241:U247"/>
    <mergeCell ref="U248:U254"/>
    <mergeCell ref="U255:U261"/>
    <mergeCell ref="U262:U268"/>
    <mergeCell ref="U269:U275"/>
    <mergeCell ref="U276:U282"/>
    <mergeCell ref="U283:U289"/>
    <mergeCell ref="U290:U296"/>
    <mergeCell ref="U297:U303"/>
    <mergeCell ref="U304:U310"/>
    <mergeCell ref="U311:U317"/>
    <mergeCell ref="U234:U240"/>
    <mergeCell ref="U157:U163"/>
    <mergeCell ref="U164:U170"/>
    <mergeCell ref="U171:U177"/>
    <mergeCell ref="U178:U184"/>
    <mergeCell ref="U185:U191"/>
    <mergeCell ref="U192:U198"/>
    <mergeCell ref="U199:U205"/>
    <mergeCell ref="U206:U212"/>
    <mergeCell ref="U213:U219"/>
    <mergeCell ref="U220:U226"/>
    <mergeCell ref="U227:U233"/>
    <mergeCell ref="U150:U156"/>
    <mergeCell ref="U73:U79"/>
    <mergeCell ref="U80:U86"/>
    <mergeCell ref="U87:U93"/>
    <mergeCell ref="U94:U100"/>
    <mergeCell ref="U101:U107"/>
    <mergeCell ref="U108:U114"/>
    <mergeCell ref="U115:U121"/>
    <mergeCell ref="U122:U128"/>
    <mergeCell ref="U129:U135"/>
    <mergeCell ref="U136:U142"/>
    <mergeCell ref="U143:U149"/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</mergeCells>
  <phoneticPr fontId="5" type="noConversion"/>
  <conditionalFormatting sqref="N3:N367">
    <cfRule type="cellIs" dxfId="331" priority="1" operator="lessThan">
      <formula>0.006</formula>
    </cfRule>
    <cfRule type="cellIs" dxfId="330" priority="2" operator="greaterThan">
      <formula>0.006</formula>
    </cfRule>
  </conditionalFormatting>
  <conditionalFormatting sqref="O3:P373">
    <cfRule type="cellIs" dxfId="329" priority="3" operator="lessThan">
      <formula>0</formula>
    </cfRule>
    <cfRule type="cellIs" dxfId="328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5F938-45D1-C145-A9F5-32D139C3DD8D}">
  <sheetPr codeName="Feuil13"/>
  <dimension ref="A1:AN390"/>
  <sheetViews>
    <sheetView showGridLines="0" workbookViewId="0">
      <pane xSplit="2" ySplit="2" topLeftCell="M138" activePane="bottomRight" state="frozen"/>
      <selection pane="topRight" activeCell="C1" sqref="C1"/>
      <selection pane="bottomLeft" activeCell="A3" sqref="A3"/>
      <selection pane="bottomRight" activeCell="V381" sqref="V381"/>
    </sheetView>
  </sheetViews>
  <sheetFormatPr baseColWidth="10" defaultColWidth="10.83203125" defaultRowHeight="17"/>
  <cols>
    <col min="1" max="1" width="10.83203125" style="38"/>
    <col min="2" max="2" width="12" style="38" bestFit="1" customWidth="1"/>
    <col min="3" max="3" width="8.83203125" style="38" customWidth="1"/>
    <col min="4" max="4" width="11.33203125" style="39" bestFit="1" customWidth="1"/>
    <col min="5" max="5" width="9.1640625" style="39" bestFit="1" customWidth="1"/>
    <col min="6" max="6" width="8.83203125" style="38" bestFit="1" customWidth="1"/>
    <col min="7" max="7" width="11.33203125" style="38" bestFit="1" customWidth="1"/>
    <col min="8" max="8" width="11.5" style="44" bestFit="1" customWidth="1"/>
    <col min="9" max="9" width="11.6640625" style="38" customWidth="1"/>
    <col min="10" max="10" width="10.83203125" style="38"/>
    <col min="11" max="11" width="11.83203125" style="38" customWidth="1"/>
    <col min="12" max="12" width="11.33203125" style="38" customWidth="1"/>
    <col min="13" max="13" width="11.6640625" style="38" customWidth="1"/>
    <col min="14" max="14" width="10.83203125" style="38"/>
    <col min="15" max="15" width="11.1640625" style="14" customWidth="1"/>
    <col min="16" max="16" width="10.5" style="17" customWidth="1"/>
    <col min="17" max="17" width="11.1640625" style="14" customWidth="1"/>
    <col min="18" max="18" width="11" style="18" customWidth="1"/>
    <col min="19" max="19" width="12.6640625" style="18" customWidth="1"/>
    <col min="20" max="20" width="12.1640625" style="46" bestFit="1" customWidth="1"/>
    <col min="21" max="21" width="4" style="28" bestFit="1" customWidth="1"/>
    <col min="22" max="22" width="12.1640625" style="38" customWidth="1"/>
    <col min="23" max="23" width="15.1640625" style="38" bestFit="1" customWidth="1"/>
    <col min="24" max="24" width="15.83203125" style="38" bestFit="1" customWidth="1"/>
    <col min="25" max="25" width="13.6640625" style="38" customWidth="1"/>
    <col min="26" max="16384" width="10.83203125" style="38"/>
  </cols>
  <sheetData>
    <row r="1" spans="1:25" ht="16" customHeight="1">
      <c r="A1" s="1740"/>
      <c r="B1" s="72"/>
      <c r="C1" s="72"/>
      <c r="D1" s="1741" t="s">
        <v>37</v>
      </c>
      <c r="E1" s="1741"/>
      <c r="F1" s="1741"/>
      <c r="G1" s="1741"/>
      <c r="H1" s="1741"/>
      <c r="I1" s="1741"/>
      <c r="J1" s="1741"/>
      <c r="K1" s="1741"/>
      <c r="L1" s="1741"/>
      <c r="M1" s="1741"/>
      <c r="N1" s="1741"/>
      <c r="O1" s="1741"/>
      <c r="P1" s="1741"/>
      <c r="Q1" s="1741"/>
      <c r="R1" s="1741"/>
      <c r="S1" s="1741"/>
      <c r="T1" s="1741"/>
      <c r="U1" s="65"/>
    </row>
    <row r="2" spans="1:25" s="39" customFormat="1" ht="37" customHeight="1" thickBot="1">
      <c r="A2" s="1740"/>
      <c r="B2" s="3"/>
      <c r="C2" s="3"/>
      <c r="D2" s="5" t="s">
        <v>341</v>
      </c>
      <c r="E2" s="5" t="s">
        <v>342</v>
      </c>
      <c r="F2" s="72" t="s">
        <v>38</v>
      </c>
      <c r="G2" s="5" t="s">
        <v>304</v>
      </c>
      <c r="H2" s="4" t="s">
        <v>305</v>
      </c>
      <c r="I2" s="3" t="s">
        <v>306</v>
      </c>
      <c r="J2" s="3" t="s">
        <v>307</v>
      </c>
      <c r="K2" s="3" t="s">
        <v>1</v>
      </c>
      <c r="L2" s="3" t="s">
        <v>2</v>
      </c>
      <c r="M2" s="5" t="s">
        <v>3</v>
      </c>
      <c r="N2" s="6" t="s">
        <v>4</v>
      </c>
      <c r="O2" s="7" t="s">
        <v>5</v>
      </c>
      <c r="P2" s="6" t="s">
        <v>6</v>
      </c>
      <c r="Q2" s="8" t="s">
        <v>7</v>
      </c>
      <c r="R2" s="9" t="s">
        <v>8</v>
      </c>
      <c r="S2" s="32"/>
      <c r="T2" s="32"/>
      <c r="U2" s="66"/>
    </row>
    <row r="3" spans="1:25" ht="17" customHeight="1" thickTop="1">
      <c r="A3" s="10" t="s">
        <v>9</v>
      </c>
      <c r="B3" s="904"/>
      <c r="C3" s="207"/>
      <c r="D3" s="75"/>
      <c r="E3" s="76"/>
      <c r="F3" s="20"/>
      <c r="G3" s="40"/>
      <c r="H3" s="42"/>
      <c r="I3" s="13"/>
      <c r="J3" s="14"/>
      <c r="K3" s="15"/>
      <c r="L3" s="15"/>
      <c r="M3" s="15"/>
      <c r="N3" s="16"/>
      <c r="O3" s="17" t="str">
        <f>IF(I3=0,"",(I3-E3)/E3)</f>
        <v/>
      </c>
      <c r="P3" s="17" t="str">
        <f>IF(J3=0,"",(J3-F3)/F3)</f>
        <v/>
      </c>
      <c r="Q3" s="18" t="str">
        <f>IF(I3=0,"",I3/K3)</f>
        <v/>
      </c>
      <c r="R3" s="18" t="e">
        <f>I3/L3</f>
        <v>#DIV/0!</v>
      </c>
      <c r="S3" s="33" t="s">
        <v>39</v>
      </c>
      <c r="T3" s="31" t="s">
        <v>42</v>
      </c>
      <c r="U3" s="1737" t="s">
        <v>83</v>
      </c>
    </row>
    <row r="4" spans="1:25">
      <c r="A4" s="10" t="s">
        <v>11</v>
      </c>
      <c r="B4" s="904"/>
      <c r="C4" s="207"/>
      <c r="D4" s="76"/>
      <c r="E4" s="76"/>
      <c r="F4" s="20"/>
      <c r="G4" s="40"/>
      <c r="H4" s="42"/>
      <c r="I4" s="13"/>
      <c r="J4" s="14"/>
      <c r="K4" s="15"/>
      <c r="L4" s="15"/>
      <c r="M4" s="15"/>
      <c r="N4" s="16"/>
      <c r="O4" s="17" t="str">
        <f>IF(I4=0,"",(I4-E4)/E4)</f>
        <v/>
      </c>
      <c r="P4" s="17" t="str">
        <f>IF(J4=0,"",(J4-F4)/F4)</f>
        <v/>
      </c>
      <c r="Q4" s="18" t="str">
        <f t="shared" ref="Q4:Q67" si="0">IF(I4=0,"",I4/K4)</f>
        <v/>
      </c>
      <c r="R4" s="18" t="e">
        <f t="shared" ref="R4:R67" si="1">I4/L4</f>
        <v>#DIV/0!</v>
      </c>
      <c r="S4" s="34">
        <f>SUM(I3:I9)</f>
        <v>563664.33000000007</v>
      </c>
      <c r="T4" s="45" t="s">
        <v>41</v>
      </c>
      <c r="U4" s="1738"/>
    </row>
    <row r="5" spans="1:25">
      <c r="A5" s="10" t="s">
        <v>12</v>
      </c>
      <c r="B5" s="904"/>
      <c r="C5" s="76"/>
      <c r="D5" s="76"/>
      <c r="E5" s="76"/>
      <c r="F5" s="76"/>
      <c r="G5" s="40"/>
      <c r="H5" s="42"/>
      <c r="I5" s="13"/>
      <c r="J5" s="14"/>
      <c r="K5" s="15"/>
      <c r="L5" s="15"/>
      <c r="M5" s="15"/>
      <c r="N5" s="16"/>
      <c r="O5" s="17" t="str">
        <f>IF(I5=0,"",(I5-VIVIERS!I5-E5)/E5)</f>
        <v/>
      </c>
      <c r="P5" s="17" t="str">
        <f>IF(J5=0,"",(J5-VIVIERS!J5-F5)/F5)</f>
        <v/>
      </c>
      <c r="Q5" s="18" t="str">
        <f t="shared" si="0"/>
        <v/>
      </c>
      <c r="R5" s="18" t="e">
        <f t="shared" si="1"/>
        <v>#DIV/0!</v>
      </c>
      <c r="S5" s="35">
        <f>(S4-SUM(E3:E9)-VIVIERS!S4)/(SUM(E3:E9)-VIVIERS!S4)</f>
        <v>0.16050917820703864</v>
      </c>
      <c r="T5" s="48">
        <f>SUM(I3:I9)/SUM(K3:K9)</f>
        <v>117.4826912054358</v>
      </c>
      <c r="U5" s="1738"/>
    </row>
    <row r="6" spans="1:25">
      <c r="A6" s="10" t="s">
        <v>13</v>
      </c>
      <c r="B6" s="904">
        <v>45658</v>
      </c>
      <c r="C6" s="76">
        <f>IF(G6=0,0,CHAMNORD!C6+AIX!C6+BELLEY!C6+STALBAN!C6+ABRETS!C6+PONT!C6+FRANCIN!C6+VIVIERS!C6)</f>
        <v>178725.65</v>
      </c>
      <c r="D6" s="76">
        <f>IF(H6=0,0,CHAMNORD!D6+AIX!D6+BELLEY!D6+STALBAN!D6+ABRETS!D6+PONT!D6+FRANCIN!D6+VIVIERS!D6)</f>
        <v>100996.09</v>
      </c>
      <c r="E6" s="76">
        <f>IF(I6=0,0,CHAMNORD!E6+AIX!E6+BELLEY!E6+STALBAN!E6+ABRETS!E6+PONT!E6+FRANCIN!E6+VIVIERS!E6)</f>
        <v>99010.760000000009</v>
      </c>
      <c r="F6" s="20">
        <f>IF(J6=0,0,CHAMNORD!F6+AIX!F6+BELLEY!F6+STALBAN!F6+ABRETS!F6+PONT!F6+FRANCIN!F6+VIVIERS!F6)</f>
        <v>5027</v>
      </c>
      <c r="G6" s="40">
        <f>IF(I6=0,0,CHAMNORD!G6+AIX!G6+BELLEY!G6+STALBAN!G6+ABRETS!G6+PONT!G6+FRANCIN!G6)</f>
        <v>174900</v>
      </c>
      <c r="H6" s="42">
        <f>CHAMNORD!H6+AIX!H6+BELLEY!H6+STALBAN!H6+ABRETS!H6+PONT!H6+FRANCIN!H6+VIVIERS!H6</f>
        <v>191722.4</v>
      </c>
      <c r="I6" s="13">
        <f>CHAMNORD!I6+AIX!I6+BELLEY!I6+STALBAN!I6+ABRETS!I6+PONT!I6+FRANCIN!I6+VIVIERS!I6</f>
        <v>188893.90999999997</v>
      </c>
      <c r="J6" s="14">
        <f>CHAMNORD!J6+AIX!J6+BELLEY!J6+STALBAN!J6+ABRETS!J6+PONT!J6+FRANCIN!J6+VIVIERS!J6</f>
        <v>8033</v>
      </c>
      <c r="K6" s="15">
        <f>CHAMNORD!K6+AIX!K6+BELLEY!K6+STALBAN!K6+ABRETS!K6+PONT!K6+FRANCIN!K6+VIVIERS!K6</f>
        <v>1416.22</v>
      </c>
      <c r="L6" s="15">
        <f>CHAMNORD!L6+AIX!L6+BELLEY!L6+STALBAN!L6+ABRETS!L6+PONT!L6+FRANCIN!L6+VIVIERS!L6</f>
        <v>1641.98</v>
      </c>
      <c r="M6" s="15">
        <f>CHAMNORD!M6+AIX!M6+BELLEY!M6+STALBAN!M6+ABRETS!M6+PONT!M6+FRANCIN!M6+VIVIERS!M6</f>
        <v>573.45000000000005</v>
      </c>
      <c r="N6" s="16">
        <f t="shared" ref="N6:N67" si="2">IF(M6=0,"",M6/I6)</f>
        <v>3.035831065173039E-3</v>
      </c>
      <c r="O6" s="17">
        <f>IF(I6=0,"",(I6-E6)/E6)</f>
        <v>0.90781193882361833</v>
      </c>
      <c r="P6" s="17">
        <f>IF(J6=0,"",(J6-F6)/F6)</f>
        <v>0.59797095683310131</v>
      </c>
      <c r="Q6" s="18">
        <f t="shared" si="0"/>
        <v>133.37893123949667</v>
      </c>
      <c r="R6" s="18">
        <f t="shared" si="1"/>
        <v>115.0403232682493</v>
      </c>
      <c r="S6" s="34"/>
      <c r="T6" s="29" t="s">
        <v>8</v>
      </c>
      <c r="U6" s="1738"/>
    </row>
    <row r="7" spans="1:25">
      <c r="A7" s="10" t="s">
        <v>14</v>
      </c>
      <c r="B7" s="904">
        <v>45659</v>
      </c>
      <c r="C7" s="76">
        <f>IF(G7=0,0,CHAMNORD!C7+AIX!C7+BELLEY!C7+STALBAN!C7+ABRETS!C7+PONT!C7+FRANCIN!C7+VIVIERS!C7)</f>
        <v>100996.09</v>
      </c>
      <c r="D7" s="76">
        <f>IF(H7=0,0,CHAMNORD!D7+AIX!D7+BELLEY!D7+STALBAN!D7+ABRETS!D7+PONT!D7+FRANCIN!D7+VIVIERS!D7)</f>
        <v>128119.69</v>
      </c>
      <c r="E7" s="76">
        <f>IF(I7=0,0,CHAMNORD!E7+AIX!E7+BELLEY!E7+STALBAN!E7+ABRETS!E7+PONT!E7+FRANCIN!E7+VIVIERS!E7)</f>
        <v>125960.88999999998</v>
      </c>
      <c r="F7" s="20">
        <f>IF(J7=0,0,CHAMNORD!F7+AIX!F7+BELLEY!F7+STALBAN!F7+ABRETS!F7+PONT!F7+FRANCIN!F7+VIVIERS!F7)</f>
        <v>6285</v>
      </c>
      <c r="G7" s="40">
        <f>IF(I7=0,0,CHAMNORD!G7+AIX!G7+BELLEY!G7+STALBAN!G7+ABRETS!G7+PONT!G7+FRANCIN!G7+VIVIERS!G7)</f>
        <v>124100</v>
      </c>
      <c r="H7" s="42">
        <f>CHAMNORD!H7+AIX!H7+BELLEY!H7+STALBAN!H7+ABRETS!H7+PONT!H7+FRANCIN!H7+VIVIERS!H7</f>
        <v>135543.03</v>
      </c>
      <c r="I7" s="13">
        <f>CHAMNORD!I7+AIX!I7+BELLEY!I7+STALBAN!I7+ABRETS!I7+PONT!I7+FRANCIN!I7+VIVIERS!I7</f>
        <v>133838.1</v>
      </c>
      <c r="J7" s="14">
        <f>CHAMNORD!J7+AIX!J7+BELLEY!J7+STALBAN!J7+ABRETS!J7+PONT!J7+FRANCIN!J7+VIVIERS!J7</f>
        <v>6171</v>
      </c>
      <c r="K7" s="15">
        <f>CHAMNORD!K7+AIX!K7+BELLEY!K7+STALBAN!K7+ABRETS!K7+PONT!K7+FRANCIN!K7+VIVIERS!K7</f>
        <v>1138.1799999999998</v>
      </c>
      <c r="L7" s="15">
        <f>CHAMNORD!L7+AIX!L7+BELLEY!L7+STALBAN!L7+ABRETS!L7+PONT!L7+FRANCIN!L7+VIVIERS!L7</f>
        <v>1274.4399999999998</v>
      </c>
      <c r="M7" s="15">
        <f>CHAMNORD!M7+AIX!M7+BELLEY!M7+STALBAN!M7+ABRETS!M7+PONT!M7+FRANCIN!M7+VIVIERS!M7</f>
        <v>483.65000000000003</v>
      </c>
      <c r="N7" s="16">
        <f t="shared" si="2"/>
        <v>3.613694456212394E-3</v>
      </c>
      <c r="O7" s="17">
        <f t="shared" ref="O7:O70" si="3">IF(I7=0,"",(I7-E7)/E7)</f>
        <v>6.2536950953585843E-2</v>
      </c>
      <c r="P7" s="17">
        <f t="shared" ref="P7:P70" si="4">IF(J7=0,"",(J7-F7)/F7)</f>
        <v>-1.8138424821002388E-2</v>
      </c>
      <c r="Q7" s="18">
        <f t="shared" si="0"/>
        <v>117.58957282679367</v>
      </c>
      <c r="R7" s="18">
        <f t="shared" si="1"/>
        <v>105.01718401807855</v>
      </c>
      <c r="S7" s="36" t="s">
        <v>40</v>
      </c>
      <c r="T7" s="48">
        <f>SUM(I3:I9)/SUM(L3:L9)</f>
        <v>103.45615912369641</v>
      </c>
      <c r="U7" s="1738"/>
    </row>
    <row r="8" spans="1:25">
      <c r="A8" s="10" t="s">
        <v>15</v>
      </c>
      <c r="B8" s="904">
        <v>45660</v>
      </c>
      <c r="C8" s="76">
        <f>IF(G8=0,0,CHAMNORD!C8+AIX!C8+BELLEY!C8+STALBAN!C8+ABRETS!C8+PONT!C8+FRANCIN!C8+VIVIERS!C8)</f>
        <v>128119.69</v>
      </c>
      <c r="D8" s="76">
        <f>IF(H8=0,0,CHAMNORD!D8+AIX!D8+BELLEY!D8+STALBAN!D8+ABRETS!D8+PONT!D8+FRANCIN!D8+VIVIERS!D8)</f>
        <v>123037.07</v>
      </c>
      <c r="E8" s="76">
        <f>IF(I8=0,0,CHAMNORD!E8+AIX!E8+BELLEY!E8+STALBAN!E8+ABRETS!E8+PONT!E8+FRANCIN!E8+VIVIERS!E8)</f>
        <v>120788.95000000001</v>
      </c>
      <c r="F8" s="20">
        <f>IF(J8=0,0,CHAMNORD!F8+AIX!F8+BELLEY!F8+STALBAN!F8+ABRETS!F8+PONT!F8+FRANCIN!F8+VIVIERS!F8)</f>
        <v>5945</v>
      </c>
      <c r="G8" s="40">
        <f>IF(I8=0,0,CHAMNORD!G8+AIX!G8+BELLEY!G8+STALBAN!G8+ABRETS!G8+PONT!G8+FRANCIN!G8+VIVIERS!G8)</f>
        <v>123100</v>
      </c>
      <c r="H8" s="42">
        <f>CHAMNORD!H8+AIX!H8+BELLEY!H8+STALBAN!H8+ABRETS!H8+PONT!H8+FRANCIN!H8+VIVIERS!H8</f>
        <v>128131.73000000001</v>
      </c>
      <c r="I8" s="13">
        <f>CHAMNORD!I8+AIX!I8+BELLEY!I8+STALBAN!I8+ABRETS!I8+PONT!I8+FRANCIN!I8+VIVIERS!I8</f>
        <v>126602.44</v>
      </c>
      <c r="J8" s="14">
        <f>CHAMNORD!J8+AIX!J8+BELLEY!J8+STALBAN!J8+ABRETS!J8+PONT!J8+FRANCIN!J8+VIVIERS!J8</f>
        <v>5862</v>
      </c>
      <c r="K8" s="15">
        <f>CHAMNORD!K8+AIX!K8+BELLEY!K8+STALBAN!K8+ABRETS!K8+PONT!K8+FRANCIN!K8+VIVIERS!K8</f>
        <v>1208.4299999999998</v>
      </c>
      <c r="L8" s="15">
        <f>CHAMNORD!L8+AIX!L8+BELLEY!L8+STALBAN!L8+ABRETS!L8+PONT!L8+FRANCIN!L8+VIVIERS!L8</f>
        <v>1341.1699999999998</v>
      </c>
      <c r="M8" s="15">
        <f>CHAMNORD!M8+AIX!M8+BELLEY!M8+STALBAN!M8+ABRETS!M8+PONT!M8+FRANCIN!M8+VIVIERS!M8</f>
        <v>434.78</v>
      </c>
      <c r="N8" s="16">
        <f t="shared" si="2"/>
        <v>3.4342150119697533E-3</v>
      </c>
      <c r="O8" s="17">
        <f t="shared" si="3"/>
        <v>4.8129319776353631E-2</v>
      </c>
      <c r="P8" s="17">
        <f t="shared" si="4"/>
        <v>-1.3961312026913373E-2</v>
      </c>
      <c r="Q8" s="18">
        <f t="shared" si="0"/>
        <v>104.76605181930275</v>
      </c>
      <c r="R8" s="18">
        <f t="shared" si="1"/>
        <v>94.397011564529492</v>
      </c>
      <c r="S8" s="36">
        <f>SUM(J3:J9)</f>
        <v>25115</v>
      </c>
      <c r="T8" s="30" t="s">
        <v>3</v>
      </c>
      <c r="U8" s="1738"/>
    </row>
    <row r="9" spans="1:25" ht="18" thickBot="1">
      <c r="A9" s="10" t="s">
        <v>16</v>
      </c>
      <c r="B9" s="904">
        <v>45661</v>
      </c>
      <c r="C9" s="76">
        <f>IF(G9=0,0,CHAMNORD!C9+AIX!C9+BELLEY!C9+STALBAN!C9+ABRETS!C9+PONT!C9+FRANCIN!C9+VIVIERS!C9)</f>
        <v>123037.07</v>
      </c>
      <c r="D9" s="76">
        <f>IF(H9=0,0,CHAMNORD!D9+AIX!D9+BELLEY!D9+STALBAN!D9+ABRETS!D9+PONT!D9+FRANCIN!D9+VIVIERS!D9)</f>
        <v>109464.07</v>
      </c>
      <c r="E9" s="76">
        <f>IF(I9=0,0,CHAMNORD!E9+AIX!E9+BELLEY!E9+STALBAN!E9+ABRETS!E9+PONT!E9+FRANCIN!E9+VIVIERS!E9)</f>
        <v>107620.91</v>
      </c>
      <c r="F9" s="20">
        <f>IF(J9=0,0,CHAMNORD!F9+AIX!F9+BELLEY!F9+STALBAN!F9+ABRETS!F9+PONT!F9+FRANCIN!F9+VIVIERS!F9)</f>
        <v>5098</v>
      </c>
      <c r="G9" s="40">
        <f>IF(I9=0,0,CHAMNORD!G9+AIX!G9+BELLEY!G9+STALBAN!G9+ABRETS!G9+PONT!G9+FRANCIN!G9+VIVIERS!G9)</f>
        <v>109500</v>
      </c>
      <c r="H9" s="42">
        <f>CHAMNORD!H9+AIX!H9+BELLEY!H9+STALBAN!H9+ABRETS!H9+PONT!H9+FRANCIN!H9+VIVIERS!H9</f>
        <v>115432.96999999999</v>
      </c>
      <c r="I9" s="13">
        <f>CHAMNORD!I9+AIX!I9+BELLEY!I9+STALBAN!I9+ABRETS!I9+PONT!I9+FRANCIN!I9+VIVIERS!I9</f>
        <v>114329.88</v>
      </c>
      <c r="J9" s="14">
        <f>CHAMNORD!J9+AIX!J9+BELLEY!J9+STALBAN!J9+ABRETS!J9+PONT!J9+FRANCIN!J9+VIVIERS!J9</f>
        <v>5049</v>
      </c>
      <c r="K9" s="15">
        <f>CHAMNORD!K9+AIX!K9+BELLEY!K9+STALBAN!K9+ABRETS!K9+PONT!K9+FRANCIN!K9+VIVIERS!K9</f>
        <v>1035.02</v>
      </c>
      <c r="L9" s="15">
        <f>CHAMNORD!L9+AIX!L9+BELLEY!L9+STALBAN!L9+ABRETS!L9+PONT!L9+FRANCIN!L9+VIVIERS!L9</f>
        <v>1190.7499999999998</v>
      </c>
      <c r="M9" s="15">
        <f>CHAMNORD!M9+AIX!M9+BELLEY!M9+STALBAN!M9+ABRETS!M9+PONT!M9+FRANCIN!M9+VIVIERS!M9</f>
        <v>461.79999999999995</v>
      </c>
      <c r="N9" s="16">
        <f t="shared" si="2"/>
        <v>4.039189055389544E-3</v>
      </c>
      <c r="O9" s="17">
        <f t="shared" si="3"/>
        <v>6.2338907931553458E-2</v>
      </c>
      <c r="P9" s="17">
        <f t="shared" si="4"/>
        <v>-9.6116123970184392E-3</v>
      </c>
      <c r="Q9" s="18">
        <f t="shared" si="0"/>
        <v>110.46151765183282</v>
      </c>
      <c r="R9" s="18">
        <f t="shared" si="1"/>
        <v>96.015015746378353</v>
      </c>
      <c r="S9" s="37">
        <f>(S8-SUM(F3:F9)-VIVIERS!S8)/(SUM(F3:F9)-VIVIERS!S8)</f>
        <v>4.1387407661073336E-2</v>
      </c>
      <c r="T9" s="47">
        <f>SUM(M3:M9)/SUM(I3:I9)</f>
        <v>3.4660344748087923E-3</v>
      </c>
      <c r="U9" s="1739"/>
    </row>
    <row r="10" spans="1:25" ht="17" customHeight="1" thickTop="1">
      <c r="A10" s="10" t="s">
        <v>9</v>
      </c>
      <c r="B10" s="905">
        <v>45662</v>
      </c>
      <c r="C10" s="76">
        <f>IF(G10=0,0,CHAMNORD!C10+AIX!C10+BELLEY!C10+STALBAN!C10+ABRETS!C10+PONT!C10+FRANCIN!C10+VIVIERS!C10)</f>
        <v>109464.07</v>
      </c>
      <c r="D10" s="76">
        <f>IF(H10=0,0,CHAMNORD!D10+AIX!D10+BELLEY!D10+STALBAN!D10+ABRETS!D10+PONT!D10+FRANCIN!D10+VIVIERS!D10)</f>
        <v>64889.609999999993</v>
      </c>
      <c r="E10" s="76">
        <f>IF(I10=0,0,CHAMNORD!E10+AIX!E10+BELLEY!E10+STALBAN!E10+ABRETS!E10+PONT!E10+FRANCIN!E10+VIVIERS!E10)</f>
        <v>63930.850000000006</v>
      </c>
      <c r="F10" s="20">
        <f>IF(J10=0,0,CHAMNORD!F10+AIX!F10+BELLEY!F10+STALBAN!F10+ABRETS!F10+PONT!F10+FRANCIN!F10+VIVIERS!F10)</f>
        <v>3792</v>
      </c>
      <c r="G10" s="40">
        <f>IF(I10=0,0,CHAMNORD!G10+AIX!G10+BELLEY!G10+STALBAN!G10+ABRETS!G10+PONT!G10+FRANCIN!G10+VIVIERS!G10)</f>
        <v>65000</v>
      </c>
      <c r="H10" s="42">
        <f>CHAMNORD!H10+AIX!H10+BELLEY!H10+STALBAN!H10+ABRETS!H10+PONT!H10+FRANCIN!H10+VIVIERS!H10</f>
        <v>64587.95</v>
      </c>
      <c r="I10" s="13">
        <f>CHAMNORD!I10+AIX!I10+BELLEY!I10+STALBAN!I10+ABRETS!I10+PONT!I10+FRANCIN!I10+VIVIERS!I10</f>
        <v>63864.31</v>
      </c>
      <c r="J10" s="14">
        <f>CHAMNORD!J10+AIX!J10+BELLEY!J10+STALBAN!J10+ABRETS!J10+PONT!J10+FRANCIN!J10+VIVIERS!J10</f>
        <v>3578</v>
      </c>
      <c r="K10" s="15">
        <f>CHAMNORD!K10+AIX!K10+BELLEY!K10+STALBAN!K10+ABRETS!K10+PONT!K10+FRANCIN!K10+VIVIERS!K10</f>
        <v>720.18000000000006</v>
      </c>
      <c r="L10" s="15">
        <f>CHAMNORD!L10+AIX!L10+BELLEY!L10+STALBAN!L10+ABRETS!L10+PONT!L10+FRANCIN!L10+VIVIERS!L10</f>
        <v>856.97</v>
      </c>
      <c r="M10" s="15">
        <f>CHAMNORD!M10+AIX!M10+BELLEY!M10+STALBAN!M10+ABRETS!M10+PONT!M10+FRANCIN!M10+VIVIERS!M10</f>
        <v>540.73</v>
      </c>
      <c r="N10" s="16">
        <f t="shared" si="2"/>
        <v>8.4668573104445984E-3</v>
      </c>
      <c r="O10" s="17">
        <f t="shared" si="3"/>
        <v>-1.0408120649108865E-3</v>
      </c>
      <c r="P10" s="17">
        <f t="shared" si="4"/>
        <v>-5.6434599156118141E-2</v>
      </c>
      <c r="Q10" s="18">
        <f t="shared" si="0"/>
        <v>88.678260990307962</v>
      </c>
      <c r="R10" s="18">
        <f t="shared" si="1"/>
        <v>74.523390550427663</v>
      </c>
      <c r="S10" s="33" t="s">
        <v>39</v>
      </c>
      <c r="T10" s="31" t="s">
        <v>42</v>
      </c>
      <c r="U10" s="1737" t="s">
        <v>84</v>
      </c>
    </row>
    <row r="11" spans="1:25">
      <c r="A11" s="10" t="s">
        <v>11</v>
      </c>
      <c r="B11" s="905">
        <v>45663</v>
      </c>
      <c r="C11" s="76">
        <f>IF(G11=0,0,CHAMNORD!C11+AIX!C11+BELLEY!C11+STALBAN!C11+ABRETS!C11+PONT!C11+FRANCIN!C11+VIVIERS!C11)</f>
        <v>64889.609999999993</v>
      </c>
      <c r="D11" s="76">
        <f>IF(H11=0,0,CHAMNORD!D11+AIX!D11+BELLEY!D11+STALBAN!D11+ABRETS!D11+PONT!D11+FRANCIN!D11+VIVIERS!D11)</f>
        <v>74207.709999999992</v>
      </c>
      <c r="E11" s="76">
        <f>IF(I11=0,0,CHAMNORD!E11+AIX!E11+BELLEY!E11+STALBAN!E11+ABRETS!E11+PONT!E11+FRANCIN!E11+VIVIERS!E11)</f>
        <v>73268.590000000011</v>
      </c>
      <c r="F11" s="20">
        <f>IF(J11=0,0,CHAMNORD!F11+AIX!F11+BELLEY!F11+STALBAN!F11+ABRETS!F11+PONT!F11+FRANCIN!F11+VIVIERS!F11)</f>
        <v>4175</v>
      </c>
      <c r="G11" s="40">
        <f>IF(I11=0,0,CHAMNORD!G11+AIX!G11+BELLEY!G11+STALBAN!G11+ABRETS!G11+PONT!G11+FRANCIN!G11+VIVIERS!G11)</f>
        <v>74200</v>
      </c>
      <c r="H11" s="42">
        <f>CHAMNORD!H11+AIX!H11+BELLEY!H11+STALBAN!H11+ABRETS!H11+PONT!H11+FRANCIN!H11+VIVIERS!H11</f>
        <v>68054.95</v>
      </c>
      <c r="I11" s="13">
        <f>CHAMNORD!I11+AIX!I11+BELLEY!I11+STALBAN!I11+ABRETS!I11+PONT!I11+FRANCIN!I11+VIVIERS!I11</f>
        <v>67276.680000000008</v>
      </c>
      <c r="J11" s="14">
        <f>CHAMNORD!J11+AIX!J11+BELLEY!J11+STALBAN!J11+ABRETS!J11+PONT!J11+FRANCIN!J11+VIVIERS!J11</f>
        <v>3776</v>
      </c>
      <c r="K11" s="15">
        <f>CHAMNORD!K11+AIX!K11+BELLEY!K11+STALBAN!K11+ABRETS!K11+PONT!K11+FRANCIN!K11+VIVIERS!K11</f>
        <v>752.34</v>
      </c>
      <c r="L11" s="15">
        <f>CHAMNORD!L11+AIX!L11+BELLEY!L11+STALBAN!L11+ABRETS!L11+PONT!L11+FRANCIN!L11+VIVIERS!L11</f>
        <v>867.3900000000001</v>
      </c>
      <c r="M11" s="15">
        <f>CHAMNORD!M11+AIX!M11+BELLEY!M11+STALBAN!M11+ABRETS!M11+PONT!M11+FRANCIN!M11+VIVIERS!M11</f>
        <v>485.01</v>
      </c>
      <c r="N11" s="16">
        <f t="shared" si="2"/>
        <v>7.209184519806862E-3</v>
      </c>
      <c r="O11" s="17">
        <f t="shared" si="3"/>
        <v>-8.178006428129711E-2</v>
      </c>
      <c r="P11" s="17">
        <f t="shared" si="4"/>
        <v>-9.5568862275449099E-2</v>
      </c>
      <c r="Q11" s="18">
        <f t="shared" si="0"/>
        <v>89.423239492782528</v>
      </c>
      <c r="R11" s="18">
        <f t="shared" si="1"/>
        <v>77.562203852938126</v>
      </c>
      <c r="S11" s="34">
        <f>SUM(I10:I16)</f>
        <v>607279.15999999992</v>
      </c>
      <c r="T11" s="45" t="s">
        <v>41</v>
      </c>
      <c r="U11" s="1738"/>
      <c r="W11" s="202">
        <f>+S11</f>
        <v>607279.15999999992</v>
      </c>
      <c r="X11" s="202">
        <f>SUM(CHAMNORD!E10:E16)+SUM(AIX!E10:E16)+SUM(BELLEY!E10:E16)+SUM(STALBAN!E10:E16)+SUM(ABRETS!E10:E16)+SUM(PONT!E10:E16)+SUM(FRANCIN!E10:E16)+SUM(VIVIERS!E10:E16)</f>
        <v>648705.4800000001</v>
      </c>
      <c r="Y11" s="202">
        <f>+W11-X11</f>
        <v>-41426.320000000182</v>
      </c>
    </row>
    <row r="12" spans="1:25">
      <c r="A12" s="10" t="s">
        <v>12</v>
      </c>
      <c r="B12" s="905">
        <v>45664</v>
      </c>
      <c r="C12" s="76">
        <f>IF(G12=0,0,CHAMNORD!C12+AIX!C12+BELLEY!C12+STALBAN!C12+ABRETS!C12+PONT!C12+FRANCIN!C12+VIVIERS!C12)</f>
        <v>74207.709999999992</v>
      </c>
      <c r="D12" s="76">
        <f>IF(H12=0,0,CHAMNORD!D12+AIX!D12+BELLEY!D12+STALBAN!D12+ABRETS!D12+PONT!D12+FRANCIN!D12+VIVIERS!D12)</f>
        <v>89080.83</v>
      </c>
      <c r="E12" s="76">
        <f>IF(I12=0,0,CHAMNORD!E12+AIX!E12+BELLEY!E12+STALBAN!E12+ABRETS!E12+PONT!E12+FRANCIN!E12+VIVIERS!E12)</f>
        <v>87542.93</v>
      </c>
      <c r="F12" s="20">
        <f>IF(J12=0,0,CHAMNORD!F12+AIX!F12+BELLEY!F12+STALBAN!F12+ABRETS!F12+PONT!F12+FRANCIN!F12+VIVIERS!F12)</f>
        <v>4979</v>
      </c>
      <c r="G12" s="40">
        <f>IF(I12=0,0,CHAMNORD!G12+AIX!G12+BELLEY!G12+STALBAN!G12+ABRETS!G12+PONT!G12+FRANCIN!G12+VIVIERS!G12)</f>
        <v>88300</v>
      </c>
      <c r="H12" s="42">
        <f>CHAMNORD!H12+AIX!H12+BELLEY!H12+STALBAN!H12+ABRETS!H12+PONT!H12+FRANCIN!H12+VIVIERS!H12</f>
        <v>80220.510000000009</v>
      </c>
      <c r="I12" s="13">
        <f>CHAMNORD!I12+AIX!I12+BELLEY!I12+STALBAN!I12+ABRETS!I12+PONT!I12+FRANCIN!I12+VIVIERS!I12</f>
        <v>79064.570000000007</v>
      </c>
      <c r="J12" s="14">
        <f>CHAMNORD!J12+AIX!J12+BELLEY!J12+STALBAN!J12+ABRETS!J12+PONT!J12+FRANCIN!J12+VIVIERS!J12</f>
        <v>4390</v>
      </c>
      <c r="K12" s="15">
        <f>CHAMNORD!K12+AIX!K12+BELLEY!K12+STALBAN!K12+ABRETS!K12+PONT!K12+FRANCIN!K12+VIVIERS!K12</f>
        <v>898.66000000000008</v>
      </c>
      <c r="L12" s="15">
        <f>CHAMNORD!L12+AIX!L12+BELLEY!L12+STALBAN!L12+ABRETS!L12+PONT!L12+FRANCIN!L12+VIVIERS!L12</f>
        <v>1046.78</v>
      </c>
      <c r="M12" s="15">
        <f>CHAMNORD!M12+AIX!M12+BELLEY!M12+STALBAN!M12+ABRETS!M12+PONT!M12+FRANCIN!M12+VIVIERS!M12</f>
        <v>473.26</v>
      </c>
      <c r="N12" s="16">
        <f t="shared" si="2"/>
        <v>5.9857405156317168E-3</v>
      </c>
      <c r="O12" s="17">
        <f t="shared" si="3"/>
        <v>-9.6848026448280708E-2</v>
      </c>
      <c r="P12" s="17">
        <f t="shared" si="4"/>
        <v>-0.11829684675637678</v>
      </c>
      <c r="Q12" s="18">
        <f t="shared" si="0"/>
        <v>87.980515434090762</v>
      </c>
      <c r="R12" s="18">
        <f t="shared" si="1"/>
        <v>75.531219549475537</v>
      </c>
      <c r="S12" s="35">
        <f>(S11-SUM(E10:E16))/(SUM(E10:E16))</f>
        <v>-6.3859981574381136E-2</v>
      </c>
      <c r="T12" s="48">
        <f>SUM(I10:I16)/SUM(K10:K16)</f>
        <v>92.425528158563992</v>
      </c>
      <c r="U12" s="1738"/>
    </row>
    <row r="13" spans="1:25">
      <c r="A13" s="10" t="s">
        <v>13</v>
      </c>
      <c r="B13" s="905">
        <v>45665</v>
      </c>
      <c r="C13" s="76">
        <f>IF(G13=0,0,CHAMNORD!C13+AIX!C13+BELLEY!C13+STALBAN!C13+ABRETS!C13+PONT!C13+FRANCIN!C13+VIVIERS!C13)</f>
        <v>89080.83</v>
      </c>
      <c r="D13" s="76">
        <f>IF(H13=0,0,CHAMNORD!D13+AIX!D13+BELLEY!D13+STALBAN!D13+ABRETS!D13+PONT!D13+FRANCIN!D13+VIVIERS!D13)</f>
        <v>71027.53</v>
      </c>
      <c r="E13" s="76">
        <f>IF(I13=0,0,CHAMNORD!E13+AIX!E13+BELLEY!E13+STALBAN!E13+ABRETS!E13+PONT!E13+FRANCIN!E13+VIVIERS!E13)</f>
        <v>70214.81</v>
      </c>
      <c r="F13" s="20">
        <f>IF(J13=0,0,CHAMNORD!F13+AIX!F13+BELLEY!F13+STALBAN!F13+ABRETS!F13+PONT!F13+FRANCIN!F13+VIVIERS!F13)</f>
        <v>4122</v>
      </c>
      <c r="G13" s="40">
        <f>IF(I13=0,0,CHAMNORD!G13+AIX!G13+BELLEY!G13+STALBAN!G13+ABRETS!G13+PONT!G13+FRANCIN!G13+VIVIERS!G13)</f>
        <v>70900</v>
      </c>
      <c r="H13" s="42">
        <f>CHAMNORD!H13+AIX!H13+BELLEY!H13+STALBAN!H13+ABRETS!H13+PONT!H13+FRANCIN!H13+VIVIERS!H13</f>
        <v>64795.490000000005</v>
      </c>
      <c r="I13" s="13">
        <f>CHAMNORD!I13+AIX!I13+BELLEY!I13+STALBAN!I13+ABRETS!I13+PONT!I13+FRANCIN!I13+VIVIERS!I13</f>
        <v>64071.35</v>
      </c>
      <c r="J13" s="14">
        <f>CHAMNORD!J13+AIX!J13+BELLEY!J13+STALBAN!J13+ABRETS!J13+PONT!J13+FRANCIN!J13+VIVIERS!J13</f>
        <v>3532</v>
      </c>
      <c r="K13" s="15">
        <f>CHAMNORD!K13+AIX!K13+BELLEY!K13+STALBAN!K13+ABRETS!K13+PONT!K13+FRANCIN!K13+VIVIERS!K13</f>
        <v>811.15000000000009</v>
      </c>
      <c r="L13" s="15">
        <f>CHAMNORD!L13+AIX!L13+BELLEY!L13+STALBAN!L13+ABRETS!L13+PONT!L13+FRANCIN!L13+VIVIERS!L13</f>
        <v>962.99000000000012</v>
      </c>
      <c r="M13" s="15">
        <f>CHAMNORD!M13+AIX!M13+BELLEY!M13+STALBAN!M13+ABRETS!M13+PONT!M13+FRANCIN!M13+VIVIERS!M13</f>
        <v>1262.45</v>
      </c>
      <c r="N13" s="16">
        <f t="shared" si="2"/>
        <v>1.9703814575469381E-2</v>
      </c>
      <c r="O13" s="17">
        <f t="shared" si="3"/>
        <v>-8.7495216465016415E-2</v>
      </c>
      <c r="P13" s="17">
        <f t="shared" si="4"/>
        <v>-0.14313440077632217</v>
      </c>
      <c r="Q13" s="18">
        <f t="shared" si="0"/>
        <v>78.988288232755949</v>
      </c>
      <c r="R13" s="18">
        <f t="shared" si="1"/>
        <v>66.533764628916174</v>
      </c>
      <c r="S13" s="34"/>
      <c r="T13" s="29" t="s">
        <v>8</v>
      </c>
      <c r="U13" s="1738"/>
    </row>
    <row r="14" spans="1:25">
      <c r="A14" s="10" t="s">
        <v>14</v>
      </c>
      <c r="B14" s="905">
        <v>45666</v>
      </c>
      <c r="C14" s="76">
        <f>IF(G14=0,0,CHAMNORD!C14+AIX!C14+BELLEY!C14+STALBAN!C14+ABRETS!C14+PONT!C14+FRANCIN!C14+VIVIERS!C14)</f>
        <v>71027.53</v>
      </c>
      <c r="D14" s="76">
        <f>IF(H14=0,0,CHAMNORD!D14+AIX!D14+BELLEY!D14+STALBAN!D14+ABRETS!D14+PONT!D14+FRANCIN!D14+VIVIERS!D14)</f>
        <v>116993.61000000002</v>
      </c>
      <c r="E14" s="76">
        <f>IF(I14=0,0,CHAMNORD!E14+AIX!E14+BELLEY!E14+STALBAN!E14+ABRETS!E14+PONT!E14+FRANCIN!E14+VIVIERS!E14)</f>
        <v>115543.12</v>
      </c>
      <c r="F14" s="20">
        <f>IF(J14=0,0,CHAMNORD!F14+AIX!F14+BELLEY!F14+STALBAN!F14+ABRETS!F14+PONT!F14+FRANCIN!F14+VIVIERS!F14)</f>
        <v>6294</v>
      </c>
      <c r="G14" s="40">
        <f>IF(I14=0,0,CHAMNORD!G14+AIX!G14+BELLEY!G14+STALBAN!G14+ABRETS!G14+PONT!G14+FRANCIN!G14+VIVIERS!G14)</f>
        <v>115800</v>
      </c>
      <c r="H14" s="42">
        <f>CHAMNORD!H14+AIX!H14+BELLEY!H14+STALBAN!H14+ABRETS!H14+PONT!H14+FRANCIN!H14+VIVIERS!H14</f>
        <v>110782.08000000002</v>
      </c>
      <c r="I14" s="13">
        <f>CHAMNORD!I14+AIX!I14+BELLEY!I14+STALBAN!I14+ABRETS!I14+PONT!I14+FRANCIN!I14+VIVIERS!I14</f>
        <v>109540.75999999998</v>
      </c>
      <c r="J14" s="14">
        <f>CHAMNORD!J14+AIX!J14+BELLEY!J14+STALBAN!J14+ABRETS!J14+PONT!J14+FRANCIN!J14+VIVIERS!J14</f>
        <v>5679</v>
      </c>
      <c r="K14" s="15">
        <f>CHAMNORD!K14+AIX!K14+BELLEY!K14+STALBAN!K14+ABRETS!K14+PONT!K14+FRANCIN!K14+VIVIERS!K14</f>
        <v>1127.8399999999999</v>
      </c>
      <c r="L14" s="15">
        <f>CHAMNORD!L14+AIX!L14+BELLEY!L14+STALBAN!L14+ABRETS!L14+PONT!L14+FRANCIN!L14+VIVIERS!L14</f>
        <v>1261.69</v>
      </c>
      <c r="M14" s="15">
        <f>CHAMNORD!M14+AIX!M14+BELLEY!M14+STALBAN!M14+ABRETS!M14+PONT!M14+FRANCIN!M14+VIVIERS!M14</f>
        <v>-250.12999999999997</v>
      </c>
      <c r="N14" s="16">
        <f t="shared" si="2"/>
        <v>-2.2834422547369582E-3</v>
      </c>
      <c r="O14" s="17">
        <f t="shared" si="3"/>
        <v>-5.1949090521357009E-2</v>
      </c>
      <c r="P14" s="17">
        <f t="shared" si="4"/>
        <v>-9.7712106768350807E-2</v>
      </c>
      <c r="Q14" s="18">
        <f t="shared" si="0"/>
        <v>97.124379344587879</v>
      </c>
      <c r="R14" s="18">
        <f t="shared" si="1"/>
        <v>86.820661176675713</v>
      </c>
      <c r="S14" s="36" t="s">
        <v>40</v>
      </c>
      <c r="T14" s="48">
        <f>SUM(I10:I16)/SUM(L10:L16)</f>
        <v>81.018409540568612</v>
      </c>
      <c r="U14" s="1738"/>
    </row>
    <row r="15" spans="1:25">
      <c r="A15" s="10" t="s">
        <v>15</v>
      </c>
      <c r="B15" s="905">
        <v>45667</v>
      </c>
      <c r="C15" s="76">
        <f>IF(G15=0,0,CHAMNORD!C15+AIX!C15+BELLEY!C15+STALBAN!C15+ABRETS!C15+PONT!C15+FRANCIN!C15+VIVIERS!C15)</f>
        <v>116993.61000000002</v>
      </c>
      <c r="D15" s="76">
        <f>IF(H15=0,0,CHAMNORD!D15+AIX!D15+BELLEY!D15+STALBAN!D15+ABRETS!D15+PONT!D15+FRANCIN!D15+VIVIERS!D15)</f>
        <v>125452.75</v>
      </c>
      <c r="E15" s="76">
        <f>IF(I15=0,0,CHAMNORD!E15+AIX!E15+BELLEY!E15+STALBAN!E15+ABRETS!E15+PONT!E15+FRANCIN!E15+VIVIERS!E15)</f>
        <v>123615.82</v>
      </c>
      <c r="F15" s="20">
        <f>IF(J15=0,0,CHAMNORD!F15+AIX!F15+BELLEY!F15+STALBAN!F15+ABRETS!F15+PONT!F15+FRANCIN!F15+VIVIERS!F15)</f>
        <v>6319</v>
      </c>
      <c r="G15" s="40">
        <f>IF(I15=0,0,CHAMNORD!G15+AIX!G15+BELLEY!G15+STALBAN!G15+ABRETS!G15+PONT!G15+FRANCIN!G15+VIVIERS!G15)</f>
        <v>123900</v>
      </c>
      <c r="H15" s="42">
        <f>CHAMNORD!H15+AIX!H15+BELLEY!H15+STALBAN!H15+ABRETS!H15+PONT!H15+FRANCIN!H15+VIVIERS!H15</f>
        <v>116812.24000000002</v>
      </c>
      <c r="I15" s="13">
        <f>CHAMNORD!I15+AIX!I15+BELLEY!I15+STALBAN!I15+ABRETS!I15+PONT!I15+FRANCIN!I15+VIVIERS!I15</f>
        <v>115290.13</v>
      </c>
      <c r="J15" s="14">
        <f>CHAMNORD!J15+AIX!J15+BELLEY!J15+STALBAN!J15+ABRETS!J15+PONT!J15+FRANCIN!J15+VIVIERS!J15</f>
        <v>5587</v>
      </c>
      <c r="K15" s="15">
        <f>CHAMNORD!K15+AIX!K15+BELLEY!K15+STALBAN!K15+ABRETS!K15+PONT!K15+FRANCIN!K15+VIVIERS!K15</f>
        <v>1188.3699999999999</v>
      </c>
      <c r="L15" s="15">
        <f>CHAMNORD!L15+AIX!L15+BELLEY!L15+STALBAN!L15+ABRETS!L15+PONT!L15+FRANCIN!L15+VIVIERS!L15</f>
        <v>1304</v>
      </c>
      <c r="M15" s="15">
        <f>CHAMNORD!M15+AIX!M15+BELLEY!M15+STALBAN!M15+ABRETS!M15+PONT!M15+FRANCIN!M15+VIVIERS!M15</f>
        <v>408.53</v>
      </c>
      <c r="N15" s="16">
        <f t="shared" si="2"/>
        <v>3.543495006901284E-3</v>
      </c>
      <c r="O15" s="17">
        <f t="shared" si="3"/>
        <v>-6.735133092188364E-2</v>
      </c>
      <c r="P15" s="17">
        <f t="shared" si="4"/>
        <v>-0.11584111410033233</v>
      </c>
      <c r="Q15" s="18">
        <f t="shared" si="0"/>
        <v>97.015348755017385</v>
      </c>
      <c r="R15" s="18">
        <f t="shared" si="1"/>
        <v>88.412676380368097</v>
      </c>
      <c r="S15" s="36">
        <f>SUM(J10:J16)</f>
        <v>31500</v>
      </c>
      <c r="T15" s="30" t="s">
        <v>3</v>
      </c>
      <c r="U15" s="1738"/>
    </row>
    <row r="16" spans="1:25" ht="18" thickBot="1">
      <c r="A16" s="10" t="s">
        <v>16</v>
      </c>
      <c r="B16" s="905">
        <v>45668</v>
      </c>
      <c r="C16" s="76">
        <f>IF(G16=0,0,CHAMNORD!C16+AIX!C16+BELLEY!C16+STALBAN!C16+ABRETS!C16+PONT!C16+FRANCIN!C16+VIVIERS!C16)</f>
        <v>125452.75</v>
      </c>
      <c r="D16" s="76">
        <f>IF(H16=0,0,CHAMNORD!D16+AIX!D16+BELLEY!D16+STALBAN!D16+ABRETS!D16+PONT!D16+FRANCIN!D16+VIVIERS!D16)</f>
        <v>116056.59</v>
      </c>
      <c r="E16" s="76">
        <f>IF(I16=0,0,CHAMNORD!E16+AIX!E16+BELLEY!E16+STALBAN!E16+ABRETS!E16+PONT!E16+FRANCIN!E16+VIVIERS!E16)</f>
        <v>114589.36</v>
      </c>
      <c r="F16" s="20">
        <f>IF(J16=0,0,CHAMNORD!F16+AIX!F16+BELLEY!F16+STALBAN!F16+ABRETS!F16+PONT!F16+FRANCIN!F16+VIVIERS!F16)</f>
        <v>5425</v>
      </c>
      <c r="G16" s="40">
        <f>IF(I16=0,0,CHAMNORD!G16+AIX!G16+BELLEY!G16+STALBAN!G16+ABRETS!G16+PONT!G16+FRANCIN!G16+VIVIERS!G16)</f>
        <v>114800</v>
      </c>
      <c r="H16" s="42">
        <f>CHAMNORD!H16+AIX!H16+BELLEY!H16+STALBAN!H16+ABRETS!H16+PONT!H16+FRANCIN!H16+VIVIERS!H16</f>
        <v>109849.06</v>
      </c>
      <c r="I16" s="13">
        <f>CHAMNORD!I16+AIX!I16+BELLEY!I16+STALBAN!I16+ABRETS!I16+PONT!I16+FRANCIN!I16+VIVIERS!I16</f>
        <v>108171.35999999999</v>
      </c>
      <c r="J16" s="14">
        <f>CHAMNORD!J16+AIX!J16+BELLEY!J16+STALBAN!J16+ABRETS!J16+PONT!J16+FRANCIN!J16+VIVIERS!J16</f>
        <v>4958</v>
      </c>
      <c r="K16" s="15">
        <f>CHAMNORD!K16+AIX!K16+BELLEY!K16+STALBAN!K16+ABRETS!K16+PONT!K16+FRANCIN!K16+VIVIERS!K16</f>
        <v>1071.9299999999998</v>
      </c>
      <c r="L16" s="15">
        <f>CHAMNORD!L16+AIX!L16+BELLEY!L16+STALBAN!L16+ABRETS!L16+PONT!L16+FRANCIN!L16+VIVIERS!L16</f>
        <v>1195.7499999999998</v>
      </c>
      <c r="M16" s="15">
        <f>CHAMNORD!M16+AIX!M16+BELLEY!M16+STALBAN!M16+ABRETS!M16+PONT!M16+FRANCIN!M16+VIVIERS!M16</f>
        <v>559.67999999999995</v>
      </c>
      <c r="N16" s="16">
        <f t="shared" si="2"/>
        <v>5.1740127885976477E-3</v>
      </c>
      <c r="O16" s="17">
        <f t="shared" si="3"/>
        <v>-5.6008690510183617E-2</v>
      </c>
      <c r="P16" s="17">
        <f t="shared" si="4"/>
        <v>-8.6082949308755763E-2</v>
      </c>
      <c r="Q16" s="18">
        <f t="shared" si="0"/>
        <v>100.91270885225714</v>
      </c>
      <c r="R16" s="18">
        <f t="shared" si="1"/>
        <v>90.463190466234593</v>
      </c>
      <c r="S16" s="37">
        <f>(S15-SUM(F10:F16))/(SUM(F10:F16))</f>
        <v>-0.10271748419073663</v>
      </c>
      <c r="T16" s="47">
        <f>SUM(M10:M16)/SUM(I10:I16)</f>
        <v>5.729704276366078E-3</v>
      </c>
      <c r="U16" s="1739"/>
    </row>
    <row r="17" spans="1:25" ht="17" customHeight="1" thickTop="1">
      <c r="A17" s="10" t="s">
        <v>9</v>
      </c>
      <c r="B17" s="905">
        <v>45669</v>
      </c>
      <c r="C17" s="76">
        <f>IF(G17=0,0,CHAMNORD!C17+AIX!C17+BELLEY!C17+STALBAN!C17+ABRETS!C17+PONT!C17+FRANCIN!C17+VIVIERS!C17)</f>
        <v>116056.59</v>
      </c>
      <c r="D17" s="76">
        <f>IF(H17=0,0,CHAMNORD!D17+AIX!D17+BELLEY!D17+STALBAN!D17+ABRETS!D17+PONT!D17+FRANCIN!D17+VIVIERS!D17)</f>
        <v>63439.340000000004</v>
      </c>
      <c r="E17" s="76">
        <f>IF(I17=0,0,CHAMNORD!E17+AIX!E17+BELLEY!E17+STALBAN!E17+ABRETS!E17+PONT!E17+FRANCIN!E17+VIVIERS!E17)</f>
        <v>62734.460000000006</v>
      </c>
      <c r="F17" s="20">
        <f>IF(J17=0,0,CHAMNORD!F17+AIX!F17+BELLEY!F17+STALBAN!F17+ABRETS!F17+PONT!F17+FRANCIN!F17+VIVIERS!F17)</f>
        <v>3825</v>
      </c>
      <c r="G17" s="40">
        <f>IF(I17=0,0,CHAMNORD!G17+AIX!G17+BELLEY!G17+STALBAN!G17+ABRETS!G17+PONT!G17+FRANCIN!G17+VIVIERS!G17)</f>
        <v>63400</v>
      </c>
      <c r="H17" s="42">
        <f>CHAMNORD!H17+AIX!H17+BELLEY!H17+STALBAN!H17+ABRETS!H17+PONT!H17+FRANCIN!H17+VIVIERS!H17</f>
        <v>59746.58</v>
      </c>
      <c r="I17" s="13">
        <f>CHAMNORD!I17+AIX!I17+BELLEY!I17+STALBAN!I17+ABRETS!I17+PONT!I17+FRANCIN!I17+VIVIERS!I17</f>
        <v>59031.709999999992</v>
      </c>
      <c r="J17" s="14">
        <f>CHAMNORD!J17+AIX!J17+BELLEY!J17+STALBAN!J17+ABRETS!J17+PONT!J17+FRANCIN!J17+VIVIERS!J17</f>
        <v>3366</v>
      </c>
      <c r="K17" s="15">
        <f>CHAMNORD!K17+AIX!K17+BELLEY!K17+STALBAN!K17+ABRETS!K17+PONT!K17+FRANCIN!K17+VIVIERS!K17</f>
        <v>729.07999999999993</v>
      </c>
      <c r="L17" s="15">
        <f>CHAMNORD!L17+AIX!L17+BELLEY!L17+STALBAN!L17+ABRETS!L17+PONT!L17+FRANCIN!L17+VIVIERS!L17</f>
        <v>837.9</v>
      </c>
      <c r="M17" s="15">
        <f>CHAMNORD!M17+AIX!M17+BELLEY!M17+STALBAN!M17+ABRETS!M17+PONT!M17+FRANCIN!M17+VIVIERS!M17</f>
        <v>549.37</v>
      </c>
      <c r="N17" s="16">
        <f t="shared" si="2"/>
        <v>9.3063541611787988E-3</v>
      </c>
      <c r="O17" s="17">
        <f t="shared" si="3"/>
        <v>-5.9022585035401823E-2</v>
      </c>
      <c r="P17" s="17">
        <f t="shared" si="4"/>
        <v>-0.12</v>
      </c>
      <c r="Q17" s="18">
        <f t="shared" si="0"/>
        <v>80.967397267789536</v>
      </c>
      <c r="R17" s="18">
        <f t="shared" si="1"/>
        <v>70.451975176035319</v>
      </c>
      <c r="S17" s="33" t="s">
        <v>39</v>
      </c>
      <c r="T17" s="31" t="s">
        <v>42</v>
      </c>
      <c r="U17" s="1737" t="s">
        <v>85</v>
      </c>
    </row>
    <row r="18" spans="1:25">
      <c r="A18" s="10" t="s">
        <v>11</v>
      </c>
      <c r="B18" s="905">
        <v>45670</v>
      </c>
      <c r="C18" s="76">
        <f>IF(G18=0,0,CHAMNORD!C18+AIX!C18+BELLEY!C18+STALBAN!C18+ABRETS!C18+PONT!C18+FRANCIN!C18+VIVIERS!C18)</f>
        <v>63439.340000000004</v>
      </c>
      <c r="D18" s="76">
        <f>IF(H18=0,0,CHAMNORD!D18+AIX!D18+BELLEY!D18+STALBAN!D18+ABRETS!D18+PONT!D18+FRANCIN!D18+VIVIERS!D18)</f>
        <v>67617.42</v>
      </c>
      <c r="E18" s="76">
        <f>IF(I18=0,0,CHAMNORD!E18+AIX!E18+BELLEY!E18+STALBAN!E18+ABRETS!E18+PONT!E18+FRANCIN!E18+VIVIERS!E18)</f>
        <v>66850.34</v>
      </c>
      <c r="F18" s="20">
        <f>IF(J18=0,0,CHAMNORD!F18+AIX!F18+BELLEY!F18+STALBAN!F18+ABRETS!F18+PONT!F18+FRANCIN!F18+VIVIERS!F18)</f>
        <v>4048</v>
      </c>
      <c r="G18" s="40">
        <f>IF(I18=0,0,CHAMNORD!G18+AIX!G18+BELLEY!G18+STALBAN!G18+ABRETS!G18+PONT!G18+FRANCIN!G18+VIVIERS!G18)</f>
        <v>67500</v>
      </c>
      <c r="H18" s="42">
        <f>CHAMNORD!H18+AIX!H18+BELLEY!H18+STALBAN!H18+ABRETS!H18+PONT!H18+FRANCIN!H18+VIVIERS!H18</f>
        <v>75055.09</v>
      </c>
      <c r="I18" s="13">
        <f>CHAMNORD!I18+AIX!I18+BELLEY!I18+STALBAN!I18+ABRETS!I18+PONT!I18+FRANCIN!I18+VIVIERS!I18</f>
        <v>74161.69</v>
      </c>
      <c r="J18" s="14">
        <f>CHAMNORD!J18+AIX!J18+BELLEY!J18+STALBAN!J18+ABRETS!J18+PONT!J18+FRANCIN!J18+VIVIERS!J18</f>
        <v>4034</v>
      </c>
      <c r="K18" s="15">
        <f>CHAMNORD!K18+AIX!K18+BELLEY!K18+STALBAN!K18+ABRETS!K18+PONT!K18+FRANCIN!K18+VIVIERS!K18</f>
        <v>750.05000000000007</v>
      </c>
      <c r="L18" s="15">
        <f>CHAMNORD!L18+AIX!L18+BELLEY!L18+STALBAN!L18+ABRETS!L18+PONT!L18+FRANCIN!L18+VIVIERS!L18</f>
        <v>872.64</v>
      </c>
      <c r="M18" s="15">
        <f>CHAMNORD!M18+AIX!M18+BELLEY!M18+STALBAN!M18+ABRETS!M18+PONT!M18+FRANCIN!M18+VIVIERS!M18</f>
        <v>475.36</v>
      </c>
      <c r="N18" s="16">
        <f t="shared" si="2"/>
        <v>6.4097784179405837E-3</v>
      </c>
      <c r="O18" s="17">
        <f t="shared" si="3"/>
        <v>0.10936892766738368</v>
      </c>
      <c r="P18" s="17">
        <f t="shared" si="4"/>
        <v>-3.458498023715415E-3</v>
      </c>
      <c r="Q18" s="18">
        <f t="shared" si="0"/>
        <v>98.875661622558496</v>
      </c>
      <c r="R18" s="18">
        <f t="shared" si="1"/>
        <v>84.985435001833523</v>
      </c>
      <c r="S18" s="34">
        <f>SUM(I17:I23)</f>
        <v>649808.46</v>
      </c>
      <c r="T18" s="45" t="s">
        <v>41</v>
      </c>
      <c r="U18" s="1738"/>
      <c r="W18" s="202">
        <f>+S18</f>
        <v>649808.46</v>
      </c>
      <c r="X18" s="202">
        <f>SUM(CHAMNORD!E17:E23)+SUM(AIX!E17:E23)+SUM(BELLEY!E17:E23)+SUM(STALBAN!E17:E23)+SUM(ABRETS!E17:E23)+SUM(PONT!E17:E23)+SUM(FRANCIN!E17:E23)+SUM(VIVIERS!E17:E23)</f>
        <v>645201.46000000008</v>
      </c>
      <c r="Y18" s="202">
        <f>+W18-X18</f>
        <v>4606.9999999998836</v>
      </c>
    </row>
    <row r="19" spans="1:25">
      <c r="A19" s="10" t="s">
        <v>12</v>
      </c>
      <c r="B19" s="905">
        <v>45671</v>
      </c>
      <c r="C19" s="76">
        <f>IF(G19=0,0,CHAMNORD!C19+AIX!C19+BELLEY!C19+STALBAN!C19+ABRETS!C19+PONT!C19+FRANCIN!C19+VIVIERS!C19)</f>
        <v>67617.42</v>
      </c>
      <c r="D19" s="76">
        <f>IF(H19=0,0,CHAMNORD!D19+AIX!D19+BELLEY!D19+STALBAN!D19+ABRETS!D19+PONT!D19+FRANCIN!D19+VIVIERS!D19)</f>
        <v>86269.54</v>
      </c>
      <c r="E19" s="76">
        <f>IF(I19=0,0,CHAMNORD!E19+AIX!E19+BELLEY!E19+STALBAN!E19+ABRETS!E19+PONT!E19+FRANCIN!E19+VIVIERS!E19)</f>
        <v>85134.150000000009</v>
      </c>
      <c r="F19" s="20">
        <f>IF(J19=0,0,CHAMNORD!F19+AIX!F19+BELLEY!F19+STALBAN!F19+ABRETS!F19+PONT!F19+FRANCIN!F19+VIVIERS!F19)</f>
        <v>4905</v>
      </c>
      <c r="G19" s="40">
        <f>IF(I19=0,0,CHAMNORD!G19+AIX!G19+BELLEY!G19+STALBAN!G19+ABRETS!G19+PONT!G19+FRANCIN!G19+VIVIERS!G19)</f>
        <v>86500</v>
      </c>
      <c r="H19" s="42">
        <f>CHAMNORD!H19+AIX!H19+BELLEY!H19+STALBAN!H19+ABRETS!H19+PONT!H19+FRANCIN!H19+VIVIERS!H19</f>
        <v>87179.920000000013</v>
      </c>
      <c r="I19" s="13">
        <f>CHAMNORD!I19+AIX!I19+BELLEY!I19+STALBAN!I19+ABRETS!I19+PONT!I19+FRANCIN!I19+VIVIERS!I19</f>
        <v>86046.280000000013</v>
      </c>
      <c r="J19" s="14">
        <f>CHAMNORD!J19+AIX!J19+BELLEY!J19+STALBAN!J19+ABRETS!J19+PONT!J19+FRANCIN!J19+VIVIERS!J19</f>
        <v>4689</v>
      </c>
      <c r="K19" s="15">
        <f>CHAMNORD!K19+AIX!K19+BELLEY!K19+STALBAN!K19+ABRETS!K19+PONT!K19+FRANCIN!K19+VIVIERS!K19</f>
        <v>964.97</v>
      </c>
      <c r="L19" s="15">
        <f>CHAMNORD!L19+AIX!L19+BELLEY!L19+STALBAN!L19+ABRETS!L19+PONT!L19+FRANCIN!L19+VIVIERS!L19</f>
        <v>1107.94</v>
      </c>
      <c r="M19" s="15">
        <f>CHAMNORD!M19+AIX!M19+BELLEY!M19+STALBAN!M19+ABRETS!M19+PONT!M19+FRANCIN!M19+VIVIERS!M19</f>
        <v>453.88</v>
      </c>
      <c r="N19" s="16">
        <f t="shared" si="2"/>
        <v>5.274835820909398E-3</v>
      </c>
      <c r="O19" s="17">
        <f t="shared" si="3"/>
        <v>1.0714031913162985E-2</v>
      </c>
      <c r="P19" s="17">
        <f t="shared" si="4"/>
        <v>-4.4036697247706424E-2</v>
      </c>
      <c r="Q19" s="18">
        <f t="shared" si="0"/>
        <v>89.169901654973742</v>
      </c>
      <c r="R19" s="18">
        <f t="shared" si="1"/>
        <v>77.663303066953091</v>
      </c>
      <c r="S19" s="35">
        <f>(S18-SUM(E17:E23))/(SUM(E17:E23))</f>
        <v>7.140405416937526E-3</v>
      </c>
      <c r="T19" s="48">
        <f>SUM(I17:I23)/SUM(K17:K23)</f>
        <v>97.761866147122291</v>
      </c>
      <c r="U19" s="1738"/>
    </row>
    <row r="20" spans="1:25">
      <c r="A20" s="10" t="s">
        <v>13</v>
      </c>
      <c r="B20" s="905">
        <v>45672</v>
      </c>
      <c r="C20" s="76">
        <f>IF(G20=0,0,CHAMNORD!C20+AIX!C20+BELLEY!C20+STALBAN!C20+ABRETS!C20+PONT!C20+FRANCIN!C20+VIVIERS!C20)</f>
        <v>86269.54</v>
      </c>
      <c r="D20" s="76">
        <f>IF(H20=0,0,CHAMNORD!D20+AIX!D20+BELLEY!D20+STALBAN!D20+ABRETS!D20+PONT!D20+FRANCIN!D20+VIVIERS!D20)</f>
        <v>77500.44</v>
      </c>
      <c r="E20" s="76">
        <f>IF(I20=0,0,CHAMNORD!E20+AIX!E20+BELLEY!E20+STALBAN!E20+ABRETS!E20+PONT!E20+FRANCIN!E20+VIVIERS!E20)</f>
        <v>76733.38</v>
      </c>
      <c r="F20" s="20">
        <f>IF(J20=0,0,CHAMNORD!F20+AIX!F20+BELLEY!F20+STALBAN!F20+ABRETS!F20+PONT!F20+FRANCIN!F20+VIVIERS!F20)</f>
        <v>4589</v>
      </c>
      <c r="G20" s="40">
        <f>IF(I20=0,0,CHAMNORD!G20+AIX!G20+BELLEY!G20+STALBAN!G20+ABRETS!G20+PONT!G20+FRANCIN!G20+VIVIERS!G20)</f>
        <v>77500</v>
      </c>
      <c r="H20" s="42">
        <f>CHAMNORD!H20+AIX!H20+BELLEY!H20+STALBAN!H20+ABRETS!H20+PONT!H20+FRANCIN!H20+VIVIERS!H20</f>
        <v>77684.95</v>
      </c>
      <c r="I20" s="13">
        <f>CHAMNORD!I20+AIX!I20+BELLEY!I20+STALBAN!I20+ABRETS!I20+PONT!I20+FRANCIN!I20+VIVIERS!I20</f>
        <v>76832.31</v>
      </c>
      <c r="J20" s="14">
        <f>CHAMNORD!J20+AIX!J20+BELLEY!J20+STALBAN!J20+ABRETS!J20+PONT!J20+FRANCIN!J20+VIVIERS!J20</f>
        <v>4323</v>
      </c>
      <c r="K20" s="15">
        <f>CHAMNORD!K20+AIX!K20+BELLEY!K20+STALBAN!K20+ABRETS!K20+PONT!K20+FRANCIN!K20+VIVIERS!K20</f>
        <v>819.49</v>
      </c>
      <c r="L20" s="15">
        <f>CHAMNORD!L20+AIX!L20+BELLEY!L20+STALBAN!L20+ABRETS!L20+PONT!L20+FRANCIN!L20+VIVIERS!L20</f>
        <v>963.32999999999993</v>
      </c>
      <c r="M20" s="15">
        <f>CHAMNORD!M20+AIX!M20+BELLEY!M20+STALBAN!M20+ABRETS!M20+PONT!M20+FRANCIN!M20+VIVIERS!M20</f>
        <v>512.28</v>
      </c>
      <c r="N20" s="16">
        <f t="shared" si="2"/>
        <v>6.6675074587761321E-3</v>
      </c>
      <c r="O20" s="17">
        <f t="shared" si="3"/>
        <v>1.2892694157352772E-3</v>
      </c>
      <c r="P20" s="17">
        <f t="shared" si="4"/>
        <v>-5.7964698191327088E-2</v>
      </c>
      <c r="Q20" s="18">
        <f t="shared" si="0"/>
        <v>93.75625083893641</v>
      </c>
      <c r="R20" s="18">
        <f t="shared" si="1"/>
        <v>79.756999159166639</v>
      </c>
      <c r="S20" s="34"/>
      <c r="T20" s="29" t="s">
        <v>8</v>
      </c>
      <c r="U20" s="1738"/>
    </row>
    <row r="21" spans="1:25">
      <c r="A21" s="10" t="s">
        <v>14</v>
      </c>
      <c r="B21" s="905">
        <v>45673</v>
      </c>
      <c r="C21" s="76">
        <f>IF(G21=0,0,CHAMNORD!C21+AIX!C21+BELLEY!C21+STALBAN!C21+ABRETS!C21+PONT!C21+FRANCIN!C21+VIVIERS!C21)</f>
        <v>77500.44</v>
      </c>
      <c r="D21" s="76">
        <f>IF(H21=0,0,CHAMNORD!D21+AIX!D21+BELLEY!D21+STALBAN!D21+ABRETS!D21+PONT!D21+FRANCIN!D21+VIVIERS!D21)</f>
        <v>115120.34000000001</v>
      </c>
      <c r="E21" s="76">
        <f>IF(I21=0,0,CHAMNORD!E21+AIX!E21+BELLEY!E21+STALBAN!E21+ABRETS!E21+PONT!E21+FRANCIN!E21+VIVIERS!E21)</f>
        <v>114004.34000000001</v>
      </c>
      <c r="F21" s="20">
        <f>IF(J21=0,0,CHAMNORD!F21+AIX!F21+BELLEY!F21+STALBAN!F21+ABRETS!F21+PONT!F21+FRANCIN!F21+VIVIERS!F21)</f>
        <v>6346</v>
      </c>
      <c r="G21" s="40">
        <f>IF(I21=0,0,CHAMNORD!G21+AIX!G21+BELLEY!G21+STALBAN!G21+ABRETS!G21+PONT!G21+FRANCIN!G21+VIVIERS!G21)</f>
        <v>114300</v>
      </c>
      <c r="H21" s="42">
        <f>CHAMNORD!H21+AIX!H21+BELLEY!H21+STALBAN!H21+ABRETS!H21+PONT!H21+FRANCIN!H21+VIVIERS!H21</f>
        <v>119789.04000000001</v>
      </c>
      <c r="I21" s="13">
        <f>CHAMNORD!I21+AIX!I21+BELLEY!I21+STALBAN!I21+ABRETS!I21+PONT!I21+FRANCIN!I21+VIVIERS!I21</f>
        <v>118341.14999999998</v>
      </c>
      <c r="J21" s="14">
        <f>CHAMNORD!J21+AIX!J21+BELLEY!J21+STALBAN!J21+ABRETS!J21+PONT!J21+FRANCIN!J21+VIVIERS!J21</f>
        <v>6061</v>
      </c>
      <c r="K21" s="15">
        <f>CHAMNORD!K21+AIX!K21+BELLEY!K21+STALBAN!K21+ABRETS!K21+PONT!K21+FRANCIN!K21+VIVIERS!K21</f>
        <v>1166.6100000000001</v>
      </c>
      <c r="L21" s="15">
        <f>CHAMNORD!L21+AIX!L21+BELLEY!L21+STALBAN!L21+ABRETS!L21+PONT!L21+FRANCIN!L21+VIVIERS!L21</f>
        <v>1324.2499999999998</v>
      </c>
      <c r="M21" s="15">
        <f>CHAMNORD!M21+AIX!M21+BELLEY!M21+STALBAN!M21+ABRETS!M21+PONT!M21+FRANCIN!M21+VIVIERS!M21</f>
        <v>524.15</v>
      </c>
      <c r="N21" s="16">
        <f t="shared" si="2"/>
        <v>4.4291440466819876E-3</v>
      </c>
      <c r="O21" s="17">
        <f t="shared" si="3"/>
        <v>3.8040744764628855E-2</v>
      </c>
      <c r="P21" s="17">
        <f t="shared" si="4"/>
        <v>-4.4910179640718563E-2</v>
      </c>
      <c r="Q21" s="18">
        <f t="shared" si="0"/>
        <v>101.44019852392827</v>
      </c>
      <c r="R21" s="18">
        <f t="shared" si="1"/>
        <v>89.364659241079863</v>
      </c>
      <c r="S21" s="36" t="s">
        <v>40</v>
      </c>
      <c r="T21" s="48">
        <f>SUM(I17:I23)/SUM(L17:L23)</f>
        <v>85.335382861705412</v>
      </c>
      <c r="U21" s="1738"/>
    </row>
    <row r="22" spans="1:25">
      <c r="A22" s="10" t="s">
        <v>15</v>
      </c>
      <c r="B22" s="905">
        <v>45674</v>
      </c>
      <c r="C22" s="76">
        <f>IF(G22=0,0,CHAMNORD!C22+AIX!C22+BELLEY!C22+STALBAN!C22+ABRETS!C22+PONT!C22+FRANCIN!C22+VIVIERS!C22)</f>
        <v>115120.34000000001</v>
      </c>
      <c r="D22" s="76">
        <f>IF(H22=0,0,CHAMNORD!D22+AIX!D22+BELLEY!D22+STALBAN!D22+ABRETS!D22+PONT!D22+FRANCIN!D22+VIVIERS!D22)</f>
        <v>128144.4</v>
      </c>
      <c r="E22" s="76">
        <f>IF(I22=0,0,CHAMNORD!E22+AIX!E22+BELLEY!E22+STALBAN!E22+ABRETS!E22+PONT!E22+FRANCIN!E22+VIVIERS!E22)</f>
        <v>126714.47</v>
      </c>
      <c r="F22" s="20">
        <f>IF(J22=0,0,CHAMNORD!F22+AIX!F22+BELLEY!F22+STALBAN!F22+ABRETS!F22+PONT!F22+FRANCIN!F22+VIVIERS!F22)</f>
        <v>6514</v>
      </c>
      <c r="G22" s="40">
        <f>IF(I22=0,0,CHAMNORD!G22+AIX!G22+BELLEY!G22+STALBAN!G22+ABRETS!G22+PONT!G22+FRANCIN!G22+VIVIERS!G22)</f>
        <v>127200</v>
      </c>
      <c r="H22" s="42">
        <f>CHAMNORD!H22+AIX!H22+BELLEY!H22+STALBAN!H22+ABRETS!H22+PONT!H22+FRANCIN!H22+VIVIERS!H22</f>
        <v>125337.91999999998</v>
      </c>
      <c r="I22" s="13">
        <f>CHAMNORD!I22+AIX!I22+BELLEY!I22+STALBAN!I22+ABRETS!I22+PONT!I22+FRANCIN!I22+VIVIERS!I22</f>
        <v>123637.8</v>
      </c>
      <c r="J22" s="14">
        <f>CHAMNORD!J22+AIX!J22+BELLEY!J22+STALBAN!J22+ABRETS!J22+PONT!J22+FRANCIN!J22+VIVIERS!J22</f>
        <v>6064</v>
      </c>
      <c r="K22" s="15">
        <f>CHAMNORD!K22+AIX!K22+BELLEY!K22+STALBAN!K22+ABRETS!K22+PONT!K22+FRANCIN!K22+VIVIERS!K22</f>
        <v>1204.3800000000001</v>
      </c>
      <c r="L22" s="15">
        <f>CHAMNORD!L22+AIX!L22+BELLEY!L22+STALBAN!L22+ABRETS!L22+PONT!L22+FRANCIN!L22+VIVIERS!L22</f>
        <v>1352.39</v>
      </c>
      <c r="M22" s="15">
        <f>CHAMNORD!M22+AIX!M22+BELLEY!M22+STALBAN!M22+ABRETS!M22+PONT!M22+FRANCIN!M22+VIVIERS!M22</f>
        <v>496.7</v>
      </c>
      <c r="N22" s="16">
        <f t="shared" si="2"/>
        <v>4.01737979808764E-3</v>
      </c>
      <c r="O22" s="17">
        <f t="shared" si="3"/>
        <v>-2.4280336728709818E-2</v>
      </c>
      <c r="P22" s="17">
        <f t="shared" si="4"/>
        <v>-6.9081977279705248E-2</v>
      </c>
      <c r="Q22" s="18">
        <f t="shared" si="0"/>
        <v>102.65680267025357</v>
      </c>
      <c r="R22" s="18">
        <f t="shared" si="1"/>
        <v>91.421705277323838</v>
      </c>
      <c r="S22" s="36">
        <f>SUM(J17:J23)</f>
        <v>33694</v>
      </c>
      <c r="T22" s="30" t="s">
        <v>3</v>
      </c>
      <c r="U22" s="1738"/>
    </row>
    <row r="23" spans="1:25" ht="18" thickBot="1">
      <c r="A23" s="10" t="s">
        <v>16</v>
      </c>
      <c r="B23" s="905">
        <v>45675</v>
      </c>
      <c r="C23" s="76">
        <f>IF(G23=0,0,CHAMNORD!C23+AIX!C23+BELLEY!C23+STALBAN!C23+ABRETS!C23+PONT!C23+FRANCIN!C23+VIVIERS!C23)</f>
        <v>128144.4</v>
      </c>
      <c r="D23" s="76">
        <f>IF(H23=0,0,CHAMNORD!D23+AIX!D23+BELLEY!D23+STALBAN!D23+ABRETS!D23+PONT!D23+FRANCIN!D23+VIVIERS!D23)</f>
        <v>114350.81</v>
      </c>
      <c r="E23" s="76">
        <f>IF(I23=0,0,CHAMNORD!E23+AIX!E23+BELLEY!E23+STALBAN!E23+ABRETS!E23+PONT!E23+FRANCIN!E23+VIVIERS!E23)</f>
        <v>113030.31999999999</v>
      </c>
      <c r="F23" s="20">
        <f>IF(J23=0,0,CHAMNORD!F23+AIX!F23+BELLEY!F23+STALBAN!F23+ABRETS!F23+PONT!F23+FRANCIN!F23+VIVIERS!F23)</f>
        <v>5476</v>
      </c>
      <c r="G23" s="40">
        <f>IF(I23=0,0,CHAMNORD!G23+AIX!G23+BELLEY!G23+STALBAN!G23+ABRETS!G23+PONT!G23+FRANCIN!G23+VIVIERS!G23)</f>
        <v>114000</v>
      </c>
      <c r="H23" s="42">
        <f>CHAMNORD!H23+AIX!H23+BELLEY!H23+STALBAN!H23+ABRETS!H23+PONT!H23+FRANCIN!H23+VIVIERS!H23</f>
        <v>113468.06000000001</v>
      </c>
      <c r="I23" s="13">
        <f>CHAMNORD!I23+AIX!I23+BELLEY!I23+STALBAN!I23+ABRETS!I23+PONT!I23+FRANCIN!I23+VIVIERS!I23</f>
        <v>111757.51999999999</v>
      </c>
      <c r="J23" s="14">
        <f>CHAMNORD!J23+AIX!J23+BELLEY!J23+STALBAN!J23+ABRETS!J23+PONT!J23+FRANCIN!J23+VIVIERS!J23</f>
        <v>5157</v>
      </c>
      <c r="K23" s="15">
        <f>CHAMNORD!K23+AIX!K23+BELLEY!K23+STALBAN!K23+ABRETS!K23+PONT!K23+FRANCIN!K23+VIVIERS!K23</f>
        <v>1012.2700000000001</v>
      </c>
      <c r="L23" s="15">
        <f>CHAMNORD!L23+AIX!L23+BELLEY!L23+STALBAN!L23+ABRETS!L23+PONT!L23+FRANCIN!L23+VIVIERS!L23</f>
        <v>1156.31</v>
      </c>
      <c r="M23" s="15">
        <f>CHAMNORD!M23+AIX!M23+BELLEY!M23+STALBAN!M23+ABRETS!M23+PONT!M23+FRANCIN!M23+VIVIERS!M23</f>
        <v>523.53000000000009</v>
      </c>
      <c r="N23" s="16">
        <f t="shared" si="2"/>
        <v>4.6845169792600989E-3</v>
      </c>
      <c r="O23" s="17">
        <f t="shared" si="3"/>
        <v>-1.1260695360324584E-2</v>
      </c>
      <c r="P23" s="17">
        <f t="shared" si="4"/>
        <v>-5.825420014609204E-2</v>
      </c>
      <c r="Q23" s="18">
        <f t="shared" si="0"/>
        <v>110.40287670285593</v>
      </c>
      <c r="R23" s="18">
        <f t="shared" si="1"/>
        <v>96.650137073968054</v>
      </c>
      <c r="S23" s="37">
        <f>(S22-SUM(F17:F23))/(SUM(F17:F23))</f>
        <v>-5.6269781250875277E-2</v>
      </c>
      <c r="T23" s="47">
        <f>SUM(M17:M23)/SUM(I17:I23)</f>
        <v>5.4404801070149196E-3</v>
      </c>
      <c r="U23" s="1739"/>
    </row>
    <row r="24" spans="1:25" ht="17" customHeight="1" thickTop="1">
      <c r="A24" s="10" t="s">
        <v>9</v>
      </c>
      <c r="B24" s="905">
        <v>45676</v>
      </c>
      <c r="C24" s="76">
        <f>IF(G24=0,0,CHAMNORD!C24+AIX!C24+BELLEY!C24+STALBAN!C24+ABRETS!C24+PONT!C24+FRANCIN!C24+VIVIERS!C24)</f>
        <v>114350.81</v>
      </c>
      <c r="D24" s="76">
        <f>IF(H24=0,0,CHAMNORD!D24+AIX!D24+BELLEY!D24+STALBAN!D24+ABRETS!D24+PONT!D24+FRANCIN!D24+VIVIERS!D24)</f>
        <v>58390.559999999998</v>
      </c>
      <c r="E24" s="76">
        <f>IF(I24=0,0,CHAMNORD!E24+AIX!E24+BELLEY!E24+STALBAN!E24+ABRETS!E24+PONT!E24+FRANCIN!E24+VIVIERS!E24)</f>
        <v>57819.899999999994</v>
      </c>
      <c r="F24" s="20">
        <f>IF(J24=0,0,CHAMNORD!F24+AIX!F24+BELLEY!F24+STALBAN!F24+ABRETS!F24+PONT!F24+FRANCIN!F24+VIVIERS!F24)</f>
        <v>3545</v>
      </c>
      <c r="G24" s="40">
        <f>IF(I24=0,0,CHAMNORD!G24+AIX!G24+BELLEY!G24+STALBAN!G24+ABRETS!G24+PONT!G24+FRANCIN!G24+VIVIERS!G24)</f>
        <v>58900</v>
      </c>
      <c r="H24" s="42">
        <f>CHAMNORD!H24+AIX!H24+BELLEY!H24+STALBAN!H24+ABRETS!H24+PONT!H24+FRANCIN!H24+VIVIERS!H24</f>
        <v>58926.73</v>
      </c>
      <c r="I24" s="13">
        <f>CHAMNORD!I24+AIX!I24+BELLEY!I24+STALBAN!I24+ABRETS!I24+PONT!I24+FRANCIN!I24+VIVIERS!I24</f>
        <v>58320.71</v>
      </c>
      <c r="J24" s="14">
        <f>CHAMNORD!J24+AIX!J24+BELLEY!J24+STALBAN!J24+ABRETS!J24+PONT!J24+FRANCIN!J24+VIVIERS!J24</f>
        <v>3443</v>
      </c>
      <c r="K24" s="15">
        <f>CHAMNORD!K24+AIX!K24+BELLEY!K24+STALBAN!K24+ABRETS!K24+PONT!K24+FRANCIN!K24+VIVIERS!K24</f>
        <v>779.27</v>
      </c>
      <c r="L24" s="15">
        <f>CHAMNORD!L24+AIX!L24+BELLEY!L24+STALBAN!L24+ABRETS!L24+PONT!L24+FRANCIN!L24+VIVIERS!L24</f>
        <v>890.08</v>
      </c>
      <c r="M24" s="15">
        <f>CHAMNORD!M24+AIX!M24+BELLEY!M24+STALBAN!M24+ABRETS!M24+PONT!M24+FRANCIN!M24+VIVIERS!M24</f>
        <v>400.83000000000004</v>
      </c>
      <c r="N24" s="16">
        <f t="shared" si="2"/>
        <v>6.8728587151973978E-3</v>
      </c>
      <c r="O24" s="17">
        <f t="shared" si="3"/>
        <v>8.6615507809595822E-3</v>
      </c>
      <c r="P24" s="17">
        <f t="shared" si="4"/>
        <v>-2.8772919605077572E-2</v>
      </c>
      <c r="Q24" s="18">
        <f t="shared" si="0"/>
        <v>74.840183761725712</v>
      </c>
      <c r="R24" s="18">
        <f t="shared" si="1"/>
        <v>65.522997932770082</v>
      </c>
      <c r="S24" s="33" t="s">
        <v>39</v>
      </c>
      <c r="T24" s="31" t="s">
        <v>42</v>
      </c>
      <c r="U24" s="1737" t="s">
        <v>86</v>
      </c>
    </row>
    <row r="25" spans="1:25">
      <c r="A25" s="10" t="s">
        <v>11</v>
      </c>
      <c r="B25" s="905">
        <v>45677</v>
      </c>
      <c r="C25" s="76">
        <f>IF(G25=0,0,CHAMNORD!C25+AIX!C25+BELLEY!C25+STALBAN!C25+ABRETS!C25+PONT!C25+FRANCIN!C25+VIVIERS!C25)</f>
        <v>58390.559999999998</v>
      </c>
      <c r="D25" s="76">
        <f>IF(H25=0,0,CHAMNORD!D25+AIX!D25+BELLEY!D25+STALBAN!D25+ABRETS!D25+PONT!D25+FRANCIN!D25+VIVIERS!D25)</f>
        <v>67410.960000000006</v>
      </c>
      <c r="E25" s="76">
        <f>IF(I25=0,0,CHAMNORD!E25+AIX!E25+BELLEY!E25+STALBAN!E25+ABRETS!E25+PONT!E25+FRANCIN!E25+VIVIERS!E25)</f>
        <v>66587.539999999994</v>
      </c>
      <c r="F25" s="20">
        <f>IF(J25=0,0,CHAMNORD!F25+AIX!F25+BELLEY!F25+STALBAN!F25+ABRETS!F25+PONT!F25+FRANCIN!F25+VIVIERS!F25)</f>
        <v>3971</v>
      </c>
      <c r="G25" s="40">
        <f>IF(I25=0,0,CHAMNORD!G25+AIX!G25+BELLEY!G25+STALBAN!G25+ABRETS!G25+PONT!G25+FRANCIN!G25+VIVIERS!G25)</f>
        <v>67600</v>
      </c>
      <c r="H25" s="42">
        <f>CHAMNORD!H25+AIX!H25+BELLEY!H25+STALBAN!H25+ABRETS!H25+PONT!H25+FRANCIN!H25+VIVIERS!H25</f>
        <v>65385.289999999994</v>
      </c>
      <c r="I25" s="13">
        <f>CHAMNORD!I25+AIX!I25+BELLEY!I25+STALBAN!I25+ABRETS!I25+PONT!I25+FRANCIN!I25+VIVIERS!I25</f>
        <v>64573.98</v>
      </c>
      <c r="J25" s="14">
        <f>CHAMNORD!J25+AIX!J25+BELLEY!J25+STALBAN!J25+ABRETS!J25+PONT!J25+FRANCIN!J25+VIVIERS!J25</f>
        <v>3701</v>
      </c>
      <c r="K25" s="15">
        <f>CHAMNORD!K25+AIX!K25+BELLEY!K25+STALBAN!K25+ABRETS!K25+PONT!K25+FRANCIN!K25+VIVIERS!K25</f>
        <v>765.98</v>
      </c>
      <c r="L25" s="15">
        <f>CHAMNORD!L25+AIX!L25+BELLEY!L25+STALBAN!L25+ABRETS!L25+PONT!L25+FRANCIN!L25+VIVIERS!L25</f>
        <v>892.24000000000012</v>
      </c>
      <c r="M25" s="15">
        <f>CHAMNORD!M25+AIX!M25+BELLEY!M25+STALBAN!M25+ABRETS!M25+PONT!M25+FRANCIN!M25+VIVIERS!M25</f>
        <v>478.41000000000008</v>
      </c>
      <c r="N25" s="16">
        <f t="shared" si="2"/>
        <v>7.4087116823215796E-3</v>
      </c>
      <c r="O25" s="17">
        <f t="shared" si="3"/>
        <v>-3.0239291014504975E-2</v>
      </c>
      <c r="P25" s="17">
        <f t="shared" si="4"/>
        <v>-6.7992948879375473E-2</v>
      </c>
      <c r="Q25" s="18">
        <f t="shared" si="0"/>
        <v>84.302436094937207</v>
      </c>
      <c r="R25" s="18">
        <f t="shared" si="1"/>
        <v>72.372881735855813</v>
      </c>
      <c r="S25" s="34">
        <f>SUM(I24:I30)</f>
        <v>613759.98</v>
      </c>
      <c r="T25" s="45" t="s">
        <v>41</v>
      </c>
      <c r="U25" s="1738"/>
      <c r="W25" s="202">
        <f>+S25</f>
        <v>613759.98</v>
      </c>
      <c r="X25" s="202">
        <f>SUM(CHAMNORD!E24:E30)+SUM(AIX!E24:E30)+SUM(BELLEY!E24:E30)+SUM(STALBAN!E24:E30)+SUM(ABRETS!E24:E30)+SUM(PONT!E24:E30)+SUM(FRANCIN!E24:E30)+SUM(VIVIERS!E24:E30)</f>
        <v>634579.82000000007</v>
      </c>
      <c r="Y25" s="202">
        <f>+W25-X25</f>
        <v>-20819.840000000084</v>
      </c>
    </row>
    <row r="26" spans="1:25">
      <c r="A26" s="10" t="s">
        <v>12</v>
      </c>
      <c r="B26" s="905">
        <v>45678</v>
      </c>
      <c r="C26" s="76">
        <f>IF(G26=0,0,CHAMNORD!C26+AIX!C26+BELLEY!C26+STALBAN!C26+ABRETS!C26+PONT!C26+FRANCIN!C26+VIVIERS!C26)</f>
        <v>67410.960000000006</v>
      </c>
      <c r="D26" s="76">
        <f>IF(H26=0,0,CHAMNORD!D26+AIX!D26+BELLEY!D26+STALBAN!D26+ABRETS!D26+PONT!D26+FRANCIN!D26+VIVIERS!D26)</f>
        <v>81878.78</v>
      </c>
      <c r="E26" s="76">
        <f>IF(I26=0,0,CHAMNORD!E26+AIX!E26+BELLEY!E26+STALBAN!E26+ABRETS!E26+PONT!E26+FRANCIN!E26+VIVIERS!E26)</f>
        <v>80660.100000000006</v>
      </c>
      <c r="F26" s="20">
        <f>IF(J26=0,0,CHAMNORD!F26+AIX!F26+BELLEY!F26+STALBAN!F26+ABRETS!F26+PONT!F26+FRANCIN!F26+VIVIERS!F26)</f>
        <v>4775</v>
      </c>
      <c r="G26" s="40">
        <f>IF(I26=0,0,CHAMNORD!G26+AIX!G26+BELLEY!G26+STALBAN!G26+ABRETS!G26+PONT!G26+FRANCIN!G26+VIVIERS!G26)</f>
        <v>81900</v>
      </c>
      <c r="H26" s="42">
        <f>CHAMNORD!H26+AIX!H26+BELLEY!H26+STALBAN!H26+ABRETS!H26+PONT!H26+FRANCIN!H26+VIVIERS!H26</f>
        <v>81170.959999999992</v>
      </c>
      <c r="I26" s="13">
        <f>CHAMNORD!I26+AIX!I26+BELLEY!I26+STALBAN!I26+ABRETS!I26+PONT!I26+FRANCIN!I26+VIVIERS!I26</f>
        <v>80170.05</v>
      </c>
      <c r="J26" s="14">
        <f>CHAMNORD!J26+AIX!J26+BELLEY!J26+STALBAN!J26+ABRETS!J26+PONT!J26+FRANCIN!J26+VIVIERS!J26</f>
        <v>4481</v>
      </c>
      <c r="K26" s="15">
        <f>CHAMNORD!K26+AIX!K26+BELLEY!K26+STALBAN!K26+ABRETS!K26+PONT!K26+FRANCIN!K26+VIVIERS!K26</f>
        <v>944.98</v>
      </c>
      <c r="L26" s="15">
        <f>CHAMNORD!L26+AIX!L26+BELLEY!L26+STALBAN!L26+ABRETS!L26+PONT!L26+FRANCIN!L26+VIVIERS!L26</f>
        <v>1074.02</v>
      </c>
      <c r="M26" s="15">
        <f>CHAMNORD!M26+AIX!M26+BELLEY!M26+STALBAN!M26+ABRETS!M26+PONT!M26+FRANCIN!M26+VIVIERS!M26</f>
        <v>449.40999999999997</v>
      </c>
      <c r="N26" s="16">
        <f t="shared" si="2"/>
        <v>5.6057093640330766E-3</v>
      </c>
      <c r="O26" s="17">
        <f t="shared" si="3"/>
        <v>-6.0754945753848915E-3</v>
      </c>
      <c r="P26" s="17">
        <f t="shared" si="4"/>
        <v>-6.1570680628272249E-2</v>
      </c>
      <c r="Q26" s="18">
        <f t="shared" si="0"/>
        <v>84.837827255603301</v>
      </c>
      <c r="R26" s="18">
        <f t="shared" si="1"/>
        <v>74.644839016033231</v>
      </c>
      <c r="S26" s="35">
        <f>(S25-SUM(E24:E30))/(SUM(E24:E30))</f>
        <v>-3.2808859254301485E-2</v>
      </c>
      <c r="T26" s="48">
        <f>SUM(I24:I30)/SUM(K24:K30)</f>
        <v>92.824180627246832</v>
      </c>
      <c r="U26" s="1738"/>
    </row>
    <row r="27" spans="1:25" ht="17" customHeight="1">
      <c r="A27" s="10" t="s">
        <v>13</v>
      </c>
      <c r="B27" s="905">
        <v>45679</v>
      </c>
      <c r="C27" s="76">
        <f>IF(G27=0,0,CHAMNORD!C27+AIX!C27+BELLEY!C27+STALBAN!C27+ABRETS!C27+PONT!C27+FRANCIN!C27+VIVIERS!C27)</f>
        <v>81878.78</v>
      </c>
      <c r="D27" s="76">
        <f>IF(H27=0,0,CHAMNORD!D27+AIX!D27+BELLEY!D27+STALBAN!D27+ABRETS!D27+PONT!D27+FRANCIN!D27+VIVIERS!D27)</f>
        <v>71071.05</v>
      </c>
      <c r="E27" s="76">
        <f>IF(I27=0,0,CHAMNORD!E27+AIX!E27+BELLEY!E27+STALBAN!E27+ABRETS!E27+PONT!E27+FRANCIN!E27+VIVIERS!E27)</f>
        <v>70459.490000000005</v>
      </c>
      <c r="F27" s="20">
        <f>IF(J27=0,0,CHAMNORD!F27+AIX!F27+BELLEY!F27+STALBAN!F27+ABRETS!F27+PONT!F27+FRANCIN!F27+VIVIERS!F27)</f>
        <v>4276</v>
      </c>
      <c r="G27" s="40">
        <f>IF(I27=0,0,CHAMNORD!G27+AIX!G27+BELLEY!G27+STALBAN!G27+ABRETS!G27+PONT!G27+FRANCIN!G27+VIVIERS!G27)</f>
        <v>71900</v>
      </c>
      <c r="H27" s="42">
        <f>CHAMNORD!H27+AIX!H27+BELLEY!H27+STALBAN!H27+ABRETS!H27+PONT!H27+FRANCIN!H27+VIVIERS!H27</f>
        <v>69670.959999999992</v>
      </c>
      <c r="I27" s="13">
        <f>CHAMNORD!I27+AIX!I27+BELLEY!I27+STALBAN!I27+ABRETS!I27+PONT!I27+FRANCIN!I27+VIVIERS!I27</f>
        <v>68881.62999999999</v>
      </c>
      <c r="J27" s="14">
        <f>CHAMNORD!J27+AIX!J27+BELLEY!J27+STALBAN!J27+ABRETS!J27+PONT!J27+FRANCIN!J27+VIVIERS!J27</f>
        <v>3887</v>
      </c>
      <c r="K27" s="15">
        <f>CHAMNORD!K27+AIX!K27+BELLEY!K27+STALBAN!K27+ABRETS!K27+PONT!K27+FRANCIN!K27+VIVIERS!K27</f>
        <v>805.69999999999993</v>
      </c>
      <c r="L27" s="15">
        <f>CHAMNORD!L27+AIX!L27+BELLEY!L27+STALBAN!L27+ABRETS!L27+PONT!L27+FRANCIN!L27+VIVIERS!L27</f>
        <v>938.53</v>
      </c>
      <c r="M27" s="15">
        <f>CHAMNORD!M27+AIX!M27+BELLEY!M27+STALBAN!M27+ABRETS!M27+PONT!M27+FRANCIN!M27+VIVIERS!M27</f>
        <v>512.41999999999996</v>
      </c>
      <c r="N27" s="16">
        <f t="shared" si="2"/>
        <v>7.439138707954502E-3</v>
      </c>
      <c r="O27" s="17">
        <f t="shared" si="3"/>
        <v>-2.2393860642477188E-2</v>
      </c>
      <c r="P27" s="17">
        <f t="shared" si="4"/>
        <v>-9.0972871842843778E-2</v>
      </c>
      <c r="Q27" s="18">
        <f t="shared" si="0"/>
        <v>85.492900583343669</v>
      </c>
      <c r="R27" s="18">
        <f t="shared" si="1"/>
        <v>73.393104109618221</v>
      </c>
      <c r="S27" s="34"/>
      <c r="T27" s="29" t="s">
        <v>8</v>
      </c>
      <c r="U27" s="1738"/>
    </row>
    <row r="28" spans="1:25">
      <c r="A28" s="10" t="s">
        <v>14</v>
      </c>
      <c r="B28" s="905">
        <v>45680</v>
      </c>
      <c r="C28" s="76">
        <f>IF(G28=0,0,CHAMNORD!C28+AIX!C28+BELLEY!C28+STALBAN!C28+ABRETS!C28+PONT!C28+FRANCIN!C28+VIVIERS!C28)</f>
        <v>71071.05</v>
      </c>
      <c r="D28" s="76">
        <f>IF(H28=0,0,CHAMNORD!D28+AIX!D28+BELLEY!D28+STALBAN!D28+ABRETS!D28+PONT!D28+FRANCIN!D28+VIVIERS!D28)</f>
        <v>115941.52</v>
      </c>
      <c r="E28" s="76">
        <f>IF(I28=0,0,CHAMNORD!E28+AIX!E28+BELLEY!E28+STALBAN!E28+ABRETS!E28+PONT!E28+FRANCIN!E28+VIVIERS!E28)</f>
        <v>114809.3</v>
      </c>
      <c r="F28" s="20">
        <f>IF(J28=0,0,CHAMNORD!F28+AIX!F28+BELLEY!F28+STALBAN!F28+ABRETS!F28+PONT!F28+FRANCIN!F28+VIVIERS!F28)</f>
        <v>6420</v>
      </c>
      <c r="G28" s="40">
        <f>IF(I28=0,0,CHAMNORD!G28+AIX!G28+BELLEY!G28+STALBAN!G28+ABRETS!G28+PONT!G28+FRANCIN!G28+VIVIERS!G28)</f>
        <v>116900</v>
      </c>
      <c r="H28" s="42">
        <f>CHAMNORD!H28+AIX!H28+BELLEY!H28+STALBAN!H28+ABRETS!H28+PONT!H28+FRANCIN!H28+VIVIERS!H28</f>
        <v>108137.76000000001</v>
      </c>
      <c r="I28" s="13">
        <f>CHAMNORD!I28+AIX!I28+BELLEY!I28+STALBAN!I28+ABRETS!I28+PONT!I28+FRANCIN!I28+VIVIERS!I28</f>
        <v>107042.11</v>
      </c>
      <c r="J28" s="14">
        <f>CHAMNORD!J28+AIX!J28+BELLEY!J28+STALBAN!J28+ABRETS!J28+PONT!J28+FRANCIN!J28+VIVIERS!J28</f>
        <v>5576</v>
      </c>
      <c r="K28" s="15">
        <f>CHAMNORD!K28+AIX!K28+BELLEY!K28+STALBAN!K28+ABRETS!K28+PONT!K28+FRANCIN!K28+VIVIERS!K28</f>
        <v>1077.4099999999999</v>
      </c>
      <c r="L28" s="15">
        <f>CHAMNORD!L28+AIX!L28+BELLEY!L28+STALBAN!L28+ABRETS!L28+PONT!L28+FRANCIN!L28+VIVIERS!L28</f>
        <v>1221.24</v>
      </c>
      <c r="M28" s="15">
        <f>CHAMNORD!M28+AIX!M28+BELLEY!M28+STALBAN!M28+ABRETS!M28+PONT!M28+FRANCIN!M28+VIVIERS!M28</f>
        <v>470.22999999999996</v>
      </c>
      <c r="N28" s="16">
        <f t="shared" si="2"/>
        <v>4.392944047907874E-3</v>
      </c>
      <c r="O28" s="17">
        <f t="shared" si="3"/>
        <v>-6.7652968879698794E-2</v>
      </c>
      <c r="P28" s="17">
        <f t="shared" si="4"/>
        <v>-0.13146417445482866</v>
      </c>
      <c r="Q28" s="18">
        <f t="shared" si="0"/>
        <v>99.351324008501891</v>
      </c>
      <c r="R28" s="18">
        <f t="shared" si="1"/>
        <v>87.650347188103893</v>
      </c>
      <c r="S28" s="36" t="s">
        <v>40</v>
      </c>
      <c r="T28" s="48">
        <f>SUM(I24:I30)/SUM(L24:L30)</f>
        <v>81.062623573089894</v>
      </c>
      <c r="U28" s="1738"/>
    </row>
    <row r="29" spans="1:25">
      <c r="A29" s="10" t="s">
        <v>15</v>
      </c>
      <c r="B29" s="905">
        <v>45681</v>
      </c>
      <c r="C29" s="76">
        <f>IF(G29=0,0,CHAMNORD!C29+AIX!C29+BELLEY!C29+STALBAN!C29+ABRETS!C29+PONT!C29+FRANCIN!C29+VIVIERS!C29)</f>
        <v>115941.52</v>
      </c>
      <c r="D29" s="76">
        <f>IF(H29=0,0,CHAMNORD!D29+AIX!D29+BELLEY!D29+STALBAN!D29+ABRETS!D29+PONT!D29+FRANCIN!D29+VIVIERS!D29)</f>
        <v>133863.79</v>
      </c>
      <c r="E29" s="76">
        <f>IF(I29=0,0,CHAMNORD!E29+AIX!E29+BELLEY!E29+STALBAN!E29+ABRETS!E29+PONT!E29+FRANCIN!E29+VIVIERS!E29)</f>
        <v>132301.84000000003</v>
      </c>
      <c r="F29" s="20">
        <f>IF(J29=0,0,CHAMNORD!F29+AIX!F29+BELLEY!F29+STALBAN!F29+ABRETS!F29+PONT!F29+FRANCIN!F29+VIVIERS!F29)</f>
        <v>6870</v>
      </c>
      <c r="G29" s="40">
        <f>IF(I29=0,0,CHAMNORD!G29+AIX!G29+BELLEY!G29+STALBAN!G29+ABRETS!G29+PONT!G29+FRANCIN!G29+VIVIERS!G29)</f>
        <v>133900</v>
      </c>
      <c r="H29" s="42">
        <f>CHAMNORD!H29+AIX!H29+BELLEY!H29+STALBAN!H29+ABRETS!H29+PONT!H29+FRANCIN!H29+VIVIERS!H29</f>
        <v>126897.05</v>
      </c>
      <c r="I29" s="13">
        <f>CHAMNORD!I29+AIX!I29+BELLEY!I29+STALBAN!I29+ABRETS!I29+PONT!I29+FRANCIN!I29+VIVIERS!I29</f>
        <v>125515.73999999999</v>
      </c>
      <c r="J29" s="14">
        <f>CHAMNORD!J29+AIX!J29+BELLEY!J29+STALBAN!J29+ABRETS!J29+PONT!J29+FRANCIN!J29+VIVIERS!J29</f>
        <v>6021</v>
      </c>
      <c r="K29" s="15">
        <f>CHAMNORD!K29+AIX!K29+BELLEY!K29+STALBAN!K29+ABRETS!K29+PONT!K29+FRANCIN!K29+VIVIERS!K29</f>
        <v>1143.0900000000001</v>
      </c>
      <c r="L29" s="15">
        <f>CHAMNORD!L29+AIX!L29+BELLEY!L29+STALBAN!L29+ABRETS!L29+PONT!L29+FRANCIN!L29+VIVIERS!L29</f>
        <v>1318.74</v>
      </c>
      <c r="M29" s="15">
        <f>CHAMNORD!M29+AIX!M29+BELLEY!M29+STALBAN!M29+ABRETS!M29+PONT!M29+FRANCIN!M29+VIVIERS!M29</f>
        <v>464.34999999999997</v>
      </c>
      <c r="N29" s="16">
        <f t="shared" si="2"/>
        <v>3.6995360103840363E-3</v>
      </c>
      <c r="O29" s="17">
        <f t="shared" si="3"/>
        <v>-5.1292559498794826E-2</v>
      </c>
      <c r="P29" s="17">
        <f t="shared" si="4"/>
        <v>-0.12358078602620087</v>
      </c>
      <c r="Q29" s="18">
        <f t="shared" si="0"/>
        <v>109.80389995538407</v>
      </c>
      <c r="R29" s="18">
        <f t="shared" si="1"/>
        <v>95.178534055234536</v>
      </c>
      <c r="S29" s="36">
        <f>SUM(J24:J30)</f>
        <v>32169</v>
      </c>
      <c r="T29" s="30" t="s">
        <v>3</v>
      </c>
      <c r="U29" s="1738"/>
    </row>
    <row r="30" spans="1:25" ht="18" thickBot="1">
      <c r="A30" s="10" t="s">
        <v>16</v>
      </c>
      <c r="B30" s="905">
        <v>45682</v>
      </c>
      <c r="C30" s="76">
        <f>IF(G30=0,0,CHAMNORD!C30+AIX!C30+BELLEY!C30+STALBAN!C30+ABRETS!C30+PONT!C30+FRANCIN!C30+VIVIERS!C30)</f>
        <v>133863.79</v>
      </c>
      <c r="D30" s="76">
        <f>IF(H30=0,0,CHAMNORD!D30+AIX!D30+BELLEY!D30+STALBAN!D30+ABRETS!D30+PONT!D30+FRANCIN!D30+VIVIERS!D30)</f>
        <v>113477.38</v>
      </c>
      <c r="E30" s="76">
        <f>IF(I30=0,0,CHAMNORD!E30+AIX!E30+BELLEY!E30+STALBAN!E30+ABRETS!E30+PONT!E30+FRANCIN!E30+VIVIERS!E30)</f>
        <v>111941.65</v>
      </c>
      <c r="F30" s="20">
        <f>IF(J30=0,0,CHAMNORD!F30+AIX!F30+BELLEY!F30+STALBAN!F30+ABRETS!F30+PONT!F30+FRANCIN!F30+VIVIERS!F30)</f>
        <v>5594</v>
      </c>
      <c r="G30" s="40">
        <f>IF(I30=0,0,CHAMNORD!G30+AIX!G30+BELLEY!G30+STALBAN!G30+ABRETS!G30+PONT!G30+FRANCIN!G30+VIVIERS!G30)</f>
        <v>113200</v>
      </c>
      <c r="H30" s="42">
        <f>CHAMNORD!H30+AIX!H30+BELLEY!H30+STALBAN!H30+ABRETS!H30+PONT!H30+FRANCIN!H30+VIVIERS!H30</f>
        <v>110646.61</v>
      </c>
      <c r="I30" s="13">
        <f>CHAMNORD!I30+AIX!I30+BELLEY!I30+STALBAN!I30+ABRETS!I30+PONT!I30+FRANCIN!I30+VIVIERS!I30</f>
        <v>109255.76</v>
      </c>
      <c r="J30" s="14">
        <f>CHAMNORD!J30+AIX!J30+BELLEY!J30+STALBAN!J30+ABRETS!J30+PONT!J30+FRANCIN!J30+VIVIERS!J30</f>
        <v>5060</v>
      </c>
      <c r="K30" s="15">
        <f>CHAMNORD!K30+AIX!K30+BELLEY!K30+STALBAN!K30+ABRETS!K30+PONT!K30+FRANCIN!K30+VIVIERS!K30</f>
        <v>1095.6400000000001</v>
      </c>
      <c r="L30" s="15">
        <f>CHAMNORD!L30+AIX!L30+BELLEY!L30+STALBAN!L30+ABRETS!L30+PONT!L30+FRANCIN!L30+VIVIERS!L30</f>
        <v>1236.58</v>
      </c>
      <c r="M30" s="15">
        <f>CHAMNORD!M30+AIX!M30+BELLEY!M30+STALBAN!M30+ABRETS!M30+PONT!M30+FRANCIN!M30+VIVIERS!M30</f>
        <v>495.4</v>
      </c>
      <c r="N30" s="16">
        <f t="shared" si="2"/>
        <v>4.5343147125606921E-3</v>
      </c>
      <c r="O30" s="17">
        <f t="shared" si="3"/>
        <v>-2.3993660983199726E-2</v>
      </c>
      <c r="P30" s="17">
        <f t="shared" si="4"/>
        <v>-9.545942080800858E-2</v>
      </c>
      <c r="Q30" s="18">
        <f t="shared" si="0"/>
        <v>99.71866671534444</v>
      </c>
      <c r="R30" s="18">
        <f t="shared" si="1"/>
        <v>88.353167607433406</v>
      </c>
      <c r="S30" s="37">
        <f>(S29-SUM(F24:F30))/(SUM(F24:F30))</f>
        <v>-9.2578488618092578E-2</v>
      </c>
      <c r="T30" s="47">
        <f>SUM(M24:M30)/SUM(I24:I30)</f>
        <v>5.329526372833889E-3</v>
      </c>
      <c r="U30" s="1739"/>
    </row>
    <row r="31" spans="1:25" ht="17" customHeight="1" thickTop="1">
      <c r="A31" s="10" t="s">
        <v>9</v>
      </c>
      <c r="B31" s="905">
        <v>45683</v>
      </c>
      <c r="C31" s="76">
        <f>IF(G31=0,0,CHAMNORD!C31+AIX!C31+BELLEY!C31+STALBAN!C31+ABRETS!C31+PONT!C31+FRANCIN!C31+VIVIERS!C31)</f>
        <v>113477.38</v>
      </c>
      <c r="D31" s="76">
        <f>IF(H31=0,0,CHAMNORD!D31+AIX!D31+BELLEY!D31+STALBAN!D31+ABRETS!D31+PONT!D31+FRANCIN!D31+VIVIERS!D31)</f>
        <v>58115.32</v>
      </c>
      <c r="E31" s="76">
        <f>IF(I31=0,0,CHAMNORD!E31+AIX!E31+BELLEY!E31+STALBAN!E31+ABRETS!E31+PONT!E31+FRANCIN!E31+VIVIERS!E31)</f>
        <v>57529.140000000007</v>
      </c>
      <c r="F31" s="20">
        <f>IF(J31=0,0,CHAMNORD!F31+AIX!F31+BELLEY!F31+STALBAN!F31+ABRETS!F31+PONT!F31+FRANCIN!F31+VIVIERS!F31)</f>
        <v>3492</v>
      </c>
      <c r="G31" s="40">
        <f>IF(I31=0,0,CHAMNORD!G31+AIX!G31+BELLEY!G31+STALBAN!G31+ABRETS!G31+PONT!G31+FRANCIN!G31+VIVIERS!G31)</f>
        <v>58600</v>
      </c>
      <c r="H31" s="42">
        <f>CHAMNORD!H31+AIX!H31+BELLEY!H31+STALBAN!H31+ABRETS!H31+PONT!H31+FRANCIN!H31+VIVIERS!H31</f>
        <v>57335.41</v>
      </c>
      <c r="I31" s="13">
        <f>CHAMNORD!I31+AIX!I31+BELLEY!I31+STALBAN!I31+ABRETS!I31+PONT!I31+FRANCIN!I31+VIVIERS!I31</f>
        <v>56763.850000000006</v>
      </c>
      <c r="J31" s="14">
        <f>CHAMNORD!J31+AIX!J31+BELLEY!J31+STALBAN!J31+ABRETS!J31+PONT!J31+FRANCIN!J31+VIVIERS!J31</f>
        <v>3304</v>
      </c>
      <c r="K31" s="15">
        <f>CHAMNORD!K31+AIX!K31+BELLEY!K31+STALBAN!K31+ABRETS!K31+PONT!K31+FRANCIN!K31+VIVIERS!K31</f>
        <v>754.63999999999987</v>
      </c>
      <c r="L31" s="15">
        <f>CHAMNORD!L31+AIX!L31+BELLEY!L31+STALBAN!L31+ABRETS!L31+PONT!L31+FRANCIN!L31+VIVIERS!L31</f>
        <v>862.45999999999992</v>
      </c>
      <c r="M31" s="15">
        <f>CHAMNORD!M31+AIX!M31+BELLEY!M31+STALBAN!M31+ABRETS!M31+PONT!M31+FRANCIN!M31+VIVIERS!M31</f>
        <v>483.28</v>
      </c>
      <c r="N31" s="16">
        <f t="shared" si="2"/>
        <v>8.5138693023817085E-3</v>
      </c>
      <c r="O31" s="17">
        <f t="shared" si="3"/>
        <v>-1.330264975280355E-2</v>
      </c>
      <c r="P31" s="17">
        <f t="shared" si="4"/>
        <v>-5.3837342497136315E-2</v>
      </c>
      <c r="Q31" s="18">
        <f t="shared" si="0"/>
        <v>75.219773666914051</v>
      </c>
      <c r="R31" s="18">
        <f t="shared" si="1"/>
        <v>65.816211766342803</v>
      </c>
      <c r="S31" s="33" t="s">
        <v>39</v>
      </c>
      <c r="T31" s="31" t="s">
        <v>42</v>
      </c>
      <c r="U31" s="1737" t="s">
        <v>87</v>
      </c>
    </row>
    <row r="32" spans="1:25">
      <c r="A32" s="10" t="s">
        <v>11</v>
      </c>
      <c r="B32" s="905">
        <v>45684</v>
      </c>
      <c r="C32" s="76">
        <f>IF(G32=0,0,CHAMNORD!C32+AIX!C32+BELLEY!C32+STALBAN!C32+ABRETS!C32+PONT!C32+FRANCIN!C32+VIVIERS!C32)</f>
        <v>58115.32</v>
      </c>
      <c r="D32" s="76">
        <f>IF(H32=0,0,CHAMNORD!D32+AIX!D32+BELLEY!D32+STALBAN!D32+ABRETS!D32+PONT!D32+FRANCIN!D32+VIVIERS!D32)</f>
        <v>66114.23</v>
      </c>
      <c r="E32" s="76">
        <f>IF(I32=0,0,CHAMNORD!E32+AIX!E32+BELLEY!E32+STALBAN!E32+ABRETS!E32+PONT!E32+FRANCIN!E32+VIVIERS!E32)</f>
        <v>65481.51</v>
      </c>
      <c r="F32" s="20">
        <f>IF(J32=0,0,CHAMNORD!F32+AIX!F32+BELLEY!F32+STALBAN!F32+ABRETS!F32+PONT!F32+FRANCIN!F32+VIVIERS!F32)</f>
        <v>3899</v>
      </c>
      <c r="G32" s="40">
        <f>IF(I32=0,0,CHAMNORD!G32+AIX!G32+BELLEY!G32+STALBAN!G32+ABRETS!G32+PONT!G32+FRANCIN!G32+VIVIERS!G32)</f>
        <v>66200</v>
      </c>
      <c r="H32" s="42">
        <f>CHAMNORD!H32+AIX!H32+BELLEY!H32+STALBAN!H32+ABRETS!H32+PONT!H32+FRANCIN!H32+VIVIERS!H32</f>
        <v>64665.700000000012</v>
      </c>
      <c r="I32" s="13">
        <f>CHAMNORD!I32+AIX!I32+BELLEY!I32+STALBAN!I32+ABRETS!I32+PONT!I32+FRANCIN!I32+VIVIERS!I32</f>
        <v>63983.680000000008</v>
      </c>
      <c r="J32" s="14">
        <f>CHAMNORD!J32+AIX!J32+BELLEY!J32+STALBAN!J32+ABRETS!J32+PONT!J32+FRANCIN!J32+VIVIERS!J32</f>
        <v>3563</v>
      </c>
      <c r="K32" s="15">
        <f>CHAMNORD!K32+AIX!K32+BELLEY!K32+STALBAN!K32+ABRETS!K32+PONT!K32+FRANCIN!K32+VIVIERS!K32</f>
        <v>770.27999999999986</v>
      </c>
      <c r="L32" s="15">
        <f>CHAMNORD!L32+AIX!L32+BELLEY!L32+STALBAN!L32+ABRETS!L32+PONT!L32+FRANCIN!L32+VIVIERS!L32</f>
        <v>871.5200000000001</v>
      </c>
      <c r="M32" s="15">
        <f>CHAMNORD!M32+AIX!M32+BELLEY!M32+STALBAN!M32+ABRETS!M32+PONT!M32+FRANCIN!M32+VIVIERS!M32</f>
        <v>389.54999999999995</v>
      </c>
      <c r="N32" s="16">
        <f t="shared" si="2"/>
        <v>6.0882712591710875E-3</v>
      </c>
      <c r="O32" s="17">
        <f t="shared" si="3"/>
        <v>-2.2874090716600678E-2</v>
      </c>
      <c r="P32" s="17">
        <f t="shared" si="4"/>
        <v>-8.6175942549371637E-2</v>
      </c>
      <c r="Q32" s="18">
        <f t="shared" si="0"/>
        <v>83.065482681622299</v>
      </c>
      <c r="R32" s="18">
        <f t="shared" si="1"/>
        <v>73.416192399485951</v>
      </c>
      <c r="S32" s="34">
        <f>SUM(I31:I37)</f>
        <v>650371.30999999994</v>
      </c>
      <c r="T32" s="45" t="s">
        <v>41</v>
      </c>
      <c r="U32" s="1738"/>
      <c r="W32" s="202">
        <f>+S32</f>
        <v>650371.30999999994</v>
      </c>
      <c r="X32" s="202">
        <f>SUM(CHAMNORD!E31:E37)+SUM(AIX!E31:E37)+SUM(BELLEY!E31:E37)+SUM(STALBAN!E31:E37)+SUM(ABRETS!E31:E37)+SUM(PONT!E31:E37)+SUM(FRANCIN!E31:E37)+SUM(VIVIERS!E31:E37)</f>
        <v>649394.54</v>
      </c>
      <c r="Y32" s="202">
        <f>+W32-X32</f>
        <v>976.76999999990221</v>
      </c>
    </row>
    <row r="33" spans="1:25">
      <c r="A33" s="10" t="s">
        <v>12</v>
      </c>
      <c r="B33" s="905">
        <v>45685</v>
      </c>
      <c r="C33" s="76">
        <f>IF(G33=0,0,CHAMNORD!C33+AIX!C33+BELLEY!C33+STALBAN!C33+ABRETS!C33+PONT!C33+FRANCIN!C33+VIVIERS!C33)</f>
        <v>66114.23</v>
      </c>
      <c r="D33" s="76">
        <f>IF(H33=0,0,CHAMNORD!D33+AIX!D33+BELLEY!D33+STALBAN!D33+ABRETS!D33+PONT!D33+FRANCIN!D33+VIVIERS!D33)</f>
        <v>85097.099999999991</v>
      </c>
      <c r="E33" s="76">
        <f>IF(I33=0,0,CHAMNORD!E33+AIX!E33+BELLEY!E33+STALBAN!E33+ABRETS!E33+PONT!E33+FRANCIN!E33+VIVIERS!E33)</f>
        <v>84030.75</v>
      </c>
      <c r="F33" s="20">
        <f>IF(J33=0,0,CHAMNORD!F33+AIX!F33+BELLEY!F33+STALBAN!F33+ABRETS!F33+PONT!F33+FRANCIN!F33+VIVIERS!F33)</f>
        <v>4824</v>
      </c>
      <c r="G33" s="40">
        <f>IF(I33=0,0,CHAMNORD!G33+AIX!G33+BELLEY!G33+STALBAN!G33+ABRETS!G33+PONT!G33+FRANCIN!G33+VIVIERS!G33)</f>
        <v>85400</v>
      </c>
      <c r="H33" s="42">
        <f>CHAMNORD!H33+AIX!H33+BELLEY!H33+STALBAN!H33+ABRETS!H33+PONT!H33+FRANCIN!H33+VIVIERS!H33</f>
        <v>84449.17</v>
      </c>
      <c r="I33" s="13">
        <f>CHAMNORD!I33+AIX!I33+BELLEY!I33+STALBAN!I33+ABRETS!I33+PONT!I33+FRANCIN!I33+VIVIERS!I33</f>
        <v>83189.700000000012</v>
      </c>
      <c r="J33" s="14">
        <f>CHAMNORD!J33+AIX!J33+BELLEY!J33+STALBAN!J33+ABRETS!J33+PONT!J33+FRANCIN!J33+VIVIERS!J33</f>
        <v>4366</v>
      </c>
      <c r="K33" s="15">
        <f>CHAMNORD!K33+AIX!K33+BELLEY!K33+STALBAN!K33+ABRETS!K33+PONT!K33+FRANCIN!K33+VIVIERS!K33</f>
        <v>913.43999999999994</v>
      </c>
      <c r="L33" s="15">
        <f>CHAMNORD!L33+AIX!L33+BELLEY!L33+STALBAN!L33+ABRETS!L33+PONT!L33+FRANCIN!L33+VIVIERS!L33</f>
        <v>1049.8</v>
      </c>
      <c r="M33" s="15">
        <f>CHAMNORD!M33+AIX!M33+BELLEY!M33+STALBAN!M33+ABRETS!M33+PONT!M33+FRANCIN!M33+VIVIERS!M33</f>
        <v>442.40000000000003</v>
      </c>
      <c r="N33" s="16">
        <f t="shared" si="2"/>
        <v>5.3179660462773634E-3</v>
      </c>
      <c r="O33" s="17">
        <f t="shared" si="3"/>
        <v>-1.0008836051088302E-2</v>
      </c>
      <c r="P33" s="17">
        <f t="shared" si="4"/>
        <v>-9.4941956882255388E-2</v>
      </c>
      <c r="Q33" s="18">
        <f t="shared" si="0"/>
        <v>91.072976878612735</v>
      </c>
      <c r="R33" s="18">
        <f t="shared" si="1"/>
        <v>79.243379691369796</v>
      </c>
      <c r="S33" s="35">
        <f>(S32-SUM(E31:E37))/(SUM(E31:E37))</f>
        <v>1.5041241338430442E-3</v>
      </c>
      <c r="T33" s="48">
        <f>SUM(I31:I37)/SUM(K31:K37)</f>
        <v>99.213353205355077</v>
      </c>
      <c r="U33" s="1738"/>
    </row>
    <row r="34" spans="1:25">
      <c r="A34" s="10" t="s">
        <v>13</v>
      </c>
      <c r="B34" s="905">
        <v>45686</v>
      </c>
      <c r="C34" s="76">
        <f>IF(G34=0,0,CHAMNORD!C34+AIX!C34+BELLEY!C34+STALBAN!C34+ABRETS!C34+PONT!C34+FRANCIN!C34+VIVIERS!C34)</f>
        <v>85097.099999999991</v>
      </c>
      <c r="D34" s="76">
        <f>IF(H34=0,0,CHAMNORD!D34+AIX!D34+BELLEY!D34+STALBAN!D34+ABRETS!D34+PONT!D34+FRANCIN!D34+VIVIERS!D34)</f>
        <v>75166.95</v>
      </c>
      <c r="E34" s="76">
        <f>IF(I34=0,0,CHAMNORD!E34+AIX!E34+BELLEY!E34+STALBAN!E34+ABRETS!E34+PONT!E34+FRANCIN!E34+VIVIERS!E34)</f>
        <v>74281.509999999995</v>
      </c>
      <c r="F34" s="20">
        <f>IF(J34=0,0,CHAMNORD!F34+AIX!F34+BELLEY!F34+STALBAN!F34+ABRETS!F34+PONT!F34+FRANCIN!F34+VIVIERS!F34)</f>
        <v>4337</v>
      </c>
      <c r="G34" s="40">
        <f>IF(I34=0,0,CHAMNORD!G34+AIX!G34+BELLEY!G34+STALBAN!G34+ABRETS!G34+PONT!G34+FRANCIN!G34+VIVIERS!G34)</f>
        <v>75100</v>
      </c>
      <c r="H34" s="42">
        <f>CHAMNORD!H34+AIX!H34+BELLEY!H34+STALBAN!H34+ABRETS!H34+PONT!H34+FRANCIN!H34+VIVIERS!H34</f>
        <v>74893.72</v>
      </c>
      <c r="I34" s="13">
        <f>CHAMNORD!I34+AIX!I34+BELLEY!I34+STALBAN!I34+ABRETS!I34+PONT!I34+FRANCIN!I34+VIVIERS!I34</f>
        <v>74068</v>
      </c>
      <c r="J34" s="14">
        <f>CHAMNORD!J34+AIX!J34+BELLEY!J34+STALBAN!J34+ABRETS!J34+PONT!J34+FRANCIN!J34+VIVIERS!J34</f>
        <v>4102</v>
      </c>
      <c r="K34" s="15">
        <f>CHAMNORD!K34+AIX!K34+BELLEY!K34+STALBAN!K34+ABRETS!K34+PONT!K34+FRANCIN!K34+VIVIERS!K34</f>
        <v>775.97</v>
      </c>
      <c r="L34" s="15">
        <f>CHAMNORD!L34+AIX!L34+BELLEY!L34+STALBAN!L34+ABRETS!L34+PONT!L34+FRANCIN!L34+VIVIERS!L34</f>
        <v>919.51900000000001</v>
      </c>
      <c r="M34" s="15">
        <f>CHAMNORD!M34+AIX!M34+BELLEY!M34+STALBAN!M34+ABRETS!M34+PONT!M34+FRANCIN!M34+VIVIERS!M34</f>
        <v>550.04</v>
      </c>
      <c r="N34" s="16">
        <f t="shared" si="2"/>
        <v>7.4261489442134249E-3</v>
      </c>
      <c r="O34" s="17">
        <f t="shared" si="3"/>
        <v>-2.8743357532715042E-3</v>
      </c>
      <c r="P34" s="17">
        <f t="shared" si="4"/>
        <v>-5.4184920451925293E-2</v>
      </c>
      <c r="Q34" s="18">
        <f t="shared" si="0"/>
        <v>95.452143768444657</v>
      </c>
      <c r="R34" s="18">
        <f t="shared" si="1"/>
        <v>80.55080971681933</v>
      </c>
      <c r="S34" s="34"/>
      <c r="T34" s="29" t="s">
        <v>8</v>
      </c>
      <c r="U34" s="1738"/>
    </row>
    <row r="35" spans="1:25">
      <c r="A35" s="10" t="s">
        <v>14</v>
      </c>
      <c r="B35" s="905">
        <v>45687</v>
      </c>
      <c r="C35" s="76">
        <f>IF(G35=0,0,CHAMNORD!C35+AIX!C35+BELLEY!C35+STALBAN!C35+ABRETS!C35+PONT!C35+FRANCIN!C35+VIVIERS!C35)</f>
        <v>75166.95</v>
      </c>
      <c r="D35" s="76">
        <f>IF(H35=0,0,CHAMNORD!D35+AIX!D35+BELLEY!D35+STALBAN!D35+ABRETS!D35+PONT!D35+FRANCIN!D35+VIVIERS!D35)</f>
        <v>117711.99999999999</v>
      </c>
      <c r="E35" s="76">
        <f>IF(I35=0,0,CHAMNORD!E35+AIX!E35+BELLEY!E35+STALBAN!E35+ABRETS!E35+PONT!E35+FRANCIN!E35+VIVIERS!E35)</f>
        <v>116402.65</v>
      </c>
      <c r="F35" s="20">
        <f>IF(J35=0,0,CHAMNORD!F35+AIX!F35+BELLEY!F35+STALBAN!F35+ABRETS!F35+PONT!F35+FRANCIN!F35+VIVIERS!F35)</f>
        <v>6371</v>
      </c>
      <c r="G35" s="40">
        <f>IF(I35=0,0,CHAMNORD!G35+AIX!G35+BELLEY!G35+STALBAN!G35+ABRETS!G35+PONT!G35+FRANCIN!G35+VIVIERS!G35)</f>
        <v>118000</v>
      </c>
      <c r="H35" s="42">
        <f>CHAMNORD!H35+AIX!H35+BELLEY!H35+STALBAN!H35+ABRETS!H35+PONT!H35+FRANCIN!H35+VIVIERS!H35</f>
        <v>114885.09999999999</v>
      </c>
      <c r="I35" s="13">
        <f>CHAMNORD!I35+AIX!I35+BELLEY!I35+STALBAN!I35+ABRETS!I35+PONT!I35+FRANCIN!I35+VIVIERS!I35</f>
        <v>113502.39999999999</v>
      </c>
      <c r="J35" s="14">
        <f>CHAMNORD!J35+AIX!J35+BELLEY!J35+STALBAN!J35+ABRETS!J35+PONT!J35+FRANCIN!J35+VIVIERS!J35</f>
        <v>5773</v>
      </c>
      <c r="K35" s="15">
        <f>CHAMNORD!K35+AIX!K35+BELLEY!K35+STALBAN!K35+ABRETS!K35+PONT!K35+FRANCIN!K35+VIVIERS!K35</f>
        <v>1074.05</v>
      </c>
      <c r="L35" s="15">
        <f>CHAMNORD!L35+AIX!L35+BELLEY!L35+STALBAN!L35+ABRETS!L35+PONT!L35+FRANCIN!L35+VIVIERS!L35</f>
        <v>1199.7300000000002</v>
      </c>
      <c r="M35" s="15">
        <f>CHAMNORD!M35+AIX!M35+BELLEY!M35+STALBAN!M35+ABRETS!M35+PONT!M35+FRANCIN!M35+VIVIERS!M35</f>
        <v>423.81999999999994</v>
      </c>
      <c r="N35" s="16">
        <f t="shared" si="2"/>
        <v>3.7340179590916135E-3</v>
      </c>
      <c r="O35" s="17">
        <f t="shared" si="3"/>
        <v>-2.4915669875213323E-2</v>
      </c>
      <c r="P35" s="17">
        <f t="shared" si="4"/>
        <v>-9.3862815884476536E-2</v>
      </c>
      <c r="Q35" s="18">
        <f t="shared" si="0"/>
        <v>105.67701689865463</v>
      </c>
      <c r="R35" s="18">
        <f t="shared" si="1"/>
        <v>94.606619822793434</v>
      </c>
      <c r="S35" s="36" t="s">
        <v>40</v>
      </c>
      <c r="T35" s="48">
        <f>SUM(I31:I37)/SUM(L31:L37)</f>
        <v>86.937122465508665</v>
      </c>
      <c r="U35" s="1738"/>
    </row>
    <row r="36" spans="1:25">
      <c r="A36" s="10" t="s">
        <v>15</v>
      </c>
      <c r="B36" s="905">
        <v>45688</v>
      </c>
      <c r="C36" s="76">
        <f>IF(G36=0,0,CHAMNORD!C36+AIX!C36+BELLEY!C36+STALBAN!C36+ABRETS!C36+PONT!C36+FRANCIN!C36+VIVIERS!C36)</f>
        <v>117711.99999999999</v>
      </c>
      <c r="D36" s="76">
        <f>IF(H36=0,0,CHAMNORD!D36+AIX!D36+BELLEY!D36+STALBAN!D36+ABRETS!D36+PONT!D36+FRANCIN!D36+VIVIERS!D36)</f>
        <v>139717.56</v>
      </c>
      <c r="E36" s="76">
        <f>IF(I36=0,0,CHAMNORD!E36+AIX!E36+BELLEY!E36+STALBAN!E36+ABRETS!E36+PONT!E36+FRANCIN!E36+VIVIERS!E36)</f>
        <v>138174.74</v>
      </c>
      <c r="F36" s="20">
        <f>IF(J36=0,0,CHAMNORD!F36+AIX!F36+BELLEY!F36+STALBAN!F36+ABRETS!F36+PONT!F36+FRANCIN!F36+VIVIERS!F36)</f>
        <v>7098</v>
      </c>
      <c r="G36" s="40">
        <f>IF(I36=0,0,CHAMNORD!G36+AIX!G36+BELLEY!G36+STALBAN!G36+ABRETS!G36+PONT!G36+FRANCIN!G36+VIVIERS!G36)</f>
        <v>139600</v>
      </c>
      <c r="H36" s="42">
        <f>CHAMNORD!H36+AIX!H36+BELLEY!H36+STALBAN!H36+ABRETS!H36+PONT!H36+FRANCIN!H36+VIVIERS!H36</f>
        <v>146281.39000000001</v>
      </c>
      <c r="I36" s="13">
        <f>CHAMNORD!I36+AIX!I36+BELLEY!I36+STALBAN!I36+ABRETS!I36+PONT!I36+FRANCIN!I36+VIVIERS!I36</f>
        <v>144414.06</v>
      </c>
      <c r="J36" s="14">
        <f>CHAMNORD!J36+AIX!J36+BELLEY!J36+STALBAN!J36+ABRETS!J36+PONT!J36+FRANCIN!J36+VIVIERS!J36</f>
        <v>6862</v>
      </c>
      <c r="K36" s="15">
        <f>CHAMNORD!K36+AIX!K36+BELLEY!K36+STALBAN!K36+ABRETS!K36+PONT!K36+FRANCIN!K36+VIVIERS!K36</f>
        <v>1181.1799999999998</v>
      </c>
      <c r="L36" s="15">
        <f>CHAMNORD!L36+AIX!L36+BELLEY!L36+STALBAN!L36+ABRETS!L36+PONT!L36+FRANCIN!L36+VIVIERS!L36</f>
        <v>1364.3100000000002</v>
      </c>
      <c r="M36" s="15">
        <f>CHAMNORD!M36+AIX!M36+BELLEY!M36+STALBAN!M36+ABRETS!M36+PONT!M36+FRANCIN!M36+VIVIERS!M36</f>
        <v>584.83999999999992</v>
      </c>
      <c r="N36" s="16">
        <f t="shared" si="2"/>
        <v>4.0497441869579726E-3</v>
      </c>
      <c r="O36" s="17">
        <f t="shared" si="3"/>
        <v>4.5155286704357159E-2</v>
      </c>
      <c r="P36" s="17">
        <f t="shared" si="4"/>
        <v>-3.324880247957171E-2</v>
      </c>
      <c r="Q36" s="18">
        <f t="shared" si="0"/>
        <v>122.26253407609342</v>
      </c>
      <c r="R36" s="18">
        <f t="shared" si="1"/>
        <v>105.85135343140487</v>
      </c>
      <c r="S36" s="36">
        <f>SUM(J31:J37)</f>
        <v>33174</v>
      </c>
      <c r="T36" s="30" t="s">
        <v>3</v>
      </c>
      <c r="U36" s="1738"/>
    </row>
    <row r="37" spans="1:25" ht="18" thickBot="1">
      <c r="A37" s="10" t="s">
        <v>16</v>
      </c>
      <c r="B37" s="905">
        <v>45689</v>
      </c>
      <c r="C37" s="76">
        <f>IF(G37=0,0,CHAMNORD!C37+AIX!C37+BELLEY!C37+STALBAN!C37+ABRETS!C37+PONT!C37+FRANCIN!C37+VIVIERS!C37)</f>
        <v>139717.56</v>
      </c>
      <c r="D37" s="76">
        <f>IF(H37=0,0,CHAMNORD!D37+AIX!D37+BELLEY!D37+STALBAN!D37+ABRETS!D37+PONT!D37+FRANCIN!D37+VIVIERS!D37)</f>
        <v>114725.53000000001</v>
      </c>
      <c r="E37" s="76">
        <f>IF(I37=0,0,CHAMNORD!E37+AIX!E37+BELLEY!E37+STALBAN!E37+ABRETS!E37+PONT!E37+FRANCIN!E37+VIVIERS!E37)</f>
        <v>113494.23999999999</v>
      </c>
      <c r="F37" s="20">
        <f>IF(J37=0,0,CHAMNORD!F37+AIX!F37+BELLEY!F37+STALBAN!F37+ABRETS!F37+PONT!F37+FRANCIN!F37+VIVIERS!F37)</f>
        <v>5660</v>
      </c>
      <c r="G37" s="40">
        <f>IF(I37=0,0,CHAMNORD!G37+AIX!G37+BELLEY!G37+STALBAN!G37+ABRETS!G37+PONT!G37+FRANCIN!G37+VIVIERS!G37)</f>
        <v>116700</v>
      </c>
      <c r="H37" s="42">
        <f>CHAMNORD!H37+AIX!H37+BELLEY!H37+STALBAN!H37+ABRETS!H37+PONT!H37+FRANCIN!H37+VIVIERS!H37</f>
        <v>116006.92000000001</v>
      </c>
      <c r="I37" s="13">
        <f>CHAMNORD!I37+AIX!I37+BELLEY!I37+STALBAN!I37+ABRETS!I37+PONT!I37+FRANCIN!I37+VIVIERS!I37</f>
        <v>114449.62</v>
      </c>
      <c r="J37" s="14">
        <f>CHAMNORD!J37+AIX!J37+BELLEY!J37+STALBAN!J37+ABRETS!J37+PONT!J37+FRANCIN!J37+VIVIERS!J37</f>
        <v>5204</v>
      </c>
      <c r="K37" s="15">
        <f>CHAMNORD!K37+AIX!K37+BELLEY!K37+STALBAN!K37+ABRETS!K37+PONT!K37+FRANCIN!K37+VIVIERS!K37</f>
        <v>1085.7199999999998</v>
      </c>
      <c r="L37" s="15">
        <f>CHAMNORD!L37+AIX!L37+BELLEY!L37+STALBAN!L37+ABRETS!L37+PONT!L37+FRANCIN!L37+VIVIERS!L37</f>
        <v>1213.5999999999999</v>
      </c>
      <c r="M37" s="15">
        <f>CHAMNORD!M37+AIX!M37+BELLEY!M37+STALBAN!M37+ABRETS!M37+PONT!M37+FRANCIN!M37+VIVIERS!M37</f>
        <v>467.51000000000005</v>
      </c>
      <c r="N37" s="16">
        <f t="shared" si="2"/>
        <v>4.0848541043648733E-3</v>
      </c>
      <c r="O37" s="17">
        <f t="shared" si="3"/>
        <v>8.417872131660644E-3</v>
      </c>
      <c r="P37" s="17">
        <f t="shared" si="4"/>
        <v>-8.0565371024734989E-2</v>
      </c>
      <c r="Q37" s="18">
        <f t="shared" si="0"/>
        <v>105.4135688759533</v>
      </c>
      <c r="R37" s="18">
        <f t="shared" si="1"/>
        <v>94.305883322346745</v>
      </c>
      <c r="S37" s="37">
        <f>(S36-SUM(F31:F37))/(SUM(F31:F37))</f>
        <v>-7.0261483702811017E-2</v>
      </c>
      <c r="T37" s="47">
        <f>SUM(M31:M37)/SUM(I31:I37)</f>
        <v>5.1377420077155633E-3</v>
      </c>
      <c r="U37" s="1739"/>
    </row>
    <row r="38" spans="1:25" ht="17" customHeight="1" thickTop="1">
      <c r="A38" s="10" t="s">
        <v>9</v>
      </c>
      <c r="B38" s="905">
        <v>45690</v>
      </c>
      <c r="C38" s="76">
        <f>IF(G38=0,0,CHAMNORD!C38+AIX!C38+BELLEY!C38+STALBAN!C38+ABRETS!C38+PONT!C38+FRANCIN!C38+VIVIERS!C38)</f>
        <v>114725.53000000001</v>
      </c>
      <c r="D38" s="76">
        <f>IF(H38=0,0,CHAMNORD!D38+AIX!D38+BELLEY!D38+STALBAN!D38+ABRETS!D38+PONT!D38+FRANCIN!D38+VIVIERS!D38)</f>
        <v>64009.590000000011</v>
      </c>
      <c r="E38" s="76">
        <f>IF(I38=0,0,CHAMNORD!E38+AIX!E38+BELLEY!E38+STALBAN!E38+ABRETS!E38+PONT!E38+FRANCIN!E38+VIVIERS!E38)</f>
        <v>63306.87</v>
      </c>
      <c r="F38" s="20">
        <f>IF(J38=0,0,CHAMNORD!F38+AIX!F38+BELLEY!F38+STALBAN!F38+ABRETS!F38+PONT!F38+FRANCIN!F38+VIVIERS!F38)</f>
        <v>3817</v>
      </c>
      <c r="G38" s="40">
        <f>IF(I38=0,0,CHAMNORD!G38+AIX!G38+BELLEY!G38+STALBAN!G38+ABRETS!G38+PONT!G38+FRANCIN!G38+VIVIERS!G38)</f>
        <v>64200</v>
      </c>
      <c r="H38" s="42">
        <f>CHAMNORD!H38+AIX!H38+BELLEY!H38+STALBAN!H38+ABRETS!H38+PONT!H38+FRANCIN!H38+VIVIERS!H38</f>
        <v>62070.6</v>
      </c>
      <c r="I38" s="13">
        <f>CHAMNORD!I38+AIX!I38+BELLEY!I38+STALBAN!I38+ABRETS!I38+PONT!I38+FRANCIN!I38+VIVIERS!I38</f>
        <v>61504.770000000004</v>
      </c>
      <c r="J38" s="14">
        <f>CHAMNORD!J38+AIX!J38+BELLEY!J38+STALBAN!J38+ABRETS!J38+PONT!J38+FRANCIN!J38+VIVIERS!J38</f>
        <v>3523</v>
      </c>
      <c r="K38" s="15">
        <f>CHAMNORD!K38+AIX!K38+BELLEY!K38+STALBAN!K38+ABRETS!K38+PONT!K38+FRANCIN!K38+VIVIERS!K38</f>
        <v>753.2</v>
      </c>
      <c r="L38" s="15">
        <f>CHAMNORD!L38+AIX!L38+BELLEY!L38+STALBAN!L38+ABRETS!L38+PONT!L38+FRANCIN!L38+VIVIERS!L38</f>
        <v>887.85</v>
      </c>
      <c r="M38" s="15">
        <f>CHAMNORD!M38+AIX!M38+BELLEY!M38+STALBAN!M38+ABRETS!M38+PONT!M38+FRANCIN!M38+VIVIERS!M38</f>
        <v>540.22</v>
      </c>
      <c r="N38" s="16">
        <f t="shared" si="2"/>
        <v>8.7833837928342796E-3</v>
      </c>
      <c r="O38" s="17">
        <f t="shared" si="3"/>
        <v>-2.8466104863500572E-2</v>
      </c>
      <c r="P38" s="17">
        <f t="shared" si="4"/>
        <v>-7.7023840712601516E-2</v>
      </c>
      <c r="Q38" s="18">
        <f t="shared" si="0"/>
        <v>81.657952734997352</v>
      </c>
      <c r="R38" s="18">
        <f t="shared" si="1"/>
        <v>69.273830038857923</v>
      </c>
      <c r="S38" s="33" t="s">
        <v>39</v>
      </c>
      <c r="T38" s="31" t="s">
        <v>42</v>
      </c>
      <c r="U38" s="1737" t="s">
        <v>88</v>
      </c>
    </row>
    <row r="39" spans="1:25">
      <c r="A39" s="10" t="s">
        <v>11</v>
      </c>
      <c r="B39" s="905">
        <v>45691</v>
      </c>
      <c r="C39" s="76">
        <f>IF(G39=0,0,CHAMNORD!C39+AIX!C39+BELLEY!C39+STALBAN!C39+ABRETS!C39+PONT!C39+FRANCIN!C39+VIVIERS!C39)</f>
        <v>64009.590000000011</v>
      </c>
      <c r="D39" s="76">
        <f>IF(H39=0,0,CHAMNORD!D39+AIX!D39+BELLEY!D39+STALBAN!D39+ABRETS!D39+PONT!D39+FRANCIN!D39+VIVIERS!D39)</f>
        <v>73592.969999999987</v>
      </c>
      <c r="E39" s="76">
        <f>IF(I39=0,0,CHAMNORD!E39+AIX!E39+BELLEY!E39+STALBAN!E39+ABRETS!E39+PONT!E39+FRANCIN!E39+VIVIERS!E39)</f>
        <v>72818.98000000001</v>
      </c>
      <c r="F39" s="20">
        <f>IF(J39=0,0,CHAMNORD!F39+AIX!F39+BELLEY!F39+STALBAN!F39+ABRETS!F39+PONT!F39+FRANCIN!F39+VIVIERS!F39)</f>
        <v>4258</v>
      </c>
      <c r="G39" s="40">
        <f>IF(I39=0,0,CHAMNORD!G39+AIX!G39+BELLEY!G39+STALBAN!G39+ABRETS!G39+PONT!G39+FRANCIN!G39+VIVIERS!G39)</f>
        <v>73500</v>
      </c>
      <c r="H39" s="42">
        <f>CHAMNORD!H39+AIX!H39+BELLEY!H39+STALBAN!H39+ABRETS!H39+PONT!H39+FRANCIN!H39+VIVIERS!H39</f>
        <v>70450.399000000005</v>
      </c>
      <c r="I39" s="13">
        <f>CHAMNORD!I39+AIX!I39+BELLEY!I39+STALBAN!I39+ABRETS!I39+PONT!I39+FRANCIN!I39+VIVIERS!I39</f>
        <v>69637.960000000006</v>
      </c>
      <c r="J39" s="14">
        <f>CHAMNORD!J39+AIX!J39+BELLEY!J39+STALBAN!J39+ABRETS!J39+PONT!J39+FRANCIN!J39+VIVIERS!J39</f>
        <v>3987</v>
      </c>
      <c r="K39" s="15">
        <f>CHAMNORD!K39+AIX!K39+BELLEY!K39+STALBAN!K39+ABRETS!K39+PONT!K39+FRANCIN!K39+VIVIERS!K39</f>
        <v>773.61</v>
      </c>
      <c r="L39" s="15">
        <f>CHAMNORD!L39+AIX!L39+BELLEY!L39+STALBAN!L39+ABRETS!L39+PONT!L39+FRANCIN!L39+VIVIERS!L39</f>
        <v>914.19</v>
      </c>
      <c r="M39" s="15">
        <f>CHAMNORD!M39+AIX!M39+BELLEY!M39+STALBAN!M39+ABRETS!M39+PONT!M39+FRANCIN!M39+VIVIERS!M39</f>
        <v>457.3</v>
      </c>
      <c r="N39" s="16">
        <f t="shared" si="2"/>
        <v>6.5668207397229896E-3</v>
      </c>
      <c r="O39" s="17">
        <f t="shared" si="3"/>
        <v>-4.3683940642947811E-2</v>
      </c>
      <c r="P39" s="17">
        <f t="shared" si="4"/>
        <v>-6.3644903710662282E-2</v>
      </c>
      <c r="Q39" s="18">
        <f t="shared" si="0"/>
        <v>90.016881891392316</v>
      </c>
      <c r="R39" s="18">
        <f t="shared" si="1"/>
        <v>76.174493267263912</v>
      </c>
      <c r="S39" s="34">
        <f>SUM(I38:I44)</f>
        <v>686549.3600000001</v>
      </c>
      <c r="T39" s="45" t="s">
        <v>41</v>
      </c>
      <c r="U39" s="1738"/>
      <c r="W39" s="202">
        <f>+S39</f>
        <v>686549.3600000001</v>
      </c>
      <c r="X39" s="202">
        <f>SUM(CHAMNORD!E38:E44)+SUM(AIX!E38:E44)+SUM(BELLEY!E38:E44)+SUM(STALBAN!E38:E44)+SUM(ABRETS!E38:E44)+SUM(PONT!E38:E44)+SUM(FRANCIN!E38:E44)+SUM(VIVIERS!E38:E44)</f>
        <v>694925.78</v>
      </c>
      <c r="Y39" s="202">
        <f>+W39-X39</f>
        <v>-8376.4199999999255</v>
      </c>
    </row>
    <row r="40" spans="1:25">
      <c r="A40" s="10" t="s">
        <v>12</v>
      </c>
      <c r="B40" s="905">
        <v>45692</v>
      </c>
      <c r="C40" s="76">
        <f>IF(G40=0,0,CHAMNORD!C40+AIX!C40+BELLEY!C40+STALBAN!C40+ABRETS!C40+PONT!C40+FRANCIN!C40+VIVIERS!C40)</f>
        <v>73592.969999999987</v>
      </c>
      <c r="D40" s="76">
        <f>IF(H40=0,0,CHAMNORD!D40+AIX!D40+BELLEY!D40+STALBAN!D40+ABRETS!D40+PONT!D40+FRANCIN!D40+VIVIERS!D40)</f>
        <v>93738.26</v>
      </c>
      <c r="E40" s="76">
        <f>IF(I40=0,0,CHAMNORD!E40+AIX!E40+BELLEY!E40+STALBAN!E40+ABRETS!E40+PONT!E40+FRANCIN!E40+VIVIERS!E40)</f>
        <v>92655.85</v>
      </c>
      <c r="F40" s="20">
        <f>IF(J40=0,0,CHAMNORD!F40+AIX!F40+BELLEY!F40+STALBAN!F40+ABRETS!F40+PONT!F40+FRANCIN!F40+VIVIERS!F40)</f>
        <v>5278</v>
      </c>
      <c r="G40" s="40">
        <f>IF(I40=0,0,CHAMNORD!G40+AIX!G40+BELLEY!G40+STALBAN!G40+ABRETS!G40+PONT!G40+FRANCIN!G40+VIVIERS!G40)</f>
        <v>93400</v>
      </c>
      <c r="H40" s="42">
        <f>CHAMNORD!H40+AIX!H40+BELLEY!H40+STALBAN!H40+ABRETS!H40+PONT!H40+FRANCIN!H40+VIVIERS!H40</f>
        <v>90246.89</v>
      </c>
      <c r="I40" s="13">
        <f>CHAMNORD!I40+AIX!I40+BELLEY!I40+STALBAN!I40+ABRETS!I40+PONT!I40+FRANCIN!I40+VIVIERS!I40</f>
        <v>89001.510000000009</v>
      </c>
      <c r="J40" s="14">
        <f>CHAMNORD!J40+AIX!J40+BELLEY!J40+STALBAN!J40+ABRETS!J40+PONT!J40+FRANCIN!J40+VIVIERS!J40</f>
        <v>4926</v>
      </c>
      <c r="K40" s="15">
        <f>CHAMNORD!K40+AIX!K40+BELLEY!K40+STALBAN!K40+ABRETS!K40+PONT!K40+FRANCIN!K40+VIVIERS!K40</f>
        <v>930.83</v>
      </c>
      <c r="L40" s="15">
        <f>CHAMNORD!L40+AIX!L40+BELLEY!L40+STALBAN!L40+ABRETS!L40+PONT!L40+FRANCIN!L40+VIVIERS!L40</f>
        <v>1097.02</v>
      </c>
      <c r="M40" s="15">
        <f>CHAMNORD!M40+AIX!M40+BELLEY!M40+STALBAN!M40+ABRETS!M40+PONT!M40+FRANCIN!M40+VIVIERS!M40</f>
        <v>475.35999999999996</v>
      </c>
      <c r="N40" s="16">
        <f t="shared" si="2"/>
        <v>5.3410329779798107E-3</v>
      </c>
      <c r="O40" s="17">
        <f t="shared" si="3"/>
        <v>-3.9439927430378073E-2</v>
      </c>
      <c r="P40" s="17">
        <f t="shared" si="4"/>
        <v>-6.6691928760894276E-2</v>
      </c>
      <c r="Q40" s="18">
        <f t="shared" si="0"/>
        <v>95.615214378565369</v>
      </c>
      <c r="R40" s="18">
        <f t="shared" si="1"/>
        <v>81.130252866857489</v>
      </c>
      <c r="S40" s="35">
        <f>(S39-SUM(E38:E44))/(SUM(E38:E44))</f>
        <v>-1.2053690107740607E-2</v>
      </c>
      <c r="T40" s="48">
        <f>SUM(I38:I44)/SUM(K38:K44)</f>
        <v>99.705676642810701</v>
      </c>
      <c r="U40" s="1738"/>
    </row>
    <row r="41" spans="1:25">
      <c r="A41" s="10" t="s">
        <v>13</v>
      </c>
      <c r="B41" s="905">
        <v>45693</v>
      </c>
      <c r="C41" s="76">
        <f>IF(G41=0,0,CHAMNORD!C41+AIX!C41+BELLEY!C41+STALBAN!C41+ABRETS!C41+PONT!C41+FRANCIN!C41+VIVIERS!C41)</f>
        <v>93738.26</v>
      </c>
      <c r="D41" s="76">
        <f>IF(H41=0,0,CHAMNORD!D41+AIX!D41+BELLEY!D41+STALBAN!D41+ABRETS!D41+PONT!D41+FRANCIN!D41+VIVIERS!D41)</f>
        <v>78623.5</v>
      </c>
      <c r="E41" s="76">
        <f>IF(I41=0,0,CHAMNORD!E41+AIX!E41+BELLEY!E41+STALBAN!E41+ABRETS!E41+PONT!E41+FRANCIN!E41+VIVIERS!E41)</f>
        <v>77865.509999999995</v>
      </c>
      <c r="F41" s="20">
        <f>IF(J41=0,0,CHAMNORD!F41+AIX!F41+BELLEY!F41+STALBAN!F41+ABRETS!F41+PONT!F41+FRANCIN!F41+VIVIERS!F41)</f>
        <v>4639</v>
      </c>
      <c r="G41" s="40">
        <f>IF(I41=0,0,CHAMNORD!G41+AIX!G41+BELLEY!G41+STALBAN!G41+ABRETS!G41+PONT!G41+FRANCIN!G41+VIVIERS!G41)</f>
        <v>78800</v>
      </c>
      <c r="H41" s="42">
        <f>CHAMNORD!H41+AIX!H41+BELLEY!H41+STALBAN!H41+ABRETS!H41+PONT!H41+FRANCIN!H41+VIVIERS!H41</f>
        <v>81811.090000000011</v>
      </c>
      <c r="I41" s="13">
        <f>CHAMNORD!I41+AIX!I41+BELLEY!I41+STALBAN!I41+ABRETS!I41+PONT!I41+FRANCIN!I41+VIVIERS!I41</f>
        <v>80958.39</v>
      </c>
      <c r="J41" s="14">
        <f>CHAMNORD!J41+AIX!J41+BELLEY!J41+STALBAN!J41+ABRETS!J41+PONT!J41+FRANCIN!J41+VIVIERS!J41</f>
        <v>4426</v>
      </c>
      <c r="K41" s="15">
        <f>CHAMNORD!K41+AIX!K41+BELLEY!K41+STALBAN!K41+ABRETS!K41+PONT!K41+FRANCIN!K41+VIVIERS!K41</f>
        <v>861.58000000000015</v>
      </c>
      <c r="L41" s="15">
        <f>CHAMNORD!L41+AIX!L41+BELLEY!L41+STALBAN!L41+ABRETS!L41+PONT!L41+FRANCIN!L41+VIVIERS!L41</f>
        <v>991.88</v>
      </c>
      <c r="M41" s="15">
        <f>CHAMNORD!M41+AIX!M41+BELLEY!M41+STALBAN!M41+ABRETS!M41+PONT!M41+FRANCIN!M41+VIVIERS!M41</f>
        <v>324.51</v>
      </c>
      <c r="N41" s="16">
        <f t="shared" si="2"/>
        <v>4.008355403312739E-3</v>
      </c>
      <c r="O41" s="17">
        <f t="shared" si="3"/>
        <v>3.9720795510104601E-2</v>
      </c>
      <c r="P41" s="17">
        <f t="shared" si="4"/>
        <v>-4.5915067902565207E-2</v>
      </c>
      <c r="Q41" s="18">
        <f t="shared" si="0"/>
        <v>93.965029364655621</v>
      </c>
      <c r="R41" s="18">
        <f t="shared" si="1"/>
        <v>81.621153768601047</v>
      </c>
      <c r="S41" s="34"/>
      <c r="T41" s="29" t="s">
        <v>8</v>
      </c>
      <c r="U41" s="1738"/>
    </row>
    <row r="42" spans="1:25">
      <c r="A42" s="10" t="s">
        <v>14</v>
      </c>
      <c r="B42" s="905">
        <v>45694</v>
      </c>
      <c r="C42" s="76">
        <f>IF(G42=0,0,CHAMNORD!C42+AIX!C42+BELLEY!C42+STALBAN!C42+ABRETS!C42+PONT!C42+FRANCIN!C42+VIVIERS!C42)</f>
        <v>78623.5</v>
      </c>
      <c r="D42" s="76">
        <f>IF(H42=0,0,CHAMNORD!D42+AIX!D42+BELLEY!D42+STALBAN!D42+ABRETS!D42+PONT!D42+FRANCIN!D42+VIVIERS!D42)</f>
        <v>124388.70000000001</v>
      </c>
      <c r="E42" s="76">
        <f>IF(I42=0,0,CHAMNORD!E42+AIX!E42+BELLEY!E42+STALBAN!E42+ABRETS!E42+PONT!E42+FRANCIN!E42+VIVIERS!E42)</f>
        <v>123231.29999999999</v>
      </c>
      <c r="F42" s="20">
        <f>IF(J42=0,0,CHAMNORD!F42+AIX!F42+BELLEY!F42+STALBAN!F42+ABRETS!F42+PONT!F42+FRANCIN!F42+VIVIERS!F42)</f>
        <v>6606</v>
      </c>
      <c r="G42" s="40">
        <f>IF(I42=0,0,CHAMNORD!G42+AIX!G42+BELLEY!G42+STALBAN!G42+ABRETS!G42+PONT!G42+FRANCIN!G42+VIVIERS!G42)</f>
        <v>125700</v>
      </c>
      <c r="H42" s="42">
        <f>CHAMNORD!H42+AIX!H42+BELLEY!H42+STALBAN!H42+ABRETS!H42+PONT!H42+FRANCIN!H42+VIVIERS!H42</f>
        <v>128317.97</v>
      </c>
      <c r="I42" s="13">
        <f>CHAMNORD!I42+AIX!I42+BELLEY!I42+STALBAN!I42+ABRETS!I42+PONT!I42+FRANCIN!I42+VIVIERS!I42</f>
        <v>126648.48000000001</v>
      </c>
      <c r="J42" s="14">
        <f>CHAMNORD!J42+AIX!J42+BELLEY!J42+STALBAN!J42+ABRETS!J42+PONT!J42+FRANCIN!J42+VIVIERS!J42</f>
        <v>6427</v>
      </c>
      <c r="K42" s="15">
        <f>CHAMNORD!K42+AIX!K42+BELLEY!K42+STALBAN!K42+ABRETS!K42+PONT!K42+FRANCIN!K42+VIVIERS!K42</f>
        <v>1201.2699999999998</v>
      </c>
      <c r="L42" s="15">
        <f>CHAMNORD!L42+AIX!L42+BELLEY!L42+STALBAN!L42+ABRETS!L42+PONT!L42+FRANCIN!L42+VIVIERS!L42</f>
        <v>1378.9300000000003</v>
      </c>
      <c r="M42" s="15">
        <f>CHAMNORD!M42+AIX!M42+BELLEY!M42+STALBAN!M42+ABRETS!M42+PONT!M42+FRANCIN!M42+VIVIERS!M42</f>
        <v>466.6</v>
      </c>
      <c r="N42" s="16">
        <f t="shared" si="2"/>
        <v>3.6842131859774392E-3</v>
      </c>
      <c r="O42" s="17">
        <f t="shared" si="3"/>
        <v>2.7729805658140604E-2</v>
      </c>
      <c r="P42" s="17">
        <f t="shared" si="4"/>
        <v>-2.7096578867696033E-2</v>
      </c>
      <c r="Q42" s="18">
        <f t="shared" si="0"/>
        <v>105.42882116426784</v>
      </c>
      <c r="R42" s="18">
        <f t="shared" si="1"/>
        <v>91.845474389562909</v>
      </c>
      <c r="S42" s="36" t="s">
        <v>40</v>
      </c>
      <c r="T42" s="48">
        <f>SUM(I38:I44)/SUM(L38:L44)</f>
        <v>86.366340557057455</v>
      </c>
      <c r="U42" s="1738"/>
    </row>
    <row r="43" spans="1:25">
      <c r="A43" s="10" t="s">
        <v>15</v>
      </c>
      <c r="B43" s="905">
        <v>45695</v>
      </c>
      <c r="C43" s="76">
        <f>IF(G43=0,0,CHAMNORD!C43+AIX!C43+BELLEY!C43+STALBAN!C43+ABRETS!C43+PONT!C43+FRANCIN!C43+VIVIERS!C43)</f>
        <v>124388.70000000001</v>
      </c>
      <c r="D43" s="76">
        <f>IF(H43=0,0,CHAMNORD!D43+AIX!D43+BELLEY!D43+STALBAN!D43+ABRETS!D43+PONT!D43+FRANCIN!D43+VIVIERS!D43)</f>
        <v>145260.79000000004</v>
      </c>
      <c r="E43" s="76">
        <f>IF(I43=0,0,CHAMNORD!E43+AIX!E43+BELLEY!E43+STALBAN!E43+ABRETS!E43+PONT!E43+FRANCIN!E43+VIVIERS!E43)</f>
        <v>143657.04</v>
      </c>
      <c r="F43" s="20">
        <f>IF(J43=0,0,CHAMNORD!F43+AIX!F43+BELLEY!F43+STALBAN!F43+ABRETS!F43+PONT!F43+FRANCIN!F43+VIVIERS!F43)</f>
        <v>6974</v>
      </c>
      <c r="G43" s="40">
        <f>IF(I43=0,0,CHAMNORD!G43+AIX!G43+BELLEY!G43+STALBAN!G43+ABRETS!G43+PONT!G43+FRANCIN!G43+VIVIERS!G43)</f>
        <v>142900</v>
      </c>
      <c r="H43" s="42">
        <f>CHAMNORD!H43+AIX!H43+BELLEY!H43+STALBAN!H43+ABRETS!H43+PONT!H43+FRANCIN!H43+VIVIERS!H43</f>
        <v>133205.87</v>
      </c>
      <c r="I43" s="13">
        <f>CHAMNORD!I43+AIX!I43+BELLEY!I43+STALBAN!I43+ABRETS!I43+PONT!I43+FRANCIN!I43+VIVIERS!I43</f>
        <v>131588.69</v>
      </c>
      <c r="J43" s="14">
        <f>CHAMNORD!J43+AIX!J43+BELLEY!J43+STALBAN!J43+ABRETS!J43+PONT!J43+FRANCIN!J43+VIVIERS!J43</f>
        <v>6340</v>
      </c>
      <c r="K43" s="15">
        <f>CHAMNORD!K43+AIX!K43+BELLEY!K43+STALBAN!K43+ABRETS!K43+PONT!K43+FRANCIN!K43+VIVIERS!K43</f>
        <v>1291.6499999999999</v>
      </c>
      <c r="L43" s="15">
        <f>CHAMNORD!L43+AIX!L43+BELLEY!L43+STALBAN!L43+ABRETS!L43+PONT!L43+FRANCIN!L43+VIVIERS!L43</f>
        <v>1458.6799999999998</v>
      </c>
      <c r="M43" s="15">
        <f>CHAMNORD!M43+AIX!M43+BELLEY!M43+STALBAN!M43+ABRETS!M43+PONT!M43+FRANCIN!M43+VIVIERS!M43</f>
        <v>456.29</v>
      </c>
      <c r="N43" s="16">
        <f t="shared" si="2"/>
        <v>3.4675472489315001E-3</v>
      </c>
      <c r="O43" s="17">
        <f t="shared" si="3"/>
        <v>-8.400806532001498E-2</v>
      </c>
      <c r="P43" s="17">
        <f t="shared" si="4"/>
        <v>-9.0909090909090912E-2</v>
      </c>
      <c r="Q43" s="18">
        <f t="shared" si="0"/>
        <v>101.87642937328225</v>
      </c>
      <c r="R43" s="18">
        <f t="shared" si="1"/>
        <v>90.210800175501149</v>
      </c>
      <c r="S43" s="36">
        <f>SUM(J38:J44)</f>
        <v>35817</v>
      </c>
      <c r="T43" s="30" t="s">
        <v>3</v>
      </c>
      <c r="U43" s="1738"/>
    </row>
    <row r="44" spans="1:25" ht="18" thickBot="1">
      <c r="A44" s="10" t="s">
        <v>16</v>
      </c>
      <c r="B44" s="905">
        <v>45696</v>
      </c>
      <c r="C44" s="76">
        <f>IF(G44=0,0,CHAMNORD!C44+AIX!C44+BELLEY!C44+STALBAN!C44+ABRETS!C44+PONT!C44+FRANCIN!C44+VIVIERS!C44)</f>
        <v>145260.79000000004</v>
      </c>
      <c r="D44" s="76">
        <f>IF(H44=0,0,CHAMNORD!D44+AIX!D44+BELLEY!D44+STALBAN!D44+ABRETS!D44+PONT!D44+FRANCIN!D44+VIVIERS!D44)</f>
        <v>122779.46</v>
      </c>
      <c r="E44" s="76">
        <f>IF(I44=0,0,CHAMNORD!E44+AIX!E44+BELLEY!E44+STALBAN!E44+ABRETS!E44+PONT!E44+FRANCIN!E44+VIVIERS!E44)</f>
        <v>121390.23000000001</v>
      </c>
      <c r="F44" s="20">
        <f>IF(J44=0,0,CHAMNORD!F44+AIX!F44+BELLEY!F44+STALBAN!F44+ABRETS!F44+PONT!F44+FRANCIN!F44+VIVIERS!F44)</f>
        <v>6009</v>
      </c>
      <c r="G44" s="40">
        <f>IF(I44=0,0,CHAMNORD!G44+AIX!G44+BELLEY!G44+STALBAN!G44+ABRETS!G44+PONT!G44+FRANCIN!G44+VIVIERS!G44)</f>
        <v>123800</v>
      </c>
      <c r="H44" s="42">
        <f>CHAMNORD!H44+AIX!H44+BELLEY!H44+STALBAN!H44+ABRETS!H44+PONT!H44+FRANCIN!H44+VIVIERS!H44</f>
        <v>128906.00999999998</v>
      </c>
      <c r="I44" s="13">
        <f>CHAMNORD!I44+AIX!I44+BELLEY!I44+STALBAN!I44+ABRETS!I44+PONT!I44+FRANCIN!I44+VIVIERS!I44</f>
        <v>127209.56</v>
      </c>
      <c r="J44" s="14">
        <f>CHAMNORD!J44+AIX!J44+BELLEY!J44+STALBAN!J44+ABRETS!J44+PONT!J44+FRANCIN!J44+VIVIERS!J44</f>
        <v>6188</v>
      </c>
      <c r="K44" s="15">
        <f>CHAMNORD!K44+AIX!K44+BELLEY!K44+STALBAN!K44+ABRETS!K44+PONT!K44+FRANCIN!K44+VIVIERS!K44</f>
        <v>1073.6199999999999</v>
      </c>
      <c r="L44" s="15">
        <f>CHAMNORD!L44+AIX!L44+BELLEY!L44+STALBAN!L44+ABRETS!L44+PONT!L44+FRANCIN!L44+VIVIERS!L44</f>
        <v>1220.7199999999998</v>
      </c>
      <c r="M44" s="15">
        <f>CHAMNORD!M44+AIX!M44+BELLEY!M44+STALBAN!M44+ABRETS!M44+PONT!M44+FRANCIN!M44+VIVIERS!M44</f>
        <v>620.91999999999996</v>
      </c>
      <c r="N44" s="16">
        <f t="shared" si="2"/>
        <v>4.8810796924382092E-3</v>
      </c>
      <c r="O44" s="17">
        <f t="shared" si="3"/>
        <v>4.7939031007684776E-2</v>
      </c>
      <c r="P44" s="17">
        <f t="shared" si="4"/>
        <v>2.9788650357796639E-2</v>
      </c>
      <c r="Q44" s="18">
        <f t="shared" si="0"/>
        <v>118.48657811888751</v>
      </c>
      <c r="R44" s="18">
        <f t="shared" si="1"/>
        <v>104.20863097188546</v>
      </c>
      <c r="S44" s="37">
        <f>(S43-SUM(F38:F44))/(SUM(F38:F44))</f>
        <v>-4.6938612596790934E-2</v>
      </c>
      <c r="T44" s="47">
        <f>SUM(M38:M44)/SUM(I38:I44)</f>
        <v>4.8666566377689137E-3</v>
      </c>
      <c r="U44" s="1739"/>
    </row>
    <row r="45" spans="1:25" ht="17" customHeight="1" thickTop="1">
      <c r="A45" s="10" t="s">
        <v>9</v>
      </c>
      <c r="B45" s="905">
        <v>45697</v>
      </c>
      <c r="C45" s="76">
        <f>IF(G45=0,0,CHAMNORD!C45+AIX!C45+BELLEY!C45+STALBAN!C45+ABRETS!C45+PONT!C45+FRANCIN!C45+VIVIERS!C45)</f>
        <v>122779.46</v>
      </c>
      <c r="D45" s="76">
        <f>IF(H45=0,0,CHAMNORD!D45+AIX!D45+BELLEY!D45+STALBAN!D45+ABRETS!D45+PONT!D45+FRANCIN!D45+VIVIERS!D45)</f>
        <v>60818.079999999994</v>
      </c>
      <c r="E45" s="76">
        <f>IF(I45=0,0,CHAMNORD!E45+AIX!E45+BELLEY!E45+STALBAN!E45+ABRETS!E45+PONT!E45+FRANCIN!E45+VIVIERS!E45)</f>
        <v>60275.149999999994</v>
      </c>
      <c r="F45" s="20">
        <f>IF(J45=0,0,CHAMNORD!F45+AIX!F45+BELLEY!F45+STALBAN!F45+ABRETS!F45+PONT!F45+FRANCIN!F45+VIVIERS!F45)</f>
        <v>3637</v>
      </c>
      <c r="G45" s="40">
        <f>IF(I45=0,0,CHAMNORD!G45+AIX!G45+BELLEY!G45+STALBAN!G45+ABRETS!G45+PONT!G45+FRANCIN!G45+VIVIERS!G45)</f>
        <v>63100</v>
      </c>
      <c r="H45" s="42">
        <f>CHAMNORD!H45+AIX!H45+BELLEY!H45+STALBAN!H45+ABRETS!H45+PONT!H45+FRANCIN!H45+VIVIERS!H45</f>
        <v>74539.86</v>
      </c>
      <c r="I45" s="13">
        <f>CHAMNORD!I45+AIX!I45+BELLEY!I45+STALBAN!I45+ABRETS!I45+PONT!I45+FRANCIN!I45+VIVIERS!I45</f>
        <v>73507.670000000013</v>
      </c>
      <c r="J45" s="14">
        <f>CHAMNORD!J45+AIX!J45+BELLEY!J45+STALBAN!J45+ABRETS!J45+PONT!J45+FRANCIN!J45+VIVIERS!J45</f>
        <v>4098</v>
      </c>
      <c r="K45" s="15">
        <f>CHAMNORD!K45+AIX!K45+BELLEY!K45+STALBAN!K45+ABRETS!K45+PONT!K45+FRANCIN!K45+VIVIERS!K45</f>
        <v>794.12</v>
      </c>
      <c r="L45" s="15">
        <f>CHAMNORD!L45+AIX!L45+BELLEY!L45+STALBAN!L45+ABRETS!L45+PONT!L45+FRANCIN!L45+VIVIERS!L45</f>
        <v>920.01</v>
      </c>
      <c r="M45" s="15">
        <f>CHAMNORD!M45+AIX!M45+BELLEY!M45+STALBAN!M45+ABRETS!M45+PONT!M45+FRANCIN!M45+VIVIERS!M45</f>
        <v>455.15</v>
      </c>
      <c r="N45" s="16">
        <f t="shared" si="2"/>
        <v>6.1918708619114159E-3</v>
      </c>
      <c r="O45" s="17">
        <f t="shared" si="3"/>
        <v>0.21953524794214566</v>
      </c>
      <c r="P45" s="17">
        <f t="shared" si="4"/>
        <v>0.12675281825680507</v>
      </c>
      <c r="Q45" s="18">
        <f t="shared" si="0"/>
        <v>92.564939807585773</v>
      </c>
      <c r="R45" s="18">
        <f t="shared" si="1"/>
        <v>79.898772839425675</v>
      </c>
      <c r="S45" s="33" t="s">
        <v>39</v>
      </c>
      <c r="T45" s="31" t="s">
        <v>42</v>
      </c>
      <c r="U45" s="1737" t="s">
        <v>89</v>
      </c>
    </row>
    <row r="46" spans="1:25">
      <c r="A46" s="10" t="s">
        <v>11</v>
      </c>
      <c r="B46" s="905">
        <v>45698</v>
      </c>
      <c r="C46" s="76">
        <f>IF(G46=0,0,CHAMNORD!C46+AIX!C46+BELLEY!C46+STALBAN!C46+ABRETS!C46+PONT!C46+FRANCIN!C46+VIVIERS!C46)</f>
        <v>60818.079999999994</v>
      </c>
      <c r="D46" s="76">
        <f>IF(H46=0,0,CHAMNORD!D46+AIX!D46+BELLEY!D46+STALBAN!D46+ABRETS!D46+PONT!D46+FRANCIN!D46+VIVIERS!D46)</f>
        <v>70904.42</v>
      </c>
      <c r="E46" s="76">
        <f>IF(I46=0,0,CHAMNORD!E46+AIX!E46+BELLEY!E46+STALBAN!E46+ABRETS!E46+PONT!E46+FRANCIN!E46+VIVIERS!E46)</f>
        <v>70073.209999999992</v>
      </c>
      <c r="F46" s="20">
        <f>IF(J46=0,0,CHAMNORD!F46+AIX!F46+BELLEY!F46+STALBAN!F46+ABRETS!F46+PONT!F46+FRANCIN!F46+VIVIERS!F46)</f>
        <v>4170</v>
      </c>
      <c r="G46" s="40">
        <f>IF(I46=0,0,CHAMNORD!G46+AIX!G46+BELLEY!G46+STALBAN!G46+ABRETS!G46+PONT!G46+FRANCIN!G46+VIVIERS!G46)</f>
        <v>72000</v>
      </c>
      <c r="H46" s="42">
        <f>CHAMNORD!H46+AIX!H46+BELLEY!H46+STALBAN!H46+ABRETS!H46+PONT!H46+FRANCIN!H46+VIVIERS!H46</f>
        <v>80640.51999999999</v>
      </c>
      <c r="I46" s="13">
        <f>CHAMNORD!I46+AIX!I46+BELLEY!I46+STALBAN!I46+ABRETS!I46+PONT!I46+FRANCIN!I46+VIVIERS!I46</f>
        <v>79358.23</v>
      </c>
      <c r="J46" s="14">
        <f>CHAMNORD!J46+AIX!J46+BELLEY!J46+STALBAN!J46+ABRETS!J46+PONT!J46+FRANCIN!J46+VIVIERS!J46</f>
        <v>4328</v>
      </c>
      <c r="K46" s="15">
        <f>CHAMNORD!K46+AIX!K46+BELLEY!K46+STALBAN!K46+ABRETS!K46+PONT!K46+FRANCIN!K46+VIVIERS!K46</f>
        <v>818.81999999999994</v>
      </c>
      <c r="L46" s="15">
        <f>CHAMNORD!L46+AIX!L46+BELLEY!L46+STALBAN!L46+ABRETS!L46+PONT!L46+FRANCIN!L46+VIVIERS!L46</f>
        <v>936.16000000000008</v>
      </c>
      <c r="M46" s="15">
        <f>CHAMNORD!M46+AIX!M46+BELLEY!M46+STALBAN!M46+ABRETS!M46+PONT!M46+FRANCIN!M46+VIVIERS!M46</f>
        <v>384.36</v>
      </c>
      <c r="N46" s="16">
        <f t="shared" si="2"/>
        <v>4.8433539911361435E-3</v>
      </c>
      <c r="O46" s="17">
        <f t="shared" si="3"/>
        <v>0.13250456201449892</v>
      </c>
      <c r="P46" s="17">
        <f t="shared" si="4"/>
        <v>3.7889688249400477E-2</v>
      </c>
      <c r="Q46" s="18">
        <f t="shared" si="0"/>
        <v>96.917796341076183</v>
      </c>
      <c r="R46" s="18">
        <f t="shared" si="1"/>
        <v>84.769943172107318</v>
      </c>
      <c r="S46" s="34">
        <f>SUM(I45:I51)</f>
        <v>723092.33000000007</v>
      </c>
      <c r="T46" s="45" t="s">
        <v>41</v>
      </c>
      <c r="U46" s="1738"/>
      <c r="W46" s="202">
        <f>+S46</f>
        <v>723092.33000000007</v>
      </c>
      <c r="X46" s="202">
        <f>SUM(CHAMNORD!E45:E51)+SUM(AIX!E45:E51)+SUM(BELLEY!E45:E51)+SUM(STALBAN!E45:E51)+SUM(ABRETS!E45:E51)+SUM(PONT!E45:E51)+SUM(FRANCIN!E45:E51)+SUM(VIVIERS!E45:E51)</f>
        <v>703673.7699999999</v>
      </c>
      <c r="Y46" s="202">
        <f>+W46-X46</f>
        <v>19418.560000000172</v>
      </c>
    </row>
    <row r="47" spans="1:25">
      <c r="A47" s="10" t="s">
        <v>12</v>
      </c>
      <c r="B47" s="905">
        <v>45699</v>
      </c>
      <c r="C47" s="76">
        <f>IF(G47=0,0,CHAMNORD!C47+AIX!C47+BELLEY!C47+STALBAN!C47+ABRETS!C47+PONT!C47+FRANCIN!C47+VIVIERS!C47)</f>
        <v>70904.42</v>
      </c>
      <c r="D47" s="76">
        <f>IF(H47=0,0,CHAMNORD!D47+AIX!D47+BELLEY!D47+STALBAN!D47+ABRETS!D47+PONT!D47+FRANCIN!D47+VIVIERS!D47)</f>
        <v>89673.900000000009</v>
      </c>
      <c r="E47" s="76">
        <f>IF(I47=0,0,CHAMNORD!E47+AIX!E47+BELLEY!E47+STALBAN!E47+ABRETS!E47+PONT!E47+FRANCIN!E47+VIVIERS!E47)</f>
        <v>88601.58</v>
      </c>
      <c r="F47" s="20">
        <f>IF(J47=0,0,CHAMNORD!F47+AIX!F47+BELLEY!F47+STALBAN!F47+ABRETS!F47+PONT!F47+FRANCIN!F47+VIVIERS!F47)</f>
        <v>5111</v>
      </c>
      <c r="G47" s="40">
        <f>IF(I47=0,0,CHAMNORD!G47+AIX!G47+BELLEY!G47+STALBAN!G47+ABRETS!G47+PONT!G47+FRANCIN!G47+VIVIERS!G47)</f>
        <v>89400</v>
      </c>
      <c r="H47" s="42">
        <f>CHAMNORD!H47+AIX!H47+BELLEY!H47+STALBAN!H47+ABRETS!H47+PONT!H47+FRANCIN!H47+VIVIERS!H47</f>
        <v>86091.12</v>
      </c>
      <c r="I47" s="13">
        <f>CHAMNORD!I47+AIX!I47+BELLEY!I47+STALBAN!I47+ABRETS!I47+PONT!I47+FRANCIN!I47+VIVIERS!I47</f>
        <v>84943.11</v>
      </c>
      <c r="J47" s="14">
        <f>CHAMNORD!J47+AIX!J47+BELLEY!J47+STALBAN!J47+ABRETS!J47+PONT!J47+FRANCIN!J47+VIVIERS!J47</f>
        <v>4454</v>
      </c>
      <c r="K47" s="15">
        <f>CHAMNORD!K47+AIX!K47+BELLEY!K47+STALBAN!K47+ABRETS!K47+PONT!K47+FRANCIN!K47+VIVIERS!K47</f>
        <v>905.76999999999987</v>
      </c>
      <c r="L47" s="15">
        <f>CHAMNORD!L47+AIX!L47+BELLEY!L47+STALBAN!L47+ABRETS!L47+PONT!L47+FRANCIN!L47+VIVIERS!L47</f>
        <v>1042.29</v>
      </c>
      <c r="M47" s="15">
        <f>CHAMNORD!M47+AIX!M47+BELLEY!M47+STALBAN!M47+ABRETS!M47+PONT!M47+FRANCIN!M47+VIVIERS!M47</f>
        <v>472.27</v>
      </c>
      <c r="N47" s="16">
        <f t="shared" si="2"/>
        <v>5.5598388144724158E-3</v>
      </c>
      <c r="O47" s="17">
        <f t="shared" si="3"/>
        <v>-4.1291250110889681E-2</v>
      </c>
      <c r="P47" s="17">
        <f t="shared" si="4"/>
        <v>-0.12854627274505967</v>
      </c>
      <c r="Q47" s="18">
        <f t="shared" si="0"/>
        <v>93.779999337580193</v>
      </c>
      <c r="R47" s="18">
        <f t="shared" si="1"/>
        <v>81.496618023774573</v>
      </c>
      <c r="S47" s="35">
        <f>(S46-SUM(E45:E51))/(SUM(E45:E51))</f>
        <v>2.7595969649401676E-2</v>
      </c>
      <c r="T47" s="48">
        <f>SUM(I45:I51)/SUM(K45:K51)</f>
        <v>103.44268962429204</v>
      </c>
      <c r="U47" s="1738"/>
    </row>
    <row r="48" spans="1:25">
      <c r="A48" s="10" t="s">
        <v>13</v>
      </c>
      <c r="B48" s="905">
        <v>45700</v>
      </c>
      <c r="C48" s="76">
        <f>IF(G48=0,0,CHAMNORD!C48+AIX!C48+BELLEY!C48+STALBAN!C48+ABRETS!C48+PONT!C48+FRANCIN!C48+VIVIERS!C48)</f>
        <v>89673.900000000009</v>
      </c>
      <c r="D48" s="76">
        <f>IF(H48=0,0,CHAMNORD!D48+AIX!D48+BELLEY!D48+STALBAN!D48+ABRETS!D48+PONT!D48+FRANCIN!D48+VIVIERS!D48)</f>
        <v>77092.170000000013</v>
      </c>
      <c r="E48" s="76">
        <f>IF(I48=0,0,CHAMNORD!E48+AIX!E48+BELLEY!E48+STALBAN!E48+ABRETS!E48+PONT!E48+FRANCIN!E48+VIVIERS!E48)</f>
        <v>76309.429999999993</v>
      </c>
      <c r="F48" s="20">
        <f>IF(J48=0,0,CHAMNORD!F48+AIX!F48+BELLEY!F48+STALBAN!F48+ABRETS!F48+PONT!F48+FRANCIN!F48+VIVIERS!F48)</f>
        <v>4484</v>
      </c>
      <c r="G48" s="40">
        <f>IF(I48=0,0,CHAMNORD!G48+AIX!G48+BELLEY!G48+STALBAN!G48+ABRETS!G48+PONT!G48+FRANCIN!G48+VIVIERS!G48)</f>
        <v>77600</v>
      </c>
      <c r="H48" s="42">
        <f>CHAMNORD!H48+AIX!H48+BELLEY!H48+STALBAN!H48+ABRETS!H48+PONT!H48+FRANCIN!H48+VIVIERS!H48</f>
        <v>88912.11</v>
      </c>
      <c r="I48" s="13">
        <f>CHAMNORD!I48+AIX!I48+BELLEY!I48+STALBAN!I48+ABRETS!I48+PONT!I48+FRANCIN!I48+VIVIERS!I48</f>
        <v>87762.51999999999</v>
      </c>
      <c r="J48" s="14">
        <f>CHAMNORD!J48+AIX!J48+BELLEY!J48+STALBAN!J48+ABRETS!J48+PONT!J48+FRANCIN!J48+VIVIERS!J48</f>
        <v>4642</v>
      </c>
      <c r="K48" s="15">
        <f>CHAMNORD!K48+AIX!K48+BELLEY!K48+STALBAN!K48+ABRETS!K48+PONT!K48+FRANCIN!K48+VIVIERS!K48</f>
        <v>914.69</v>
      </c>
      <c r="L48" s="15">
        <f>CHAMNORD!L48+AIX!L48+BELLEY!L48+STALBAN!L48+ABRETS!L48+PONT!L48+FRANCIN!L48+VIVIERS!L48</f>
        <v>1047.57</v>
      </c>
      <c r="M48" s="15">
        <f>CHAMNORD!M48+AIX!M48+BELLEY!M48+STALBAN!M48+ABRETS!M48+PONT!M48+FRANCIN!M48+VIVIERS!M48</f>
        <v>524.5</v>
      </c>
      <c r="N48" s="16">
        <f t="shared" si="2"/>
        <v>5.976355282414407E-3</v>
      </c>
      <c r="O48" s="17">
        <f t="shared" si="3"/>
        <v>0.15008747935871095</v>
      </c>
      <c r="P48" s="17">
        <f t="shared" si="4"/>
        <v>3.5236396074933098E-2</v>
      </c>
      <c r="Q48" s="18">
        <f t="shared" si="0"/>
        <v>95.94782931922289</v>
      </c>
      <c r="R48" s="18">
        <f t="shared" si="1"/>
        <v>83.777236843361294</v>
      </c>
      <c r="S48" s="34"/>
      <c r="T48" s="29" t="s">
        <v>8</v>
      </c>
      <c r="U48" s="1738"/>
    </row>
    <row r="49" spans="1:25">
      <c r="A49" s="10" t="s">
        <v>14</v>
      </c>
      <c r="B49" s="905">
        <v>45701</v>
      </c>
      <c r="C49" s="76">
        <f>IF(G49=0,0,CHAMNORD!C49+AIX!C49+BELLEY!C49+STALBAN!C49+ABRETS!C49+PONT!C49+FRANCIN!C49+VIVIERS!C49)</f>
        <v>77092.170000000013</v>
      </c>
      <c r="D49" s="76">
        <f>IF(H49=0,0,CHAMNORD!D49+AIX!D49+BELLEY!D49+STALBAN!D49+ABRETS!D49+PONT!D49+FRANCIN!D49+VIVIERS!D49)</f>
        <v>133548.78</v>
      </c>
      <c r="E49" s="76">
        <f>IF(I49=0,0,CHAMNORD!E49+AIX!E49+BELLEY!E49+STALBAN!E49+ABRETS!E49+PONT!E49+FRANCIN!E49+VIVIERS!E49)</f>
        <v>132287.31000000003</v>
      </c>
      <c r="F49" s="20">
        <f>IF(J49=0,0,CHAMNORD!F49+AIX!F49+BELLEY!F49+STALBAN!F49+ABRETS!F49+PONT!F49+FRANCIN!F49+VIVIERS!F49)</f>
        <v>7006</v>
      </c>
      <c r="G49" s="40">
        <f>IF(I49=0,0,CHAMNORD!G49+AIX!G49+BELLEY!G49+STALBAN!G49+ABRETS!G49+PONT!G49+FRANCIN!G49+VIVIERS!G49)</f>
        <v>133300</v>
      </c>
      <c r="H49" s="42">
        <f>CHAMNORD!H49+AIX!H49+BELLEY!H49+STALBAN!H49+ABRETS!H49+PONT!H49+FRANCIN!H49+VIVIERS!H49</f>
        <v>133422.22999999998</v>
      </c>
      <c r="I49" s="13">
        <f>CHAMNORD!I49+AIX!I49+BELLEY!I49+STALBAN!I49+ABRETS!I49+PONT!I49+FRANCIN!I49+VIVIERS!I49</f>
        <v>131692.71000000002</v>
      </c>
      <c r="J49" s="14">
        <f>CHAMNORD!J49+AIX!J49+BELLEY!J49+STALBAN!J49+ABRETS!J49+PONT!J49+FRANCIN!J49+VIVIERS!J49</f>
        <v>6490</v>
      </c>
      <c r="K49" s="15">
        <f>CHAMNORD!K49+AIX!K49+BELLEY!K49+STALBAN!K49+ABRETS!K49+PONT!K49+FRANCIN!K49+VIVIERS!K49</f>
        <v>1167.9700000000003</v>
      </c>
      <c r="L49" s="15">
        <f>CHAMNORD!L49+AIX!L49+BELLEY!L49+STALBAN!L49+ABRETS!L49+PONT!L49+FRANCIN!L49+VIVIERS!L49</f>
        <v>1341.68</v>
      </c>
      <c r="M49" s="15">
        <f>CHAMNORD!M49+AIX!M49+BELLEY!M49+STALBAN!M49+ABRETS!M49+PONT!M49+FRANCIN!M49+VIVIERS!M49</f>
        <v>519.42999999999995</v>
      </c>
      <c r="N49" s="16">
        <f t="shared" si="2"/>
        <v>3.9442578104740946E-3</v>
      </c>
      <c r="O49" s="17">
        <f t="shared" si="3"/>
        <v>-4.4947621960111346E-3</v>
      </c>
      <c r="P49" s="17">
        <f t="shared" si="4"/>
        <v>-7.3651156151869832E-2</v>
      </c>
      <c r="Q49" s="18">
        <f t="shared" si="0"/>
        <v>112.75350394273825</v>
      </c>
      <c r="R49" s="18">
        <f t="shared" si="1"/>
        <v>98.155081688629195</v>
      </c>
      <c r="S49" s="36" t="s">
        <v>40</v>
      </c>
      <c r="T49" s="48">
        <f>SUM(I45:I51)/SUM(L45:L51)</f>
        <v>90.79306720842574</v>
      </c>
      <c r="U49" s="1738"/>
    </row>
    <row r="50" spans="1:25">
      <c r="A50" s="10" t="s">
        <v>15</v>
      </c>
      <c r="B50" s="905">
        <v>45702</v>
      </c>
      <c r="C50" s="76">
        <f>IF(G50=0,0,CHAMNORD!C50+AIX!C50+BELLEY!C50+STALBAN!C50+ABRETS!C50+PONT!C50+FRANCIN!C50+VIVIERS!C50)</f>
        <v>133548.78</v>
      </c>
      <c r="D50" s="76">
        <f>IF(H50=0,0,CHAMNORD!D50+AIX!D50+BELLEY!D50+STALBAN!D50+ABRETS!D50+PONT!D50+FRANCIN!D50+VIVIERS!D50)</f>
        <v>151993.32</v>
      </c>
      <c r="E50" s="76">
        <f>IF(I50=0,0,CHAMNORD!E50+AIX!E50+BELLEY!E50+STALBAN!E50+ABRETS!E50+PONT!E50+FRANCIN!E50+VIVIERS!E50)</f>
        <v>150024.83000000002</v>
      </c>
      <c r="F50" s="20">
        <f>IF(J50=0,0,CHAMNORD!F50+AIX!F50+BELLEY!F50+STALBAN!F50+ABRETS!F50+PONT!F50+FRANCIN!F50+VIVIERS!F50)</f>
        <v>7257</v>
      </c>
      <c r="G50" s="40">
        <f>IF(I50=0,0,CHAMNORD!G50+AIX!G50+BELLEY!G50+STALBAN!G50+ABRETS!G50+PONT!G50+FRANCIN!G50+VIVIERS!G50)</f>
        <v>152200</v>
      </c>
      <c r="H50" s="42">
        <f>CHAMNORD!H50+AIX!H50+BELLEY!H50+STALBAN!H50+ABRETS!H50+PONT!H50+FRANCIN!H50+VIVIERS!H50</f>
        <v>148703.12</v>
      </c>
      <c r="I50" s="13">
        <f>CHAMNORD!I50+AIX!I50+BELLEY!I50+STALBAN!I50+ABRETS!I50+PONT!I50+FRANCIN!I50+VIVIERS!I50</f>
        <v>146667.69999999998</v>
      </c>
      <c r="J50" s="14">
        <f>CHAMNORD!J50+AIX!J50+BELLEY!J50+STALBAN!J50+ABRETS!J50+PONT!J50+FRANCIN!J50+VIVIERS!J50</f>
        <v>6817</v>
      </c>
      <c r="K50" s="15">
        <f>CHAMNORD!K50+AIX!K50+BELLEY!K50+STALBAN!K50+ABRETS!K50+PONT!K50+FRANCIN!K50+VIVIERS!K50</f>
        <v>1295.2200000000003</v>
      </c>
      <c r="L50" s="15">
        <f>CHAMNORD!L50+AIX!L50+BELLEY!L50+STALBAN!L50+ABRETS!L50+PONT!L50+FRANCIN!L50+VIVIERS!L50</f>
        <v>1469.1099999999997</v>
      </c>
      <c r="M50" s="15">
        <f>CHAMNORD!M50+AIX!M50+BELLEY!M50+STALBAN!M50+ABRETS!M50+PONT!M50+FRANCIN!M50+VIVIERS!M50</f>
        <v>429.12</v>
      </c>
      <c r="N50" s="16">
        <f t="shared" si="2"/>
        <v>2.9257975682444059E-3</v>
      </c>
      <c r="O50" s="17">
        <f t="shared" si="3"/>
        <v>-2.2377162500367663E-2</v>
      </c>
      <c r="P50" s="17">
        <f t="shared" si="4"/>
        <v>-6.0631114785724131E-2</v>
      </c>
      <c r="Q50" s="18">
        <f t="shared" si="0"/>
        <v>113.23767390867957</v>
      </c>
      <c r="R50" s="18">
        <f t="shared" si="1"/>
        <v>99.83438952835391</v>
      </c>
      <c r="S50" s="36">
        <f>SUM(J45:J51)</f>
        <v>36343</v>
      </c>
      <c r="T50" s="30" t="s">
        <v>3</v>
      </c>
      <c r="U50" s="1738"/>
    </row>
    <row r="51" spans="1:25" ht="18" thickBot="1">
      <c r="A51" s="10" t="s">
        <v>16</v>
      </c>
      <c r="B51" s="905">
        <v>45703</v>
      </c>
      <c r="C51" s="76">
        <f>IF(G51=0,0,CHAMNORD!C51+AIX!C51+BELLEY!C51+STALBAN!C51+ABRETS!C51+PONT!C51+FRANCIN!C51+VIVIERS!C51)</f>
        <v>151993.32</v>
      </c>
      <c r="D51" s="76">
        <f>IF(H51=0,0,CHAMNORD!D51+AIX!D51+BELLEY!D51+STALBAN!D51+ABRETS!D51+PONT!D51+FRANCIN!D51+VIVIERS!D51)</f>
        <v>127696.47</v>
      </c>
      <c r="E51" s="76">
        <f>IF(I51=0,0,CHAMNORD!E51+AIX!E51+BELLEY!E51+STALBAN!E51+ABRETS!E51+PONT!E51+FRANCIN!E51+VIVIERS!E51)</f>
        <v>126102.26</v>
      </c>
      <c r="F51" s="20">
        <f>IF(J51=0,0,CHAMNORD!F51+AIX!F51+BELLEY!F51+STALBAN!F51+ABRETS!F51+PONT!F51+FRANCIN!F51+VIVIERS!F51)</f>
        <v>6293</v>
      </c>
      <c r="G51" s="40">
        <f>IF(I51=0,0,CHAMNORD!G51+AIX!G51+BELLEY!G51+STALBAN!G51+ABRETS!G51+PONT!G51+FRANCIN!G51+VIVIERS!G51)</f>
        <v>126500</v>
      </c>
      <c r="H51" s="42">
        <f>CHAMNORD!H51+AIX!H51+BELLEY!H51+STALBAN!H51+ABRETS!H51+PONT!H51+FRANCIN!H51+VIVIERS!H51</f>
        <v>120805.34</v>
      </c>
      <c r="I51" s="13">
        <f>CHAMNORD!I51+AIX!I51+BELLEY!I51+STALBAN!I51+ABRETS!I51+PONT!I51+FRANCIN!I51+VIVIERS!I51</f>
        <v>119160.39</v>
      </c>
      <c r="J51" s="14">
        <f>CHAMNORD!J51+AIX!J51+BELLEY!J51+STALBAN!J51+ABRETS!J51+PONT!J51+FRANCIN!J51+VIVIERS!J51</f>
        <v>5514</v>
      </c>
      <c r="K51" s="15">
        <f>CHAMNORD!K51+AIX!K51+BELLEY!K51+STALBAN!K51+ABRETS!K51+PONT!K51+FRANCIN!K51+VIVIERS!K51</f>
        <v>1093.68</v>
      </c>
      <c r="L51" s="15">
        <f>CHAMNORD!L51+AIX!L51+BELLEY!L51+STALBAN!L51+ABRETS!L51+PONT!L51+FRANCIN!L51+VIVIERS!L51</f>
        <v>1207.3599999999999</v>
      </c>
      <c r="M51" s="15">
        <f>CHAMNORD!M51+AIX!M51+BELLEY!M51+STALBAN!M51+ABRETS!M51+PONT!M51+FRANCIN!M51+VIVIERS!M51</f>
        <v>492.75</v>
      </c>
      <c r="N51" s="16">
        <f t="shared" si="2"/>
        <v>4.1351828405395454E-3</v>
      </c>
      <c r="O51" s="17">
        <f t="shared" si="3"/>
        <v>-5.504952885063278E-2</v>
      </c>
      <c r="P51" s="17">
        <f t="shared" si="4"/>
        <v>-0.12378833624662323</v>
      </c>
      <c r="Q51" s="18">
        <f t="shared" si="0"/>
        <v>108.95361531709457</v>
      </c>
      <c r="R51" s="18">
        <f t="shared" si="1"/>
        <v>98.694995693082433</v>
      </c>
      <c r="S51" s="37">
        <f>(S50-SUM(F45:F51))/(SUM(F45:F51))</f>
        <v>-4.2547025659939931E-2</v>
      </c>
      <c r="T51" s="47">
        <f>SUM(M45:M51)/SUM(I45:I51)</f>
        <v>4.532726823419631E-3</v>
      </c>
      <c r="U51" s="1739"/>
    </row>
    <row r="52" spans="1:25" ht="17" customHeight="1" thickTop="1">
      <c r="A52" s="10" t="s">
        <v>9</v>
      </c>
      <c r="B52" s="905">
        <v>45704</v>
      </c>
      <c r="C52" s="76">
        <f>IF(G52=0,0,CHAMNORD!C52+AIX!C52+BELLEY!C52+STALBAN!C52+ABRETS!C52+PONT!C52+FRANCIN!C52+VIVIERS!C52)</f>
        <v>127696.47</v>
      </c>
      <c r="D52" s="76">
        <f>IF(H52=0,0,CHAMNORD!D52+AIX!D52+BELLEY!D52+STALBAN!D52+ABRETS!D52+PONT!D52+FRANCIN!D52+VIVIERS!D52)</f>
        <v>63155.09</v>
      </c>
      <c r="E52" s="76">
        <f>IF(I52=0,0,CHAMNORD!E52+AIX!E52+BELLEY!E52+STALBAN!E52+ABRETS!E52+PONT!E52+FRANCIN!E52+VIVIERS!E52)</f>
        <v>62646.15</v>
      </c>
      <c r="F52" s="20">
        <f>IF(J52=0,0,CHAMNORD!F52+AIX!F52+BELLEY!F52+STALBAN!F52+ABRETS!F52+PONT!F52+FRANCIN!F52+VIVIERS!F52)</f>
        <v>3785</v>
      </c>
      <c r="G52" s="40">
        <f>IF(I52=0,0,CHAMNORD!G52+AIX!G52+BELLEY!G52+STALBAN!G52+ABRETS!G52+PONT!G52+FRANCIN!G52+VIVIERS!G52)</f>
        <v>66500</v>
      </c>
      <c r="H52" s="42">
        <f>CHAMNORD!H52+AIX!H52+BELLEY!H52+STALBAN!H52+ABRETS!H52+PONT!H52+FRANCIN!H52+VIVIERS!H52</f>
        <v>74417.05</v>
      </c>
      <c r="I52" s="13">
        <f>CHAMNORD!I52+AIX!I52+BELLEY!I52+STALBAN!I52+ABRETS!I52+PONT!I52+FRANCIN!I52+VIVIERS!I52</f>
        <v>73402.150000000009</v>
      </c>
      <c r="J52" s="14">
        <f>CHAMNORD!J52+AIX!J52+BELLEY!J52+STALBAN!J52+ABRETS!J52+PONT!J52+FRANCIN!J52+VIVIERS!J52</f>
        <v>4028</v>
      </c>
      <c r="K52" s="15">
        <f>CHAMNORD!K52+AIX!K52+BELLEY!K52+STALBAN!K52+ABRETS!K52+PONT!K52+FRANCIN!K52+VIVIERS!K52</f>
        <v>779.58</v>
      </c>
      <c r="L52" s="15">
        <f>CHAMNORD!L52+AIX!L52+BELLEY!L52+STALBAN!L52+ABRETS!L52+PONT!L52+FRANCIN!L52+VIVIERS!L52</f>
        <v>908.12999999999988</v>
      </c>
      <c r="M52" s="15">
        <f>CHAMNORD!M52+AIX!M52+BELLEY!M52+STALBAN!M52+ABRETS!M52+PONT!M52+FRANCIN!M52+VIVIERS!M52</f>
        <v>577.86</v>
      </c>
      <c r="N52" s="16">
        <f t="shared" si="2"/>
        <v>7.872521445216522E-3</v>
      </c>
      <c r="O52" s="17">
        <f t="shared" si="3"/>
        <v>0.17169450955884771</v>
      </c>
      <c r="P52" s="17">
        <f t="shared" si="4"/>
        <v>6.4200792602377807E-2</v>
      </c>
      <c r="Q52" s="18">
        <f t="shared" si="0"/>
        <v>94.156019908155685</v>
      </c>
      <c r="R52" s="18">
        <f t="shared" si="1"/>
        <v>80.82779998458372</v>
      </c>
      <c r="S52" s="33" t="s">
        <v>482</v>
      </c>
      <c r="T52" s="31" t="s">
        <v>42</v>
      </c>
      <c r="U52" s="1737" t="s">
        <v>90</v>
      </c>
    </row>
    <row r="53" spans="1:25">
      <c r="A53" s="10" t="s">
        <v>11</v>
      </c>
      <c r="B53" s="905">
        <v>45705</v>
      </c>
      <c r="C53" s="76">
        <f>IF(G53=0,0,CHAMNORD!C53+AIX!C53+BELLEY!C53+STALBAN!C53+ABRETS!C53+PONT!C53+FRANCIN!C53+VIVIERS!C53)</f>
        <v>63155.09</v>
      </c>
      <c r="D53" s="76">
        <f>IF(H53=0,0,CHAMNORD!D53+AIX!D53+BELLEY!D53+STALBAN!D53+ABRETS!D53+PONT!D53+FRANCIN!D53+VIVIERS!D53)</f>
        <v>71005.579999999987</v>
      </c>
      <c r="E53" s="76">
        <f>IF(I53=0,0,CHAMNORD!E53+AIX!E53+BELLEY!E53+STALBAN!E53+ABRETS!E53+PONT!E53+FRANCIN!E53+VIVIERS!E53)</f>
        <v>70287.98</v>
      </c>
      <c r="F53" s="20">
        <f>IF(J53=0,0,CHAMNORD!F53+AIX!F53+BELLEY!F53+STALBAN!F53+ABRETS!F53+PONT!F53+FRANCIN!F53+VIVIERS!F53)</f>
        <v>4188</v>
      </c>
      <c r="G53" s="40">
        <f>IF(I53=0,0,CHAMNORD!G53+AIX!G53+BELLEY!G53+STALBAN!G53+ABRETS!G53+PONT!G53+FRANCIN!G53+VIVIERS!G53)</f>
        <v>73300</v>
      </c>
      <c r="H53" s="42">
        <f>CHAMNORD!H53+AIX!H53+BELLEY!H53+STALBAN!H53+ABRETS!H53+PONT!H53+FRANCIN!H53+VIVIERS!H53</f>
        <v>80578.850000000006</v>
      </c>
      <c r="I53" s="13">
        <f>CHAMNORD!I53+AIX!I53+BELLEY!I53+STALBAN!I53+ABRETS!I53+PONT!I53+FRANCIN!I53+VIVIERS!I53</f>
        <v>79493.010000000009</v>
      </c>
      <c r="J53" s="14">
        <f>CHAMNORD!J53+AIX!J53+BELLEY!J53+STALBAN!J53+ABRETS!J53+PONT!J53+FRANCIN!J53+VIVIERS!J53</f>
        <v>4334</v>
      </c>
      <c r="K53" s="15">
        <f>CHAMNORD!K53+AIX!K53+BELLEY!K53+STALBAN!K53+ABRETS!K53+PONT!K53+FRANCIN!K53+VIVIERS!K53</f>
        <v>838.35</v>
      </c>
      <c r="L53" s="15">
        <f>CHAMNORD!L53+AIX!L53+BELLEY!L53+STALBAN!L53+ABRETS!L53+PONT!L53+FRANCIN!L53+VIVIERS!L53</f>
        <v>979.59999999999991</v>
      </c>
      <c r="M53" s="15">
        <f>CHAMNORD!M53+AIX!M53+BELLEY!M53+STALBAN!M53+ABRETS!M53+PONT!M53+FRANCIN!M53+VIVIERS!M53</f>
        <v>368.03</v>
      </c>
      <c r="N53" s="16">
        <f t="shared" si="2"/>
        <v>4.62971524162942E-3</v>
      </c>
      <c r="O53" s="17">
        <f t="shared" si="3"/>
        <v>0.13096165233372781</v>
      </c>
      <c r="P53" s="17">
        <f t="shared" si="4"/>
        <v>3.4861509073543455E-2</v>
      </c>
      <c r="Q53" s="18">
        <f t="shared" si="0"/>
        <v>94.82079083914833</v>
      </c>
      <c r="R53" s="18">
        <f t="shared" si="1"/>
        <v>81.148438138015536</v>
      </c>
      <c r="S53" s="34">
        <f>SUM(I52:I58)</f>
        <v>692237.55999999994</v>
      </c>
      <c r="T53" s="45" t="s">
        <v>41</v>
      </c>
      <c r="U53" s="1738"/>
      <c r="W53" s="202">
        <f>+S53</f>
        <v>692237.55999999994</v>
      </c>
      <c r="X53" s="202">
        <f>SUM(CHAMNORD!E52:E58)+SUM(AIX!E52:E58)+SUM(BELLEY!E52:E58)+SUM(STALBAN!E52:E58)+SUM(ABRETS!E52:E58)+SUM(PONT!E52:E58)+SUM(FRANCIN!E52:E58)+SUM(VIVIERS!E52:E58)</f>
        <v>679344.86</v>
      </c>
      <c r="Y53" s="202">
        <f>+W53-X53</f>
        <v>12892.699999999953</v>
      </c>
    </row>
    <row r="54" spans="1:25">
      <c r="A54" s="10" t="s">
        <v>12</v>
      </c>
      <c r="B54" s="905">
        <v>45706</v>
      </c>
      <c r="C54" s="76">
        <f>IF(G54=0,0,CHAMNORD!C54+AIX!C54+BELLEY!C54+STALBAN!C54+ABRETS!C54+PONT!C54+FRANCIN!C54+VIVIERS!C54)</f>
        <v>71005.579999999987</v>
      </c>
      <c r="D54" s="76">
        <f>IF(H54=0,0,CHAMNORD!D54+AIX!D54+BELLEY!D54+STALBAN!D54+ABRETS!D54+PONT!D54+FRANCIN!D54+VIVIERS!D54)</f>
        <v>86463.209999999992</v>
      </c>
      <c r="E54" s="76">
        <f>IF(I54=0,0,CHAMNORD!E54+AIX!E54+BELLEY!E54+STALBAN!E54+ABRETS!E54+PONT!E54+FRANCIN!E54+VIVIERS!E54)</f>
        <v>85486.420000000013</v>
      </c>
      <c r="F54" s="20">
        <f>IF(J54=0,0,CHAMNORD!F54+AIX!F54+BELLEY!F54+STALBAN!F54+ABRETS!F54+PONT!F54+FRANCIN!F54+VIVIERS!F54)</f>
        <v>4929</v>
      </c>
      <c r="G54" s="40">
        <f>IF(I54=0,0,CHAMNORD!G54+AIX!G54+BELLEY!G54+STALBAN!G54+ABRETS!G54+PONT!G54+FRANCIN!G54+VIVIERS!G54)</f>
        <v>86200</v>
      </c>
      <c r="H54" s="42">
        <f>CHAMNORD!H54+AIX!H54+BELLEY!H54+STALBAN!H54+ABRETS!H54+PONT!H54+FRANCIN!H54+VIVIERS!H54</f>
        <v>80769.760000000009</v>
      </c>
      <c r="I54" s="13">
        <f>CHAMNORD!I54+AIX!I54+BELLEY!I54+STALBAN!I54+ABRETS!I54+PONT!I54+FRANCIN!I54+VIVIERS!I54</f>
        <v>79670.079999999987</v>
      </c>
      <c r="J54" s="14">
        <f>CHAMNORD!J54+AIX!J54+BELLEY!J54+STALBAN!J54+ABRETS!J54+PONT!J54+FRANCIN!J54+VIVIERS!J54</f>
        <v>4308</v>
      </c>
      <c r="K54" s="15">
        <f>CHAMNORD!K54+AIX!K54+BELLEY!K54+STALBAN!K54+ABRETS!K54+PONT!K54+FRANCIN!K54+VIVIERS!K54</f>
        <v>951.13</v>
      </c>
      <c r="L54" s="15">
        <f>CHAMNORD!L54+AIX!L54+BELLEY!L54+STALBAN!L54+ABRETS!L54+PONT!L54+FRANCIN!L54+VIVIERS!L54</f>
        <v>1120.25</v>
      </c>
      <c r="M54" s="15">
        <f>CHAMNORD!M54+AIX!M54+BELLEY!M54+STALBAN!M54+ABRETS!M54+PONT!M54+FRANCIN!M54+VIVIERS!M54</f>
        <v>487.40999999999991</v>
      </c>
      <c r="N54" s="16">
        <f t="shared" si="2"/>
        <v>6.1178550341608792E-3</v>
      </c>
      <c r="O54" s="17">
        <f t="shared" si="3"/>
        <v>-6.8038174952232466E-2</v>
      </c>
      <c r="P54" s="17">
        <f t="shared" si="4"/>
        <v>-0.12598904443091904</v>
      </c>
      <c r="Q54" s="18">
        <f t="shared" si="0"/>
        <v>83.763607498449204</v>
      </c>
      <c r="R54" s="18">
        <f t="shared" si="1"/>
        <v>71.11812541843338</v>
      </c>
      <c r="S54" s="35">
        <f>(S53-SUM(E52:E58))/(SUM(E52:E58))</f>
        <v>1.8978137260065461E-2</v>
      </c>
      <c r="T54" s="48">
        <f>SUM(I52:I58)/SUM(K52:K58)</f>
        <v>98.789326993197008</v>
      </c>
      <c r="U54" s="1738"/>
    </row>
    <row r="55" spans="1:25">
      <c r="A55" s="10" t="s">
        <v>13</v>
      </c>
      <c r="B55" s="905">
        <v>45707</v>
      </c>
      <c r="C55" s="76">
        <f>IF(G55=0,0,CHAMNORD!C55+AIX!C55+BELLEY!C55+STALBAN!C55+ABRETS!C55+PONT!C55+FRANCIN!C55+VIVIERS!C55)</f>
        <v>86463.209999999992</v>
      </c>
      <c r="D55" s="76">
        <f>IF(H55=0,0,CHAMNORD!D55+AIX!D55+BELLEY!D55+STALBAN!D55+ABRETS!D55+PONT!D55+FRANCIN!D55+VIVIERS!D55)</f>
        <v>78636.14</v>
      </c>
      <c r="E55" s="76">
        <f>IF(I55=0,0,CHAMNORD!E55+AIX!E55+BELLEY!E55+STALBAN!E55+ABRETS!E55+PONT!E55+FRANCIN!E55+VIVIERS!E55)</f>
        <v>77927.88</v>
      </c>
      <c r="F55" s="20">
        <f>IF(J55=0,0,CHAMNORD!F55+AIX!F55+BELLEY!F55+STALBAN!F55+ABRETS!F55+PONT!F55+FRANCIN!F55+VIVIERS!F55)</f>
        <v>4585</v>
      </c>
      <c r="G55" s="40">
        <f>IF(I55=0,0,CHAMNORD!G55+AIX!G55+BELLEY!G55+STALBAN!G55+ABRETS!G55+PONT!G55+FRANCIN!G55+VIVIERS!G55)</f>
        <v>80300</v>
      </c>
      <c r="H55" s="42">
        <f>CHAMNORD!H55+AIX!H55+BELLEY!H55+STALBAN!H55+ABRETS!H55+PONT!H55+FRANCIN!H55+VIVIERS!H55</f>
        <v>83253.969999999987</v>
      </c>
      <c r="I55" s="13">
        <f>CHAMNORD!I55+AIX!I55+BELLEY!I55+STALBAN!I55+ABRETS!I55+PONT!I55+FRANCIN!I55+VIVIERS!I55</f>
        <v>82022.540000000008</v>
      </c>
      <c r="J55" s="14">
        <f>CHAMNORD!J55+AIX!J55+BELLEY!J55+STALBAN!J55+ABRETS!J55+PONT!J55+FRANCIN!J55+VIVIERS!J55</f>
        <v>4311</v>
      </c>
      <c r="K55" s="15">
        <f>CHAMNORD!K55+AIX!K55+BELLEY!K55+STALBAN!K55+ABRETS!K55+PONT!K55+FRANCIN!K55+VIVIERS!K55</f>
        <v>876.51</v>
      </c>
      <c r="L55" s="15">
        <f>CHAMNORD!L55+AIX!L55+BELLEY!L55+STALBAN!L55+ABRETS!L55+PONT!L55+FRANCIN!L55+VIVIERS!L55</f>
        <v>1019.3299999999999</v>
      </c>
      <c r="M55" s="15">
        <f>CHAMNORD!M55+AIX!M55+BELLEY!M55+STALBAN!M55+ABRETS!M55+PONT!M55+FRANCIN!M55+VIVIERS!M55</f>
        <v>443.92999999999995</v>
      </c>
      <c r="N55" s="16">
        <f t="shared" si="2"/>
        <v>5.4122927673295644E-3</v>
      </c>
      <c r="O55" s="17">
        <f t="shared" si="3"/>
        <v>5.2544224223731006E-2</v>
      </c>
      <c r="P55" s="17">
        <f t="shared" si="4"/>
        <v>-5.9760087241003269E-2</v>
      </c>
      <c r="Q55" s="18">
        <f t="shared" si="0"/>
        <v>93.578555863595412</v>
      </c>
      <c r="R55" s="18">
        <f t="shared" si="1"/>
        <v>80.467110749217639</v>
      </c>
      <c r="S55" s="34"/>
      <c r="T55" s="29" t="s">
        <v>8</v>
      </c>
      <c r="U55" s="1738"/>
    </row>
    <row r="56" spans="1:25">
      <c r="A56" s="10" t="s">
        <v>14</v>
      </c>
      <c r="B56" s="905">
        <v>45708</v>
      </c>
      <c r="C56" s="76">
        <f>IF(G56=0,0,CHAMNORD!C56+AIX!C56+BELLEY!C56+STALBAN!C56+ABRETS!C56+PONT!C56+FRANCIN!C56+VIVIERS!C56)</f>
        <v>78636.14</v>
      </c>
      <c r="D56" s="76">
        <f>IF(H56=0,0,CHAMNORD!D56+AIX!D56+BELLEY!D56+STALBAN!D56+ABRETS!D56+PONT!D56+FRANCIN!D56+VIVIERS!D56)</f>
        <v>130407.33000000002</v>
      </c>
      <c r="E56" s="76">
        <f>IF(I56=0,0,CHAMNORD!E56+AIX!E56+BELLEY!E56+STALBAN!E56+ABRETS!E56+PONT!E56+FRANCIN!E56+VIVIERS!E56)</f>
        <v>129082.67</v>
      </c>
      <c r="F56" s="20">
        <f>IF(J56=0,0,CHAMNORD!F56+AIX!F56+BELLEY!F56+STALBAN!F56+ABRETS!F56+PONT!F56+FRANCIN!F56+VIVIERS!F56)</f>
        <v>6728</v>
      </c>
      <c r="G56" s="40">
        <f>IF(I56=0,0,CHAMNORD!G56+AIX!G56+BELLEY!G56+STALBAN!G56+ABRETS!G56+PONT!G56+FRANCIN!G56+VIVIERS!G56)</f>
        <v>132000</v>
      </c>
      <c r="H56" s="42">
        <f>CHAMNORD!H56+AIX!H56+BELLEY!H56+STALBAN!H56+ABRETS!H56+PONT!H56+FRANCIN!H56+VIVIERS!H56</f>
        <v>123720.43</v>
      </c>
      <c r="I56" s="13">
        <f>CHAMNORD!I56+AIX!I56+BELLEY!I56+STALBAN!I56+ABRETS!I56+PONT!I56+FRANCIN!I56+VIVIERS!I56</f>
        <v>122216.81000000001</v>
      </c>
      <c r="J56" s="14">
        <f>CHAMNORD!J56+AIX!J56+BELLEY!J56+STALBAN!J56+ABRETS!J56+PONT!J56+FRANCIN!J56+VIVIERS!J56</f>
        <v>5789</v>
      </c>
      <c r="K56" s="15">
        <f>CHAMNORD!K56+AIX!K56+BELLEY!K56+STALBAN!K56+ABRETS!K56+PONT!K56+FRANCIN!K56+VIVIERS!K56</f>
        <v>1168.49</v>
      </c>
      <c r="L56" s="15">
        <f>CHAMNORD!L56+AIX!L56+BELLEY!L56+STALBAN!L56+ABRETS!L56+PONT!L56+FRANCIN!L56+VIVIERS!L56</f>
        <v>1324.2000000000003</v>
      </c>
      <c r="M56" s="15">
        <f>CHAMNORD!M56+AIX!M56+BELLEY!M56+STALBAN!M56+ABRETS!M56+PONT!M56+FRANCIN!M56+VIVIERS!M56</f>
        <v>524.85</v>
      </c>
      <c r="N56" s="16">
        <f t="shared" si="2"/>
        <v>4.2944174373394295E-3</v>
      </c>
      <c r="O56" s="17">
        <f t="shared" si="3"/>
        <v>-5.318963420883676E-2</v>
      </c>
      <c r="P56" s="17">
        <f t="shared" si="4"/>
        <v>-0.13956599286563615</v>
      </c>
      <c r="Q56" s="18">
        <f t="shared" si="0"/>
        <v>104.59380054600382</v>
      </c>
      <c r="R56" s="18">
        <f t="shared" si="1"/>
        <v>92.294827065397968</v>
      </c>
      <c r="S56" s="36" t="s">
        <v>40</v>
      </c>
      <c r="T56" s="48">
        <f>SUM(I52:I58)/SUM(L52:L58)</f>
        <v>86.161355206492246</v>
      </c>
      <c r="U56" s="1738"/>
    </row>
    <row r="57" spans="1:25">
      <c r="A57" s="10" t="s">
        <v>15</v>
      </c>
      <c r="B57" s="905">
        <v>45709</v>
      </c>
      <c r="C57" s="76">
        <f>IF(G57=0,0,CHAMNORD!C57+AIX!C57+BELLEY!C57+STALBAN!C57+ABRETS!C57+PONT!C57+FRANCIN!C57+VIVIERS!C57)</f>
        <v>130407.33000000002</v>
      </c>
      <c r="D57" s="76">
        <f>IF(H57=0,0,CHAMNORD!D57+AIX!D57+BELLEY!D57+STALBAN!D57+ABRETS!D57+PONT!D57+FRANCIN!D57+VIVIERS!D57)</f>
        <v>137119.51</v>
      </c>
      <c r="E57" s="76">
        <f>IF(I57=0,0,CHAMNORD!E57+AIX!E57+BELLEY!E57+STALBAN!E57+ABRETS!E57+PONT!E57+FRANCIN!E57+VIVIERS!E57)</f>
        <v>135486.10999999999</v>
      </c>
      <c r="F57" s="20">
        <f>IF(J57=0,0,CHAMNORD!F57+AIX!F57+BELLEY!F57+STALBAN!F57+ABRETS!F57+PONT!F57+FRANCIN!F57+VIVIERS!F57)</f>
        <v>6706</v>
      </c>
      <c r="G57" s="40">
        <f>IF(I57=0,0,CHAMNORD!G57+AIX!G57+BELLEY!G57+STALBAN!G57+ABRETS!G57+PONT!G57+FRANCIN!G57+VIVIERS!G57)</f>
        <v>140200</v>
      </c>
      <c r="H57" s="42">
        <f>CHAMNORD!H57+AIX!H57+BELLEY!H57+STALBAN!H57+ABRETS!H57+PONT!H57+FRANCIN!H57+VIVIERS!H57</f>
        <v>141742.88</v>
      </c>
      <c r="I57" s="13">
        <f>CHAMNORD!I57+AIX!I57+BELLEY!I57+STALBAN!I57+ABRETS!I57+PONT!I57+FRANCIN!I57+VIVIERS!I57</f>
        <v>140567.01999999999</v>
      </c>
      <c r="J57" s="14">
        <f>CHAMNORD!J57+AIX!J57+BELLEY!J57+STALBAN!J57+ABRETS!J57+PONT!J57+FRANCIN!J57+VIVIERS!J57</f>
        <v>6389</v>
      </c>
      <c r="K57" s="15">
        <f>CHAMNORD!K57+AIX!K57+BELLEY!K57+STALBAN!K57+ABRETS!K57+PONT!K57+FRANCIN!K57+VIVIERS!K57</f>
        <v>1289.82</v>
      </c>
      <c r="L57" s="15">
        <f>CHAMNORD!L57+AIX!L57+BELLEY!L57+STALBAN!L57+ABRETS!L57+PONT!L57+FRANCIN!L57+VIVIERS!L57</f>
        <v>1440.15</v>
      </c>
      <c r="M57" s="15">
        <f>CHAMNORD!M57+AIX!M57+BELLEY!M57+STALBAN!M57+ABRETS!M57+PONT!M57+FRANCIN!M57+VIVIERS!M57</f>
        <v>482.42</v>
      </c>
      <c r="N57" s="16">
        <f t="shared" si="2"/>
        <v>3.431957225812997E-3</v>
      </c>
      <c r="O57" s="17">
        <f t="shared" si="3"/>
        <v>3.7501335007699345E-2</v>
      </c>
      <c r="P57" s="17">
        <f t="shared" si="4"/>
        <v>-4.7271100507008647E-2</v>
      </c>
      <c r="Q57" s="18">
        <f t="shared" si="0"/>
        <v>108.98188894574436</v>
      </c>
      <c r="R57" s="18">
        <f t="shared" si="1"/>
        <v>97.605818838315443</v>
      </c>
      <c r="S57" s="36">
        <f>SUM(J52:J58)</f>
        <v>34366</v>
      </c>
      <c r="T57" s="30" t="s">
        <v>3</v>
      </c>
      <c r="U57" s="1738"/>
    </row>
    <row r="58" spans="1:25" ht="18" thickBot="1">
      <c r="A58" s="10" t="s">
        <v>16</v>
      </c>
      <c r="B58" s="905">
        <v>45710</v>
      </c>
      <c r="C58" s="76">
        <f>IF(G58=0,0,CHAMNORD!C58+AIX!C58+BELLEY!C58+STALBAN!C58+ABRETS!C58+PONT!C58+FRANCIN!C58+VIVIERS!C58)</f>
        <v>137119.51</v>
      </c>
      <c r="D58" s="76">
        <f>IF(H58=0,0,CHAMNORD!D58+AIX!D58+BELLEY!D58+STALBAN!D58+ABRETS!D58+PONT!D58+FRANCIN!D58+VIVIERS!D58)</f>
        <v>119729.15000000001</v>
      </c>
      <c r="E58" s="76">
        <f>IF(I58=0,0,CHAMNORD!E58+AIX!E58+BELLEY!E58+STALBAN!E58+ABRETS!E58+PONT!E58+FRANCIN!E58+VIVIERS!E58)</f>
        <v>118427.65000000001</v>
      </c>
      <c r="F58" s="20">
        <f>IF(J58=0,0,CHAMNORD!F58+AIX!F58+BELLEY!F58+STALBAN!F58+ABRETS!F58+PONT!F58+FRANCIN!F58+VIVIERS!F58)</f>
        <v>5803</v>
      </c>
      <c r="G58" s="40">
        <f>IF(I58=0,0,CHAMNORD!G58+AIX!G58+BELLEY!G58+STALBAN!G58+ABRETS!G58+PONT!G58+FRANCIN!G58+VIVIERS!G58)</f>
        <v>123100</v>
      </c>
      <c r="H58" s="42">
        <f>CHAMNORD!H58+AIX!H58+BELLEY!H58+STALBAN!H58+ABRETS!H58+PONT!H58+FRANCIN!H58+VIVIERS!H58</f>
        <v>116394.18</v>
      </c>
      <c r="I58" s="13">
        <f>CHAMNORD!I58+AIX!I58+BELLEY!I58+STALBAN!I58+ABRETS!I58+PONT!I58+FRANCIN!I58+VIVIERS!I58</f>
        <v>114865.95</v>
      </c>
      <c r="J58" s="14">
        <f>CHAMNORD!J58+AIX!J58+BELLEY!J58+STALBAN!J58+ABRETS!J58+PONT!J58+FRANCIN!J58+VIVIERS!J58</f>
        <v>5207</v>
      </c>
      <c r="K58" s="15">
        <f>CHAMNORD!K58+AIX!K58+BELLEY!K58+STALBAN!K58+ABRETS!K58+PONT!K58+FRANCIN!K58+VIVIERS!K58</f>
        <v>1103.3300000000002</v>
      </c>
      <c r="L58" s="15">
        <f>CHAMNORD!L58+AIX!L58+BELLEY!L58+STALBAN!L58+ABRETS!L58+PONT!L58+FRANCIN!L58+VIVIERS!L58</f>
        <v>1242.54</v>
      </c>
      <c r="M58" s="15">
        <f>CHAMNORD!M58+AIX!M58+BELLEY!M58+STALBAN!M58+ABRETS!M58+PONT!M58+FRANCIN!M58+VIVIERS!M58</f>
        <v>527.37</v>
      </c>
      <c r="N58" s="16">
        <f t="shared" si="2"/>
        <v>4.5911778033438108E-3</v>
      </c>
      <c r="O58" s="17">
        <f t="shared" si="3"/>
        <v>-3.0074902271555768E-2</v>
      </c>
      <c r="P58" s="17">
        <f t="shared" si="4"/>
        <v>-0.10270549715664312</v>
      </c>
      <c r="Q58" s="18">
        <f t="shared" si="0"/>
        <v>104.10842630944502</v>
      </c>
      <c r="R58" s="18">
        <f t="shared" si="1"/>
        <v>92.444468588536381</v>
      </c>
      <c r="S58" s="37">
        <f>(S57-SUM(F52:F58))/(SUM(F52:F58))</f>
        <v>-6.4208691863631415E-2</v>
      </c>
      <c r="T58" s="47">
        <f>SUM(M52:M58)/SUM(I52:I58)</f>
        <v>4.9287559605982667E-3</v>
      </c>
      <c r="U58" s="1739"/>
    </row>
    <row r="59" spans="1:25" ht="17" customHeight="1" thickTop="1">
      <c r="A59" s="10" t="s">
        <v>9</v>
      </c>
      <c r="B59" s="905">
        <v>45711</v>
      </c>
      <c r="C59" s="76">
        <f>IF(G59=0,0,CHAMNORD!C59+AIX!C59+BELLEY!C59+STALBAN!C59+ABRETS!C59+PONT!C59+FRANCIN!C59+VIVIERS!C59)</f>
        <v>119729.15000000001</v>
      </c>
      <c r="D59" s="76">
        <f>IF(H59=0,0,CHAMNORD!D59+AIX!D59+BELLEY!D59+STALBAN!D59+ABRETS!D59+PONT!D59+FRANCIN!D59+VIVIERS!D59)</f>
        <v>78140.140000000014</v>
      </c>
      <c r="E59" s="76">
        <f>IF(I59=0,0,CHAMNORD!E59+AIX!E59+BELLEY!E59+STALBAN!E59+ABRETS!E59+PONT!E59+FRANCIN!E59+VIVIERS!E59)</f>
        <v>77245.41</v>
      </c>
      <c r="F59" s="20">
        <f>IF(J59=0,0,CHAMNORD!F59+AIX!F59+BELLEY!F59+STALBAN!F59+ABRETS!F59+PONT!F59+FRANCIN!F59+VIVIERS!F59)</f>
        <v>4423</v>
      </c>
      <c r="G59" s="40">
        <f>IF(I59=0,0,CHAMNORD!G59+AIX!G59+BELLEY!G59+STALBAN!G59+ABRETS!G59+PONT!G59+FRANCIN!G59+VIVIERS!G59)</f>
        <v>77100</v>
      </c>
      <c r="H59" s="42">
        <f>CHAMNORD!H59+AIX!H59+BELLEY!H59+STALBAN!H59+ABRETS!H59+PONT!H59+FRANCIN!H59+VIVIERS!H59</f>
        <v>57394.18</v>
      </c>
      <c r="I59" s="13">
        <f>CHAMNORD!I59+AIX!I59+BELLEY!I59+STALBAN!I59+ABRETS!I59+PONT!I59+FRANCIN!I59+VIVIERS!I59</f>
        <v>56732.98</v>
      </c>
      <c r="J59" s="14">
        <f>CHAMNORD!J59+AIX!J59+BELLEY!J59+STALBAN!J59+ABRETS!J59+PONT!J59+FRANCIN!J59+VIVIERS!J59</f>
        <v>3323</v>
      </c>
      <c r="K59" s="15">
        <f>CHAMNORD!K59+AIX!K59+BELLEY!K59+STALBAN!K59+ABRETS!K59+PONT!K59+FRANCIN!K59+VIVIERS!K59</f>
        <v>784.28000000000009</v>
      </c>
      <c r="L59" s="15">
        <f>CHAMNORD!L59+AIX!L59+BELLEY!L59+STALBAN!L59+ABRETS!L59+PONT!L59+FRANCIN!L59+VIVIERS!L59</f>
        <v>921.3</v>
      </c>
      <c r="M59" s="15">
        <f>CHAMNORD!M59+AIX!M59+BELLEY!M59+STALBAN!M59+ABRETS!M59+PONT!M59+FRANCIN!M59+VIVIERS!M59</f>
        <v>530.05999999999995</v>
      </c>
      <c r="N59" s="16">
        <f t="shared" si="2"/>
        <v>9.3430664139271362E-3</v>
      </c>
      <c r="O59" s="17">
        <f t="shared" si="3"/>
        <v>-0.26554885267616546</v>
      </c>
      <c r="P59" s="17">
        <f t="shared" si="4"/>
        <v>-0.24869997739091115</v>
      </c>
      <c r="Q59" s="18">
        <f t="shared" si="0"/>
        <v>72.337660019380834</v>
      </c>
      <c r="R59" s="18">
        <f t="shared" si="1"/>
        <v>61.579268425051566</v>
      </c>
      <c r="S59" s="33" t="s">
        <v>482</v>
      </c>
      <c r="T59" s="31" t="s">
        <v>42</v>
      </c>
      <c r="U59" s="1737" t="s">
        <v>91</v>
      </c>
    </row>
    <row r="60" spans="1:25">
      <c r="A60" s="10" t="s">
        <v>11</v>
      </c>
      <c r="B60" s="905">
        <v>45712</v>
      </c>
      <c r="C60" s="76">
        <f>IF(G60=0,0,CHAMNORD!C60+AIX!C60+BELLEY!C60+STALBAN!C60+ABRETS!C60+PONT!C60+FRANCIN!C60+VIVIERS!C60)</f>
        <v>78140.140000000014</v>
      </c>
      <c r="D60" s="76">
        <f>IF(H60=0,0,CHAMNORD!D60+AIX!D60+BELLEY!D60+STALBAN!D60+ABRETS!D60+PONT!D60+FRANCIN!D60+VIVIERS!D60)</f>
        <v>81005.149999999994</v>
      </c>
      <c r="E60" s="76">
        <f>IF(I60=0,0,CHAMNORD!E60+AIX!E60+BELLEY!E60+STALBAN!E60+ABRETS!E60+PONT!E60+FRANCIN!E60+VIVIERS!E60)</f>
        <v>80078.67</v>
      </c>
      <c r="F60" s="20">
        <f>IF(J60=0,0,CHAMNORD!F60+AIX!F60+BELLEY!F60+STALBAN!F60+ABRETS!F60+PONT!F60+FRANCIN!F60+VIVIERS!F60)</f>
        <v>4529</v>
      </c>
      <c r="G60" s="40">
        <f>IF(I60=0,0,CHAMNORD!G60+AIX!G60+BELLEY!G60+STALBAN!G60+ABRETS!G60+PONT!G60+FRANCIN!G60+VIVIERS!G60)</f>
        <v>78700</v>
      </c>
      <c r="H60" s="42">
        <f>CHAMNORD!H60+AIX!H60+BELLEY!H60+STALBAN!H60+ABRETS!H60+PONT!H60+FRANCIN!H60+VIVIERS!H60</f>
        <v>63531.67</v>
      </c>
      <c r="I60" s="13">
        <f>CHAMNORD!I60+AIX!I60+BELLEY!I60+STALBAN!I60+ABRETS!I60+PONT!I60+FRANCIN!I60+VIVIERS!I60</f>
        <v>62789.990000000005</v>
      </c>
      <c r="J60" s="14">
        <f>CHAMNORD!J60+AIX!J60+BELLEY!J60+STALBAN!J60+ABRETS!J60+PONT!J60+FRANCIN!J60+VIVIERS!J60</f>
        <v>3613</v>
      </c>
      <c r="K60" s="15">
        <f>CHAMNORD!K60+AIX!K60+BELLEY!K60+STALBAN!K60+ABRETS!K60+PONT!K60+FRANCIN!K60+VIVIERS!K60</f>
        <v>820.4899999999999</v>
      </c>
      <c r="L60" s="15">
        <f>CHAMNORD!L60+AIX!L60+BELLEY!L60+STALBAN!L60+ABRETS!L60+PONT!L60+FRANCIN!L60+VIVIERS!L60</f>
        <v>941.43</v>
      </c>
      <c r="M60" s="15">
        <f>CHAMNORD!M60+AIX!M60+BELLEY!M60+STALBAN!M60+ABRETS!M60+PONT!M60+FRANCIN!M60+VIVIERS!M60</f>
        <v>604.7600000000001</v>
      </c>
      <c r="N60" s="16">
        <f t="shared" si="2"/>
        <v>9.63147151321413E-3</v>
      </c>
      <c r="O60" s="17">
        <f t="shared" si="3"/>
        <v>-0.21589619308112876</v>
      </c>
      <c r="P60" s="17">
        <f t="shared" si="4"/>
        <v>-0.20225215279311107</v>
      </c>
      <c r="Q60" s="18">
        <f t="shared" si="0"/>
        <v>76.527428731611607</v>
      </c>
      <c r="R60" s="18">
        <f t="shared" si="1"/>
        <v>66.696398032779925</v>
      </c>
      <c r="S60" s="34">
        <f>SUM(I59:I65)</f>
        <v>663052.30000000005</v>
      </c>
      <c r="T60" s="45" t="s">
        <v>41</v>
      </c>
      <c r="U60" s="1738"/>
      <c r="W60" s="202">
        <f>+S60</f>
        <v>663052.30000000005</v>
      </c>
      <c r="X60" s="202">
        <f>SUM(CHAMNORD!E59:E65)+SUM(AIX!E59:E65)+SUM(BELLEY!E59:E65)+SUM(STALBAN!E59:E65)+SUM(ABRETS!E59:E65)+SUM(PONT!E59:E65)+SUM(FRANCIN!E59:E65)+SUM(VIVIERS!E59:E65)</f>
        <v>734742.14999999991</v>
      </c>
      <c r="Y60" s="202">
        <f>+W60-X60</f>
        <v>-71689.84999999986</v>
      </c>
    </row>
    <row r="61" spans="1:25">
      <c r="A61" s="10" t="s">
        <v>12</v>
      </c>
      <c r="B61" s="905">
        <v>45713</v>
      </c>
      <c r="C61" s="76">
        <f>IF(G61=0,0,CHAMNORD!C61+AIX!C61+BELLEY!C61+STALBAN!C61+ABRETS!C61+PONT!C61+FRANCIN!C61+VIVIERS!C61)</f>
        <v>81005.149999999994</v>
      </c>
      <c r="D61" s="76">
        <f>IF(H61=0,0,CHAMNORD!D61+AIX!D61+BELLEY!D61+STALBAN!D61+ABRETS!D61+PONT!D61+FRANCIN!D61+VIVIERS!D61)</f>
        <v>90918.37999999999</v>
      </c>
      <c r="E61" s="76">
        <f>IF(I61=0,0,CHAMNORD!E61+AIX!E61+BELLEY!E61+STALBAN!E61+ABRETS!E61+PONT!E61+FRANCIN!E61+VIVIERS!E61)</f>
        <v>89830.85</v>
      </c>
      <c r="F61" s="20">
        <f>IF(J61=0,0,CHAMNORD!F61+AIX!F61+BELLEY!F61+STALBAN!F61+ABRETS!F61+PONT!F61+FRANCIN!F61+VIVIERS!F61)</f>
        <v>5009</v>
      </c>
      <c r="G61" s="40">
        <f>IF(I61=0,0,CHAMNORD!G61+AIX!G61+BELLEY!G61+STALBAN!G61+ABRETS!G61+PONT!G61+FRANCIN!G61+VIVIERS!G61)</f>
        <v>90500</v>
      </c>
      <c r="H61" s="42">
        <f>CHAMNORD!H61+AIX!H61+BELLEY!H61+STALBAN!H61+ABRETS!H61+PONT!H61+FRANCIN!H61+VIVIERS!H61</f>
        <v>85344.35</v>
      </c>
      <c r="I61" s="13">
        <f>CHAMNORD!I61+AIX!I61+BELLEY!I61+STALBAN!I61+ABRETS!I61+PONT!I61+FRANCIN!I61+VIVIERS!I61</f>
        <v>84228.430000000008</v>
      </c>
      <c r="J61" s="14">
        <f>CHAMNORD!J61+AIX!J61+BELLEY!J61+STALBAN!J61+ABRETS!J61+PONT!J61+FRANCIN!J61+VIVIERS!J61</f>
        <v>4585</v>
      </c>
      <c r="K61" s="15">
        <f>CHAMNORD!K61+AIX!K61+BELLEY!K61+STALBAN!K61+ABRETS!K61+PONT!K61+FRANCIN!K61+VIVIERS!K61</f>
        <v>951.90999999999985</v>
      </c>
      <c r="L61" s="15">
        <f>CHAMNORD!L61+AIX!L61+BELLEY!L61+STALBAN!L61+ABRETS!L61+PONT!L61+FRANCIN!L61+VIVIERS!L61</f>
        <v>1111.6199999999999</v>
      </c>
      <c r="M61" s="15">
        <f>CHAMNORD!M61+AIX!M61+BELLEY!M61+STALBAN!M61+ABRETS!M61+PONT!M61+FRANCIN!M61+VIVIERS!M61</f>
        <v>478.30000000000007</v>
      </c>
      <c r="N61" s="16">
        <f t="shared" si="2"/>
        <v>5.6786051930446764E-3</v>
      </c>
      <c r="O61" s="17">
        <f t="shared" si="3"/>
        <v>-6.2366325154443021E-2</v>
      </c>
      <c r="P61" s="17">
        <f t="shared" si="4"/>
        <v>-8.4647634258334992E-2</v>
      </c>
      <c r="Q61" s="18">
        <f t="shared" si="0"/>
        <v>88.483606643485231</v>
      </c>
      <c r="R61" s="18">
        <f t="shared" si="1"/>
        <v>75.770883935157713</v>
      </c>
      <c r="S61" s="35">
        <f>(S60-SUM(E59:E65))/(SUM(E59:E65))</f>
        <v>-9.757144053869779E-2</v>
      </c>
      <c r="T61" s="48">
        <f>SUM(I59:I65)/SUM(K59:K65)</f>
        <v>94.756140085116613</v>
      </c>
      <c r="U61" s="1738"/>
      <c r="W61" s="202"/>
      <c r="X61" s="202"/>
      <c r="Y61" s="202"/>
    </row>
    <row r="62" spans="1:25">
      <c r="A62" s="10" t="s">
        <v>13</v>
      </c>
      <c r="B62" s="905">
        <v>45714</v>
      </c>
      <c r="C62" s="76">
        <f>IF(G62=0,0,CHAMNORD!C62+AIX!C62+BELLEY!C62+STALBAN!C62+ABRETS!C62+PONT!C62+FRANCIN!C62+VIVIERS!C62)</f>
        <v>90918.37999999999</v>
      </c>
      <c r="D62" s="76">
        <f>IF(H62=0,0,CHAMNORD!D62+AIX!D62+BELLEY!D62+STALBAN!D62+ABRETS!D62+PONT!D62+FRANCIN!D62+VIVIERS!D62)</f>
        <v>97389.229999999981</v>
      </c>
      <c r="E62" s="76">
        <f>IF(I62=0,0,CHAMNORD!E62+AIX!E62+BELLEY!E62+STALBAN!E62+ABRETS!E62+PONT!E62+FRANCIN!E62+VIVIERS!E62)</f>
        <v>96217.61</v>
      </c>
      <c r="F62" s="20">
        <f>IF(J62=0,0,CHAMNORD!F62+AIX!F62+BELLEY!F62+STALBAN!F62+ABRETS!F62+PONT!F62+FRANCIN!F62+VIVIERS!F62)</f>
        <v>5332</v>
      </c>
      <c r="G62" s="40">
        <f>IF(I62=0,0,CHAMNORD!G62+AIX!G62+BELLEY!G62+STALBAN!G62+ABRETS!G62+PONT!G62+FRANCIN!G62+VIVIERS!G62)</f>
        <v>94900</v>
      </c>
      <c r="H62" s="42">
        <f>CHAMNORD!H62+AIX!H62+BELLEY!H62+STALBAN!H62+ABRETS!H62+PONT!H62+FRANCIN!H62+VIVIERS!H62</f>
        <v>76607.240000000005</v>
      </c>
      <c r="I62" s="13">
        <f>CHAMNORD!I62+AIX!I62+BELLEY!I62+STALBAN!I62+ABRETS!I62+PONT!I62+FRANCIN!I62+VIVIERS!I62</f>
        <v>75773.42</v>
      </c>
      <c r="J62" s="14">
        <f>CHAMNORD!J62+AIX!J62+BELLEY!J62+STALBAN!J62+ABRETS!J62+PONT!J62+FRANCIN!J62+VIVIERS!J62</f>
        <v>4128</v>
      </c>
      <c r="K62" s="15">
        <f>CHAMNORD!K62+AIX!K62+BELLEY!K62+STALBAN!K62+ABRETS!K62+PONT!K62+FRANCIN!K62+VIVIERS!K62</f>
        <v>857.18000000000006</v>
      </c>
      <c r="L62" s="15">
        <f>CHAMNORD!L62+AIX!L62+BELLEY!L62+STALBAN!L62+ABRETS!L62+PONT!L62+FRANCIN!L62+VIVIERS!L62</f>
        <v>1007.34</v>
      </c>
      <c r="M62" s="15">
        <f>CHAMNORD!M62+AIX!M62+BELLEY!M62+STALBAN!M62+ABRETS!M62+PONT!M62+FRANCIN!M62+VIVIERS!M62</f>
        <v>374.15999999999997</v>
      </c>
      <c r="N62" s="16">
        <f t="shared" si="2"/>
        <v>4.9378792721774993E-3</v>
      </c>
      <c r="O62" s="17">
        <f t="shared" si="3"/>
        <v>-0.2124786720435064</v>
      </c>
      <c r="P62" s="17">
        <f t="shared" si="4"/>
        <v>-0.22580645161290322</v>
      </c>
      <c r="Q62" s="18">
        <f t="shared" si="0"/>
        <v>88.398492731981605</v>
      </c>
      <c r="R62" s="18">
        <f t="shared" si="1"/>
        <v>75.221295689638055</v>
      </c>
      <c r="S62" s="34"/>
      <c r="T62" s="29" t="s">
        <v>8</v>
      </c>
      <c r="U62" s="1738"/>
    </row>
    <row r="63" spans="1:25">
      <c r="A63" s="10" t="s">
        <v>14</v>
      </c>
      <c r="B63" s="905">
        <v>45715</v>
      </c>
      <c r="C63" s="76">
        <f>IF(G63=0,0,CHAMNORD!C63+AIX!C63+BELLEY!C63+STALBAN!C63+ABRETS!C63+PONT!C63+FRANCIN!C63+VIVIERS!C63)</f>
        <v>97389.229999999981</v>
      </c>
      <c r="D63" s="76">
        <f>IF(H63=0,0,CHAMNORD!D63+AIX!D63+BELLEY!D63+STALBAN!D63+ABRETS!D63+PONT!D63+FRANCIN!D63+VIVIERS!D63)</f>
        <v>135606.52000000002</v>
      </c>
      <c r="E63" s="76">
        <f>IF(I63=0,0,CHAMNORD!E63+AIX!E63+BELLEY!E63+STALBAN!E63+ABRETS!E63+PONT!E63+FRANCIN!E63+VIVIERS!E63)</f>
        <v>134088.97</v>
      </c>
      <c r="F63" s="20">
        <f>IF(J63=0,0,CHAMNORD!F63+AIX!F63+BELLEY!F63+STALBAN!F63+ABRETS!F63+PONT!F63+FRANCIN!F63+VIVIERS!F63)</f>
        <v>6878</v>
      </c>
      <c r="G63" s="40">
        <f>IF(I63=0,0,CHAMNORD!G63+AIX!G63+BELLEY!G63+STALBAN!G63+ABRETS!G63+PONT!G63+FRANCIN!G63+VIVIERS!G63)</f>
        <v>134800</v>
      </c>
      <c r="H63" s="42">
        <f>CHAMNORD!H63+AIX!H63+BELLEY!H63+STALBAN!H63+ABRETS!H63+PONT!H63+FRANCIN!H63+VIVIERS!H63</f>
        <v>126978.93999999999</v>
      </c>
      <c r="I63" s="13">
        <f>CHAMNORD!I63+AIX!I63+BELLEY!I63+STALBAN!I63+ABRETS!I63+PONT!I63+FRANCIN!I63+VIVIERS!I63</f>
        <v>125546.57</v>
      </c>
      <c r="J63" s="14">
        <f>CHAMNORD!J63+AIX!J63+BELLEY!J63+STALBAN!J63+ABRETS!J63+PONT!J63+FRANCIN!J63+VIVIERS!J63</f>
        <v>6255</v>
      </c>
      <c r="K63" s="15">
        <f>CHAMNORD!K63+AIX!K63+BELLEY!K63+STALBAN!K63+ABRETS!K63+PONT!K63+FRANCIN!K63+VIVIERS!K63</f>
        <v>1202.3</v>
      </c>
      <c r="L63" s="15">
        <f>CHAMNORD!L63+AIX!L63+BELLEY!L63+STALBAN!L63+ABRETS!L63+PONT!L63+FRANCIN!L63+VIVIERS!L63</f>
        <v>1346.1599999999999</v>
      </c>
      <c r="M63" s="15">
        <f>CHAMNORD!M63+AIX!M63+BELLEY!M63+STALBAN!M63+ABRETS!M63+PONT!M63+FRANCIN!M63+VIVIERS!M63</f>
        <v>540.02</v>
      </c>
      <c r="N63" s="16">
        <f t="shared" si="2"/>
        <v>4.3013520799492968E-3</v>
      </c>
      <c r="O63" s="17">
        <f t="shared" si="3"/>
        <v>-6.3706955165663465E-2</v>
      </c>
      <c r="P63" s="17">
        <f t="shared" si="4"/>
        <v>-9.057865658621693E-2</v>
      </c>
      <c r="Q63" s="18">
        <f t="shared" si="0"/>
        <v>104.42199950095652</v>
      </c>
      <c r="R63" s="18">
        <f t="shared" si="1"/>
        <v>93.262739941760287</v>
      </c>
      <c r="S63" s="36" t="s">
        <v>40</v>
      </c>
      <c r="T63" s="48">
        <f>SUM(I59:I65)/SUM(L59:L65)</f>
        <v>82.895111574520328</v>
      </c>
      <c r="U63" s="1738"/>
    </row>
    <row r="64" spans="1:25">
      <c r="A64" s="10" t="s">
        <v>15</v>
      </c>
      <c r="B64" s="905">
        <v>45716</v>
      </c>
      <c r="C64" s="76">
        <f>IF(G64=0,0,CHAMNORD!C64+AIX!C64+BELLEY!C64+STALBAN!C64+ABRETS!C64+PONT!C64+FRANCIN!C64+VIVIERS!C64)</f>
        <v>135606.52000000002</v>
      </c>
      <c r="D64" s="76">
        <f>IF(H64=0,0,CHAMNORD!D64+AIX!D64+BELLEY!D64+STALBAN!D64+ABRETS!D64+PONT!D64+FRANCIN!D64+VIVIERS!D64)</f>
        <v>134380.24</v>
      </c>
      <c r="E64" s="76">
        <f>IF(I64=0,0,CHAMNORD!E64+AIX!E64+BELLEY!E64+STALBAN!E64+ABRETS!E64+PONT!E64+FRANCIN!E64+VIVIERS!E64)</f>
        <v>132818.72999999998</v>
      </c>
      <c r="F64" s="20">
        <f>IF(J64=0,0,CHAMNORD!F64+AIX!F64+BELLEY!F64+STALBAN!F64+ABRETS!F64+PONT!F64+FRANCIN!F64+VIVIERS!F64)</f>
        <v>6387</v>
      </c>
      <c r="G64" s="40">
        <f>IF(I64=0,0,CHAMNORD!G64+AIX!G64+BELLEY!G64+STALBAN!G64+ABRETS!G64+PONT!G64+FRANCIN!G64+VIVIERS!G64)</f>
        <v>135800</v>
      </c>
      <c r="H64" s="42">
        <f>CHAMNORD!H64+AIX!H64+BELLEY!H64+STALBAN!H64+ABRETS!H64+PONT!H64+FRANCIN!H64+VIVIERS!H64</f>
        <v>133083.77000000002</v>
      </c>
      <c r="I64" s="13">
        <f>CHAMNORD!I64+AIX!I64+BELLEY!I64+STALBAN!I64+ABRETS!I64+PONT!I64+FRANCIN!I64+VIVIERS!I64</f>
        <v>131430.46</v>
      </c>
      <c r="J64" s="14">
        <f>CHAMNORD!J64+AIX!J64+BELLEY!J64+STALBAN!J64+ABRETS!J64+PONT!J64+FRANCIN!J64+VIVIERS!J64</f>
        <v>6133</v>
      </c>
      <c r="K64" s="15">
        <f>CHAMNORD!K64+AIX!K64+BELLEY!K64+STALBAN!K64+ABRETS!K64+PONT!K64+FRANCIN!K64+VIVIERS!K64</f>
        <v>1292.6599999999999</v>
      </c>
      <c r="L64" s="15">
        <f>CHAMNORD!L64+AIX!L64+BELLEY!L64+STALBAN!L64+ABRETS!L64+PONT!L64+FRANCIN!L64+VIVIERS!L64</f>
        <v>1446.46</v>
      </c>
      <c r="M64" s="15">
        <f>CHAMNORD!M64+AIX!M64+BELLEY!M64+STALBAN!M64+ABRETS!M64+PONT!M64+FRANCIN!M64+VIVIERS!M64</f>
        <v>586.79</v>
      </c>
      <c r="N64" s="16">
        <f t="shared" si="2"/>
        <v>4.4646423667694685E-3</v>
      </c>
      <c r="O64" s="17">
        <f t="shared" si="3"/>
        <v>-1.0452366168536543E-2</v>
      </c>
      <c r="P64" s="17">
        <f t="shared" si="4"/>
        <v>-3.9768279317363396E-2</v>
      </c>
      <c r="Q64" s="18">
        <f t="shared" si="0"/>
        <v>101.67442328222425</v>
      </c>
      <c r="R64" s="18">
        <f t="shared" si="1"/>
        <v>90.863528891224078</v>
      </c>
      <c r="S64" s="36">
        <f>SUM(J59:J65)</f>
        <v>33809</v>
      </c>
      <c r="T64" s="30" t="s">
        <v>3</v>
      </c>
      <c r="U64" s="1738"/>
    </row>
    <row r="65" spans="1:25" ht="18" thickBot="1">
      <c r="A65" s="10" t="s">
        <v>16</v>
      </c>
      <c r="B65" s="905">
        <v>45717</v>
      </c>
      <c r="C65" s="76">
        <f>IF(G65=0,0,CHAMNORD!C65+AIX!C65+BELLEY!C65+STALBAN!C65+ABRETS!C65+PONT!C65+FRANCIN!C65+VIVIERS!C65)</f>
        <v>134380.24</v>
      </c>
      <c r="D65" s="76">
        <f>IF(H65=0,0,CHAMNORD!D65+AIX!D65+BELLEY!D65+STALBAN!D65+ABRETS!D65+PONT!D65+FRANCIN!D65+VIVIERS!D65)</f>
        <v>125760.63999999998</v>
      </c>
      <c r="E65" s="76">
        <f>IF(I65=0,0,CHAMNORD!E65+AIX!E65+BELLEY!E65+STALBAN!E65+ABRETS!E65+PONT!E65+FRANCIN!E65+VIVIERS!E65)</f>
        <v>124461.91</v>
      </c>
      <c r="F65" s="20">
        <f>IF(J65=0,0,CHAMNORD!F65+AIX!F65+BELLEY!F65+STALBAN!F65+ABRETS!F65+PONT!F65+FRANCIN!F65+VIVIERS!F65)</f>
        <v>5925</v>
      </c>
      <c r="G65" s="40">
        <f>IF(I65=0,0,CHAMNORD!G65+AIX!G65+BELLEY!G65+STALBAN!G65+ABRETS!G65+PONT!G65+FRANCIN!G65+VIVIERS!G65)</f>
        <v>126800</v>
      </c>
      <c r="H65" s="42">
        <f>CHAMNORD!H65+AIX!H65+BELLEY!H65+STALBAN!H65+ABRETS!H65+PONT!H65+FRANCIN!H65+VIVIERS!H65</f>
        <v>128142.05000000002</v>
      </c>
      <c r="I65" s="13">
        <f>CHAMNORD!I65+AIX!I65+BELLEY!I65+STALBAN!I65+ABRETS!I65+PONT!I65+FRANCIN!I65+VIVIERS!I65</f>
        <v>126550.45000000003</v>
      </c>
      <c r="J65" s="14">
        <f>CHAMNORD!J65+AIX!J65+BELLEY!J65+STALBAN!J65+ABRETS!J65+PONT!J65+FRANCIN!J65+VIVIERS!J65</f>
        <v>5772</v>
      </c>
      <c r="K65" s="15">
        <f>CHAMNORD!K65+AIX!K65+BELLEY!K65+STALBAN!K65+ABRETS!K65+PONT!K65+FRANCIN!K65+VIVIERS!K65</f>
        <v>1088.6400000000001</v>
      </c>
      <c r="L65" s="15">
        <f>CHAMNORD!L65+AIX!L65+BELLEY!L65+STALBAN!L65+ABRETS!L65+PONT!L65+FRANCIN!L65+VIVIERS!L65</f>
        <v>1224.3800000000001</v>
      </c>
      <c r="M65" s="15">
        <f>CHAMNORD!M65+AIX!M65+BELLEY!M65+STALBAN!M65+ABRETS!M65+PONT!M65+FRANCIN!M65+VIVIERS!M65</f>
        <v>477.84</v>
      </c>
      <c r="N65" s="16">
        <f t="shared" si="2"/>
        <v>3.7758854275113194E-3</v>
      </c>
      <c r="O65" s="17">
        <f t="shared" si="3"/>
        <v>1.6780555593273658E-2</v>
      </c>
      <c r="P65" s="17">
        <f t="shared" si="4"/>
        <v>-2.5822784810126582E-2</v>
      </c>
      <c r="Q65" s="18">
        <f t="shared" si="0"/>
        <v>116.24637161963553</v>
      </c>
      <c r="R65" s="18">
        <f t="shared" si="1"/>
        <v>103.3588020059132</v>
      </c>
      <c r="S65" s="37">
        <f>(S64-SUM(F59:F65))/(SUM(F59:F65))</f>
        <v>-0.12145622742509679</v>
      </c>
      <c r="T65" s="47">
        <f>SUM(M59:M65)/SUM(I59:I65)</f>
        <v>5.4172649729139011E-3</v>
      </c>
      <c r="U65" s="1739"/>
    </row>
    <row r="66" spans="1:25" ht="17" customHeight="1" thickTop="1">
      <c r="A66" s="10" t="s">
        <v>9</v>
      </c>
      <c r="B66" s="905">
        <v>45718</v>
      </c>
      <c r="C66" s="76">
        <f>IF(G66=0,0,CHAMNORD!C66+AIX!C66+BELLEY!C66+STALBAN!C66+ABRETS!C66+PONT!C66+FRANCIN!C66+VIVIERS!C66)</f>
        <v>125760.63999999998</v>
      </c>
      <c r="D66" s="76">
        <f>IF(H66=0,0,CHAMNORD!D66+AIX!D66+BELLEY!D66+STALBAN!D66+ABRETS!D66+PONT!D66+FRANCIN!D66+VIVIERS!D66)</f>
        <v>81553.240000000005</v>
      </c>
      <c r="E66" s="76">
        <f>IF(I66=0,0,CHAMNORD!E66+AIX!E66+BELLEY!E66+STALBAN!E66+ABRETS!E66+PONT!E66+FRANCIN!E66+VIVIERS!E66)</f>
        <v>80658.190000000017</v>
      </c>
      <c r="F66" s="20">
        <f>IF(J66=0,0,CHAMNORD!F66+AIX!F66+BELLEY!F66+STALBAN!F66+ABRETS!F66+PONT!F66+FRANCIN!F66+VIVIERS!F66)</f>
        <v>4509</v>
      </c>
      <c r="G66" s="40">
        <f>IF(I66=0,0,CHAMNORD!G66+AIX!G66+BELLEY!G66+STALBAN!G66+ABRETS!G66+PONT!G66+FRANCIN!G66+VIVIERS!G66)</f>
        <v>77550</v>
      </c>
      <c r="H66" s="42">
        <f>CHAMNORD!H66+AIX!H66+BELLEY!H66+STALBAN!H66+ABRETS!H66+PONT!H66+FRANCIN!H66+VIVIERS!H66</f>
        <v>62453.279999999999</v>
      </c>
      <c r="I66" s="13">
        <f>CHAMNORD!I66+AIX!I66+BELLEY!I66+STALBAN!I66+ABRETS!I66+PONT!I66+FRANCIN!I66+VIVIERS!I66</f>
        <v>61582.180000000008</v>
      </c>
      <c r="J66" s="14">
        <f>CHAMNORD!J66+AIX!J66+BELLEY!J66+STALBAN!J66+ABRETS!J66+PONT!J66+FRANCIN!J66+VIVIERS!J66</f>
        <v>3504</v>
      </c>
      <c r="K66" s="15">
        <f>CHAMNORD!K66+AIX!K66+BELLEY!K66+STALBAN!K66+ABRETS!K66+PONT!K66+FRANCIN!K66+VIVIERS!K66</f>
        <v>806.21</v>
      </c>
      <c r="L66" s="15">
        <f>CHAMNORD!L66+AIX!L66+BELLEY!L66+STALBAN!L66+ABRETS!L66+PONT!L66+FRANCIN!L66+VIVIERS!L66</f>
        <v>928.32999999999993</v>
      </c>
      <c r="M66" s="15">
        <f>CHAMNORD!M66+AIX!M66+BELLEY!M66+STALBAN!M66+ABRETS!M66+PONT!M66+FRANCIN!M66+VIVIERS!M66</f>
        <v>486.69</v>
      </c>
      <c r="N66" s="16">
        <f t="shared" si="2"/>
        <v>7.9030979416448068E-3</v>
      </c>
      <c r="O66" s="17">
        <f t="shared" si="3"/>
        <v>-0.23650431530883603</v>
      </c>
      <c r="P66" s="17">
        <f t="shared" si="4"/>
        <v>-0.22288755821689954</v>
      </c>
      <c r="Q66" s="18">
        <f t="shared" si="0"/>
        <v>76.38478808250953</v>
      </c>
      <c r="R66" s="18">
        <f t="shared" si="1"/>
        <v>66.336518263979414</v>
      </c>
      <c r="S66" s="33" t="s">
        <v>482</v>
      </c>
      <c r="T66" s="31" t="s">
        <v>42</v>
      </c>
      <c r="U66" s="1737" t="s">
        <v>92</v>
      </c>
    </row>
    <row r="67" spans="1:25">
      <c r="A67" s="10" t="s">
        <v>11</v>
      </c>
      <c r="B67" s="905">
        <v>45719</v>
      </c>
      <c r="C67" s="76">
        <f>IF(G67=0,0,CHAMNORD!C67+AIX!C67+BELLEY!C67+STALBAN!C67+ABRETS!C67+PONT!C67+FRANCIN!C67+VIVIERS!C67)</f>
        <v>81553.240000000005</v>
      </c>
      <c r="D67" s="76">
        <f>IF(H67=0,0,CHAMNORD!D67+AIX!D67+BELLEY!D67+STALBAN!D67+ABRETS!D67+PONT!D67+FRANCIN!D67+VIVIERS!D67)</f>
        <v>85910.239999999991</v>
      </c>
      <c r="E67" s="76">
        <f>IF(I67=0,0,CHAMNORD!E67+AIX!E67+BELLEY!E67+STALBAN!E67+ABRETS!E67+PONT!E67+FRANCIN!E67+VIVIERS!E67)</f>
        <v>84864.23</v>
      </c>
      <c r="F67" s="20">
        <f>IF(J67=0,0,CHAMNORD!F67+AIX!F67+BELLEY!F67+STALBAN!F67+ABRETS!F67+PONT!F67+FRANCIN!F67+VIVIERS!F67)</f>
        <v>4776</v>
      </c>
      <c r="G67" s="40">
        <f>IF(I67=0,0,CHAMNORD!G67+AIX!G67+BELLEY!G67+STALBAN!G67+ABRETS!G67+PONT!G67+FRANCIN!G67+VIVIERS!G67)</f>
        <v>80300</v>
      </c>
      <c r="H67" s="42">
        <f>CHAMNORD!H67+AIX!H67+BELLEY!H67+STALBAN!H67+ABRETS!H67+PONT!H67+FRANCIN!H67+VIVIERS!H67</f>
        <v>69351.64</v>
      </c>
      <c r="I67" s="13">
        <f>CHAMNORD!I67+AIX!I67+BELLEY!I67+STALBAN!I67+ABRETS!I67+PONT!I67+FRANCIN!I67+VIVIERS!I67</f>
        <v>68553.3</v>
      </c>
      <c r="J67" s="14">
        <f>CHAMNORD!J67+AIX!J67+BELLEY!J67+STALBAN!J67+ABRETS!J67+PONT!J67+FRANCIN!J67+VIVIERS!J67</f>
        <v>3819</v>
      </c>
      <c r="K67" s="15">
        <f>CHAMNORD!K67+AIX!K67+BELLEY!K67+STALBAN!K67+ABRETS!K67+PONT!K67+FRANCIN!K67+VIVIERS!K67</f>
        <v>780.04000000000008</v>
      </c>
      <c r="L67" s="15">
        <f>CHAMNORD!L67+AIX!L67+BELLEY!L67+STALBAN!L67+ABRETS!L67+PONT!L67+FRANCIN!L67+VIVIERS!L67</f>
        <v>895.81</v>
      </c>
      <c r="M67" s="15">
        <f>CHAMNORD!M67+AIX!M67+BELLEY!M67+STALBAN!M67+ABRETS!M67+PONT!M67+FRANCIN!M67+VIVIERS!M67</f>
        <v>506.99</v>
      </c>
      <c r="N67" s="16">
        <f t="shared" si="2"/>
        <v>7.3955593676744954E-3</v>
      </c>
      <c r="O67" s="17">
        <f t="shared" si="3"/>
        <v>-0.19220029451748979</v>
      </c>
      <c r="P67" s="17">
        <f t="shared" si="4"/>
        <v>-0.20037688442211055</v>
      </c>
      <c r="Q67" s="18">
        <f t="shared" si="0"/>
        <v>87.884339264653093</v>
      </c>
      <c r="R67" s="18">
        <f t="shared" si="1"/>
        <v>76.526607204652777</v>
      </c>
      <c r="S67" s="34">
        <f>SUM(I66:I72)</f>
        <v>666801.57000000007</v>
      </c>
      <c r="T67" s="45" t="s">
        <v>41</v>
      </c>
      <c r="U67" s="1738"/>
      <c r="W67" s="202">
        <f>+S67</f>
        <v>666801.57000000007</v>
      </c>
      <c r="X67" s="202">
        <f>SUM(CHAMNORD!E66:E72)+SUM(AIX!E66:E72)+SUM(BELLEY!E66:E72)+SUM(STALBAN!E66:E72)+SUM(ABRETS!E66:E72)+SUM(PONT!E66:E72)+SUM(FRANCIN!E66:E72)+SUM(VIVIERS!E66:E72)</f>
        <v>727780.12</v>
      </c>
      <c r="Y67" s="202">
        <f>+W67-X67</f>
        <v>-60978.54999999993</v>
      </c>
    </row>
    <row r="68" spans="1:25">
      <c r="A68" s="10" t="s">
        <v>12</v>
      </c>
      <c r="B68" s="905">
        <v>45720</v>
      </c>
      <c r="C68" s="76">
        <f>IF(G68=0,0,CHAMNORD!C68+AIX!C68+BELLEY!C68+STALBAN!C68+ABRETS!C68+PONT!C68+FRANCIN!C68+VIVIERS!C68)</f>
        <v>85910.239999999991</v>
      </c>
      <c r="D68" s="76">
        <f>IF(H68=0,0,CHAMNORD!D68+AIX!D68+BELLEY!D68+STALBAN!D68+ABRETS!D68+PONT!D68+FRANCIN!D68+VIVIERS!D68)</f>
        <v>93374.67</v>
      </c>
      <c r="E68" s="76">
        <f>IF(I68=0,0,CHAMNORD!E68+AIX!E68+BELLEY!E68+STALBAN!E68+ABRETS!E68+PONT!E68+FRANCIN!E68+VIVIERS!E68)</f>
        <v>92259.33</v>
      </c>
      <c r="F68" s="20">
        <f>IF(J68=0,0,CHAMNORD!F68+AIX!F68+BELLEY!F68+STALBAN!F68+ABRETS!F68+PONT!F68+FRANCIN!F68+VIVIERS!F68)</f>
        <v>5024</v>
      </c>
      <c r="G68" s="40">
        <f>IF(I68=0,0,CHAMNORD!G68+AIX!G68+BELLEY!G68+STALBAN!G68+ABRETS!G68+PONT!G68+FRANCIN!G68+VIVIERS!G68)</f>
        <v>91700</v>
      </c>
      <c r="H68" s="42">
        <f>CHAMNORD!H68+AIX!H68+BELLEY!H68+STALBAN!H68+ABRETS!H68+PONT!H68+FRANCIN!H68+VIVIERS!H68</f>
        <v>85393</v>
      </c>
      <c r="I68" s="13">
        <f>CHAMNORD!I68+AIX!I68+BELLEY!I68+STALBAN!I68+ABRETS!I68+PONT!I68+FRANCIN!I68+VIVIERS!I68</f>
        <v>84102.42</v>
      </c>
      <c r="J68" s="14">
        <f>CHAMNORD!J68+AIX!J68+BELLEY!J68+STALBAN!J68+ABRETS!J68+PONT!J68+FRANCIN!J68+VIVIERS!J68</f>
        <v>4556</v>
      </c>
      <c r="K68" s="15">
        <f>CHAMNORD!K68+AIX!K68+BELLEY!K68+STALBAN!K68+ABRETS!K68+PONT!K68+FRANCIN!K68+VIVIERS!K68</f>
        <v>943.68999999999994</v>
      </c>
      <c r="L68" s="15">
        <f>CHAMNORD!L68+AIX!L68+BELLEY!L68+STALBAN!L68+ABRETS!L68+PONT!L68+FRANCIN!L68+VIVIERS!L68</f>
        <v>1073.6799999999998</v>
      </c>
      <c r="M68" s="15">
        <f>CHAMNORD!M68+AIX!M68+BELLEY!M68+STALBAN!M68+ABRETS!M68+PONT!M68+FRANCIN!M68+VIVIERS!M68</f>
        <v>499.66999999999996</v>
      </c>
      <c r="N68" s="16">
        <f t="shared" ref="N68:N131" si="5">IF(M68=0,"",M68/I68)</f>
        <v>5.9412083504850393E-3</v>
      </c>
      <c r="O68" s="17">
        <f t="shared" si="3"/>
        <v>-8.8412846700707703E-2</v>
      </c>
      <c r="P68" s="17">
        <f t="shared" si="4"/>
        <v>-9.315286624203821E-2</v>
      </c>
      <c r="Q68" s="18">
        <f t="shared" ref="Q68:Q131" si="6">IF(I68=0,"",I68/K68)</f>
        <v>89.120812978838387</v>
      </c>
      <c r="R68" s="18">
        <f t="shared" ref="R68:R131" si="7">I68/L68</f>
        <v>78.330992474480297</v>
      </c>
      <c r="S68" s="35">
        <f>(S67-SUM(E66:E72))/(SUM(E66:E72))</f>
        <v>-8.378705095709392E-2</v>
      </c>
      <c r="T68" s="48">
        <f>SUM(I66:I72)/SUM(K66:K72)</f>
        <v>98.493439448390788</v>
      </c>
      <c r="U68" s="1738"/>
    </row>
    <row r="69" spans="1:25">
      <c r="A69" s="10" t="s">
        <v>13</v>
      </c>
      <c r="B69" s="905">
        <v>45721</v>
      </c>
      <c r="C69" s="76">
        <f>IF(G69=0,0,CHAMNORD!C69+AIX!C69+BELLEY!C69+STALBAN!C69+ABRETS!C69+PONT!C69+FRANCIN!C69+VIVIERS!C69)</f>
        <v>93374.67</v>
      </c>
      <c r="D69" s="76">
        <f>IF(H69=0,0,CHAMNORD!D69+AIX!D69+BELLEY!D69+STALBAN!D69+ABRETS!D69+PONT!D69+FRANCIN!D69+VIVIERS!D69)</f>
        <v>91175.43</v>
      </c>
      <c r="E69" s="76">
        <f>IF(I69=0,0,CHAMNORD!E69+AIX!E69+BELLEY!E69+STALBAN!E69+ABRETS!E69+PONT!E69+FRANCIN!E69+VIVIERS!E69)</f>
        <v>90193.67</v>
      </c>
      <c r="F69" s="20">
        <f>IF(J69=0,0,CHAMNORD!F69+AIX!F69+BELLEY!F69+STALBAN!F69+ABRETS!F69+PONT!F69+FRANCIN!F69+VIVIERS!F69)</f>
        <v>4960</v>
      </c>
      <c r="G69" s="40">
        <f>IF(I69=0,0,CHAMNORD!G69+AIX!G69+BELLEY!G69+STALBAN!G69+ABRETS!G69+PONT!G69+FRANCIN!G69+VIVIERS!G69)</f>
        <v>87700</v>
      </c>
      <c r="H69" s="42">
        <f>CHAMNORD!H69+AIX!H69+BELLEY!H69+STALBAN!H69+ABRETS!H69+PONT!H69+FRANCIN!H69+VIVIERS!H69</f>
        <v>77745.22</v>
      </c>
      <c r="I69" s="13">
        <f>CHAMNORD!I69+AIX!I69+BELLEY!I69+STALBAN!I69+ABRETS!I69+PONT!I69+FRANCIN!I69+VIVIERS!I69</f>
        <v>76764.320000000007</v>
      </c>
      <c r="J69" s="14">
        <f>CHAMNORD!J69+AIX!J69+BELLEY!J69+STALBAN!J69+ABRETS!J69+PONT!J69+FRANCIN!J69+VIVIERS!J69</f>
        <v>4211</v>
      </c>
      <c r="K69" s="15">
        <f>CHAMNORD!K69+AIX!K69+BELLEY!K69+STALBAN!K69+ABRETS!K69+PONT!K69+FRANCIN!K69+VIVIERS!K69</f>
        <v>848.16</v>
      </c>
      <c r="L69" s="15">
        <f>CHAMNORD!L69+AIX!L69+BELLEY!L69+STALBAN!L69+ABRETS!L69+PONT!L69+FRANCIN!L69+VIVIERS!L69</f>
        <v>976.95</v>
      </c>
      <c r="M69" s="15">
        <f>CHAMNORD!M69+AIX!M69+BELLEY!M69+STALBAN!M69+ABRETS!M69+PONT!M69+FRANCIN!M69+VIVIERS!M69</f>
        <v>411.02</v>
      </c>
      <c r="N69" s="16">
        <f t="shared" si="5"/>
        <v>5.3543104400586095E-3</v>
      </c>
      <c r="O69" s="17">
        <f t="shared" si="3"/>
        <v>-0.1488945953745977</v>
      </c>
      <c r="P69" s="17">
        <f t="shared" si="4"/>
        <v>-0.15100806451612903</v>
      </c>
      <c r="Q69" s="18">
        <f t="shared" si="6"/>
        <v>90.506885493303159</v>
      </c>
      <c r="R69" s="18">
        <f t="shared" si="7"/>
        <v>78.575484927580746</v>
      </c>
      <c r="S69" s="34"/>
      <c r="T69" s="29" t="s">
        <v>8</v>
      </c>
      <c r="U69" s="1738"/>
    </row>
    <row r="70" spans="1:25">
      <c r="A70" s="10" t="s">
        <v>14</v>
      </c>
      <c r="B70" s="905">
        <v>45722</v>
      </c>
      <c r="C70" s="76">
        <f>IF(G70=0,0,CHAMNORD!C70+AIX!C70+BELLEY!C70+STALBAN!C70+ABRETS!C70+PONT!C70+FRANCIN!C70+VIVIERS!C70)</f>
        <v>91175.43</v>
      </c>
      <c r="D70" s="76">
        <f>IF(H70=0,0,CHAMNORD!D70+AIX!D70+BELLEY!D70+STALBAN!D70+ABRETS!D70+PONT!D70+FRANCIN!D70+VIVIERS!D70)</f>
        <v>130948.51000000001</v>
      </c>
      <c r="E70" s="76">
        <f>IF(I70=0,0,CHAMNORD!E70+AIX!E70+BELLEY!E70+STALBAN!E70+ABRETS!E70+PONT!E70+FRANCIN!E70+VIVIERS!E70)</f>
        <v>129456.14000000001</v>
      </c>
      <c r="F70" s="20">
        <f>IF(J70=0,0,CHAMNORD!F70+AIX!F70+BELLEY!F70+STALBAN!F70+ABRETS!F70+PONT!F70+FRANCIN!F70+VIVIERS!F70)</f>
        <v>6702</v>
      </c>
      <c r="G70" s="40">
        <f>IF(I70=0,0,CHAMNORD!G70+AIX!G70+BELLEY!G70+STALBAN!G70+ABRETS!G70+PONT!G70+FRANCIN!G70+VIVIERS!G70)</f>
        <v>128200</v>
      </c>
      <c r="H70" s="42">
        <f>CHAMNORD!H70+AIX!H70+BELLEY!H70+STALBAN!H70+ABRETS!H70+PONT!H70+FRANCIN!H70+VIVIERS!H70</f>
        <v>116471.34999999999</v>
      </c>
      <c r="I70" s="13">
        <f>CHAMNORD!I70+AIX!I70+BELLEY!I70+STALBAN!I70+ABRETS!I70+PONT!I70+FRANCIN!I70+VIVIERS!I70</f>
        <v>114998.13999999998</v>
      </c>
      <c r="J70" s="14">
        <f>CHAMNORD!J70+AIX!J70+BELLEY!J70+STALBAN!J70+ABRETS!J70+PONT!J70+FRANCIN!J70+VIVIERS!J70</f>
        <v>5887</v>
      </c>
      <c r="K70" s="15">
        <f>CHAMNORD!K70+AIX!K70+BELLEY!K70+STALBAN!K70+ABRETS!K70+PONT!K70+FRANCIN!K70+VIVIERS!K70</f>
        <v>1121.6000000000001</v>
      </c>
      <c r="L70" s="15">
        <f>CHAMNORD!L70+AIX!L70+BELLEY!L70+STALBAN!L70+ABRETS!L70+PONT!L70+FRANCIN!L70+VIVIERS!L70</f>
        <v>1259.9499999999998</v>
      </c>
      <c r="M70" s="15">
        <f>CHAMNORD!M70+AIX!M70+BELLEY!M70+STALBAN!M70+ABRETS!M70+PONT!M70+FRANCIN!M70+VIVIERS!M70</f>
        <v>384.85999999999996</v>
      </c>
      <c r="N70" s="16">
        <f t="shared" si="5"/>
        <v>3.3466628242856799E-3</v>
      </c>
      <c r="O70" s="17">
        <f t="shared" si="3"/>
        <v>-0.11168261312286948</v>
      </c>
      <c r="P70" s="17">
        <f t="shared" si="4"/>
        <v>-0.12160549089823933</v>
      </c>
      <c r="Q70" s="18">
        <f t="shared" si="6"/>
        <v>102.53043865905846</v>
      </c>
      <c r="R70" s="18">
        <f t="shared" si="7"/>
        <v>91.271986983610461</v>
      </c>
      <c r="S70" s="36" t="s">
        <v>40</v>
      </c>
      <c r="T70" s="48">
        <f>SUM(I66:I72)/SUM(L66:L72)</f>
        <v>86.890438555912482</v>
      </c>
      <c r="U70" s="1738"/>
    </row>
    <row r="71" spans="1:25">
      <c r="A71" s="10" t="s">
        <v>15</v>
      </c>
      <c r="B71" s="905">
        <v>45723</v>
      </c>
      <c r="C71" s="76">
        <f>IF(G71=0,0,CHAMNORD!C71+AIX!C71+BELLEY!C71+STALBAN!C71+ABRETS!C71+PONT!C71+FRANCIN!C71+VIVIERS!C71)</f>
        <v>130948.51000000001</v>
      </c>
      <c r="D71" s="76">
        <f>IF(H71=0,0,CHAMNORD!D71+AIX!D71+BELLEY!D71+STALBAN!D71+ABRETS!D71+PONT!D71+FRANCIN!D71+VIVIERS!D71)</f>
        <v>129127.54</v>
      </c>
      <c r="E71" s="76">
        <f>IF(I71=0,0,CHAMNORD!E71+AIX!E71+BELLEY!E71+STALBAN!E71+ABRETS!E71+PONT!E71+FRANCIN!E71+VIVIERS!E71)</f>
        <v>127664.22</v>
      </c>
      <c r="F71" s="20">
        <f>IF(J71=0,0,CHAMNORD!F71+AIX!F71+BELLEY!F71+STALBAN!F71+ABRETS!F71+PONT!F71+FRANCIN!F71+VIVIERS!F71)</f>
        <v>6509</v>
      </c>
      <c r="G71" s="40">
        <f>IF(I71=0,0,CHAMNORD!G71+AIX!G71+BELLEY!G71+STALBAN!G71+ABRETS!G71+PONT!G71+FRANCIN!G71+VIVIERS!G71)</f>
        <v>130100</v>
      </c>
      <c r="H71" s="42">
        <f>CHAMNORD!H71+AIX!H71+BELLEY!H71+STALBAN!H71+ABRETS!H71+PONT!H71+FRANCIN!H71+VIVIERS!H71</f>
        <v>134721.83000000002</v>
      </c>
      <c r="I71" s="13">
        <f>CHAMNORD!I71+AIX!I71+BELLEY!I71+STALBAN!I71+ABRETS!I71+PONT!I71+FRANCIN!I71+VIVIERS!I71</f>
        <v>133037.66</v>
      </c>
      <c r="J71" s="14">
        <f>CHAMNORD!J71+AIX!J71+BELLEY!J71+STALBAN!J71+ABRETS!J71+PONT!J71+FRANCIN!J71+VIVIERS!J71</f>
        <v>6585</v>
      </c>
      <c r="K71" s="15">
        <f>CHAMNORD!K71+AIX!K71+BELLEY!K71+STALBAN!K71+ABRETS!K71+PONT!K71+FRANCIN!K71+VIVIERS!K71</f>
        <v>1159.4299999999998</v>
      </c>
      <c r="L71" s="15">
        <f>CHAMNORD!L71+AIX!L71+BELLEY!L71+STALBAN!L71+ABRETS!L71+PONT!L71+FRANCIN!L71+VIVIERS!L71</f>
        <v>1304.17</v>
      </c>
      <c r="M71" s="15">
        <f>CHAMNORD!M71+AIX!M71+BELLEY!M71+STALBAN!M71+ABRETS!M71+PONT!M71+FRANCIN!M71+VIVIERS!M71</f>
        <v>434.43</v>
      </c>
      <c r="N71" s="16">
        <f t="shared" si="5"/>
        <v>3.265466334870893E-3</v>
      </c>
      <c r="O71" s="17">
        <f t="shared" ref="O71:O134" si="8">IF(I71=0,"",(I71-E71)/E71)</f>
        <v>4.2090414996464966E-2</v>
      </c>
      <c r="P71" s="17">
        <f t="shared" ref="P71:P134" si="9">IF(J71=0,"",(J71-F71)/F71)</f>
        <v>1.1676140728222461E-2</v>
      </c>
      <c r="Q71" s="18">
        <f t="shared" si="6"/>
        <v>114.74402076882608</v>
      </c>
      <c r="R71" s="18">
        <f t="shared" si="7"/>
        <v>102.00944662122269</v>
      </c>
      <c r="S71" s="36">
        <f>SUM(J66:J72)</f>
        <v>34505</v>
      </c>
      <c r="T71" s="30" t="s">
        <v>3</v>
      </c>
      <c r="U71" s="1738"/>
    </row>
    <row r="72" spans="1:25" ht="18" thickBot="1">
      <c r="A72" s="10" t="s">
        <v>16</v>
      </c>
      <c r="B72" s="905">
        <v>45724</v>
      </c>
      <c r="C72" s="76">
        <f>IF(G72=0,0,CHAMNORD!C72+AIX!C72+BELLEY!C72+STALBAN!C72+ABRETS!C72+PONT!C72+FRANCIN!C72+VIVIERS!C72)</f>
        <v>129127.54</v>
      </c>
      <c r="D72" s="76">
        <f>IF(H72=0,0,CHAMNORD!D72+AIX!D72+BELLEY!D72+STALBAN!D72+ABRETS!D72+PONT!D72+FRANCIN!D72+VIVIERS!D72)</f>
        <v>124014.24</v>
      </c>
      <c r="E72" s="76">
        <f>IF(I72=0,0,CHAMNORD!E72+AIX!E72+BELLEY!E72+STALBAN!E72+ABRETS!E72+PONT!E72+FRANCIN!E72+VIVIERS!E72)</f>
        <v>122684.34</v>
      </c>
      <c r="F72" s="20">
        <f>IF(J72=0,0,CHAMNORD!F72+AIX!F72+BELLEY!F72+STALBAN!F72+ABRETS!F72+PONT!F72+FRANCIN!F72+VIVIERS!F72)</f>
        <v>5805</v>
      </c>
      <c r="G72" s="40">
        <f>IF(I72=0,0,CHAMNORD!G72+AIX!G72+BELLEY!G72+STALBAN!G72+ABRETS!G72+PONT!G72+FRANCIN!G72+VIVIERS!G72)</f>
        <v>125700</v>
      </c>
      <c r="H72" s="42">
        <f>CHAMNORD!H72+AIX!H72+BELLEY!H72+STALBAN!H72+ABRETS!H72+PONT!H72+FRANCIN!H72+VIVIERS!H72</f>
        <v>129303.73</v>
      </c>
      <c r="I72" s="13">
        <f>CHAMNORD!I72+AIX!I72+BELLEY!I72+STALBAN!I72+ABRETS!I72+PONT!I72+FRANCIN!I72+VIVIERS!I72</f>
        <v>127763.55</v>
      </c>
      <c r="J72" s="14">
        <f>CHAMNORD!J72+AIX!J72+BELLEY!J72+STALBAN!J72+ABRETS!J72+PONT!J72+FRANCIN!J72+VIVIERS!J72</f>
        <v>5943</v>
      </c>
      <c r="K72" s="15">
        <f>CHAMNORD!K72+AIX!K72+BELLEY!K72+STALBAN!K72+ABRETS!K72+PONT!K72+FRANCIN!K72+VIVIERS!K72</f>
        <v>1110.8800000000001</v>
      </c>
      <c r="L72" s="15">
        <f>CHAMNORD!L72+AIX!L72+BELLEY!L72+STALBAN!L72+ABRETS!L72+PONT!L72+FRANCIN!L72+VIVIERS!L72</f>
        <v>1235.1600000000001</v>
      </c>
      <c r="M72" s="15">
        <f>CHAMNORD!M72+AIX!M72+BELLEY!M72+STALBAN!M72+ABRETS!M72+PONT!M72+FRANCIN!M72+VIVIERS!M72</f>
        <v>476.57000000000005</v>
      </c>
      <c r="N72" s="16">
        <f t="shared" si="5"/>
        <v>3.7300935986828796E-3</v>
      </c>
      <c r="O72" s="17">
        <f t="shared" si="8"/>
        <v>4.1400638418888726E-2</v>
      </c>
      <c r="P72" s="17">
        <f t="shared" si="9"/>
        <v>2.3772609819121448E-2</v>
      </c>
      <c r="Q72" s="18">
        <f t="shared" si="6"/>
        <v>115.01111731240097</v>
      </c>
      <c r="R72" s="18">
        <f t="shared" si="7"/>
        <v>103.438866219761</v>
      </c>
      <c r="S72" s="37">
        <f>(S71-SUM(F66:F72))/(SUM(F66:F72))</f>
        <v>-9.8733185320621655E-2</v>
      </c>
      <c r="T72" s="47">
        <f>SUM(M66:M72)/SUM(I66:I72)</f>
        <v>4.7993738227101049E-3</v>
      </c>
      <c r="U72" s="1739"/>
    </row>
    <row r="73" spans="1:25" ht="17" customHeight="1" thickTop="1">
      <c r="A73" s="10" t="s">
        <v>9</v>
      </c>
      <c r="B73" s="905">
        <v>45725</v>
      </c>
      <c r="C73" s="76">
        <f>IF(G73=0,0,CHAMNORD!C73+AIX!C73+BELLEY!C73+STALBAN!C73+ABRETS!C73+PONT!C73+FRANCIN!C73+VIVIERS!C73)</f>
        <v>124014.24</v>
      </c>
      <c r="D73" s="76">
        <f>IF(H73=0,0,CHAMNORD!D73+AIX!D73+BELLEY!D73+STALBAN!D73+ABRETS!D73+PONT!D73+FRANCIN!D73+VIVIERS!D73)</f>
        <v>59953.229999999996</v>
      </c>
      <c r="E73" s="76">
        <f>IF(I73=0,0,CHAMNORD!E73+AIX!E73+BELLEY!E73+STALBAN!E73+ABRETS!E73+PONT!E73+FRANCIN!E73+VIVIERS!E73)</f>
        <v>59441.65</v>
      </c>
      <c r="F73" s="20">
        <f>IF(J73=0,0,CHAMNORD!F73+AIX!F73+BELLEY!F73+STALBAN!F73+ABRETS!F73+PONT!F73+FRANCIN!F73+VIVIERS!F73)</f>
        <v>3624</v>
      </c>
      <c r="G73" s="40">
        <f>IF(I73=0,0,CHAMNORD!G73+AIX!G73+BELLEY!G73+STALBAN!G73+ABRETS!G73+PONT!G73+FRANCIN!G73+VIVIERS!G73)</f>
        <v>60400</v>
      </c>
      <c r="H73" s="42">
        <f>CHAMNORD!H73+AIX!H73+BELLEY!H73+STALBAN!H73+ABRETS!H73+PONT!H73+FRANCIN!H73+VIVIERS!H73</f>
        <v>58620.52</v>
      </c>
      <c r="I73" s="13">
        <f>CHAMNORD!I73+AIX!I73+BELLEY!I73+STALBAN!I73+ABRETS!I73+PONT!I73+FRANCIN!I73+VIVIERS!I73</f>
        <v>58091.97</v>
      </c>
      <c r="J73" s="14">
        <f>CHAMNORD!J73+AIX!J73+BELLEY!J73+STALBAN!J73+ABRETS!J73+PONT!J73+FRANCIN!J73+VIVIERS!J73</f>
        <v>3375</v>
      </c>
      <c r="K73" s="15">
        <f>CHAMNORD!K73+AIX!K73+BELLEY!K73+STALBAN!K73+ABRETS!K73+PONT!K73+FRANCIN!K73+VIVIERS!K73</f>
        <v>762.93</v>
      </c>
      <c r="L73" s="15">
        <f>CHAMNORD!L73+AIX!L73+BELLEY!L73+STALBAN!L73+ABRETS!L73+PONT!L73+FRANCIN!L73+VIVIERS!L73</f>
        <v>869.75</v>
      </c>
      <c r="M73" s="15">
        <f>CHAMNORD!M73+AIX!M73+BELLEY!M73+STALBAN!M73+ABRETS!M73+PONT!M73+FRANCIN!M73+VIVIERS!M73</f>
        <v>637.50999999999988</v>
      </c>
      <c r="N73" s="16">
        <f t="shared" si="5"/>
        <v>1.0974150127805957E-2</v>
      </c>
      <c r="O73" s="17">
        <f t="shared" si="8"/>
        <v>-2.2705964588802637E-2</v>
      </c>
      <c r="P73" s="17">
        <f t="shared" si="9"/>
        <v>-6.8708609271523183E-2</v>
      </c>
      <c r="Q73" s="18">
        <f t="shared" si="6"/>
        <v>76.143250363729308</v>
      </c>
      <c r="R73" s="18">
        <f t="shared" si="7"/>
        <v>66.791572290888183</v>
      </c>
      <c r="S73" s="33" t="s">
        <v>482</v>
      </c>
      <c r="T73" s="31" t="s">
        <v>42</v>
      </c>
      <c r="U73" s="1737" t="s">
        <v>93</v>
      </c>
    </row>
    <row r="74" spans="1:25">
      <c r="A74" s="10" t="s">
        <v>11</v>
      </c>
      <c r="B74" s="905">
        <v>45726</v>
      </c>
      <c r="C74" s="76">
        <f>IF(G74=0,0,CHAMNORD!C74+AIX!C74+BELLEY!C74+STALBAN!C74+ABRETS!C74+PONT!C74+FRANCIN!C74+VIVIERS!C74)</f>
        <v>59953.229999999996</v>
      </c>
      <c r="D74" s="76">
        <f>IF(H74=0,0,CHAMNORD!D74+AIX!D74+BELLEY!D74+STALBAN!D74+ABRETS!D74+PONT!D74+FRANCIN!D74+VIVIERS!D74)</f>
        <v>65927.11</v>
      </c>
      <c r="E74" s="76">
        <f>IF(I74=0,0,CHAMNORD!E74+AIX!E74+BELLEY!E74+STALBAN!E74+ABRETS!E74+PONT!E74+FRANCIN!E74+VIVIERS!E74)</f>
        <v>65310.109999999993</v>
      </c>
      <c r="F74" s="20">
        <f>IF(J74=0,0,CHAMNORD!F74+AIX!F74+BELLEY!F74+STALBAN!F74+ABRETS!F74+PONT!F74+FRANCIN!F74+VIVIERS!F74)</f>
        <v>3929</v>
      </c>
      <c r="G74" s="40">
        <f>IF(I74=0,0,CHAMNORD!G74+AIX!G74+BELLEY!G74+STALBAN!G74+ABRETS!G74+PONT!G74+FRANCIN!G74+VIVIERS!G74)</f>
        <v>66200</v>
      </c>
      <c r="H74" s="42">
        <f>CHAMNORD!H74+AIX!H74+BELLEY!H74+STALBAN!H74+ABRETS!H74+PONT!H74+FRANCIN!H74+VIVIERS!H74</f>
        <v>67876.22</v>
      </c>
      <c r="I74" s="13">
        <f>CHAMNORD!I74+AIX!I74+BELLEY!I74+STALBAN!I74+ABRETS!I74+PONT!I74+FRANCIN!I74+VIVIERS!I74</f>
        <v>67089.48</v>
      </c>
      <c r="J74" s="14">
        <f>CHAMNORD!J74+AIX!J74+BELLEY!J74+STALBAN!J74+ABRETS!J74+PONT!J74+FRANCIN!J74+VIVIERS!J74</f>
        <v>3632</v>
      </c>
      <c r="K74" s="15">
        <f>CHAMNORD!K74+AIX!K74+BELLEY!K74+STALBAN!K74+ABRETS!K74+PONT!K74+FRANCIN!K74+VIVIERS!K74</f>
        <v>804.16</v>
      </c>
      <c r="L74" s="15">
        <f>CHAMNORD!L74+AIX!L74+BELLEY!L74+STALBAN!L74+ABRETS!L74+PONT!L74+FRANCIN!L74+VIVIERS!L74</f>
        <v>920.05</v>
      </c>
      <c r="M74" s="15">
        <f>CHAMNORD!M74+AIX!M74+BELLEY!M74+STALBAN!M74+ABRETS!M74+PONT!M74+FRANCIN!M74+VIVIERS!M74</f>
        <v>501.87000000000006</v>
      </c>
      <c r="N74" s="16">
        <f t="shared" si="5"/>
        <v>7.4806064974717364E-3</v>
      </c>
      <c r="O74" s="17">
        <f t="shared" si="8"/>
        <v>2.7244939566018228E-2</v>
      </c>
      <c r="P74" s="17">
        <f t="shared" si="9"/>
        <v>-7.5591753626877062E-2</v>
      </c>
      <c r="Q74" s="18">
        <f t="shared" si="6"/>
        <v>83.428024273776359</v>
      </c>
      <c r="R74" s="18">
        <f t="shared" si="7"/>
        <v>72.919384816042609</v>
      </c>
      <c r="S74" s="34">
        <f>SUM(I73:I79)</f>
        <v>632490.46</v>
      </c>
      <c r="T74" s="45" t="s">
        <v>41</v>
      </c>
      <c r="U74" s="1738"/>
      <c r="W74" s="202">
        <f>+S74</f>
        <v>632490.46</v>
      </c>
      <c r="X74" s="202">
        <f>SUM(CHAMNORD!E73:E79)+SUM(AIX!E73:E79)+SUM(BELLEY!E73:E79)+SUM(STALBAN!E73:E79)+SUM(ABRETS!E73:E79)+SUM(PONT!E73:E79)+SUM(FRANCIN!E73:E79)+SUM(VIVIERS!E73:E79)</f>
        <v>622913.39</v>
      </c>
      <c r="Y74" s="202">
        <f>+W74-X74</f>
        <v>9577.0699999999488</v>
      </c>
    </row>
    <row r="75" spans="1:25">
      <c r="A75" s="10" t="s">
        <v>12</v>
      </c>
      <c r="B75" s="905">
        <v>45727</v>
      </c>
      <c r="C75" s="76">
        <f>IF(G75=0,0,CHAMNORD!C75+AIX!C75+BELLEY!C75+STALBAN!C75+ABRETS!C75+PONT!C75+FRANCIN!C75+VIVIERS!C75)</f>
        <v>65927.11</v>
      </c>
      <c r="D75" s="76">
        <f>IF(H75=0,0,CHAMNORD!D75+AIX!D75+BELLEY!D75+STALBAN!D75+ABRETS!D75+PONT!D75+FRANCIN!D75+VIVIERS!D75)</f>
        <v>81323.7</v>
      </c>
      <c r="E75" s="76">
        <f>IF(I75=0,0,CHAMNORD!E75+AIX!E75+BELLEY!E75+STALBAN!E75+ABRETS!E75+PONT!E75+FRANCIN!E75+VIVIERS!E75)</f>
        <v>80375.789999999994</v>
      </c>
      <c r="F75" s="20">
        <f>IF(J75=0,0,CHAMNORD!F75+AIX!F75+BELLEY!F75+STALBAN!F75+ABRETS!F75+PONT!F75+FRANCIN!F75+VIVIERS!F75)</f>
        <v>4599</v>
      </c>
      <c r="G75" s="40">
        <f>IF(I75=0,0,CHAMNORD!G75+AIX!G75+BELLEY!G75+STALBAN!G75+ABRETS!G75+PONT!G75+FRANCIN!G75+VIVIERS!G75)</f>
        <v>81500</v>
      </c>
      <c r="H75" s="42">
        <f>CHAMNORD!H75+AIX!H75+BELLEY!H75+STALBAN!H75+ABRETS!H75+PONT!H75+FRANCIN!H75+VIVIERS!H75</f>
        <v>85377.23</v>
      </c>
      <c r="I75" s="13">
        <f>CHAMNORD!I75+AIX!I75+BELLEY!I75+STALBAN!I75+ABRETS!I75+PONT!I75+FRANCIN!I75+VIVIERS!I75</f>
        <v>84198.59</v>
      </c>
      <c r="J75" s="14">
        <f>CHAMNORD!J75+AIX!J75+BELLEY!J75+STALBAN!J75+ABRETS!J75+PONT!J75+FRANCIN!J75+VIVIERS!J75</f>
        <v>4371</v>
      </c>
      <c r="K75" s="15">
        <f>CHAMNORD!K75+AIX!K75+BELLEY!K75+STALBAN!K75+ABRETS!K75+PONT!K75+FRANCIN!K75+VIVIERS!K75</f>
        <v>957.79</v>
      </c>
      <c r="L75" s="15">
        <f>CHAMNORD!L75+AIX!L75+BELLEY!L75+STALBAN!L75+ABRETS!L75+PONT!L75+FRANCIN!L75+VIVIERS!L75</f>
        <v>1088.01</v>
      </c>
      <c r="M75" s="15">
        <f>CHAMNORD!M75+AIX!M75+BELLEY!M75+STALBAN!M75+ABRETS!M75+PONT!M75+FRANCIN!M75+VIVIERS!M75</f>
        <v>214.71</v>
      </c>
      <c r="N75" s="16">
        <f t="shared" si="5"/>
        <v>2.550042702615329E-3</v>
      </c>
      <c r="O75" s="17">
        <f t="shared" si="8"/>
        <v>4.7561585397792087E-2</v>
      </c>
      <c r="P75" s="17">
        <f t="shared" si="9"/>
        <v>-4.9575994781474231E-2</v>
      </c>
      <c r="Q75" s="18">
        <f t="shared" si="6"/>
        <v>87.909238977228824</v>
      </c>
      <c r="R75" s="18">
        <f t="shared" si="7"/>
        <v>77.387698642475712</v>
      </c>
      <c r="S75" s="35">
        <f>(S74-SUM(E73:E79))/(SUM(E73:E79))</f>
        <v>1.5374641408815996E-2</v>
      </c>
      <c r="T75" s="48">
        <f>SUM(I73:I79)/SUM(K73:K79)</f>
        <v>93.020963491111019</v>
      </c>
      <c r="U75" s="1738"/>
    </row>
    <row r="76" spans="1:25">
      <c r="A76" s="10" t="s">
        <v>13</v>
      </c>
      <c r="B76" s="905">
        <v>45728</v>
      </c>
      <c r="C76" s="76">
        <f>IF(G76=0,0,CHAMNORD!C76+AIX!C76+BELLEY!C76+STALBAN!C76+ABRETS!C76+PONT!C76+FRANCIN!C76+VIVIERS!C76)</f>
        <v>81323.7</v>
      </c>
      <c r="D76" s="76">
        <f>IF(H76=0,0,CHAMNORD!D76+AIX!D76+BELLEY!D76+STALBAN!D76+ABRETS!D76+PONT!D76+FRANCIN!D76+VIVIERS!D76)</f>
        <v>71561.53</v>
      </c>
      <c r="E76" s="76">
        <f>IF(I76=0,0,CHAMNORD!E76+AIX!E76+BELLEY!E76+STALBAN!E76+ABRETS!E76+PONT!E76+FRANCIN!E76+VIVIERS!E76)</f>
        <v>70861.040000000008</v>
      </c>
      <c r="F76" s="20">
        <f>IF(J76=0,0,CHAMNORD!F76+AIX!F76+BELLEY!F76+STALBAN!F76+ABRETS!F76+PONT!F76+FRANCIN!F76+VIVIERS!F76)</f>
        <v>4183</v>
      </c>
      <c r="G76" s="40">
        <f>IF(I76=0,0,CHAMNORD!G76+AIX!G76+BELLEY!G76+STALBAN!G76+ABRETS!G76+PONT!G76+FRANCIN!G76+VIVIERS!G76)</f>
        <v>72100</v>
      </c>
      <c r="H76" s="42">
        <f>CHAMNORD!H76+AIX!H76+BELLEY!H76+STALBAN!H76+ABRETS!H76+PONT!H76+FRANCIN!H76+VIVIERS!H76</f>
        <v>71145.05</v>
      </c>
      <c r="I76" s="13">
        <f>CHAMNORD!I76+AIX!I76+BELLEY!I76+STALBAN!I76+ABRETS!I76+PONT!I76+FRANCIN!I76+VIVIERS!I76</f>
        <v>70398.210000000006</v>
      </c>
      <c r="J76" s="14">
        <f>CHAMNORD!J76+AIX!J76+BELLEY!J76+STALBAN!J76+ABRETS!J76+PONT!J76+FRANCIN!J76+VIVIERS!J76</f>
        <v>3843</v>
      </c>
      <c r="K76" s="15">
        <f>CHAMNORD!K76+AIX!K76+BELLEY!K76+STALBAN!K76+ABRETS!K76+PONT!K76+FRANCIN!K76+VIVIERS!K76</f>
        <v>782.22</v>
      </c>
      <c r="L76" s="15">
        <f>CHAMNORD!L76+AIX!L76+BELLEY!L76+STALBAN!L76+ABRETS!L76+PONT!L76+FRANCIN!L76+VIVIERS!L76</f>
        <v>909.64</v>
      </c>
      <c r="M76" s="15">
        <f>CHAMNORD!M76+AIX!M76+BELLEY!M76+STALBAN!M76+ABRETS!M76+PONT!M76+FRANCIN!M76+VIVIERS!M76</f>
        <v>453.93999999999994</v>
      </c>
      <c r="N76" s="16">
        <f t="shared" si="5"/>
        <v>6.4481753158212385E-3</v>
      </c>
      <c r="O76" s="17">
        <f t="shared" si="8"/>
        <v>-6.5315157666328595E-3</v>
      </c>
      <c r="P76" s="17">
        <f t="shared" si="9"/>
        <v>-8.1281377002151572E-2</v>
      </c>
      <c r="Q76" s="18">
        <f t="shared" si="6"/>
        <v>89.997967323770808</v>
      </c>
      <c r="R76" s="18">
        <f t="shared" si="7"/>
        <v>77.391286662855649</v>
      </c>
      <c r="S76" s="34"/>
      <c r="T76" s="29" t="s">
        <v>8</v>
      </c>
      <c r="U76" s="1738"/>
    </row>
    <row r="77" spans="1:25">
      <c r="A77" s="10" t="s">
        <v>14</v>
      </c>
      <c r="B77" s="905">
        <v>45729</v>
      </c>
      <c r="C77" s="76">
        <f>IF(G77=0,0,CHAMNORD!C77+AIX!C77+BELLEY!C77+STALBAN!C77+ABRETS!C77+PONT!C77+FRANCIN!C77+VIVIERS!C77)</f>
        <v>71561.53</v>
      </c>
      <c r="D77" s="76">
        <f>IF(H77=0,0,CHAMNORD!D77+AIX!D77+BELLEY!D77+STALBAN!D77+ABRETS!D77+PONT!D77+FRANCIN!D77+VIVIERS!D77)</f>
        <v>108884.98000000001</v>
      </c>
      <c r="E77" s="76">
        <f>IF(I77=0,0,CHAMNORD!E77+AIX!E77+BELLEY!E77+STALBAN!E77+ABRETS!E77+PONT!E77+FRANCIN!E77+VIVIERS!E77)</f>
        <v>107783.30999999998</v>
      </c>
      <c r="F77" s="20">
        <f>IF(J77=0,0,CHAMNORD!F77+AIX!F77+BELLEY!F77+STALBAN!F77+ABRETS!F77+PONT!F77+FRANCIN!F77+VIVIERS!F77)</f>
        <v>5849</v>
      </c>
      <c r="G77" s="40">
        <f>IF(I77=0,0,CHAMNORD!G77+AIX!G77+BELLEY!G77+STALBAN!G77+ABRETS!G77+PONT!G77+FRANCIN!G77+VIVIERS!G77)</f>
        <v>110800</v>
      </c>
      <c r="H77" s="42">
        <f>CHAMNORD!H77+AIX!H77+BELLEY!H77+STALBAN!H77+ABRETS!H77+PONT!H77+FRANCIN!H77+VIVIERS!H77</f>
        <v>118362.37000000001</v>
      </c>
      <c r="I77" s="13">
        <f>CHAMNORD!I77+AIX!I77+BELLEY!I77+STALBAN!I77+ABRETS!I77+PONT!I77+FRANCIN!I77+VIVIERS!I77</f>
        <v>116985.51000000002</v>
      </c>
      <c r="J77" s="14">
        <f>CHAMNORD!J77+AIX!J77+BELLEY!J77+STALBAN!J77+ABRETS!J77+PONT!J77+FRANCIN!J77+VIVIERS!J77</f>
        <v>6045</v>
      </c>
      <c r="K77" s="15">
        <f>CHAMNORD!K77+AIX!K77+BELLEY!K77+STALBAN!K77+ABRETS!K77+PONT!K77+FRANCIN!K77+VIVIERS!K77</f>
        <v>1150.44</v>
      </c>
      <c r="L77" s="15">
        <f>CHAMNORD!L77+AIX!L77+BELLEY!L77+STALBAN!L77+ABRETS!L77+PONT!L77+FRANCIN!L77+VIVIERS!L77</f>
        <v>1290.8300000000002</v>
      </c>
      <c r="M77" s="15">
        <f>CHAMNORD!M77+AIX!M77+BELLEY!M77+STALBAN!M77+ABRETS!M77+PONT!M77+FRANCIN!M77+VIVIERS!M77</f>
        <v>620.18000000000006</v>
      </c>
      <c r="N77" s="16">
        <f t="shared" si="5"/>
        <v>5.3013403112915428E-3</v>
      </c>
      <c r="O77" s="17">
        <f t="shared" si="8"/>
        <v>8.5376854728250989E-2</v>
      </c>
      <c r="P77" s="17">
        <f t="shared" si="9"/>
        <v>3.3510001709693968E-2</v>
      </c>
      <c r="Q77" s="18">
        <f t="shared" si="6"/>
        <v>101.68762386565142</v>
      </c>
      <c r="R77" s="18">
        <f t="shared" si="7"/>
        <v>90.628130737587455</v>
      </c>
      <c r="S77" s="36" t="s">
        <v>40</v>
      </c>
      <c r="T77" s="48">
        <f>SUM(I73:I79)/SUM(L73:L79)</f>
        <v>82.671683247000573</v>
      </c>
      <c r="U77" s="1738"/>
    </row>
    <row r="78" spans="1:25">
      <c r="A78" s="10" t="s">
        <v>15</v>
      </c>
      <c r="B78" s="905">
        <v>45730</v>
      </c>
      <c r="C78" s="76">
        <f>IF(G78=0,0,CHAMNORD!C78+AIX!C78+BELLEY!C78+STALBAN!C78+ABRETS!C78+PONT!C78+FRANCIN!C78+VIVIERS!C78)</f>
        <v>108884.98000000001</v>
      </c>
      <c r="D78" s="76">
        <f>IF(H78=0,0,CHAMNORD!D78+AIX!D78+BELLEY!D78+STALBAN!D78+ABRETS!D78+PONT!D78+FRANCIN!D78+VIVIERS!D78)</f>
        <v>122378.29000000001</v>
      </c>
      <c r="E78" s="76">
        <f>IF(I78=0,0,CHAMNORD!E78+AIX!E78+BELLEY!E78+STALBAN!E78+ABRETS!E78+PONT!E78+FRANCIN!E78+VIVIERS!E78)</f>
        <v>121068.14</v>
      </c>
      <c r="F78" s="20">
        <f>IF(J78=0,0,CHAMNORD!F78+AIX!F78+BELLEY!F78+STALBAN!F78+ABRETS!F78+PONT!F78+FRANCIN!F78+VIVIERS!F78)</f>
        <v>5984</v>
      </c>
      <c r="G78" s="40">
        <f>IF(I78=0,0,CHAMNORD!G78+AIX!G78+BELLEY!G78+STALBAN!G78+ABRETS!G78+PONT!G78+FRANCIN!G78+VIVIERS!G78)</f>
        <v>123400</v>
      </c>
      <c r="H78" s="42">
        <f>CHAMNORD!H78+AIX!H78+BELLEY!H78+STALBAN!H78+ABRETS!H78+PONT!H78+FRANCIN!H78+VIVIERS!H78</f>
        <v>121309.03</v>
      </c>
      <c r="I78" s="13">
        <f>CHAMNORD!I78+AIX!I78+BELLEY!I78+STALBAN!I78+ABRETS!I78+PONT!I78+FRANCIN!I78+VIVIERS!I78</f>
        <v>119673.7</v>
      </c>
      <c r="J78" s="14">
        <f>CHAMNORD!J78+AIX!J78+BELLEY!J78+STALBAN!J78+ABRETS!J78+PONT!J78+FRANCIN!J78+VIVIERS!J78</f>
        <v>5822</v>
      </c>
      <c r="K78" s="15">
        <f>CHAMNORD!K78+AIX!K78+BELLEY!K78+STALBAN!K78+ABRETS!K78+PONT!K78+FRANCIN!K78+VIVIERS!K78</f>
        <v>1236.25</v>
      </c>
      <c r="L78" s="15">
        <f>CHAMNORD!L78+AIX!L78+BELLEY!L78+STALBAN!L78+ABRETS!L78+PONT!L78+FRANCIN!L78+VIVIERS!L78</f>
        <v>1356.44</v>
      </c>
      <c r="M78" s="15">
        <f>CHAMNORD!M78+AIX!M78+BELLEY!M78+STALBAN!M78+ABRETS!M78+PONT!M78+FRANCIN!M78+VIVIERS!M78</f>
        <v>593.1400000000001</v>
      </c>
      <c r="N78" s="16">
        <f t="shared" si="5"/>
        <v>4.9563103672736796E-3</v>
      </c>
      <c r="O78" s="17">
        <f t="shared" si="8"/>
        <v>-1.1517811374652343E-2</v>
      </c>
      <c r="P78" s="17">
        <f t="shared" si="9"/>
        <v>-2.7072192513368985E-2</v>
      </c>
      <c r="Q78" s="18">
        <f t="shared" si="6"/>
        <v>96.803801820020226</v>
      </c>
      <c r="R78" s="18">
        <f t="shared" si="7"/>
        <v>88.226312995783076</v>
      </c>
      <c r="S78" s="36">
        <f>SUM(J73:J79)</f>
        <v>32495</v>
      </c>
      <c r="T78" s="30" t="s">
        <v>3</v>
      </c>
      <c r="U78" s="1738"/>
    </row>
    <row r="79" spans="1:25" ht="18" thickBot="1">
      <c r="A79" s="10" t="s">
        <v>16</v>
      </c>
      <c r="B79" s="905">
        <v>45731</v>
      </c>
      <c r="C79" s="76">
        <f>IF(G79=0,0,CHAMNORD!C79+AIX!C79+BELLEY!C79+STALBAN!C79+ABRETS!C79+PONT!C79+FRANCIN!C79+VIVIERS!C79)</f>
        <v>122378.29000000001</v>
      </c>
      <c r="D79" s="76">
        <f>IF(H79=0,0,CHAMNORD!D79+AIX!D79+BELLEY!D79+STALBAN!D79+ABRETS!D79+PONT!D79+FRANCIN!D79+VIVIERS!D79)</f>
        <v>119400.29999999999</v>
      </c>
      <c r="E79" s="76">
        <f>IF(I79=0,0,CHAMNORD!E79+AIX!E79+BELLEY!E79+STALBAN!E79+ABRETS!E79+PONT!E79+FRANCIN!E79+VIVIERS!E79)</f>
        <v>118073.35</v>
      </c>
      <c r="F79" s="20">
        <f>IF(J79=0,0,CHAMNORD!F79+AIX!F79+BELLEY!F79+STALBAN!F79+ABRETS!F79+PONT!F79+FRANCIN!F79+VIVIERS!F79)</f>
        <v>5723</v>
      </c>
      <c r="G79" s="40">
        <f>IF(I79=0,0,CHAMNORD!G79+AIX!G79+BELLEY!G79+STALBAN!G79+ABRETS!G79+PONT!G79+FRANCIN!G79+VIVIERS!G79)</f>
        <v>121400</v>
      </c>
      <c r="H79" s="42">
        <f>CHAMNORD!H79+AIX!H79+BELLEY!H79+STALBAN!H79+ABRETS!H79+PONT!H79+FRANCIN!H79+VIVIERS!H79</f>
        <v>117488.85999999999</v>
      </c>
      <c r="I79" s="13">
        <f>CHAMNORD!I79+AIX!I79+BELLEY!I79+STALBAN!I79+ABRETS!I79+PONT!I79+FRANCIN!I79+VIVIERS!I79</f>
        <v>116053</v>
      </c>
      <c r="J79" s="14">
        <f>CHAMNORD!J79+AIX!J79+BELLEY!J79+STALBAN!J79+ABRETS!J79+PONT!J79+FRANCIN!J79+VIVIERS!J79</f>
        <v>5407</v>
      </c>
      <c r="K79" s="15">
        <f>CHAMNORD!K79+AIX!K79+BELLEY!K79+STALBAN!K79+ABRETS!K79+PONT!K79+FRANCIN!K79+VIVIERS!K79</f>
        <v>1105.6500000000001</v>
      </c>
      <c r="L79" s="15">
        <f>CHAMNORD!L79+AIX!L79+BELLEY!L79+STALBAN!L79+ABRETS!L79+PONT!L79+FRANCIN!L79+VIVIERS!L79</f>
        <v>1215.9100000000001</v>
      </c>
      <c r="M79" s="15">
        <f>CHAMNORD!M79+AIX!M79+BELLEY!M79+STALBAN!M79+ABRETS!M79+PONT!M79+FRANCIN!M79+VIVIERS!M79</f>
        <v>442.95999999999992</v>
      </c>
      <c r="N79" s="16">
        <f t="shared" si="5"/>
        <v>3.8168767718197712E-3</v>
      </c>
      <c r="O79" s="17">
        <f t="shared" si="8"/>
        <v>-1.7110973814158791E-2</v>
      </c>
      <c r="P79" s="17">
        <f t="shared" si="9"/>
        <v>-5.5215795911235363E-2</v>
      </c>
      <c r="Q79" s="18">
        <f t="shared" si="6"/>
        <v>104.96359607470718</v>
      </c>
      <c r="R79" s="18">
        <f t="shared" si="7"/>
        <v>95.445386582888531</v>
      </c>
      <c r="S79" s="37">
        <f>(S78-SUM(F73:F79))/(SUM(F73:F79))</f>
        <v>-4.119087663391461E-2</v>
      </c>
      <c r="T79" s="47">
        <f>SUM(M73:M79)/SUM(I73:I79)</f>
        <v>5.4772525738965303E-3</v>
      </c>
      <c r="U79" s="1739"/>
    </row>
    <row r="80" spans="1:25" ht="17" customHeight="1" thickTop="1">
      <c r="A80" s="10" t="s">
        <v>9</v>
      </c>
      <c r="B80" s="905">
        <v>45732</v>
      </c>
      <c r="C80" s="76">
        <f>IF(G80=0,0,CHAMNORD!C80+AIX!C80+BELLEY!C80+STALBAN!C80+ABRETS!C80+PONT!C80+FRANCIN!C80+VIVIERS!C80)</f>
        <v>119400.29999999999</v>
      </c>
      <c r="D80" s="76">
        <f>IF(H80=0,0,CHAMNORD!D80+AIX!D80+BELLEY!D80+STALBAN!D80+ABRETS!D80+PONT!D80+FRANCIN!D80+VIVIERS!D80)</f>
        <v>58927.78</v>
      </c>
      <c r="E80" s="76">
        <f>IF(I80=0,0,CHAMNORD!E80+AIX!E80+BELLEY!E80+STALBAN!E80+ABRETS!E80+PONT!E80+FRANCIN!E80+VIVIERS!E80)</f>
        <v>58311.96</v>
      </c>
      <c r="F80" s="20">
        <f>IF(J80=0,0,CHAMNORD!F80+AIX!F80+BELLEY!F80+STALBAN!F80+ABRETS!F80+PONT!F80+FRANCIN!F80+VIVIERS!F80)</f>
        <v>3588</v>
      </c>
      <c r="G80" s="40">
        <f>IF(I80=0,0,CHAMNORD!G80+AIX!G80+BELLEY!G80+STALBAN!G80+ABRETS!G80+PONT!G80+FRANCIN!G80+VIVIERS!G80)</f>
        <v>59200</v>
      </c>
      <c r="H80" s="42">
        <f>CHAMNORD!H80+AIX!H80+BELLEY!H80+STALBAN!H80+ABRETS!H80+PONT!H80+FRANCIN!H80+VIVIERS!H80</f>
        <v>58821.070000000007</v>
      </c>
      <c r="I80" s="13">
        <f>CHAMNORD!I80+AIX!I80+BELLEY!I80+STALBAN!I80+ABRETS!I80+PONT!I80+FRANCIN!I80+VIVIERS!I80</f>
        <v>58260.759999999995</v>
      </c>
      <c r="J80" s="14">
        <f>CHAMNORD!J80+AIX!J80+BELLEY!J80+STALBAN!J80+ABRETS!J80+PONT!J80+FRANCIN!J80+VIVIERS!J80</f>
        <v>3342</v>
      </c>
      <c r="K80" s="15">
        <f>CHAMNORD!K80+AIX!K80+BELLEY!K80+STALBAN!K80+ABRETS!K80+PONT!K80+FRANCIN!K80+VIVIERS!K80</f>
        <v>742.86</v>
      </c>
      <c r="L80" s="15">
        <f>CHAMNORD!L80+AIX!L80+BELLEY!L80+STALBAN!L80+ABRETS!L80+PONT!L80+FRANCIN!L80+VIVIERS!L80</f>
        <v>869.65000000000009</v>
      </c>
      <c r="M80" s="15">
        <f>CHAMNORD!M80+AIX!M80+BELLEY!M80+STALBAN!M80+ABRETS!M80+PONT!M80+FRANCIN!M80+VIVIERS!M80</f>
        <v>470.56</v>
      </c>
      <c r="N80" s="16">
        <f t="shared" si="5"/>
        <v>8.0767913085926114E-3</v>
      </c>
      <c r="O80" s="17">
        <f t="shared" si="8"/>
        <v>-8.7803599810406586E-4</v>
      </c>
      <c r="P80" s="17">
        <f t="shared" si="9"/>
        <v>-6.8561872909698993E-2</v>
      </c>
      <c r="Q80" s="18">
        <f t="shared" si="6"/>
        <v>78.427644509059576</v>
      </c>
      <c r="R80" s="18">
        <f t="shared" si="7"/>
        <v>66.993342149140446</v>
      </c>
      <c r="S80" s="33" t="s">
        <v>482</v>
      </c>
      <c r="T80" s="31" t="s">
        <v>42</v>
      </c>
      <c r="U80" s="1737" t="s">
        <v>94</v>
      </c>
    </row>
    <row r="81" spans="1:25">
      <c r="A81" s="10" t="s">
        <v>11</v>
      </c>
      <c r="B81" s="905">
        <v>45733</v>
      </c>
      <c r="C81" s="76">
        <f>IF(G81=0,0,CHAMNORD!C81+AIX!C81+BELLEY!C81+STALBAN!C81+ABRETS!C81+PONT!C81+FRANCIN!C81+VIVIERS!C81)</f>
        <v>58927.78</v>
      </c>
      <c r="D81" s="76">
        <f>IF(H81=0,0,CHAMNORD!D81+AIX!D81+BELLEY!D81+STALBAN!D81+ABRETS!D81+PONT!D81+FRANCIN!D81+VIVIERS!D81)</f>
        <v>69452.03</v>
      </c>
      <c r="E81" s="76">
        <f>IF(I81=0,0,CHAMNORD!E81+AIX!E81+BELLEY!E81+STALBAN!E81+ABRETS!E81+PONT!E81+FRANCIN!E81+VIVIERS!E81)</f>
        <v>68725.7</v>
      </c>
      <c r="F81" s="20">
        <f>IF(J81=0,0,CHAMNORD!F81+AIX!F81+BELLEY!F81+STALBAN!F81+ABRETS!F81+PONT!F81+FRANCIN!F81+VIVIERS!F81)</f>
        <v>4085</v>
      </c>
      <c r="G81" s="40">
        <f>IF(I81=0,0,CHAMNORD!G81+AIX!G81+BELLEY!G81+STALBAN!G81+ABRETS!G81+PONT!G81+FRANCIN!G81+VIVIERS!G81)</f>
        <v>69900</v>
      </c>
      <c r="H81" s="42">
        <f>CHAMNORD!H81+AIX!H81+BELLEY!H81+STALBAN!H81+ABRETS!H81+PONT!H81+FRANCIN!H81+VIVIERS!H81</f>
        <v>68723.459999999992</v>
      </c>
      <c r="I81" s="13">
        <f>CHAMNORD!I81+AIX!I81+BELLEY!I81+STALBAN!I81+ABRETS!I81+PONT!I81+FRANCIN!I81+VIVIERS!I81</f>
        <v>67954.09</v>
      </c>
      <c r="J81" s="14">
        <f>CHAMNORD!J81+AIX!J81+BELLEY!J81+STALBAN!J81+ABRETS!J81+PONT!J81+FRANCIN!J81+VIVIERS!J81</f>
        <v>3720</v>
      </c>
      <c r="K81" s="15">
        <f>CHAMNORD!K81+AIX!K81+BELLEY!K81+STALBAN!K81+ABRETS!K81+PONT!K81+FRANCIN!K81+VIVIERS!K81</f>
        <v>769.33000000000015</v>
      </c>
      <c r="L81" s="15">
        <f>CHAMNORD!L81+AIX!L81+BELLEY!L81+STALBAN!L81+ABRETS!L81+PONT!L81+FRANCIN!L81+VIVIERS!L81</f>
        <v>892.91000000000008</v>
      </c>
      <c r="M81" s="15">
        <f>CHAMNORD!M81+AIX!M81+BELLEY!M81+STALBAN!M81+ABRETS!M81+PONT!M81+FRANCIN!M81+VIVIERS!M81</f>
        <v>490.35999999999996</v>
      </c>
      <c r="N81" s="16">
        <f t="shared" si="5"/>
        <v>7.2160483644177998E-3</v>
      </c>
      <c r="O81" s="17">
        <f t="shared" si="8"/>
        <v>-1.1227386552628792E-2</v>
      </c>
      <c r="P81" s="17">
        <f t="shared" si="9"/>
        <v>-8.935128518971848E-2</v>
      </c>
      <c r="Q81" s="18">
        <f t="shared" si="6"/>
        <v>88.328922568988574</v>
      </c>
      <c r="R81" s="18">
        <f t="shared" si="7"/>
        <v>76.104075438734014</v>
      </c>
      <c r="S81" s="34">
        <f>SUM(I80:I86)</f>
        <v>637371.26</v>
      </c>
      <c r="T81" s="45" t="s">
        <v>41</v>
      </c>
      <c r="U81" s="1738"/>
      <c r="W81" s="202">
        <f>+S81</f>
        <v>637371.26</v>
      </c>
      <c r="X81" s="202">
        <f>SUM(CHAMNORD!E80:E86)+SUM(AIX!E80:E86)+SUM(BELLEY!E80:E86)+SUM(STALBAN!E80:E86)+SUM(ABRETS!E80:E86)+SUM(PONT!E80:E86)+SUM(FRANCIN!E80:E86)+SUM(VIVIERS!E80:E86)</f>
        <v>626841.61</v>
      </c>
      <c r="Y81" s="202">
        <f>+W81-X81</f>
        <v>10529.650000000023</v>
      </c>
    </row>
    <row r="82" spans="1:25">
      <c r="A82" s="10" t="s">
        <v>12</v>
      </c>
      <c r="B82" s="905">
        <v>45734</v>
      </c>
      <c r="C82" s="76">
        <f>IF(G82=0,0,CHAMNORD!C82+AIX!C82+BELLEY!C82+STALBAN!C82+ABRETS!C82+PONT!C82+FRANCIN!C82+VIVIERS!C82)</f>
        <v>69452.03</v>
      </c>
      <c r="D82" s="76">
        <f>IF(H82=0,0,CHAMNORD!D82+AIX!D82+BELLEY!D82+STALBAN!D82+ABRETS!D82+PONT!D82+FRANCIN!D82+VIVIERS!D82)</f>
        <v>85493.1</v>
      </c>
      <c r="E82" s="76">
        <f>IF(I82=0,0,CHAMNORD!E82+AIX!E82+BELLEY!E82+STALBAN!E82+ABRETS!E82+PONT!E82+FRANCIN!E82+VIVIERS!E82)</f>
        <v>84450.930000000008</v>
      </c>
      <c r="F82" s="20">
        <f>IF(J82=0,0,CHAMNORD!F82+AIX!F82+BELLEY!F82+STALBAN!F82+ABRETS!F82+PONT!F82+FRANCIN!F82+VIVIERS!F82)</f>
        <v>4922</v>
      </c>
      <c r="G82" s="40">
        <f>IF(I82=0,0,CHAMNORD!G82+AIX!G82+BELLEY!G82+STALBAN!G82+ABRETS!G82+PONT!G82+FRANCIN!G82+VIVIERS!G82)</f>
        <v>85700</v>
      </c>
      <c r="H82" s="42">
        <f>CHAMNORD!H82+AIX!H82+BELLEY!H82+STALBAN!H82+ABRETS!H82+PONT!H82+FRANCIN!H82+VIVIERS!H82</f>
        <v>81549.87</v>
      </c>
      <c r="I82" s="13">
        <f>CHAMNORD!I82+AIX!I82+BELLEY!I82+STALBAN!I82+ABRETS!I82+PONT!I82+FRANCIN!I82+VIVIERS!I82</f>
        <v>80436.509999999995</v>
      </c>
      <c r="J82" s="14">
        <f>CHAMNORD!J82+AIX!J82+BELLEY!J82+STALBAN!J82+ABRETS!J82+PONT!J82+FRANCIN!J82+VIVIERS!J82</f>
        <v>4332</v>
      </c>
      <c r="K82" s="15">
        <f>CHAMNORD!K82+AIX!K82+BELLEY!K82+STALBAN!K82+ABRETS!K82+PONT!K82+FRANCIN!K82+VIVIERS!K82</f>
        <v>880.39</v>
      </c>
      <c r="L82" s="15">
        <f>CHAMNORD!L82+AIX!L82+BELLEY!L82+STALBAN!L82+ABRETS!L82+PONT!L82+FRANCIN!L82+VIVIERS!L82</f>
        <v>1009.6700000000001</v>
      </c>
      <c r="M82" s="15">
        <f>CHAMNORD!M82+AIX!M82+BELLEY!M82+STALBAN!M82+ABRETS!M82+PONT!M82+FRANCIN!M82+VIVIERS!M82</f>
        <v>572.2700000000001</v>
      </c>
      <c r="N82" s="16">
        <f t="shared" si="5"/>
        <v>7.1145553182255187E-3</v>
      </c>
      <c r="O82" s="17">
        <f t="shared" si="8"/>
        <v>-4.7535533356471177E-2</v>
      </c>
      <c r="P82" s="17">
        <f t="shared" si="9"/>
        <v>-0.11986997155627793</v>
      </c>
      <c r="Q82" s="18">
        <f t="shared" si="6"/>
        <v>91.364633855450421</v>
      </c>
      <c r="R82" s="18">
        <f t="shared" si="7"/>
        <v>79.666138441272878</v>
      </c>
      <c r="S82" s="35">
        <f>(S81-SUM(E80:E86))/(SUM(E80:E86))</f>
        <v>1.6797943582590034E-2</v>
      </c>
      <c r="T82" s="48">
        <f>SUM(I80:I86)/SUM(K80:K86)</f>
        <v>97.493603892577809</v>
      </c>
      <c r="U82" s="1738"/>
    </row>
    <row r="83" spans="1:25">
      <c r="A83" s="10" t="s">
        <v>13</v>
      </c>
      <c r="B83" s="905">
        <v>45735</v>
      </c>
      <c r="C83" s="76">
        <f>IF(G83=0,0,CHAMNORD!C83+AIX!C83+BELLEY!C83+STALBAN!C83+ABRETS!C83+PONT!C83+FRANCIN!C83+VIVIERS!C83)</f>
        <v>85493.1</v>
      </c>
      <c r="D83" s="76">
        <f>IF(H83=0,0,CHAMNORD!D83+AIX!D83+BELLEY!D83+STALBAN!D83+ABRETS!D83+PONT!D83+FRANCIN!D83+VIVIERS!D83)</f>
        <v>73823.08</v>
      </c>
      <c r="E83" s="76">
        <f>IF(I83=0,0,CHAMNORD!E83+AIX!E83+BELLEY!E83+STALBAN!E83+ABRETS!E83+PONT!E83+FRANCIN!E83+VIVIERS!E83)</f>
        <v>73147.679999999993</v>
      </c>
      <c r="F83" s="20">
        <f>IF(J83=0,0,CHAMNORD!F83+AIX!F83+BELLEY!F83+STALBAN!F83+ABRETS!F83+PONT!F83+FRANCIN!F83+VIVIERS!F83)</f>
        <v>4465</v>
      </c>
      <c r="G83" s="40">
        <f>IF(I83=0,0,CHAMNORD!G83+AIX!G83+BELLEY!G83+STALBAN!G83+ABRETS!G83+PONT!G83+FRANCIN!G83+VIVIERS!G83)</f>
        <v>74600</v>
      </c>
      <c r="H83" s="42">
        <f>CHAMNORD!H83+AIX!H83+BELLEY!H83+STALBAN!H83+ABRETS!H83+PONT!H83+FRANCIN!H83+VIVIERS!H83</f>
        <v>72551.570000000007</v>
      </c>
      <c r="I83" s="13">
        <f>CHAMNORD!I83+AIX!I83+BELLEY!I83+STALBAN!I83+ABRETS!I83+PONT!I83+FRANCIN!I83+VIVIERS!I83</f>
        <v>71810.41</v>
      </c>
      <c r="J83" s="14">
        <f>CHAMNORD!J83+AIX!J83+BELLEY!J83+STALBAN!J83+ABRETS!J83+PONT!J83+FRANCIN!J83+VIVIERS!J83</f>
        <v>4077</v>
      </c>
      <c r="K83" s="15">
        <f>CHAMNORD!K83+AIX!K83+BELLEY!K83+STALBAN!K83+ABRETS!K83+PONT!K83+FRANCIN!K83+VIVIERS!K83</f>
        <v>842.02</v>
      </c>
      <c r="L83" s="15">
        <f>CHAMNORD!L83+AIX!L83+BELLEY!L83+STALBAN!L83+ABRETS!L83+PONT!L83+FRANCIN!L83+VIVIERS!L83</f>
        <v>950.12000000000012</v>
      </c>
      <c r="M83" s="15">
        <f>CHAMNORD!M83+AIX!M83+BELLEY!M83+STALBAN!M83+ABRETS!M83+PONT!M83+FRANCIN!M83+VIVIERS!M83</f>
        <v>417.43</v>
      </c>
      <c r="N83" s="16">
        <f t="shared" si="5"/>
        <v>5.8129455046977167E-3</v>
      </c>
      <c r="O83" s="17">
        <f t="shared" si="8"/>
        <v>-1.8281782826194755E-2</v>
      </c>
      <c r="P83" s="17">
        <f t="shared" si="9"/>
        <v>-8.6898096304591263E-2</v>
      </c>
      <c r="Q83" s="18">
        <f t="shared" si="6"/>
        <v>85.283496829053945</v>
      </c>
      <c r="R83" s="18">
        <f t="shared" si="7"/>
        <v>75.580358270534248</v>
      </c>
      <c r="S83" s="34"/>
      <c r="T83" s="29" t="s">
        <v>8</v>
      </c>
      <c r="U83" s="1738"/>
    </row>
    <row r="84" spans="1:25">
      <c r="A84" s="10" t="s">
        <v>14</v>
      </c>
      <c r="B84" s="905">
        <v>45736</v>
      </c>
      <c r="C84" s="76">
        <f>IF(G84=0,0,CHAMNORD!C84+AIX!C84+BELLEY!C84+STALBAN!C84+ABRETS!C84+PONT!C84+FRANCIN!C84+VIVIERS!C84)</f>
        <v>73823.08</v>
      </c>
      <c r="D84" s="76">
        <f>IF(H84=0,0,CHAMNORD!D84+AIX!D84+BELLEY!D84+STALBAN!D84+ABRETS!D84+PONT!D84+FRANCIN!D84+VIVIERS!D84)</f>
        <v>106084.51000000001</v>
      </c>
      <c r="E84" s="76">
        <f>IF(I84=0,0,CHAMNORD!E84+AIX!E84+BELLEY!E84+STALBAN!E84+ABRETS!E84+PONT!E84+FRANCIN!E84+VIVIERS!E84)</f>
        <v>104969.04000000001</v>
      </c>
      <c r="F84" s="20">
        <f>IF(J84=0,0,CHAMNORD!F84+AIX!F84+BELLEY!F84+STALBAN!F84+ABRETS!F84+PONT!F84+FRANCIN!F84+VIVIERS!F84)</f>
        <v>5795</v>
      </c>
      <c r="G84" s="40">
        <f>IF(I84=0,0,CHAMNORD!G84+AIX!G84+BELLEY!G84+STALBAN!G84+ABRETS!G84+PONT!G84+FRANCIN!G84+VIVIERS!G84)</f>
        <v>108100</v>
      </c>
      <c r="H84" s="42">
        <f>CHAMNORD!H84+AIX!H84+BELLEY!H84+STALBAN!H84+ABRETS!H84+PONT!H84+FRANCIN!H84+VIVIERS!H84</f>
        <v>121874.13</v>
      </c>
      <c r="I84" s="13">
        <f>CHAMNORD!I84+AIX!I84+BELLEY!I84+STALBAN!I84+ABRETS!I84+PONT!I84+FRANCIN!I84+VIVIERS!I84</f>
        <v>120434.43</v>
      </c>
      <c r="J84" s="14">
        <f>CHAMNORD!J84+AIX!J84+BELLEY!J84+STALBAN!J84+ABRETS!J84+PONT!J84+FRANCIN!J84+VIVIERS!J84</f>
        <v>6352</v>
      </c>
      <c r="K84" s="15">
        <f>CHAMNORD!K84+AIX!K84+BELLEY!K84+STALBAN!K84+ABRETS!K84+PONT!K84+FRANCIN!K84+VIVIERS!K84</f>
        <v>1115.47</v>
      </c>
      <c r="L84" s="15">
        <f>CHAMNORD!L84+AIX!L84+BELLEY!L84+STALBAN!L84+ABRETS!L84+PONT!L84+FRANCIN!L84+VIVIERS!L84</f>
        <v>1234.82</v>
      </c>
      <c r="M84" s="15">
        <f>CHAMNORD!M84+AIX!M84+BELLEY!M84+STALBAN!M84+ABRETS!M84+PONT!M84+FRANCIN!M84+VIVIERS!M84</f>
        <v>452.01000000000005</v>
      </c>
      <c r="N84" s="16">
        <f t="shared" si="5"/>
        <v>3.7531626130501059E-3</v>
      </c>
      <c r="O84" s="17">
        <f t="shared" si="8"/>
        <v>0.14733287072073808</v>
      </c>
      <c r="P84" s="17">
        <f t="shared" si="9"/>
        <v>9.6117342536669537E-2</v>
      </c>
      <c r="Q84" s="18">
        <f t="shared" si="6"/>
        <v>107.96743076909284</v>
      </c>
      <c r="R84" s="18">
        <f t="shared" si="7"/>
        <v>97.531972271262205</v>
      </c>
      <c r="S84" s="36" t="s">
        <v>40</v>
      </c>
      <c r="T84" s="48">
        <f>SUM(I80:I86)/SUM(L80:L86)</f>
        <v>86.215719454871333</v>
      </c>
      <c r="U84" s="1738"/>
    </row>
    <row r="85" spans="1:25">
      <c r="A85" s="10" t="s">
        <v>15</v>
      </c>
      <c r="B85" s="905">
        <v>45737</v>
      </c>
      <c r="C85" s="76">
        <f>IF(G85=0,0,CHAMNORD!C85+AIX!C85+BELLEY!C85+STALBAN!C85+ABRETS!C85+PONT!C85+FRANCIN!C85+VIVIERS!C85)</f>
        <v>106084.51000000001</v>
      </c>
      <c r="D85" s="76">
        <f>IF(H85=0,0,CHAMNORD!D85+AIX!D85+BELLEY!D85+STALBAN!D85+ABRETS!D85+PONT!D85+FRANCIN!D85+VIVIERS!D85)</f>
        <v>118389.69999999998</v>
      </c>
      <c r="E85" s="76">
        <f>IF(I85=0,0,CHAMNORD!E85+AIX!E85+BELLEY!E85+STALBAN!E85+ABRETS!E85+PONT!E85+FRANCIN!E85+VIVIERS!E85)</f>
        <v>117081.99</v>
      </c>
      <c r="F85" s="20">
        <f>IF(J85=0,0,CHAMNORD!F85+AIX!F85+BELLEY!F85+STALBAN!F85+ABRETS!F85+PONT!F85+FRANCIN!F85+VIVIERS!F85)</f>
        <v>6039</v>
      </c>
      <c r="G85" s="40">
        <f>IF(I85=0,0,CHAMNORD!G85+AIX!G85+BELLEY!G85+STALBAN!G85+ABRETS!G85+PONT!G85+FRANCIN!G85+VIVIERS!G85)</f>
        <v>119600</v>
      </c>
      <c r="H85" s="42">
        <f>CHAMNORD!H85+AIX!H85+BELLEY!H85+STALBAN!H85+ABRETS!H85+PONT!H85+FRANCIN!H85+VIVIERS!H85</f>
        <v>121208.12</v>
      </c>
      <c r="I85" s="13">
        <f>CHAMNORD!I85+AIX!I85+BELLEY!I85+STALBAN!I85+ABRETS!I85+PONT!I85+FRANCIN!I85+VIVIERS!I85</f>
        <v>119673.29</v>
      </c>
      <c r="J85" s="14">
        <f>CHAMNORD!J85+AIX!J85+BELLEY!J85+STALBAN!J85+ABRETS!J85+PONT!J85+FRANCIN!J85+VIVIERS!J85</f>
        <v>6186</v>
      </c>
      <c r="K85" s="15">
        <f>CHAMNORD!K85+AIX!K85+BELLEY!K85+STALBAN!K85+ABRETS!K85+PONT!K85+FRANCIN!K85+VIVIERS!K85</f>
        <v>1136.1100000000001</v>
      </c>
      <c r="L85" s="15">
        <f>CHAMNORD!L85+AIX!L85+BELLEY!L85+STALBAN!L85+ABRETS!L85+PONT!L85+FRANCIN!L85+VIVIERS!L85</f>
        <v>1271.29</v>
      </c>
      <c r="M85" s="15">
        <f>CHAMNORD!M85+AIX!M85+BELLEY!M85+STALBAN!M85+ABRETS!M85+PONT!M85+FRANCIN!M85+VIVIERS!M85</f>
        <v>411.05</v>
      </c>
      <c r="N85" s="16">
        <f t="shared" si="5"/>
        <v>3.4347681090742973E-3</v>
      </c>
      <c r="O85" s="17">
        <f t="shared" si="8"/>
        <v>2.2132353575472951E-2</v>
      </c>
      <c r="P85" s="17">
        <f t="shared" si="9"/>
        <v>2.4341778440139097E-2</v>
      </c>
      <c r="Q85" s="18">
        <f t="shared" si="6"/>
        <v>105.33600619658306</v>
      </c>
      <c r="R85" s="18">
        <f t="shared" si="7"/>
        <v>94.135319242659023</v>
      </c>
      <c r="S85" s="36">
        <f>SUM(J80:J86)</f>
        <v>33385</v>
      </c>
      <c r="T85" s="30" t="s">
        <v>3</v>
      </c>
      <c r="U85" s="1738"/>
    </row>
    <row r="86" spans="1:25" ht="18" thickBot="1">
      <c r="A86" s="10" t="s">
        <v>16</v>
      </c>
      <c r="B86" s="905">
        <v>45738</v>
      </c>
      <c r="C86" s="76">
        <f>IF(G86=0,0,CHAMNORD!C86+AIX!C86+BELLEY!C86+STALBAN!C86+ABRETS!C86+PONT!C86+FRANCIN!C86+VIVIERS!C86)</f>
        <v>118389.69999999998</v>
      </c>
      <c r="D86" s="76">
        <f>IF(H86=0,0,CHAMNORD!D86+AIX!D86+BELLEY!D86+STALBAN!D86+ABRETS!D86+PONT!D86+FRANCIN!D86+VIVIERS!D86)</f>
        <v>121481.93</v>
      </c>
      <c r="E86" s="76">
        <f>IF(I86=0,0,CHAMNORD!E86+AIX!E86+BELLEY!E86+STALBAN!E86+ABRETS!E86+PONT!E86+FRANCIN!E86+VIVIERS!E86)</f>
        <v>120154.31</v>
      </c>
      <c r="F86" s="20">
        <f>IF(J86=0,0,CHAMNORD!F86+AIX!F86+BELLEY!F86+STALBAN!F86+ABRETS!F86+PONT!F86+FRANCIN!F86+VIVIERS!F86)</f>
        <v>5847</v>
      </c>
      <c r="G86" s="40">
        <f>IF(I86=0,0,CHAMNORD!G86+AIX!G86+BELLEY!G86+STALBAN!G86+ABRETS!G86+PONT!G86+FRANCIN!G86+VIVIERS!G86)</f>
        <v>122200</v>
      </c>
      <c r="H86" s="42">
        <f>CHAMNORD!H86+AIX!H86+BELLEY!H86+STALBAN!H86+ABRETS!H86+PONT!H86+FRANCIN!H86+VIVIERS!H86</f>
        <v>120314.83</v>
      </c>
      <c r="I86" s="13">
        <f>CHAMNORD!I86+AIX!I86+BELLEY!I86+STALBAN!I86+ABRETS!I86+PONT!I86+FRANCIN!I86+VIVIERS!I86</f>
        <v>118801.77000000002</v>
      </c>
      <c r="J86" s="14">
        <f>CHAMNORD!J86+AIX!J86+BELLEY!J86+STALBAN!J86+ABRETS!J86+PONT!J86+FRANCIN!J86+VIVIERS!J86</f>
        <v>5376</v>
      </c>
      <c r="K86" s="15">
        <f>CHAMNORD!K86+AIX!K86+BELLEY!K86+STALBAN!K86+ABRETS!K86+PONT!K86+FRANCIN!K86+VIVIERS!K86</f>
        <v>1051.3900000000001</v>
      </c>
      <c r="L86" s="15">
        <f>CHAMNORD!L86+AIX!L86+BELLEY!L86+STALBAN!L86+ABRETS!L86+PONT!L86+FRANCIN!L86+VIVIERS!L86</f>
        <v>1164.29</v>
      </c>
      <c r="M86" s="15">
        <f>CHAMNORD!M86+AIX!M86+BELLEY!M86+STALBAN!M86+ABRETS!M86+PONT!M86+FRANCIN!M86+VIVIERS!M86</f>
        <v>457.66999999999996</v>
      </c>
      <c r="N86" s="16">
        <f t="shared" si="5"/>
        <v>3.852383680815529E-3</v>
      </c>
      <c r="O86" s="17">
        <f t="shared" si="8"/>
        <v>-1.1256691499455816E-2</v>
      </c>
      <c r="P86" s="17">
        <f t="shared" si="9"/>
        <v>-8.0554130323242684E-2</v>
      </c>
      <c r="Q86" s="18">
        <f t="shared" si="6"/>
        <v>112.99495905420444</v>
      </c>
      <c r="R86" s="18">
        <f t="shared" si="7"/>
        <v>102.03795446151734</v>
      </c>
      <c r="S86" s="37">
        <f>(S85-SUM(F80:F86))/(SUM(F80:F86))</f>
        <v>-3.9031691661149649E-2</v>
      </c>
      <c r="T86" s="47">
        <f>SUM(M80:M86)/SUM(I80:I86)</f>
        <v>5.132565908290249E-3</v>
      </c>
      <c r="U86" s="1739"/>
    </row>
    <row r="87" spans="1:25" ht="17" customHeight="1" thickTop="1">
      <c r="A87" s="10" t="s">
        <v>9</v>
      </c>
      <c r="B87" s="905">
        <v>45739</v>
      </c>
      <c r="C87" s="76">
        <f>IF(G87=0,0,CHAMNORD!C87+AIX!C87+BELLEY!C87+STALBAN!C87+ABRETS!C87+PONT!C87+FRANCIN!C87+VIVIERS!C87)</f>
        <v>121481.93</v>
      </c>
      <c r="D87" s="76">
        <f>IF(H87=0,0,CHAMNORD!D87+AIX!D87+BELLEY!D87+STALBAN!D87+ABRETS!D87+PONT!D87+FRANCIN!D87+VIVIERS!D87)</f>
        <v>57632.56</v>
      </c>
      <c r="E87" s="76">
        <f>IF(I87=0,0,CHAMNORD!E87+AIX!E87+BELLEY!E87+STALBAN!E87+ABRETS!E87+PONT!E87+FRANCIN!E87+VIVIERS!E87)</f>
        <v>57172.080000000009</v>
      </c>
      <c r="F87" s="20">
        <f>IF(J87=0,0,CHAMNORD!F87+AIX!F87+BELLEY!F87+STALBAN!F87+ABRETS!F87+PONT!F87+FRANCIN!F87+VIVIERS!F87)</f>
        <v>3453</v>
      </c>
      <c r="G87" s="40">
        <f>IF(I87=0,0,CHAMNORD!G87+AIX!G87+BELLEY!G87+STALBAN!G87+ABRETS!G87+PONT!G87+FRANCIN!G87+VIVIERS!G87)</f>
        <v>58700</v>
      </c>
      <c r="H87" s="42">
        <f>CHAMNORD!H87+AIX!H87+BELLEY!H87+STALBAN!H87+ABRETS!H87+PONT!H87+FRANCIN!H87+VIVIERS!H87</f>
        <v>57403.92</v>
      </c>
      <c r="I87" s="13">
        <f>CHAMNORD!I87+AIX!I87+BELLEY!I87+STALBAN!I87+ABRETS!I87+PONT!I87+FRANCIN!I87+VIVIERS!I87</f>
        <v>56742.76</v>
      </c>
      <c r="J87" s="14">
        <f>CHAMNORD!J87+AIX!J87+BELLEY!J87+STALBAN!J87+ABRETS!J87+PONT!J87+FRANCIN!J87+VIVIERS!J87</f>
        <v>3329</v>
      </c>
      <c r="K87" s="15">
        <f>CHAMNORD!K87+AIX!K87+BELLEY!K87+STALBAN!K87+ABRETS!K87+PONT!K87+FRANCIN!K87+VIVIERS!K87</f>
        <v>741.50999999999988</v>
      </c>
      <c r="L87" s="15">
        <f>CHAMNORD!L87+AIX!L87+BELLEY!L87+STALBAN!L87+ABRETS!L87+PONT!L87+FRANCIN!L87+VIVIERS!L87</f>
        <v>862.44999999999993</v>
      </c>
      <c r="M87" s="15">
        <f>CHAMNORD!M87+AIX!M87+BELLEY!M87+STALBAN!M87+ABRETS!M87+PONT!M87+FRANCIN!M87+VIVIERS!M87</f>
        <v>407.45</v>
      </c>
      <c r="N87" s="16">
        <f t="shared" si="5"/>
        <v>7.1806517694944687E-3</v>
      </c>
      <c r="O87" s="17">
        <f t="shared" si="8"/>
        <v>-7.5092597645565265E-3</v>
      </c>
      <c r="P87" s="17">
        <f t="shared" si="9"/>
        <v>-3.5910802200984651E-2</v>
      </c>
      <c r="Q87" s="18">
        <f t="shared" si="6"/>
        <v>76.523256598022968</v>
      </c>
      <c r="R87" s="18">
        <f t="shared" si="7"/>
        <v>65.792521305582937</v>
      </c>
      <c r="S87" s="33" t="s">
        <v>39</v>
      </c>
      <c r="T87" s="31" t="s">
        <v>42</v>
      </c>
      <c r="U87" s="1737" t="s">
        <v>95</v>
      </c>
    </row>
    <row r="88" spans="1:25">
      <c r="A88" s="10" t="s">
        <v>11</v>
      </c>
      <c r="B88" s="905">
        <v>45740</v>
      </c>
      <c r="C88" s="76">
        <f>IF(G88=0,0,CHAMNORD!C88+AIX!C88+BELLEY!C88+STALBAN!C88+ABRETS!C88+PONT!C88+FRANCIN!C88+VIVIERS!C88)</f>
        <v>57632.56</v>
      </c>
      <c r="D88" s="76">
        <f>IF(H88=0,0,CHAMNORD!D88+AIX!D88+BELLEY!D88+STALBAN!D88+ABRETS!D88+PONT!D88+FRANCIN!D88+VIVIERS!D88)</f>
        <v>71132.06</v>
      </c>
      <c r="E88" s="76">
        <f>IF(I88=0,0,CHAMNORD!E88+AIX!E88+BELLEY!E88+STALBAN!E88+ABRETS!E88+PONT!E88+FRANCIN!E88+VIVIERS!E88)</f>
        <v>69691.77</v>
      </c>
      <c r="F88" s="20">
        <f>IF(J88=0,0,CHAMNORD!F88+AIX!F88+BELLEY!F88+STALBAN!F88+ABRETS!F88+PONT!F88+FRANCIN!F88+VIVIERS!F88)</f>
        <v>4113</v>
      </c>
      <c r="G88" s="40">
        <f>IF(I88=0,0,CHAMNORD!G88+AIX!G88+BELLEY!G88+STALBAN!G88+ABRETS!G88+PONT!G88+FRANCIN!G88+VIVIERS!G88)</f>
        <v>70800</v>
      </c>
      <c r="H88" s="42">
        <f>CHAMNORD!H88+AIX!H88+BELLEY!H88+STALBAN!H88+ABRETS!H88+PONT!H88+FRANCIN!H88+VIVIERS!H88</f>
        <v>67905.63</v>
      </c>
      <c r="I88" s="13">
        <f>CHAMNORD!I88+AIX!I88+BELLEY!I88+STALBAN!I88+ABRETS!I88+PONT!I88+FRANCIN!I88+VIVIERS!I88</f>
        <v>66750.27</v>
      </c>
      <c r="J88" s="14">
        <f>CHAMNORD!J88+AIX!J88+BELLEY!J88+STALBAN!J88+ABRETS!J88+PONT!J88+FRANCIN!J88+VIVIERS!J88</f>
        <v>3732</v>
      </c>
      <c r="K88" s="15">
        <f>CHAMNORD!K88+AIX!K88+BELLEY!K88+STALBAN!K88+ABRETS!K88+PONT!K88+FRANCIN!K88+VIVIERS!K88</f>
        <v>749.74000000000012</v>
      </c>
      <c r="L88" s="15">
        <f>CHAMNORD!L88+AIX!L88+BELLEY!L88+STALBAN!L88+ABRETS!L88+PONT!L88+FRANCIN!L88+VIVIERS!L88</f>
        <v>877.6400000000001</v>
      </c>
      <c r="M88" s="15">
        <f>CHAMNORD!M88+AIX!M88+BELLEY!M88+STALBAN!M88+ABRETS!M88+PONT!M88+FRANCIN!M88+VIVIERS!M88</f>
        <v>395.9</v>
      </c>
      <c r="N88" s="16">
        <f t="shared" si="5"/>
        <v>5.9310621515088991E-3</v>
      </c>
      <c r="O88" s="17">
        <f t="shared" si="8"/>
        <v>-4.2207279281326907E-2</v>
      </c>
      <c r="P88" s="17">
        <f t="shared" si="9"/>
        <v>-9.2633114514952583E-2</v>
      </c>
      <c r="Q88" s="18">
        <f t="shared" si="6"/>
        <v>89.031224157707996</v>
      </c>
      <c r="R88" s="18">
        <f t="shared" si="7"/>
        <v>76.05654938243471</v>
      </c>
      <c r="S88" s="34">
        <f>SUM(I87:I93)</f>
        <v>666754.52</v>
      </c>
      <c r="T88" s="45" t="s">
        <v>41</v>
      </c>
      <c r="U88" s="1738"/>
      <c r="W88" s="202">
        <f>+S88</f>
        <v>666754.52</v>
      </c>
      <c r="X88" s="202">
        <f>SUM(CHAMNORD!E87:E93)+SUM(AIX!E87:E93)+SUM(BELLEY!E87:E93)+SUM(STALBAN!E87:E93)+SUM(ABRETS!E87:E93)+SUM(PONT!E87:E93)+SUM(FRANCIN!E87:E93)+SUM(VIVIERS!E87:E93)</f>
        <v>676091.28</v>
      </c>
      <c r="Y88" s="202">
        <f>+W88-X88</f>
        <v>-9336.7600000000093</v>
      </c>
    </row>
    <row r="89" spans="1:25">
      <c r="A89" s="10" t="s">
        <v>12</v>
      </c>
      <c r="B89" s="905">
        <v>45741</v>
      </c>
      <c r="C89" s="76">
        <f>IF(G89=0,0,CHAMNORD!C89+AIX!C89+BELLEY!C89+STALBAN!C89+ABRETS!C89+PONT!C89+FRANCIN!C89+VIVIERS!C89)</f>
        <v>71132.06</v>
      </c>
      <c r="D89" s="76">
        <f>IF(H89=0,0,CHAMNORD!D89+AIX!D89+BELLEY!D89+STALBAN!D89+ABRETS!D89+PONT!D89+FRANCIN!D89+VIVIERS!D89)</f>
        <v>90557</v>
      </c>
      <c r="E89" s="76">
        <f>IF(I89=0,0,CHAMNORD!E89+AIX!E89+BELLEY!E89+STALBAN!E89+ABRETS!E89+PONT!E89+FRANCIN!E89+VIVIERS!E89)</f>
        <v>88453.27</v>
      </c>
      <c r="F89" s="20">
        <f>IF(J89=0,0,CHAMNORD!F89+AIX!F89+BELLEY!F89+STALBAN!F89+ABRETS!F89+PONT!F89+FRANCIN!F89+VIVIERS!F89)</f>
        <v>5059</v>
      </c>
      <c r="G89" s="40">
        <f>IF(I89=0,0,CHAMNORD!G89+AIX!G89+BELLEY!G89+STALBAN!G89+ABRETS!G89+PONT!G89+FRANCIN!G89+VIVIERS!G89)</f>
        <v>88850</v>
      </c>
      <c r="H89" s="42">
        <f>CHAMNORD!H89+AIX!H89+BELLEY!H89+STALBAN!H89+ABRETS!H89+PONT!H89+FRANCIN!H89+VIVIERS!H89</f>
        <v>87697.78</v>
      </c>
      <c r="I89" s="13">
        <f>CHAMNORD!I89+AIX!I89+BELLEY!I89+STALBAN!I89+ABRETS!I89+PONT!I89+FRANCIN!I89+VIVIERS!I89</f>
        <v>85835.790000000008</v>
      </c>
      <c r="J89" s="14">
        <f>CHAMNORD!J89+AIX!J89+BELLEY!J89+STALBAN!J89+ABRETS!J89+PONT!J89+FRANCIN!J89+VIVIERS!J89</f>
        <v>4590</v>
      </c>
      <c r="K89" s="15">
        <f>CHAMNORD!K89+AIX!K89+BELLEY!K89+STALBAN!K89+ABRETS!K89+PONT!K89+FRANCIN!K89+VIVIERS!K89</f>
        <v>862.47</v>
      </c>
      <c r="L89" s="15">
        <f>CHAMNORD!L89+AIX!L89+BELLEY!L89+STALBAN!L89+ABRETS!L89+PONT!L89+FRANCIN!L89+VIVIERS!L89</f>
        <v>992.43000000000006</v>
      </c>
      <c r="M89" s="15">
        <f>CHAMNORD!M89+AIX!M89+BELLEY!M89+STALBAN!M89+ABRETS!M89+PONT!M89+FRANCIN!M89+VIVIERS!M89</f>
        <v>521.12</v>
      </c>
      <c r="N89" s="16">
        <f t="shared" si="5"/>
        <v>6.0711272069611053E-3</v>
      </c>
      <c r="O89" s="17">
        <f t="shared" si="8"/>
        <v>-2.9591670268380083E-2</v>
      </c>
      <c r="P89" s="17">
        <f t="shared" si="9"/>
        <v>-9.270606839296304E-2</v>
      </c>
      <c r="Q89" s="18">
        <f t="shared" si="6"/>
        <v>99.523218198893886</v>
      </c>
      <c r="R89" s="18">
        <f t="shared" si="7"/>
        <v>86.490523261086423</v>
      </c>
      <c r="S89" s="35">
        <f>(S88-SUM(E87:E93))/(SUM(E87:E93))</f>
        <v>-1.3809910401447412E-2</v>
      </c>
      <c r="T89" s="48">
        <f>SUM(I87:I93)/SUM(K87:K93)</f>
        <v>102.68535909985555</v>
      </c>
      <c r="U89" s="1738"/>
    </row>
    <row r="90" spans="1:25">
      <c r="A90" s="10" t="s">
        <v>13</v>
      </c>
      <c r="B90" s="905">
        <v>45742</v>
      </c>
      <c r="C90" s="76">
        <f>IF(G90=0,0,CHAMNORD!C90+AIX!C90+BELLEY!C90+STALBAN!C90+ABRETS!C90+PONT!C90+FRANCIN!C90+VIVIERS!C90)</f>
        <v>90557</v>
      </c>
      <c r="D90" s="76">
        <f>IF(H90=0,0,CHAMNORD!D90+AIX!D90+BELLEY!D90+STALBAN!D90+ABRETS!D90+PONT!D90+FRANCIN!D90+VIVIERS!D90)</f>
        <v>81739.11</v>
      </c>
      <c r="E90" s="76">
        <f>IF(I90=0,0,CHAMNORD!E90+AIX!E90+BELLEY!E90+STALBAN!E90+ABRETS!E90+PONT!E90+FRANCIN!E90+VIVIERS!E90)</f>
        <v>80138.92</v>
      </c>
      <c r="F90" s="20">
        <f>IF(J90=0,0,CHAMNORD!F90+AIX!F90+BELLEY!F90+STALBAN!F90+ABRETS!F90+PONT!F90+FRANCIN!F90+VIVIERS!F90)</f>
        <v>4678</v>
      </c>
      <c r="G90" s="40">
        <f>IF(I90=0,0,CHAMNORD!G90+AIX!G90+BELLEY!G90+STALBAN!G90+ABRETS!G90+PONT!G90+FRANCIN!G90+VIVIERS!G90)</f>
        <v>80900</v>
      </c>
      <c r="H90" s="42">
        <f>CHAMNORD!H90+AIX!H90+BELLEY!H90+STALBAN!H90+ABRETS!H90+PONT!H90+FRANCIN!H90+VIVIERS!H90</f>
        <v>77626.87</v>
      </c>
      <c r="I90" s="13">
        <f>CHAMNORD!I90+AIX!I90+BELLEY!I90+STALBAN!I90+ABRETS!I90+PONT!I90+FRANCIN!I90+VIVIERS!I90</f>
        <v>76314.23</v>
      </c>
      <c r="J90" s="14">
        <f>CHAMNORD!J90+AIX!J90+BELLEY!J90+STALBAN!J90+ABRETS!J90+PONT!J90+FRANCIN!J90+VIVIERS!J90</f>
        <v>4071</v>
      </c>
      <c r="K90" s="15">
        <f>CHAMNORD!K90+AIX!K90+BELLEY!K90+STALBAN!K90+ABRETS!K90+PONT!K90+FRANCIN!K90+VIVIERS!K90</f>
        <v>782.69999999999993</v>
      </c>
      <c r="L90" s="15">
        <f>CHAMNORD!L90+AIX!L90+BELLEY!L90+STALBAN!L90+ABRETS!L90+PONT!L90+FRANCIN!L90+VIVIERS!L90</f>
        <v>924.74</v>
      </c>
      <c r="M90" s="15">
        <f>CHAMNORD!M90+AIX!M90+BELLEY!M90+STALBAN!M90+ABRETS!M90+PONT!M90+FRANCIN!M90+VIVIERS!M90</f>
        <v>438.05000000000007</v>
      </c>
      <c r="N90" s="16">
        <f t="shared" si="5"/>
        <v>5.7400828128646528E-3</v>
      </c>
      <c r="O90" s="17">
        <f t="shared" si="8"/>
        <v>-4.7725749236450933E-2</v>
      </c>
      <c r="P90" s="17">
        <f t="shared" si="9"/>
        <v>-0.12975630611372382</v>
      </c>
      <c r="Q90" s="18">
        <f t="shared" si="6"/>
        <v>97.50125207614667</v>
      </c>
      <c r="R90" s="18">
        <f t="shared" si="7"/>
        <v>82.525066505179822</v>
      </c>
      <c r="S90" s="34"/>
      <c r="T90" s="29" t="s">
        <v>8</v>
      </c>
      <c r="U90" s="1738"/>
    </row>
    <row r="91" spans="1:25">
      <c r="A91" s="10" t="s">
        <v>14</v>
      </c>
      <c r="B91" s="905">
        <v>45743</v>
      </c>
      <c r="C91" s="76">
        <f>IF(G91=0,0,CHAMNORD!C91+AIX!C91+BELLEY!C91+STALBAN!C91+ABRETS!C91+PONT!C91+FRANCIN!C91+VIVIERS!C91)</f>
        <v>81739.11</v>
      </c>
      <c r="D91" s="76">
        <f>IF(H91=0,0,CHAMNORD!D91+AIX!D91+BELLEY!D91+STALBAN!D91+ABRETS!D91+PONT!D91+FRANCIN!D91+VIVIERS!D91)</f>
        <v>121478.83</v>
      </c>
      <c r="E91" s="76">
        <f>IF(I91=0,0,CHAMNORD!E91+AIX!E91+BELLEY!E91+STALBAN!E91+ABRETS!E91+PONT!E91+FRANCIN!E91+VIVIERS!E91)</f>
        <v>118854.75999999998</v>
      </c>
      <c r="F91" s="20">
        <f>IF(J91=0,0,CHAMNORD!F91+AIX!F91+BELLEY!F91+STALBAN!F91+ABRETS!F91+PONT!F91+FRANCIN!F91+VIVIERS!F91)</f>
        <v>6313</v>
      </c>
      <c r="G91" s="40">
        <f>IF(I91=0,0,CHAMNORD!G91+AIX!G91+BELLEY!G91+STALBAN!G91+ABRETS!G91+PONT!G91+FRANCIN!G91+VIVIERS!G91)</f>
        <v>120350</v>
      </c>
      <c r="H91" s="42">
        <f>CHAMNORD!H91+AIX!H91+BELLEY!H91+STALBAN!H91+ABRETS!H91+PONT!H91+FRANCIN!H91+VIVIERS!H91</f>
        <v>121791.37999999999</v>
      </c>
      <c r="I91" s="13">
        <f>CHAMNORD!I91+AIX!I91+BELLEY!I91+STALBAN!I91+ABRETS!I91+PONT!I91+FRANCIN!I91+VIVIERS!I91</f>
        <v>119576.16</v>
      </c>
      <c r="J91" s="14">
        <f>CHAMNORD!J91+AIX!J91+BELLEY!J91+STALBAN!J91+ABRETS!J91+PONT!J91+FRANCIN!J91+VIVIERS!J91</f>
        <v>6050</v>
      </c>
      <c r="K91" s="15">
        <f>CHAMNORD!K91+AIX!K91+BELLEY!K91+STALBAN!K91+ABRETS!K91+PONT!K91+FRANCIN!K91+VIVIERS!K91</f>
        <v>1126.51</v>
      </c>
      <c r="L91" s="15">
        <f>CHAMNORD!L91+AIX!L91+BELLEY!L91+STALBAN!L91+ABRETS!L91+PONT!L91+FRANCIN!L91+VIVIERS!L91</f>
        <v>1273.6400000000001</v>
      </c>
      <c r="M91" s="15">
        <f>CHAMNORD!M91+AIX!M91+BELLEY!M91+STALBAN!M91+ABRETS!M91+PONT!M91+FRANCIN!M91+VIVIERS!M91</f>
        <v>545.77</v>
      </c>
      <c r="N91" s="16">
        <f t="shared" si="5"/>
        <v>4.5642041022223821E-3</v>
      </c>
      <c r="O91" s="17">
        <f t="shared" si="8"/>
        <v>6.0695928375104485E-3</v>
      </c>
      <c r="P91" s="17">
        <f t="shared" si="9"/>
        <v>-4.166006652938381E-2</v>
      </c>
      <c r="Q91" s="18">
        <f t="shared" si="6"/>
        <v>106.14744653842399</v>
      </c>
      <c r="R91" s="18">
        <f t="shared" si="7"/>
        <v>93.885367921861743</v>
      </c>
      <c r="S91" s="36" t="s">
        <v>40</v>
      </c>
      <c r="T91" s="48">
        <f>SUM(I87:I93)/SUM(L87:L93)</f>
        <v>89.979881350168156</v>
      </c>
      <c r="U91" s="1738"/>
    </row>
    <row r="92" spans="1:25">
      <c r="A92" s="10" t="s">
        <v>15</v>
      </c>
      <c r="B92" s="905">
        <v>45744</v>
      </c>
      <c r="C92" s="76">
        <f>IF(G92=0,0,CHAMNORD!C92+AIX!C92+BELLEY!C92+STALBAN!C92+ABRETS!C92+PONT!C92+FRANCIN!C92+VIVIERS!C92)</f>
        <v>121478.83</v>
      </c>
      <c r="D92" s="76">
        <f>IF(H92=0,0,CHAMNORD!D92+AIX!D92+BELLEY!D92+STALBAN!D92+ABRETS!D92+PONT!D92+FRANCIN!D92+VIVIERS!D92)</f>
        <v>128801.90999999999</v>
      </c>
      <c r="E92" s="76">
        <f>IF(I92=0,0,CHAMNORD!E92+AIX!E92+BELLEY!E92+STALBAN!E92+ABRETS!E92+PONT!E92+FRANCIN!E92+VIVIERS!E92)</f>
        <v>125860.13</v>
      </c>
      <c r="F92" s="20">
        <f>IF(J92=0,0,CHAMNORD!F92+AIX!F92+BELLEY!F92+STALBAN!F92+ABRETS!F92+PONT!F92+FRANCIN!F92+VIVIERS!F92)</f>
        <v>6430</v>
      </c>
      <c r="G92" s="40">
        <f>IF(I92=0,0,CHAMNORD!G92+AIX!G92+BELLEY!G92+STALBAN!G92+ABRETS!G92+PONT!G92+FRANCIN!G92+VIVIERS!G92)</f>
        <v>126800</v>
      </c>
      <c r="H92" s="42">
        <f>CHAMNORD!H92+AIX!H92+BELLEY!H92+STALBAN!H92+ABRETS!H92+PONT!H92+FRANCIN!H92+VIVIERS!H92</f>
        <v>129261.53000000001</v>
      </c>
      <c r="I92" s="13">
        <f>CHAMNORD!I92+AIX!I92+BELLEY!I92+STALBAN!I92+ABRETS!I92+PONT!I92+FRANCIN!I92+VIVIERS!I92</f>
        <v>126696.51999999999</v>
      </c>
      <c r="J92" s="14">
        <f>CHAMNORD!J92+AIX!J92+BELLEY!J92+STALBAN!J92+ABRETS!J92+PONT!J92+FRANCIN!J92+VIVIERS!J92</f>
        <v>6262</v>
      </c>
      <c r="K92" s="15">
        <f>CHAMNORD!K92+AIX!K92+BELLEY!K92+STALBAN!K92+ABRETS!K92+PONT!K92+FRANCIN!K92+VIVIERS!K92</f>
        <v>1158.1600000000001</v>
      </c>
      <c r="L92" s="15">
        <f>CHAMNORD!L92+AIX!L92+BELLEY!L92+STALBAN!L92+ABRETS!L92+PONT!L92+FRANCIN!L92+VIVIERS!L92</f>
        <v>1289.6999999999998</v>
      </c>
      <c r="M92" s="15">
        <f>CHAMNORD!M92+AIX!M92+BELLEY!M92+STALBAN!M92+ABRETS!M92+PONT!M92+FRANCIN!M92+VIVIERS!M92</f>
        <v>922.73</v>
      </c>
      <c r="N92" s="16">
        <f t="shared" si="5"/>
        <v>7.2829940396152955E-3</v>
      </c>
      <c r="O92" s="17">
        <f t="shared" si="8"/>
        <v>6.645392786420806E-3</v>
      </c>
      <c r="P92" s="17">
        <f t="shared" si="9"/>
        <v>-2.6127527216174184E-2</v>
      </c>
      <c r="Q92" s="18">
        <f t="shared" si="6"/>
        <v>109.39466049595909</v>
      </c>
      <c r="R92" s="18">
        <f t="shared" si="7"/>
        <v>98.237202450182224</v>
      </c>
      <c r="S92" s="36">
        <f>SUM(J87:J93)</f>
        <v>33897</v>
      </c>
      <c r="T92" s="30" t="s">
        <v>3</v>
      </c>
      <c r="U92" s="1738"/>
    </row>
    <row r="93" spans="1:25" ht="18" thickBot="1">
      <c r="A93" s="10" t="s">
        <v>16</v>
      </c>
      <c r="B93" s="905">
        <v>45745</v>
      </c>
      <c r="C93" s="76">
        <f>IF(G93=0,0,CHAMNORD!C93+AIX!C93+BELLEY!C93+STALBAN!C93+ABRETS!C93+PONT!C93+FRANCIN!C93+VIVIERS!C93)</f>
        <v>128801.90999999999</v>
      </c>
      <c r="D93" s="76">
        <f>IF(H93=0,0,CHAMNORD!D93+AIX!D93+BELLEY!D93+STALBAN!D93+ABRETS!D93+PONT!D93+FRANCIN!D93+VIVIERS!D93)</f>
        <v>138643.69</v>
      </c>
      <c r="E93" s="76">
        <f>IF(I93=0,0,CHAMNORD!E93+AIX!E93+BELLEY!E93+STALBAN!E93+ABRETS!E93+PONT!E93+FRANCIN!E93+VIVIERS!E93)</f>
        <v>135920.35</v>
      </c>
      <c r="F93" s="20">
        <f>IF(J93=0,0,CHAMNORD!F93+AIX!F93+BELLEY!F93+STALBAN!F93+ABRETS!F93+PONT!F93+FRANCIN!F93+VIVIERS!F93)</f>
        <v>6885</v>
      </c>
      <c r="G93" s="40">
        <f>IF(I93=0,0,CHAMNORD!G93+AIX!G93+BELLEY!G93+STALBAN!G93+ABRETS!G93+PONT!G93+FRANCIN!G93+VIVIERS!G93)</f>
        <v>136600</v>
      </c>
      <c r="H93" s="42">
        <f>CHAMNORD!H93+AIX!H93+BELLEY!H93+STALBAN!H93+ABRETS!H93+PONT!H93+FRANCIN!H93+VIVIERS!H93</f>
        <v>137356.54</v>
      </c>
      <c r="I93" s="13">
        <f>CHAMNORD!I93+AIX!I93+BELLEY!I93+STALBAN!I93+ABRETS!I93+PONT!I93+FRANCIN!I93+VIVIERS!I93</f>
        <v>134838.78999999998</v>
      </c>
      <c r="J93" s="14">
        <f>CHAMNORD!J93+AIX!J93+BELLEY!J93+STALBAN!J93+ABRETS!J93+PONT!J93+FRANCIN!J93+VIVIERS!J93</f>
        <v>5863</v>
      </c>
      <c r="K93" s="15">
        <f>CHAMNORD!K93+AIX!K93+BELLEY!K93+STALBAN!K93+ABRETS!K93+PONT!K93+FRANCIN!K93+VIVIERS!K93</f>
        <v>1072.0899999999999</v>
      </c>
      <c r="L93" s="15">
        <f>CHAMNORD!L93+AIX!L93+BELLEY!L93+STALBAN!L93+ABRETS!L93+PONT!L93+FRANCIN!L93+VIVIERS!L93</f>
        <v>1189.4399999999998</v>
      </c>
      <c r="M93" s="15">
        <f>CHAMNORD!M93+AIX!M93+BELLEY!M93+STALBAN!M93+ABRETS!M93+PONT!M93+FRANCIN!M93+VIVIERS!M93</f>
        <v>398.4</v>
      </c>
      <c r="N93" s="16">
        <f t="shared" si="5"/>
        <v>2.9546393882650536E-3</v>
      </c>
      <c r="O93" s="17">
        <f t="shared" si="8"/>
        <v>-7.9573073494883344E-3</v>
      </c>
      <c r="P93" s="17">
        <f t="shared" si="9"/>
        <v>-0.14843863471314453</v>
      </c>
      <c r="Q93" s="18">
        <f t="shared" si="6"/>
        <v>125.77189415067764</v>
      </c>
      <c r="R93" s="18">
        <f t="shared" si="7"/>
        <v>113.3632549771321</v>
      </c>
      <c r="S93" s="37">
        <f>(S92-SUM(F87:F93))/(SUM(F87:F93))</f>
        <v>-8.2153204624840923E-2</v>
      </c>
      <c r="T93" s="47">
        <f>SUM(M87:M93)/SUM(I87:I93)</f>
        <v>5.4434126670787324E-3</v>
      </c>
      <c r="U93" s="1739"/>
    </row>
    <row r="94" spans="1:25" ht="17" customHeight="1" thickTop="1">
      <c r="A94" s="10" t="s">
        <v>9</v>
      </c>
      <c r="B94" s="905">
        <v>45746</v>
      </c>
      <c r="C94" s="76">
        <f>IF(G94=0,0,CHAMNORD!C94+AIX!C94+BELLEY!C94+STALBAN!C94+ABRETS!C94+PONT!C94+FRANCIN!C94+VIVIERS!C94)</f>
        <v>138643.69</v>
      </c>
      <c r="D94" s="76">
        <f>IF(H94=0,0,CHAMNORD!D94+AIX!D94+BELLEY!D94+STALBAN!D94+ABRETS!D94+PONT!D94+FRANCIN!D94+VIVIERS!D94)</f>
        <v>67982.84</v>
      </c>
      <c r="E94" s="76">
        <f>IF(I94=0,0,CHAMNORD!E94+AIX!E94+BELLEY!E94+STALBAN!E94+ABRETS!E94+PONT!E94+FRANCIN!E94+VIVIERS!E94)</f>
        <v>66844.539999999994</v>
      </c>
      <c r="F94" s="20">
        <f>IF(J94=0,0,CHAMNORD!F94+AIX!F94+BELLEY!F94+STALBAN!F94+ABRETS!F94+PONT!F94+FRANCIN!F94+VIVIERS!F94)</f>
        <v>4060</v>
      </c>
      <c r="G94" s="40">
        <f>IF(I94=0,0,CHAMNORD!G94+AIX!G94+BELLEY!G94+STALBAN!G94+ABRETS!G94+PONT!G94+FRANCIN!G94+VIVIERS!G94)</f>
        <v>67800</v>
      </c>
      <c r="H94" s="42">
        <f>CHAMNORD!H94+AIX!H94+BELLEY!H94+STALBAN!H94+ABRETS!H94+PONT!H94+FRANCIN!H94+VIVIERS!H94</f>
        <v>65238.739999999991</v>
      </c>
      <c r="I94" s="13">
        <f>CHAMNORD!I94+AIX!I94+BELLEY!I94+STALBAN!I94+ABRETS!I94+PONT!I94+FRANCIN!I94+VIVIERS!I94</f>
        <v>64077.82</v>
      </c>
      <c r="J94" s="14">
        <f>CHAMNORD!J94+AIX!J94+BELLEY!J94+STALBAN!J94+ABRETS!J94+PONT!J94+FRANCIN!J94+VIVIERS!J94</f>
        <v>3460</v>
      </c>
      <c r="K94" s="15">
        <f>CHAMNORD!K94+AIX!K94+BELLEY!K94+STALBAN!K94+ABRETS!K94+PONT!K94+FRANCIN!K94+VIVIERS!K94</f>
        <v>763.02999999999986</v>
      </c>
      <c r="L94" s="15">
        <f>CHAMNORD!L94+AIX!L94+BELLEY!L94+STALBAN!L94+ABRETS!L94+PONT!L94+FRANCIN!L94+VIVIERS!L94</f>
        <v>888.68000000000006</v>
      </c>
      <c r="M94" s="15">
        <f>CHAMNORD!M94+AIX!M94+BELLEY!M94+STALBAN!M94+ABRETS!M94+PONT!M94+FRANCIN!M94+VIVIERS!M94</f>
        <v>465.05999999999995</v>
      </c>
      <c r="N94" s="16">
        <f t="shared" si="5"/>
        <v>7.2577375447541743E-3</v>
      </c>
      <c r="O94" s="17">
        <f t="shared" si="8"/>
        <v>-4.1390366363505446E-2</v>
      </c>
      <c r="P94" s="17">
        <f t="shared" si="9"/>
        <v>-0.14778325123152711</v>
      </c>
      <c r="Q94" s="18">
        <f t="shared" si="6"/>
        <v>83.978113573516126</v>
      </c>
      <c r="R94" s="18">
        <f t="shared" si="7"/>
        <v>72.104492055633074</v>
      </c>
      <c r="S94" s="33" t="s">
        <v>39</v>
      </c>
      <c r="T94" s="31" t="s">
        <v>42</v>
      </c>
      <c r="U94" s="1737" t="s">
        <v>96</v>
      </c>
    </row>
    <row r="95" spans="1:25">
      <c r="A95" s="10" t="s">
        <v>11</v>
      </c>
      <c r="B95" s="905">
        <v>45747</v>
      </c>
      <c r="C95" s="76">
        <f>IF(G95=0,0,CHAMNORD!C95+AIX!C95+BELLEY!C95+STALBAN!C95+ABRETS!C95+PONT!C95+FRANCIN!C95+VIVIERS!C95)</f>
        <v>67982.84</v>
      </c>
      <c r="D95" s="76">
        <f>IF(H95=0,0,CHAMNORD!D95+AIX!D95+BELLEY!D95+STALBAN!D95+ABRETS!D95+PONT!D95+FRANCIN!D95+VIVIERS!D95)</f>
        <v>82330.040000000008</v>
      </c>
      <c r="E95" s="76">
        <f>IF(I95=0,0,CHAMNORD!E95+AIX!E95+BELLEY!E95+STALBAN!E95+ABRETS!E95+PONT!E95+FRANCIN!E95+VIVIERS!E95)</f>
        <v>80845.12000000001</v>
      </c>
      <c r="F95" s="20">
        <f>IF(J95=0,0,CHAMNORD!F95+AIX!F95+BELLEY!F95+STALBAN!F95+ABRETS!F95+PONT!F95+FRANCIN!F95+VIVIERS!F95)</f>
        <v>4746</v>
      </c>
      <c r="G95" s="40">
        <f>IF(I95=0,0,CHAMNORD!G95+AIX!G95+BELLEY!G95+STALBAN!G95+ABRETS!G95+PONT!G95+FRANCIN!G95+VIVIERS!G95)</f>
        <v>81400</v>
      </c>
      <c r="H95" s="42">
        <f>CHAMNORD!H95+AIX!H95+BELLEY!H95+STALBAN!H95+ABRETS!H95+PONT!H95+FRANCIN!H95+VIVIERS!H95</f>
        <v>78679.709999999992</v>
      </c>
      <c r="I95" s="13">
        <f>CHAMNORD!I95+AIX!I95+BELLEY!I95+STALBAN!I95+ABRETS!I95+PONT!I95+FRANCIN!I95+VIVIERS!I95</f>
        <v>77108.160000000003</v>
      </c>
      <c r="J95" s="14">
        <f>CHAMNORD!J95+AIX!J95+BELLEY!J95+STALBAN!J95+ABRETS!J95+PONT!J95+FRANCIN!J95+VIVIERS!J95</f>
        <v>4090</v>
      </c>
      <c r="K95" s="15">
        <f>CHAMNORD!K95+AIX!K95+BELLEY!K95+STALBAN!K95+ABRETS!K95+PONT!K95+FRANCIN!K95+VIVIERS!K95</f>
        <v>749.15</v>
      </c>
      <c r="L95" s="15">
        <f>CHAMNORD!L95+AIX!L95+BELLEY!L95+STALBAN!L95+ABRETS!L95+PONT!L95+FRANCIN!L95+VIVIERS!L95</f>
        <v>881.9</v>
      </c>
      <c r="M95" s="15">
        <f>CHAMNORD!M95+AIX!M95+BELLEY!M95+STALBAN!M95+ABRETS!M95+PONT!M95+FRANCIN!M95+VIVIERS!M95</f>
        <v>956.18000000000006</v>
      </c>
      <c r="N95" s="16">
        <f t="shared" si="5"/>
        <v>1.2400503396787058E-2</v>
      </c>
      <c r="O95" s="17">
        <f t="shared" si="8"/>
        <v>-4.6223692908118709E-2</v>
      </c>
      <c r="P95" s="17">
        <f t="shared" si="9"/>
        <v>-0.13822166034555414</v>
      </c>
      <c r="Q95" s="18">
        <f t="shared" si="6"/>
        <v>102.92753120202897</v>
      </c>
      <c r="R95" s="18">
        <f t="shared" si="7"/>
        <v>87.434130853838312</v>
      </c>
      <c r="S95" s="34">
        <f>SUM(I94:I100)</f>
        <v>664709.32000000007</v>
      </c>
      <c r="T95" s="45" t="s">
        <v>41</v>
      </c>
      <c r="U95" s="1738"/>
      <c r="W95" s="202">
        <f>+S95</f>
        <v>664709.32000000007</v>
      </c>
      <c r="X95" s="202">
        <f>SUM(CHAMNORD!E94:E100)+SUM(AIX!E94:E100)+SUM(BELLEY!E94:E100)+SUM(STALBAN!E94:E100)+SUM(ABRETS!E94:E100)+SUM(PONT!E94:E100)+SUM(FRANCIN!E94:E100)+SUM(VIVIERS!E94:E100)</f>
        <v>740946.09</v>
      </c>
      <c r="Y95" s="202">
        <f>+W95-X95</f>
        <v>-76236.769999999902</v>
      </c>
    </row>
    <row r="96" spans="1:25">
      <c r="A96" s="10" t="s">
        <v>12</v>
      </c>
      <c r="B96" s="905">
        <v>45748</v>
      </c>
      <c r="C96" s="76">
        <f>IF(G96=0,0,CHAMNORD!C96+AIX!C96+BELLEY!C96+STALBAN!C96+ABRETS!C96+PONT!C96+FRANCIN!C96+VIVIERS!C96)</f>
        <v>82330.040000000008</v>
      </c>
      <c r="D96" s="76">
        <f>IF(H96=0,0,CHAMNORD!D96+AIX!D96+BELLEY!D96+STALBAN!D96+ABRETS!D96+PONT!D96+FRANCIN!D96+VIVIERS!D96)</f>
        <v>104955.34000000001</v>
      </c>
      <c r="E96" s="76">
        <f>IF(I96=0,0,CHAMNORD!E96+AIX!E96+BELLEY!E96+STALBAN!E96+ABRETS!E96+PONT!E96+FRANCIN!E96+VIVIERS!E96)</f>
        <v>102669.37</v>
      </c>
      <c r="F96" s="20">
        <f>IF(J96=0,0,CHAMNORD!F96+AIX!F96+BELLEY!F96+STALBAN!F96+ABRETS!F96+PONT!F96+FRANCIN!F96+VIVIERS!F96)</f>
        <v>5660</v>
      </c>
      <c r="G96" s="40">
        <f>IF(I96=0,0,CHAMNORD!G96+AIX!G96+BELLEY!G96+STALBAN!G96+ABRETS!G96+PONT!G96+FRANCIN!G96+VIVIERS!G96)</f>
        <v>103400</v>
      </c>
      <c r="H96" s="42">
        <f>CHAMNORD!H96+AIX!H96+BELLEY!H96+STALBAN!H96+ABRETS!H96+PONT!H96+FRANCIN!H96+VIVIERS!H96</f>
        <v>96499.05</v>
      </c>
      <c r="I96" s="13">
        <f>CHAMNORD!I96+AIX!I96+BELLEY!I96+STALBAN!I96+ABRETS!I96+PONT!I96+FRANCIN!I96+VIVIERS!I96</f>
        <v>94274.459999999992</v>
      </c>
      <c r="J96" s="14">
        <f>CHAMNORD!J96+AIX!J96+BELLEY!J96+STALBAN!J96+ABRETS!J96+PONT!J96+FRANCIN!J96+VIVIERS!J96</f>
        <v>4856</v>
      </c>
      <c r="K96" s="15">
        <f>CHAMNORD!K96+AIX!K96+BELLEY!K96+STALBAN!K96+ABRETS!K96+PONT!K96+FRANCIN!K96+VIVIERS!K96</f>
        <v>920.19</v>
      </c>
      <c r="L96" s="15">
        <f>CHAMNORD!L96+AIX!L96+BELLEY!L96+STALBAN!L96+ABRETS!L96+PONT!L96+FRANCIN!L96+VIVIERS!L96</f>
        <v>1039.56</v>
      </c>
      <c r="M96" s="15">
        <f>CHAMNORD!M96+AIX!M96+BELLEY!M96+STALBAN!M96+ABRETS!M96+PONT!M96+FRANCIN!M96+VIVIERS!M96</f>
        <v>-35.929999999999964</v>
      </c>
      <c r="N96" s="16">
        <f t="shared" si="5"/>
        <v>-3.8112124959400421E-4</v>
      </c>
      <c r="O96" s="17">
        <f t="shared" si="8"/>
        <v>-8.1766450889880826E-2</v>
      </c>
      <c r="P96" s="17">
        <f t="shared" si="9"/>
        <v>-0.1420494699646643</v>
      </c>
      <c r="Q96" s="18">
        <f t="shared" si="6"/>
        <v>102.45108075506144</v>
      </c>
      <c r="R96" s="18">
        <f t="shared" si="7"/>
        <v>90.686886759782979</v>
      </c>
      <c r="S96" s="35">
        <f>(S95-SUM(E94:E100))/(SUM(E94:E100))</f>
        <v>-0.10289111587052144</v>
      </c>
      <c r="T96" s="48">
        <f>SUM(I94:I100)/SUM(K94:K100)</f>
        <v>99.999446377609601</v>
      </c>
      <c r="U96" s="1738"/>
    </row>
    <row r="97" spans="1:25">
      <c r="A97" s="10" t="s">
        <v>13</v>
      </c>
      <c r="B97" s="905">
        <v>45749</v>
      </c>
      <c r="C97" s="76">
        <f>IF(G97=0,0,CHAMNORD!C97+AIX!C97+BELLEY!C97+STALBAN!C97+ABRETS!C97+PONT!C97+FRANCIN!C97+VIVIERS!C97)</f>
        <v>104955.34000000001</v>
      </c>
      <c r="D97" s="76">
        <f>IF(H97=0,0,CHAMNORD!D97+AIX!D97+BELLEY!D97+STALBAN!D97+ABRETS!D97+PONT!D97+FRANCIN!D97+VIVIERS!D97)</f>
        <v>87599.31</v>
      </c>
      <c r="E97" s="76">
        <f>IF(I97=0,0,CHAMNORD!E97+AIX!E97+BELLEY!E97+STALBAN!E97+ABRETS!E97+PONT!E97+FRANCIN!E97+VIVIERS!E97)</f>
        <v>86395.530000000013</v>
      </c>
      <c r="F97" s="20">
        <f>IF(J97=0,0,CHAMNORD!F97+AIX!F97+BELLEY!F97+STALBAN!F97+ABRETS!F97+PONT!F97+FRANCIN!F97+VIVIERS!F97)</f>
        <v>5064</v>
      </c>
      <c r="G97" s="40">
        <f>IF(I97=0,0,CHAMNORD!G97+AIX!G97+BELLEY!G97+STALBAN!G97+ABRETS!G97+PONT!G97+FRANCIN!G97+VIVIERS!G97)</f>
        <v>85900</v>
      </c>
      <c r="H97" s="42">
        <f>CHAMNORD!H97+AIX!H97+BELLEY!H97+STALBAN!H97+ABRETS!H97+PONT!H97+FRANCIN!H97+VIVIERS!H97</f>
        <v>82236.959999999992</v>
      </c>
      <c r="I97" s="13">
        <f>CHAMNORD!I97+AIX!I97+BELLEY!I97+STALBAN!I97+ABRETS!I97+PONT!I97+FRANCIN!I97+VIVIERS!I97</f>
        <v>80721.490000000005</v>
      </c>
      <c r="J97" s="14">
        <f>CHAMNORD!J97+AIX!J97+BELLEY!J97+STALBAN!J97+ABRETS!J97+PONT!J97+FRANCIN!J97+VIVIERS!J97</f>
        <v>4326</v>
      </c>
      <c r="K97" s="15">
        <f>CHAMNORD!K97+AIX!K97+BELLEY!K97+STALBAN!K97+ABRETS!K97+PONT!K97+FRANCIN!K97+VIVIERS!K97</f>
        <v>814.46</v>
      </c>
      <c r="L97" s="15">
        <f>CHAMNORD!L97+AIX!L97+BELLEY!L97+STALBAN!L97+ABRETS!L97+PONT!L97+FRANCIN!L97+VIVIERS!L97</f>
        <v>919.67000000000007</v>
      </c>
      <c r="M97" s="15">
        <f>CHAMNORD!M97+AIX!M97+BELLEY!M97+STALBAN!M97+ABRETS!M97+PONT!M97+FRANCIN!M97+VIVIERS!M97</f>
        <v>408.46000000000004</v>
      </c>
      <c r="N97" s="16">
        <f t="shared" si="5"/>
        <v>5.060114722857569E-3</v>
      </c>
      <c r="O97" s="17">
        <f t="shared" si="8"/>
        <v>-6.5675157036481024E-2</v>
      </c>
      <c r="P97" s="17">
        <f t="shared" si="9"/>
        <v>-0.14573459715639811</v>
      </c>
      <c r="Q97" s="18">
        <f t="shared" si="6"/>
        <v>99.110441273972938</v>
      </c>
      <c r="R97" s="18">
        <f t="shared" si="7"/>
        <v>87.772233518544695</v>
      </c>
      <c r="S97" s="34"/>
      <c r="T97" s="29" t="s">
        <v>8</v>
      </c>
      <c r="U97" s="1738"/>
    </row>
    <row r="98" spans="1:25">
      <c r="A98" s="10" t="s">
        <v>14</v>
      </c>
      <c r="B98" s="905">
        <v>45750</v>
      </c>
      <c r="C98" s="76">
        <f>IF(G98=0,0,CHAMNORD!C98+AIX!C98+BELLEY!C98+STALBAN!C98+ABRETS!C98+PONT!C98+FRANCIN!C98+VIVIERS!C98)</f>
        <v>87599.31</v>
      </c>
      <c r="D98" s="76">
        <f>IF(H98=0,0,CHAMNORD!D98+AIX!D98+BELLEY!D98+STALBAN!D98+ABRETS!D98+PONT!D98+FRANCIN!D98+VIVIERS!D98)</f>
        <v>130528.56999999998</v>
      </c>
      <c r="E98" s="76">
        <f>IF(I98=0,0,CHAMNORD!E98+AIX!E98+BELLEY!E98+STALBAN!E98+ABRETS!E98+PONT!E98+FRANCIN!E98+VIVIERS!E98)</f>
        <v>128587.8</v>
      </c>
      <c r="F98" s="20">
        <f>IF(J98=0,0,CHAMNORD!F98+AIX!F98+BELLEY!F98+STALBAN!F98+ABRETS!F98+PONT!F98+FRANCIN!F98+VIVIERS!F98)</f>
        <v>7045</v>
      </c>
      <c r="G98" s="40">
        <f>IF(I98=0,0,CHAMNORD!G98+AIX!G98+BELLEY!G98+STALBAN!G98+ABRETS!G98+PONT!G98+FRANCIN!G98+VIVIERS!G98)</f>
        <v>132300</v>
      </c>
      <c r="H98" s="42">
        <f>CHAMNORD!H98+AIX!H98+BELLEY!H98+STALBAN!H98+ABRETS!H98+PONT!H98+FRANCIN!H98+VIVIERS!H98</f>
        <v>127072.83000000002</v>
      </c>
      <c r="I98" s="13">
        <f>CHAMNORD!I98+AIX!I98+BELLEY!I98+STALBAN!I98+ABRETS!I98+PONT!I98+FRANCIN!I98+VIVIERS!I98</f>
        <v>124642.23999999999</v>
      </c>
      <c r="J98" s="14">
        <f>CHAMNORD!J98+AIX!J98+BELLEY!J98+STALBAN!J98+ABRETS!J98+PONT!J98+FRANCIN!J98+VIVIERS!J98</f>
        <v>6220</v>
      </c>
      <c r="K98" s="15">
        <f>CHAMNORD!K98+AIX!K98+BELLEY!K98+STALBAN!K98+ABRETS!K98+PONT!K98+FRANCIN!K98+VIVIERS!K98</f>
        <v>1168.1500000000001</v>
      </c>
      <c r="L98" s="15">
        <f>CHAMNORD!L98+AIX!L98+BELLEY!L98+STALBAN!L98+ABRETS!L98+PONT!L98+FRANCIN!L98+VIVIERS!L98</f>
        <v>1319.1900000000003</v>
      </c>
      <c r="M98" s="15">
        <f>CHAMNORD!M98+AIX!M98+BELLEY!M98+STALBAN!M98+ABRETS!M98+PONT!M98+FRANCIN!M98+VIVIERS!M98</f>
        <v>418.20000000000005</v>
      </c>
      <c r="N98" s="16">
        <f t="shared" si="5"/>
        <v>3.3552028589986837E-3</v>
      </c>
      <c r="O98" s="17">
        <f t="shared" si="8"/>
        <v>-3.0683781820670483E-2</v>
      </c>
      <c r="P98" s="17">
        <f t="shared" si="9"/>
        <v>-0.11710432931156849</v>
      </c>
      <c r="Q98" s="18">
        <f t="shared" si="6"/>
        <v>106.70054359457259</v>
      </c>
      <c r="R98" s="18">
        <f t="shared" si="7"/>
        <v>94.483918161902352</v>
      </c>
      <c r="S98" s="36" t="s">
        <v>40</v>
      </c>
      <c r="T98" s="48">
        <f>SUM(I94:I100)/SUM(L94:L100)</f>
        <v>88.038987201612684</v>
      </c>
      <c r="U98" s="1738"/>
    </row>
    <row r="99" spans="1:25">
      <c r="A99" s="10" t="s">
        <v>15</v>
      </c>
      <c r="B99" s="905">
        <v>45751</v>
      </c>
      <c r="C99" s="76">
        <f>IF(G99=0,0,CHAMNORD!C99+AIX!C99+BELLEY!C99+STALBAN!C99+ABRETS!C99+PONT!C99+FRANCIN!C99+VIVIERS!C99)</f>
        <v>130528.56999999998</v>
      </c>
      <c r="D99" s="76">
        <f>IF(H99=0,0,CHAMNORD!D99+AIX!D99+BELLEY!D99+STALBAN!D99+ABRETS!D99+PONT!D99+FRANCIN!D99+VIVIERS!D99)</f>
        <v>138128.01999999999</v>
      </c>
      <c r="E99" s="76">
        <f>IF(I99=0,0,CHAMNORD!E99+AIX!E99+BELLEY!E99+STALBAN!E99+ABRETS!E99+PONT!E99+FRANCIN!E99+VIVIERS!E99)</f>
        <v>135706.78999999998</v>
      </c>
      <c r="F99" s="20">
        <f>IF(J99=0,0,CHAMNORD!F99+AIX!F99+BELLEY!F99+STALBAN!F99+ABRETS!F99+PONT!F99+FRANCIN!F99+VIVIERS!F99)</f>
        <v>7034</v>
      </c>
      <c r="G99" s="40">
        <f>IF(I99=0,0,CHAMNORD!G99+AIX!G99+BELLEY!G99+STALBAN!G99+ABRETS!G99+PONT!G99+FRANCIN!G99+VIVIERS!G99)</f>
        <v>131300</v>
      </c>
      <c r="H99" s="42">
        <f>CHAMNORD!H99+AIX!H99+BELLEY!H99+STALBAN!H99+ABRETS!H99+PONT!H99+FRANCIN!H99+VIVIERS!H99</f>
        <v>124324.61000000002</v>
      </c>
      <c r="I99" s="13">
        <f>CHAMNORD!I99+AIX!I99+BELLEY!I99+STALBAN!I99+ABRETS!I99+PONT!I99+FRANCIN!I99+VIVIERS!I99</f>
        <v>122203.6</v>
      </c>
      <c r="J99" s="14">
        <f>CHAMNORD!J99+AIX!J99+BELLEY!J99+STALBAN!J99+ABRETS!J99+PONT!J99+FRANCIN!J99+VIVIERS!J99</f>
        <v>6083</v>
      </c>
      <c r="K99" s="15">
        <f>CHAMNORD!K99+AIX!K99+BELLEY!K99+STALBAN!K99+ABRETS!K99+PONT!K99+FRANCIN!K99+VIVIERS!K99</f>
        <v>1176.92</v>
      </c>
      <c r="L99" s="15">
        <f>CHAMNORD!L99+AIX!L99+BELLEY!L99+STALBAN!L99+ABRETS!L99+PONT!L99+FRANCIN!L99+VIVIERS!L99</f>
        <v>1304.26</v>
      </c>
      <c r="M99" s="15">
        <f>CHAMNORD!M99+AIX!M99+BELLEY!M99+STALBAN!M99+ABRETS!M99+PONT!M99+FRANCIN!M99+VIVIERS!M99</f>
        <v>450.37</v>
      </c>
      <c r="N99" s="16">
        <f t="shared" si="5"/>
        <v>3.685406976553882E-3</v>
      </c>
      <c r="O99" s="17">
        <f t="shared" si="8"/>
        <v>-9.9502685164095148E-2</v>
      </c>
      <c r="P99" s="17">
        <f t="shared" si="9"/>
        <v>-0.1352004549331817</v>
      </c>
      <c r="Q99" s="18">
        <f t="shared" si="6"/>
        <v>103.83339564286443</v>
      </c>
      <c r="R99" s="18">
        <f t="shared" si="7"/>
        <v>93.695735512857866</v>
      </c>
      <c r="S99" s="36">
        <f>SUM(J94:J100)</f>
        <v>34168</v>
      </c>
      <c r="T99" s="30" t="s">
        <v>3</v>
      </c>
      <c r="U99" s="1738"/>
    </row>
    <row r="100" spans="1:25" ht="18" thickBot="1">
      <c r="A100" s="10" t="s">
        <v>16</v>
      </c>
      <c r="B100" s="905">
        <v>45752</v>
      </c>
      <c r="C100" s="76">
        <f>IF(G100=0,0,CHAMNORD!C100+AIX!C100+BELLEY!C100+STALBAN!C100+ABRETS!C100+PONT!C100+FRANCIN!C100+VIVIERS!C100)</f>
        <v>138128.01999999999</v>
      </c>
      <c r="D100" s="76">
        <f>IF(H100=0,0,CHAMNORD!D100+AIX!D100+BELLEY!D100+STALBAN!D100+ABRETS!D100+PONT!D100+FRANCIN!D100+VIVIERS!D100)</f>
        <v>141863.94</v>
      </c>
      <c r="E100" s="76">
        <f>IF(I100=0,0,CHAMNORD!E100+AIX!E100+BELLEY!E100+STALBAN!E100+ABRETS!E100+PONT!E100+FRANCIN!E100+VIVIERS!E100)</f>
        <v>139896.94</v>
      </c>
      <c r="F100" s="20">
        <f>IF(J100=0,0,CHAMNORD!F100+AIX!F100+BELLEY!F100+STALBAN!F100+ABRETS!F100+PONT!F100+FRANCIN!F100+VIVIERS!F100)</f>
        <v>6975</v>
      </c>
      <c r="G100" s="40">
        <f>IF(I100=0,0,CHAMNORD!G100+AIX!G100+BELLEY!G100+STALBAN!G100+ABRETS!G100+PONT!G100+FRANCIN!G100+VIVIERS!G100)</f>
        <v>132900</v>
      </c>
      <c r="H100" s="42">
        <f>CHAMNORD!H100+AIX!H100+BELLEY!H100+STALBAN!H100+ABRETS!H100+PONT!H100+FRANCIN!H100+VIVIERS!H100</f>
        <v>103783.93</v>
      </c>
      <c r="I100" s="13">
        <f>CHAMNORD!I100+AIX!I100+BELLEY!I100+STALBAN!I100+ABRETS!I100+PONT!I100+FRANCIN!I100+VIVIERS!I100</f>
        <v>101681.55</v>
      </c>
      <c r="J100" s="14">
        <f>CHAMNORD!J100+AIX!J100+BELLEY!J100+STALBAN!J100+ABRETS!J100+PONT!J100+FRANCIN!J100+VIVIERS!J100</f>
        <v>5133</v>
      </c>
      <c r="K100" s="15">
        <f>CHAMNORD!K100+AIX!K100+BELLEY!K100+STALBAN!K100+ABRETS!K100+PONT!K100+FRANCIN!K100+VIVIERS!K100</f>
        <v>1055.23</v>
      </c>
      <c r="L100" s="15">
        <f>CHAMNORD!L100+AIX!L100+BELLEY!L100+STALBAN!L100+ABRETS!L100+PONT!L100+FRANCIN!L100+VIVIERS!L100</f>
        <v>1196.9100000000001</v>
      </c>
      <c r="M100" s="15">
        <f>CHAMNORD!M100+AIX!M100+BELLEY!M100+STALBAN!M100+ABRETS!M100+PONT!M100+FRANCIN!M100+VIVIERS!M100</f>
        <v>442.78000000000003</v>
      </c>
      <c r="N100" s="16">
        <f t="shared" si="5"/>
        <v>4.3545756334359576E-3</v>
      </c>
      <c r="O100" s="17">
        <f t="shared" si="8"/>
        <v>-0.27316816221998852</v>
      </c>
      <c r="P100" s="17">
        <f t="shared" si="9"/>
        <v>-0.26408602150537636</v>
      </c>
      <c r="Q100" s="18">
        <f t="shared" si="6"/>
        <v>96.359608805663228</v>
      </c>
      <c r="R100" s="18">
        <f t="shared" si="7"/>
        <v>84.953379953379951</v>
      </c>
      <c r="S100" s="37">
        <f>(S99-SUM(F94:F100))/(SUM(F94:F100))</f>
        <v>-0.15809185886063473</v>
      </c>
      <c r="T100" s="47">
        <f>SUM(M94:M100)/SUM(I94:I100)</f>
        <v>4.671395310058237E-3</v>
      </c>
      <c r="U100" s="1739"/>
    </row>
    <row r="101" spans="1:25" ht="17" customHeight="1" thickTop="1">
      <c r="A101" s="10" t="s">
        <v>9</v>
      </c>
      <c r="B101" s="905">
        <v>45753</v>
      </c>
      <c r="C101" s="76">
        <f>IF(G101=0,0,CHAMNORD!C101+AIX!C101+BELLEY!C101+STALBAN!C101+ABRETS!C101+PONT!C101+FRANCIN!C101+VIVIERS!C101)</f>
        <v>141863.94</v>
      </c>
      <c r="D101" s="76">
        <f>IF(H101=0,0,CHAMNORD!D101+AIX!D101+BELLEY!D101+STALBAN!D101+ABRETS!D101+PONT!D101+FRANCIN!D101+VIVIERS!D101)</f>
        <v>71274.3</v>
      </c>
      <c r="E101" s="76">
        <f>IF(I101=0,0,CHAMNORD!E101+AIX!E101+BELLEY!E101+STALBAN!E101+ABRETS!E101+PONT!E101+FRANCIN!E101+VIVIERS!E101)</f>
        <v>70526.61</v>
      </c>
      <c r="F101" s="20">
        <f>IF(J101=0,0,CHAMNORD!F101+AIX!F101+BELLEY!F101+STALBAN!F101+ABRETS!F101+PONT!F101+FRANCIN!F101+VIVIERS!F101)</f>
        <v>4200</v>
      </c>
      <c r="G101" s="40">
        <f>IF(I101=0,0,CHAMNORD!G101+AIX!G101+BELLEY!G101+STALBAN!G101+ABRETS!G101+PONT!G101+FRANCIN!G101+VIVIERS!G101)</f>
        <v>120400</v>
      </c>
      <c r="H101" s="42">
        <f>CHAMNORD!H101+AIX!H101+BELLEY!H101+STALBAN!H101+ABRETS!H101+PONT!H101+FRANCIN!H101+VIVIERS!H101</f>
        <v>118364.38</v>
      </c>
      <c r="I101" s="13">
        <f>CHAMNORD!I101+AIX!I101+BELLEY!I101+STALBAN!I101+ABRETS!I101+PONT!I101+FRANCIN!I101+VIVIERS!I101</f>
        <v>116139.18999999999</v>
      </c>
      <c r="J101" s="14">
        <f>CHAMNORD!J101+AIX!J101+BELLEY!J101+STALBAN!J101+ABRETS!J101+PONT!J101+FRANCIN!J101+VIVIERS!J101</f>
        <v>5588</v>
      </c>
      <c r="K101" s="15">
        <f>CHAMNORD!K101+AIX!K101+BELLEY!K101+STALBAN!K101+ABRETS!K101+PONT!K101+FRANCIN!K101+VIVIERS!K101</f>
        <v>1087.4799999999998</v>
      </c>
      <c r="L101" s="15">
        <f>CHAMNORD!L101+AIX!L101+BELLEY!L101+STALBAN!L101+ABRETS!L101+PONT!L101+FRANCIN!L101+VIVIERS!L101</f>
        <v>1210.56</v>
      </c>
      <c r="M101" s="15">
        <f>CHAMNORD!M101+AIX!M101+BELLEY!M101+STALBAN!M101+ABRETS!M101+PONT!M101+FRANCIN!M101+VIVIERS!M101</f>
        <v>428.72</v>
      </c>
      <c r="N101" s="16">
        <f t="shared" si="5"/>
        <v>3.6914326679908828E-3</v>
      </c>
      <c r="O101" s="17">
        <f t="shared" si="8"/>
        <v>0.64674283933397603</v>
      </c>
      <c r="P101" s="17">
        <f t="shared" si="9"/>
        <v>0.33047619047619048</v>
      </c>
      <c r="Q101" s="18">
        <f t="shared" si="6"/>
        <v>106.79662154706294</v>
      </c>
      <c r="R101" s="18">
        <f t="shared" si="7"/>
        <v>95.93840040972772</v>
      </c>
      <c r="S101" s="33" t="s">
        <v>39</v>
      </c>
      <c r="T101" s="31" t="s">
        <v>42</v>
      </c>
      <c r="U101" s="1737" t="s">
        <v>97</v>
      </c>
    </row>
    <row r="102" spans="1:25">
      <c r="A102" s="10" t="s">
        <v>11</v>
      </c>
      <c r="B102" s="905">
        <v>45754</v>
      </c>
      <c r="C102" s="76">
        <f>IF(G102=0,0,CHAMNORD!C102+AIX!C102+BELLEY!C102+STALBAN!C102+ABRETS!C102+PONT!C102+FRANCIN!C102+VIVIERS!C102)</f>
        <v>71274.3</v>
      </c>
      <c r="D102" s="76">
        <f>IF(H102=0,0,CHAMNORD!D102+AIX!D102+BELLEY!D102+STALBAN!D102+ABRETS!D102+PONT!D102+FRANCIN!D102+VIVIERS!D102)</f>
        <v>80105.759999999995</v>
      </c>
      <c r="E102" s="76">
        <f>IF(I102=0,0,CHAMNORD!E102+AIX!E102+BELLEY!E102+STALBAN!E102+ABRETS!E102+PONT!E102+FRANCIN!E102+VIVIERS!E102)</f>
        <v>79133.010000000009</v>
      </c>
      <c r="F102" s="20">
        <f>IF(J102=0,0,CHAMNORD!F102+AIX!F102+BELLEY!F102+STALBAN!F102+ABRETS!F102+PONT!F102+FRANCIN!F102+VIVIERS!F102)</f>
        <v>4745</v>
      </c>
      <c r="G102" s="40">
        <f>IF(I102=0,0,CHAMNORD!G102+AIX!G102+BELLEY!G102+STALBAN!G102+ABRETS!G102+PONT!G102+FRANCIN!G102+VIVIERS!G102)</f>
        <v>80500</v>
      </c>
      <c r="H102" s="42">
        <f>CHAMNORD!H102+AIX!H102+BELLEY!H102+STALBAN!H102+ABRETS!H102+PONT!H102+FRANCIN!H102+VIVIERS!H102</f>
        <v>83750.909999999989</v>
      </c>
      <c r="I102" s="13">
        <f>CHAMNORD!I102+AIX!I102+BELLEY!I102+STALBAN!I102+ABRETS!I102+PONT!I102+FRANCIN!I102+VIVIERS!I102</f>
        <v>82038.780000000013</v>
      </c>
      <c r="J102" s="14">
        <f>CHAMNORD!J102+AIX!J102+BELLEY!J102+STALBAN!J102+ABRETS!J102+PONT!J102+FRANCIN!J102+VIVIERS!J102</f>
        <v>4569</v>
      </c>
      <c r="K102" s="15">
        <f>CHAMNORD!K102+AIX!K102+BELLEY!K102+STALBAN!K102+ABRETS!K102+PONT!K102+FRANCIN!K102+VIVIERS!K102</f>
        <v>848.21999999999991</v>
      </c>
      <c r="L102" s="15">
        <f>CHAMNORD!L102+AIX!L102+BELLEY!L102+STALBAN!L102+ABRETS!L102+PONT!L102+FRANCIN!L102+VIVIERS!L102</f>
        <v>961.22</v>
      </c>
      <c r="M102" s="15">
        <f>CHAMNORD!M102+AIX!M102+BELLEY!M102+STALBAN!M102+ABRETS!M102+PONT!M102+FRANCIN!M102+VIVIERS!M102</f>
        <v>414.12</v>
      </c>
      <c r="N102" s="16">
        <f t="shared" si="5"/>
        <v>5.0478566356057459E-3</v>
      </c>
      <c r="O102" s="17">
        <f t="shared" si="8"/>
        <v>3.672007421428812E-2</v>
      </c>
      <c r="P102" s="17">
        <f t="shared" si="9"/>
        <v>-3.7091675447839832E-2</v>
      </c>
      <c r="Q102" s="18">
        <f t="shared" si="6"/>
        <v>96.718752210511454</v>
      </c>
      <c r="R102" s="18">
        <f t="shared" si="7"/>
        <v>85.348598655874838</v>
      </c>
      <c r="S102" s="34">
        <f>SUM(I101:I107)</f>
        <v>715846.47000000009</v>
      </c>
      <c r="T102" s="45" t="s">
        <v>41</v>
      </c>
      <c r="U102" s="1738"/>
      <c r="W102" s="202">
        <f>+S102</f>
        <v>715846.47000000009</v>
      </c>
      <c r="X102" s="202">
        <f>SUM(CHAMNORD!E101:E107)+SUM(AIX!E101:E107)+SUM(BELLEY!E101:E107)+SUM(STALBAN!E101:E107)+SUM(ABRETS!E101:E107)+SUM(PONT!E101:E107)+SUM(FRANCIN!E101:E107)+SUM(VIVIERS!E101:E107)</f>
        <v>719501.87999999989</v>
      </c>
      <c r="Y102" s="202">
        <f>+W102-X102</f>
        <v>-3655.4099999997998</v>
      </c>
    </row>
    <row r="103" spans="1:25">
      <c r="A103" s="10" t="s">
        <v>12</v>
      </c>
      <c r="B103" s="905">
        <v>45755</v>
      </c>
      <c r="C103" s="76">
        <f>IF(G103=0,0,CHAMNORD!C103+AIX!C103+BELLEY!C103+STALBAN!C103+ABRETS!C103+PONT!C103+FRANCIN!C103+VIVIERS!C103)</f>
        <v>80105.759999999995</v>
      </c>
      <c r="D103" s="76">
        <f>IF(H103=0,0,CHAMNORD!D103+AIX!D103+BELLEY!D103+STALBAN!D103+ABRETS!D103+PONT!D103+FRANCIN!D103+VIVIERS!D103)</f>
        <v>97102.77</v>
      </c>
      <c r="E103" s="76">
        <f>IF(I103=0,0,CHAMNORD!E103+AIX!E103+BELLEY!E103+STALBAN!E103+ABRETS!E103+PONT!E103+FRANCIN!E103+VIVIERS!E103)</f>
        <v>95838.21</v>
      </c>
      <c r="F103" s="20">
        <f>IF(J103=0,0,CHAMNORD!F103+AIX!F103+BELLEY!F103+STALBAN!F103+ABRETS!F103+PONT!F103+FRANCIN!F103+VIVIERS!F103)</f>
        <v>5488</v>
      </c>
      <c r="G103" s="40">
        <f>IF(I103=0,0,CHAMNORD!G103+AIX!G103+BELLEY!G103+STALBAN!G103+ABRETS!G103+PONT!G103+FRANCIN!G103+VIVIERS!G103)</f>
        <v>94900</v>
      </c>
      <c r="H103" s="42">
        <f>CHAMNORD!H103+AIX!H103+BELLEY!H103+STALBAN!H103+ABRETS!H103+PONT!H103+FRANCIN!H103+VIVIERS!H103</f>
        <v>90320.91</v>
      </c>
      <c r="I103" s="13">
        <f>CHAMNORD!I103+AIX!I103+BELLEY!I103+STALBAN!I103+ABRETS!I103+PONT!I103+FRANCIN!I103+VIVIERS!I103</f>
        <v>88469.110000000015</v>
      </c>
      <c r="J103" s="14">
        <f>CHAMNORD!J103+AIX!J103+BELLEY!J103+STALBAN!J103+ABRETS!J103+PONT!J103+FRANCIN!J103+VIVIERS!J103</f>
        <v>4870</v>
      </c>
      <c r="K103" s="15">
        <f>CHAMNORD!K103+AIX!K103+BELLEY!K103+STALBAN!K103+ABRETS!K103+PONT!K103+FRANCIN!K103+VIVIERS!K103</f>
        <v>844.50999999999988</v>
      </c>
      <c r="L103" s="15">
        <f>CHAMNORD!L103+AIX!L103+BELLEY!L103+STALBAN!L103+ABRETS!L103+PONT!L103+FRANCIN!L103+VIVIERS!L103</f>
        <v>977.93</v>
      </c>
      <c r="M103" s="15">
        <f>CHAMNORD!M103+AIX!M103+BELLEY!M103+STALBAN!M103+ABRETS!M103+PONT!M103+FRANCIN!M103+VIVIERS!M103</f>
        <v>606.79999999999995</v>
      </c>
      <c r="N103" s="16">
        <f t="shared" si="5"/>
        <v>6.8588911994254247E-3</v>
      </c>
      <c r="O103" s="17">
        <f t="shared" si="8"/>
        <v>-7.6891043770537779E-2</v>
      </c>
      <c r="P103" s="17">
        <f t="shared" si="9"/>
        <v>-0.11260932944606414</v>
      </c>
      <c r="Q103" s="18">
        <f t="shared" si="6"/>
        <v>104.75791879314636</v>
      </c>
      <c r="R103" s="18">
        <f t="shared" si="7"/>
        <v>90.465687728160518</v>
      </c>
      <c r="S103" s="35">
        <f>(S102-SUM(E101:E107))/(SUM(E101:E107))</f>
        <v>-5.0804731740241122E-3</v>
      </c>
      <c r="T103" s="48">
        <f>SUM(I101:I107)/SUM(K101:K107)</f>
        <v>102.28672287927438</v>
      </c>
      <c r="U103" s="1738"/>
    </row>
    <row r="104" spans="1:25">
      <c r="A104" s="10" t="s">
        <v>13</v>
      </c>
      <c r="B104" s="905">
        <v>45756</v>
      </c>
      <c r="C104" s="76">
        <f>IF(G104=0,0,CHAMNORD!C104+AIX!C104+BELLEY!C104+STALBAN!C104+ABRETS!C104+PONT!C104+FRANCIN!C104+VIVIERS!C104)</f>
        <v>97102.77</v>
      </c>
      <c r="D104" s="76">
        <f>IF(H104=0,0,CHAMNORD!D104+AIX!D104+BELLEY!D104+STALBAN!D104+ABRETS!D104+PONT!D104+FRANCIN!D104+VIVIERS!D104)</f>
        <v>84470.709999999992</v>
      </c>
      <c r="E104" s="76">
        <f>IF(I104=0,0,CHAMNORD!E104+AIX!E104+BELLEY!E104+STALBAN!E104+ABRETS!E104+PONT!E104+FRANCIN!E104+VIVIERS!E104)</f>
        <v>83642.169999999984</v>
      </c>
      <c r="F104" s="20">
        <f>IF(J104=0,0,CHAMNORD!F104+AIX!F104+BELLEY!F104+STALBAN!F104+ABRETS!F104+PONT!F104+FRANCIN!F104+VIVIERS!F104)</f>
        <v>4932</v>
      </c>
      <c r="G104" s="40">
        <f>IF(I104=0,0,CHAMNORD!G104+AIX!G104+BELLEY!G104+STALBAN!G104+ABRETS!G104+PONT!G104+FRANCIN!G104+VIVIERS!G104)</f>
        <v>84100</v>
      </c>
      <c r="H104" s="42">
        <f>CHAMNORD!H104+AIX!H104+BELLEY!H104+STALBAN!H104+ABRETS!H104+PONT!H104+FRANCIN!H104+VIVIERS!H104</f>
        <v>90421.93</v>
      </c>
      <c r="I104" s="13">
        <f>CHAMNORD!I104+AIX!I104+BELLEY!I104+STALBAN!I104+ABRETS!I104+PONT!I104+FRANCIN!I104+VIVIERS!I104</f>
        <v>88670.84</v>
      </c>
      <c r="J104" s="14">
        <f>CHAMNORD!J104+AIX!J104+BELLEY!J104+STALBAN!J104+ABRETS!J104+PONT!J104+FRANCIN!J104+VIVIERS!J104</f>
        <v>4858</v>
      </c>
      <c r="K104" s="15">
        <f>CHAMNORD!K104+AIX!K104+BELLEY!K104+STALBAN!K104+ABRETS!K104+PONT!K104+FRANCIN!K104+VIVIERS!K104</f>
        <v>899.19999999999993</v>
      </c>
      <c r="L104" s="15">
        <f>CHAMNORD!L104+AIX!L104+BELLEY!L104+STALBAN!L104+ABRETS!L104+PONT!L104+FRANCIN!L104+VIVIERS!L104</f>
        <v>999.71999999999991</v>
      </c>
      <c r="M104" s="15">
        <f>CHAMNORD!M104+AIX!M104+BELLEY!M104+STALBAN!M104+ABRETS!M104+PONT!M104+FRANCIN!M104+VIVIERS!M104</f>
        <v>510.56000000000006</v>
      </c>
      <c r="N104" s="16">
        <f t="shared" si="5"/>
        <v>5.7579244766374164E-3</v>
      </c>
      <c r="O104" s="17">
        <f t="shared" si="8"/>
        <v>6.0121228322986046E-2</v>
      </c>
      <c r="P104" s="17">
        <f t="shared" si="9"/>
        <v>-1.5004055150040552E-2</v>
      </c>
      <c r="Q104" s="18">
        <f t="shared" si="6"/>
        <v>98.610809608540933</v>
      </c>
      <c r="R104" s="18">
        <f t="shared" si="7"/>
        <v>88.695674788940906</v>
      </c>
      <c r="S104" s="34"/>
      <c r="T104" s="29" t="s">
        <v>8</v>
      </c>
      <c r="U104" s="1738"/>
    </row>
    <row r="105" spans="1:25">
      <c r="A105" s="10" t="s">
        <v>14</v>
      </c>
      <c r="B105" s="905">
        <v>45757</v>
      </c>
      <c r="C105" s="76">
        <f>IF(G105=0,0,CHAMNORD!C105+AIX!C105+BELLEY!C105+STALBAN!C105+ABRETS!C105+PONT!C105+FRANCIN!C105+VIVIERS!C105)</f>
        <v>84470.709999999992</v>
      </c>
      <c r="D105" s="76">
        <f>IF(H105=0,0,CHAMNORD!D105+AIX!D105+BELLEY!D105+STALBAN!D105+ABRETS!D105+PONT!D105+FRANCIN!D105+VIVIERS!D105)</f>
        <v>124122.84999999999</v>
      </c>
      <c r="E105" s="76">
        <f>IF(I105=0,0,CHAMNORD!E105+AIX!E105+BELLEY!E105+STALBAN!E105+ABRETS!E105+PONT!E105+FRANCIN!E105+VIVIERS!E105)</f>
        <v>122595.28000000001</v>
      </c>
      <c r="F105" s="20">
        <f>IF(J105=0,0,CHAMNORD!F105+AIX!F105+BELLEY!F105+STALBAN!F105+ABRETS!F105+PONT!F105+FRANCIN!F105+VIVIERS!F105)</f>
        <v>6715</v>
      </c>
      <c r="G105" s="40">
        <f>IF(I105=0,0,CHAMNORD!G105+AIX!G105+BELLEY!G105+STALBAN!G105+ABRETS!G105+PONT!G105+FRANCIN!G105+VIVIERS!G105)</f>
        <v>119000</v>
      </c>
      <c r="H105" s="42">
        <f>CHAMNORD!H105+AIX!H105+BELLEY!H105+STALBAN!H105+ABRETS!H105+PONT!H105+FRANCIN!H105+VIVIERS!H105</f>
        <v>113237.2</v>
      </c>
      <c r="I105" s="13">
        <f>CHAMNORD!I105+AIX!I105+BELLEY!I105+STALBAN!I105+ABRETS!I105+PONT!I105+FRANCIN!I105+VIVIERS!I105</f>
        <v>111038.91</v>
      </c>
      <c r="J105" s="14">
        <f>CHAMNORD!J105+AIX!J105+BELLEY!J105+STALBAN!J105+ABRETS!J105+PONT!J105+FRANCIN!J105+VIVIERS!J105</f>
        <v>5714</v>
      </c>
      <c r="K105" s="15">
        <f>CHAMNORD!K105+AIX!K105+BELLEY!K105+STALBAN!K105+ABRETS!K105+PONT!K105+FRANCIN!K105+VIVIERS!K105</f>
        <v>1131.3900000000001</v>
      </c>
      <c r="L105" s="15">
        <f>CHAMNORD!L105+AIX!L105+BELLEY!L105+STALBAN!L105+ABRETS!L105+PONT!L105+FRANCIN!L105+VIVIERS!L105</f>
        <v>1279.8800000000001</v>
      </c>
      <c r="M105" s="15">
        <f>CHAMNORD!M105+AIX!M105+BELLEY!M105+STALBAN!M105+ABRETS!M105+PONT!M105+FRANCIN!M105+VIVIERS!M105</f>
        <v>497.7700000000001</v>
      </c>
      <c r="N105" s="16">
        <f t="shared" si="5"/>
        <v>4.4828429962073665E-3</v>
      </c>
      <c r="O105" s="17">
        <f t="shared" si="8"/>
        <v>-9.4264395823395561E-2</v>
      </c>
      <c r="P105" s="17">
        <f t="shared" si="9"/>
        <v>-0.1490692479523455</v>
      </c>
      <c r="Q105" s="18">
        <f t="shared" si="6"/>
        <v>98.14379656882241</v>
      </c>
      <c r="R105" s="18">
        <f t="shared" si="7"/>
        <v>86.757281932681181</v>
      </c>
      <c r="S105" s="36" t="s">
        <v>40</v>
      </c>
      <c r="T105" s="48">
        <f>SUM(I101:I107)/SUM(L101:L107)</f>
        <v>90.928388698073348</v>
      </c>
      <c r="U105" s="1738"/>
    </row>
    <row r="106" spans="1:25">
      <c r="A106" s="10" t="s">
        <v>15</v>
      </c>
      <c r="B106" s="905">
        <v>45758</v>
      </c>
      <c r="C106" s="76">
        <f>IF(G106=0,0,CHAMNORD!C106+AIX!C106+BELLEY!C106+STALBAN!C106+ABRETS!C106+PONT!C106+FRANCIN!C106+VIVIERS!C106)</f>
        <v>124122.84999999999</v>
      </c>
      <c r="D106" s="76">
        <f>IF(H106=0,0,CHAMNORD!D106+AIX!D106+BELLEY!D106+STALBAN!D106+ABRETS!D106+PONT!D106+FRANCIN!D106+VIVIERS!D106)</f>
        <v>141724.24</v>
      </c>
      <c r="E106" s="76">
        <f>IF(I106=0,0,CHAMNORD!E106+AIX!E106+BELLEY!E106+STALBAN!E106+ABRETS!E106+PONT!E106+FRANCIN!E106+VIVIERS!E106)</f>
        <v>140034.76999999999</v>
      </c>
      <c r="F106" s="20">
        <f>IF(J106=0,0,CHAMNORD!F106+AIX!F106+BELLEY!F106+STALBAN!F106+ABRETS!F106+PONT!F106+FRANCIN!F106+VIVIERS!F106)</f>
        <v>6998</v>
      </c>
      <c r="G106" s="40">
        <f>IF(I106=0,0,CHAMNORD!G106+AIX!G106+BELLEY!G106+STALBAN!G106+ABRETS!G106+PONT!G106+FRANCIN!G106+VIVIERS!G106)</f>
        <v>129700</v>
      </c>
      <c r="H106" s="42">
        <f>CHAMNORD!H106+AIX!H106+BELLEY!H106+STALBAN!H106+ABRETS!H106+PONT!H106+FRANCIN!H106+VIVIERS!H106</f>
        <v>114043.98</v>
      </c>
      <c r="I106" s="13">
        <f>CHAMNORD!I106+AIX!I106+BELLEY!I106+STALBAN!I106+ABRETS!I106+PONT!I106+FRANCIN!I106+VIVIERS!I106</f>
        <v>111759.01999999999</v>
      </c>
      <c r="J106" s="14">
        <f>CHAMNORD!J106+AIX!J106+BELLEY!J106+STALBAN!J106+ABRETS!J106+PONT!J106+FRANCIN!J106+VIVIERS!J106</f>
        <v>5657</v>
      </c>
      <c r="K106" s="15">
        <f>CHAMNORD!K106+AIX!K106+BELLEY!K106+STALBAN!K106+ABRETS!K106+PONT!K106+FRANCIN!K106+VIVIERS!K106</f>
        <v>1109.8700000000001</v>
      </c>
      <c r="L106" s="15">
        <f>CHAMNORD!L106+AIX!L106+BELLEY!L106+STALBAN!L106+ABRETS!L106+PONT!L106+FRANCIN!L106+VIVIERS!L106</f>
        <v>1249.9199999999998</v>
      </c>
      <c r="M106" s="15">
        <f>CHAMNORD!M106+AIX!M106+BELLEY!M106+STALBAN!M106+ABRETS!M106+PONT!M106+FRANCIN!M106+VIVIERS!M106</f>
        <v>326.33</v>
      </c>
      <c r="N106" s="16">
        <f t="shared" si="5"/>
        <v>2.9199432851147048E-3</v>
      </c>
      <c r="O106" s="17">
        <f t="shared" si="8"/>
        <v>-0.20191949470834994</v>
      </c>
      <c r="P106" s="17">
        <f t="shared" si="9"/>
        <v>-0.1916261789082595</v>
      </c>
      <c r="Q106" s="18">
        <f t="shared" si="6"/>
        <v>100.69559497959219</v>
      </c>
      <c r="R106" s="18">
        <f t="shared" si="7"/>
        <v>89.412938428059405</v>
      </c>
      <c r="S106" s="36">
        <f>SUM(J101:J107)</f>
        <v>36493</v>
      </c>
      <c r="T106" s="30" t="s">
        <v>3</v>
      </c>
      <c r="U106" s="1738"/>
    </row>
    <row r="107" spans="1:25" ht="18" thickBot="1">
      <c r="A107" s="10" t="s">
        <v>16</v>
      </c>
      <c r="B107" s="905">
        <v>45759</v>
      </c>
      <c r="C107" s="76">
        <f>IF(G107=0,0,CHAMNORD!C107+AIX!C107+BELLEY!C107+STALBAN!C107+ABRETS!C107+PONT!C107+FRANCIN!C107+VIVIERS!C107)</f>
        <v>141724.24</v>
      </c>
      <c r="D107" s="76">
        <f>IF(H107=0,0,CHAMNORD!D107+AIX!D107+BELLEY!D107+STALBAN!D107+ABRETS!D107+PONT!D107+FRANCIN!D107+VIVIERS!D107)</f>
        <v>129211.51999999999</v>
      </c>
      <c r="E107" s="76">
        <f>IF(I107=0,0,CHAMNORD!E107+AIX!E107+BELLEY!E107+STALBAN!E107+ABRETS!E107+PONT!E107+FRANCIN!E107+VIVIERS!E107)</f>
        <v>127731.82999999999</v>
      </c>
      <c r="F107" s="20">
        <f>IF(J107=0,0,CHAMNORD!F107+AIX!F107+BELLEY!F107+STALBAN!F107+ABRETS!F107+PONT!F107+FRANCIN!F107+VIVIERS!F107)</f>
        <v>6007</v>
      </c>
      <c r="G107" s="40">
        <f>IF(I107=0,0,CHAMNORD!G107+AIX!G107+BELLEY!G107+STALBAN!G107+ABRETS!G107+PONT!G107+FRANCIN!G107+VIVIERS!G107)</f>
        <v>127200</v>
      </c>
      <c r="H107" s="42">
        <f>CHAMNORD!H107+AIX!H107+BELLEY!H107+STALBAN!H107+ABRETS!H107+PONT!H107+FRANCIN!H107+VIVIERS!H107</f>
        <v>120066.15999999999</v>
      </c>
      <c r="I107" s="13">
        <f>CHAMNORD!I107+AIX!I107+BELLEY!I107+STALBAN!I107+ABRETS!I107+PONT!I107+FRANCIN!I107+VIVIERS!I107</f>
        <v>117730.62</v>
      </c>
      <c r="J107" s="14">
        <f>CHAMNORD!J107+AIX!J107+BELLEY!J107+STALBAN!J107+ABRETS!J107+PONT!J107+FRANCIN!J107+VIVIERS!J107</f>
        <v>5237</v>
      </c>
      <c r="K107" s="15">
        <f>CHAMNORD!K107+AIX!K107+BELLEY!K107+STALBAN!K107+ABRETS!K107+PONT!K107+FRANCIN!K107+VIVIERS!K107</f>
        <v>1077.76</v>
      </c>
      <c r="L107" s="15">
        <f>CHAMNORD!L107+AIX!L107+BELLEY!L107+STALBAN!L107+ABRETS!L107+PONT!L107+FRANCIN!L107+VIVIERS!L107</f>
        <v>1193.4100000000001</v>
      </c>
      <c r="M107" s="15">
        <f>CHAMNORD!M107+AIX!M107+BELLEY!M107+STALBAN!M107+ABRETS!M107+PONT!M107+FRANCIN!M107+VIVIERS!M107</f>
        <v>423.5</v>
      </c>
      <c r="N107" s="16">
        <f t="shared" si="5"/>
        <v>3.5971950202929367E-3</v>
      </c>
      <c r="O107" s="17">
        <f t="shared" si="8"/>
        <v>-7.8298494588232181E-2</v>
      </c>
      <c r="P107" s="17">
        <f t="shared" si="9"/>
        <v>-0.12818378558348592</v>
      </c>
      <c r="Q107" s="18">
        <f t="shared" si="6"/>
        <v>109.23639771377673</v>
      </c>
      <c r="R107" s="18">
        <f t="shared" si="7"/>
        <v>98.650606245967424</v>
      </c>
      <c r="S107" s="37">
        <f>(S106-SUM(F101:F107))/(SUM(F101:F107))</f>
        <v>-6.6317001407189463E-2</v>
      </c>
      <c r="T107" s="47">
        <f>SUM(M101:M107)/SUM(I101:I107)</f>
        <v>4.4811284743780317E-3</v>
      </c>
      <c r="U107" s="1739"/>
    </row>
    <row r="108" spans="1:25" ht="17" customHeight="1" thickTop="1">
      <c r="A108" s="10" t="s">
        <v>9</v>
      </c>
      <c r="B108" s="905">
        <v>45760</v>
      </c>
      <c r="C108" s="76">
        <f>IF(G108=0,0,CHAMNORD!C108+AIX!C108+BELLEY!C108+STALBAN!C108+ABRETS!C108+PONT!C108+FRANCIN!C108+VIVIERS!C108)</f>
        <v>129211.51999999999</v>
      </c>
      <c r="D108" s="76">
        <f>IF(H108=0,0,CHAMNORD!D108+AIX!D108+BELLEY!D108+STALBAN!D108+ABRETS!D108+PONT!D108+FRANCIN!D108+VIVIERS!D108)</f>
        <v>66054.22</v>
      </c>
      <c r="E108" s="76">
        <f>IF(I108=0,0,CHAMNORD!E108+AIX!E108+BELLEY!E108+STALBAN!E108+ABRETS!E108+PONT!E108+FRANCIN!E108+VIVIERS!E108)</f>
        <v>65452.04</v>
      </c>
      <c r="F108" s="20">
        <f>IF(J108=0,0,CHAMNORD!F108+AIX!F108+BELLEY!F108+STALBAN!F108+ABRETS!F108+PONT!F108+FRANCIN!F108+VIVIERS!F108)</f>
        <v>3988</v>
      </c>
      <c r="G108" s="40">
        <f>IF(I108=0,0,CHAMNORD!G108+AIX!G108+BELLEY!G108+STALBAN!G108+ABRETS!G108+PONT!G108+FRANCIN!G108+VIVIERS!G108)</f>
        <v>68300</v>
      </c>
      <c r="H108" s="42">
        <f>CHAMNORD!H108+AIX!H108+BELLEY!H108+STALBAN!H108+ABRETS!H108+PONT!H108+FRANCIN!H108+VIVIERS!H108</f>
        <v>72134.700000000012</v>
      </c>
      <c r="I108" s="13">
        <f>CHAMNORD!I108+AIX!I108+BELLEY!I108+STALBAN!I108+ABRETS!I108+PONT!I108+FRANCIN!I108+VIVIERS!I108</f>
        <v>70717.039999999994</v>
      </c>
      <c r="J108" s="14">
        <f>CHAMNORD!J108+AIX!J108+BELLEY!J108+STALBAN!J108+ABRETS!J108+PONT!J108+FRANCIN!J108+VIVIERS!J108</f>
        <v>3797</v>
      </c>
      <c r="K108" s="15">
        <f>CHAMNORD!K108+AIX!K108+BELLEY!K108+STALBAN!K108+ABRETS!K108+PONT!K108+FRANCIN!K108+VIVIERS!K108</f>
        <v>805.12999999999988</v>
      </c>
      <c r="L108" s="15">
        <f>CHAMNORD!L108+AIX!L108+BELLEY!L108+STALBAN!L108+ABRETS!L108+PONT!L108+FRANCIN!L108+VIVIERS!L108</f>
        <v>922.99</v>
      </c>
      <c r="M108" s="15">
        <f>CHAMNORD!M108+AIX!M108+BELLEY!M108+STALBAN!M108+ABRETS!M108+PONT!M108+FRANCIN!M108+VIVIERS!M108</f>
        <v>539.36</v>
      </c>
      <c r="N108" s="16">
        <f t="shared" si="5"/>
        <v>7.6270160628895108E-3</v>
      </c>
      <c r="O108" s="17">
        <f t="shared" si="8"/>
        <v>8.0440579086610481E-2</v>
      </c>
      <c r="P108" s="17">
        <f t="shared" si="9"/>
        <v>-4.7893681043129389E-2</v>
      </c>
      <c r="Q108" s="18">
        <f t="shared" si="6"/>
        <v>87.833070435830237</v>
      </c>
      <c r="R108" s="18">
        <f t="shared" si="7"/>
        <v>76.617341466321406</v>
      </c>
      <c r="S108" s="33" t="s">
        <v>39</v>
      </c>
      <c r="T108" s="31" t="s">
        <v>42</v>
      </c>
      <c r="U108" s="1737" t="s">
        <v>98</v>
      </c>
    </row>
    <row r="109" spans="1:25">
      <c r="A109" s="10" t="s">
        <v>11</v>
      </c>
      <c r="B109" s="905">
        <v>45761</v>
      </c>
      <c r="C109" s="76">
        <f>IF(G109=0,0,CHAMNORD!C109+AIX!C109+BELLEY!C109+STALBAN!C109+ABRETS!C109+PONT!C109+FRANCIN!C109+VIVIERS!C109)</f>
        <v>66054.22</v>
      </c>
      <c r="D109" s="76">
        <f>IF(H109=0,0,CHAMNORD!D109+AIX!D109+BELLEY!D109+STALBAN!D109+ABRETS!D109+PONT!D109+FRANCIN!D109+VIVIERS!D109)</f>
        <v>78032.160000000003</v>
      </c>
      <c r="E109" s="76">
        <f>IF(I109=0,0,CHAMNORD!E109+AIX!E109+BELLEY!E109+STALBAN!E109+ABRETS!E109+PONT!E109+FRANCIN!E109+VIVIERS!E109)</f>
        <v>77270.95</v>
      </c>
      <c r="F109" s="20">
        <f>IF(J109=0,0,CHAMNORD!F109+AIX!F109+BELLEY!F109+STALBAN!F109+ABRETS!F109+PONT!F109+FRANCIN!F109+VIVIERS!F109)</f>
        <v>4473</v>
      </c>
      <c r="G109" s="40">
        <f>IF(I109=0,0,CHAMNORD!G109+AIX!G109+BELLEY!G109+STALBAN!G109+ABRETS!G109+PONT!G109+FRANCIN!G109+VIVIERS!G109)</f>
        <v>78300</v>
      </c>
      <c r="H109" s="42">
        <f>CHAMNORD!H109+AIX!H109+BELLEY!H109+STALBAN!H109+ABRETS!H109+PONT!H109+FRANCIN!H109+VIVIERS!H109</f>
        <v>84067.599999999991</v>
      </c>
      <c r="I109" s="13">
        <f>CHAMNORD!I109+AIX!I109+BELLEY!I109+STALBAN!I109+ABRETS!I109+PONT!I109+FRANCIN!I109+VIVIERS!I109</f>
        <v>82290.739999999991</v>
      </c>
      <c r="J109" s="14">
        <f>CHAMNORD!J109+AIX!J109+BELLEY!J109+STALBAN!J109+ABRETS!J109+PONT!J109+FRANCIN!J109+VIVIERS!J109</f>
        <v>4378</v>
      </c>
      <c r="K109" s="15">
        <f>CHAMNORD!K109+AIX!K109+BELLEY!K109+STALBAN!K109+ABRETS!K109+PONT!K109+FRANCIN!K109+VIVIERS!K109</f>
        <v>771.88</v>
      </c>
      <c r="L109" s="15">
        <f>CHAMNORD!L109+AIX!L109+BELLEY!L109+STALBAN!L109+ABRETS!L109+PONT!L109+FRANCIN!L109+VIVIERS!L109</f>
        <v>901.11999999999989</v>
      </c>
      <c r="M109" s="15">
        <f>CHAMNORD!M109+AIX!M109+BELLEY!M109+STALBAN!M109+ABRETS!M109+PONT!M109+FRANCIN!M109+VIVIERS!M109</f>
        <v>352.41999999999996</v>
      </c>
      <c r="N109" s="16">
        <f t="shared" si="5"/>
        <v>4.2826203774568071E-3</v>
      </c>
      <c r="O109" s="17">
        <f t="shared" si="8"/>
        <v>6.4963482395389127E-2</v>
      </c>
      <c r="P109" s="17">
        <f t="shared" si="9"/>
        <v>-2.1238542365302929E-2</v>
      </c>
      <c r="Q109" s="18">
        <f t="shared" si="6"/>
        <v>106.61079442400371</v>
      </c>
      <c r="R109" s="18">
        <f t="shared" si="7"/>
        <v>91.320512251420453</v>
      </c>
      <c r="S109" s="34">
        <f>SUM(I108:I114)</f>
        <v>670067.48</v>
      </c>
      <c r="T109" s="45" t="s">
        <v>41</v>
      </c>
      <c r="U109" s="1738"/>
      <c r="W109" s="202">
        <f>+S109</f>
        <v>670067.48</v>
      </c>
      <c r="X109" s="202">
        <f>SUM(CHAMNORD!E108:E114)+SUM(AIX!E108:E114)+SUM(BELLEY!E108:E114)+SUM(STALBAN!E108:E114)+SUM(ABRETS!E108:E114)+SUM(PONT!E108:E114)+SUM(FRANCIN!E108:E114)+SUM(VIVIERS!E108:E114)</f>
        <v>655502.83000000007</v>
      </c>
      <c r="Y109" s="202">
        <f>+W109-X109</f>
        <v>14564.649999999907</v>
      </c>
    </row>
    <row r="110" spans="1:25">
      <c r="A110" s="10" t="s">
        <v>12</v>
      </c>
      <c r="B110" s="905">
        <v>45762</v>
      </c>
      <c r="C110" s="76">
        <f>IF(G110=0,0,CHAMNORD!C110+AIX!C110+BELLEY!C110+STALBAN!C110+ABRETS!C110+PONT!C110+FRANCIN!C110+VIVIERS!C110)</f>
        <v>78032.160000000003</v>
      </c>
      <c r="D110" s="76">
        <f>IF(H110=0,0,CHAMNORD!D110+AIX!D110+BELLEY!D110+STALBAN!D110+ABRETS!D110+PONT!D110+FRANCIN!D110+VIVIERS!D110)</f>
        <v>89768.65</v>
      </c>
      <c r="E110" s="76">
        <f>IF(I110=0,0,CHAMNORD!E110+AIX!E110+BELLEY!E110+STALBAN!E110+ABRETS!E110+PONT!E110+FRANCIN!E110+VIVIERS!E110)</f>
        <v>88534.43</v>
      </c>
      <c r="F110" s="20">
        <f>IF(J110=0,0,CHAMNORD!F110+AIX!F110+BELLEY!F110+STALBAN!F110+ABRETS!F110+PONT!F110+FRANCIN!F110+VIVIERS!F110)</f>
        <v>4961</v>
      </c>
      <c r="G110" s="40">
        <f>IF(I110=0,0,CHAMNORD!G110+AIX!G110+BELLEY!G110+STALBAN!G110+ABRETS!G110+PONT!G110+FRANCIN!G110+VIVIERS!G110)</f>
        <v>89700</v>
      </c>
      <c r="H110" s="42">
        <f>CHAMNORD!H110+AIX!H110+BELLEY!H110+STALBAN!H110+ABRETS!H110+PONT!H110+FRANCIN!H110+VIVIERS!H110</f>
        <v>88830.69</v>
      </c>
      <c r="I110" s="13">
        <f>CHAMNORD!I110+AIX!I110+BELLEY!I110+STALBAN!I110+ABRETS!I110+PONT!I110+FRANCIN!I110+VIVIERS!I110</f>
        <v>87005.790000000008</v>
      </c>
      <c r="J110" s="14">
        <f>CHAMNORD!J110+AIX!J110+BELLEY!J110+STALBAN!J110+ABRETS!J110+PONT!J110+FRANCIN!J110+VIVIERS!J110</f>
        <v>4622</v>
      </c>
      <c r="K110" s="15">
        <f>CHAMNORD!K110+AIX!K110+BELLEY!K110+STALBAN!K110+ABRETS!K110+PONT!K110+FRANCIN!K110+VIVIERS!K110</f>
        <v>856.2</v>
      </c>
      <c r="L110" s="15">
        <f>CHAMNORD!L110+AIX!L110+BELLEY!L110+STALBAN!L110+ABRETS!L110+PONT!L110+FRANCIN!L110+VIVIERS!L110</f>
        <v>991.49000000000012</v>
      </c>
      <c r="M110" s="15">
        <f>CHAMNORD!M110+AIX!M110+BELLEY!M110+STALBAN!M110+ABRETS!M110+PONT!M110+FRANCIN!M110+VIVIERS!M110</f>
        <v>508.31</v>
      </c>
      <c r="N110" s="16">
        <f t="shared" si="5"/>
        <v>5.8422548660267319E-3</v>
      </c>
      <c r="O110" s="17">
        <f t="shared" si="8"/>
        <v>-1.7266051184832668E-2</v>
      </c>
      <c r="P110" s="17">
        <f t="shared" si="9"/>
        <v>-6.833299737956057E-2</v>
      </c>
      <c r="Q110" s="18">
        <f t="shared" si="6"/>
        <v>101.61853538892782</v>
      </c>
      <c r="R110" s="18">
        <f t="shared" si="7"/>
        <v>87.752564322383478</v>
      </c>
      <c r="S110" s="35">
        <f>(S109-SUM(E108:E114))/(SUM(E108:E114))</f>
        <v>2.2219049763675353E-2</v>
      </c>
      <c r="T110" s="48">
        <f>SUM(I108:I114)/SUM(K108:K114)</f>
        <v>102.7656323759506</v>
      </c>
      <c r="U110" s="1738"/>
      <c r="W110" s="202"/>
      <c r="X110" s="202"/>
      <c r="Y110" s="202"/>
    </row>
    <row r="111" spans="1:25">
      <c r="A111" s="10" t="s">
        <v>13</v>
      </c>
      <c r="B111" s="905">
        <v>45763</v>
      </c>
      <c r="C111" s="76">
        <f>IF(G111=0,0,CHAMNORD!C111+AIX!C111+BELLEY!C111+STALBAN!C111+ABRETS!C111+PONT!C111+FRANCIN!C111+VIVIERS!C111)</f>
        <v>89768.65</v>
      </c>
      <c r="D111" s="76">
        <f>IF(H111=0,0,CHAMNORD!D111+AIX!D111+BELLEY!D111+STALBAN!D111+ABRETS!D111+PONT!D111+FRANCIN!D111+VIVIERS!D111)</f>
        <v>80952.640000000014</v>
      </c>
      <c r="E111" s="76">
        <f>IF(I111=0,0,CHAMNORD!E111+AIX!E111+BELLEY!E111+STALBAN!E111+ABRETS!E111+PONT!E111+FRANCIN!E111+VIVIERS!E111)</f>
        <v>80136.88</v>
      </c>
      <c r="F111" s="20">
        <f>IF(J111=0,0,CHAMNORD!F111+AIX!F111+BELLEY!F111+STALBAN!F111+ABRETS!F111+PONT!F111+FRANCIN!F111+VIVIERS!F111)</f>
        <v>4605</v>
      </c>
      <c r="G111" s="40">
        <f>IF(I111=0,0,CHAMNORD!G111+AIX!G111+BELLEY!G111+STALBAN!G111+ABRETS!G111+PONT!G111+FRANCIN!G111+VIVIERS!G111)</f>
        <v>82200</v>
      </c>
      <c r="H111" s="42">
        <f>CHAMNORD!H111+AIX!H111+BELLEY!H111+STALBAN!H111+ABRETS!H111+PONT!H111+FRANCIN!H111+VIVIERS!H111</f>
        <v>89077.8</v>
      </c>
      <c r="I111" s="13">
        <f>CHAMNORD!I111+AIX!I111+BELLEY!I111+STALBAN!I111+ABRETS!I111+PONT!I111+FRANCIN!I111+VIVIERS!I111</f>
        <v>87439.709999999977</v>
      </c>
      <c r="J111" s="14">
        <f>CHAMNORD!J111+AIX!J111+BELLEY!J111+STALBAN!J111+ABRETS!J111+PONT!J111+FRANCIN!J111+VIVIERS!J111</f>
        <v>4732</v>
      </c>
      <c r="K111" s="15">
        <f>CHAMNORD!K111+AIX!K111+BELLEY!K111+STALBAN!K111+ABRETS!K111+PONT!K111+FRANCIN!K111+VIVIERS!K111</f>
        <v>820.91</v>
      </c>
      <c r="L111" s="15">
        <f>CHAMNORD!L111+AIX!L111+BELLEY!L111+STALBAN!L111+ABRETS!L111+PONT!L111+FRANCIN!L111+VIVIERS!L111</f>
        <v>938.43</v>
      </c>
      <c r="M111" s="15">
        <f>CHAMNORD!M111+AIX!M111+BELLEY!M111+STALBAN!M111+ABRETS!M111+PONT!M111+FRANCIN!M111+VIVIERS!M111</f>
        <v>529.18999999999994</v>
      </c>
      <c r="N111" s="16">
        <f t="shared" si="5"/>
        <v>6.0520557536158353E-3</v>
      </c>
      <c r="O111" s="17">
        <f t="shared" si="8"/>
        <v>9.1129452506760592E-2</v>
      </c>
      <c r="P111" s="17">
        <f t="shared" si="9"/>
        <v>2.7578718783930509E-2</v>
      </c>
      <c r="Q111" s="18">
        <f t="shared" si="6"/>
        <v>106.51558636147688</v>
      </c>
      <c r="R111" s="18">
        <f t="shared" si="7"/>
        <v>93.176592819922618</v>
      </c>
      <c r="S111" s="34"/>
      <c r="T111" s="29" t="s">
        <v>8</v>
      </c>
      <c r="U111" s="1738"/>
    </row>
    <row r="112" spans="1:25">
      <c r="A112" s="10" t="s">
        <v>14</v>
      </c>
      <c r="B112" s="905">
        <v>45764</v>
      </c>
      <c r="C112" s="76">
        <f>IF(G112=0,0,CHAMNORD!C112+AIX!C112+BELLEY!C112+STALBAN!C112+ABRETS!C112+PONT!C112+FRANCIN!C112+VIVIERS!C112)</f>
        <v>80952.640000000014</v>
      </c>
      <c r="D112" s="76">
        <f>IF(H112=0,0,CHAMNORD!D112+AIX!D112+BELLEY!D112+STALBAN!D112+ABRETS!D112+PONT!D112+FRANCIN!D112+VIVIERS!D112)</f>
        <v>126003.98999999999</v>
      </c>
      <c r="E112" s="76">
        <f>IF(I112=0,0,CHAMNORD!E112+AIX!E112+BELLEY!E112+STALBAN!E112+ABRETS!E112+PONT!E112+FRANCIN!E112+VIVIERS!E112)</f>
        <v>124787.54</v>
      </c>
      <c r="F112" s="20">
        <f>IF(J112=0,0,CHAMNORD!F112+AIX!F112+BELLEY!F112+STALBAN!F112+ABRETS!F112+PONT!F112+FRANCIN!F112+VIVIERS!F112)</f>
        <v>6759</v>
      </c>
      <c r="G112" s="40">
        <f>IF(I112=0,0,CHAMNORD!G112+AIX!G112+BELLEY!G112+STALBAN!G112+ABRETS!G112+PONT!G112+FRANCIN!G112+VIVIERS!G112)</f>
        <v>123745</v>
      </c>
      <c r="H112" s="42">
        <f>CHAMNORD!H112+AIX!H112+BELLEY!H112+STALBAN!H112+ABRETS!H112+PONT!H112+FRANCIN!H112+VIVIERS!H112</f>
        <v>118291.57</v>
      </c>
      <c r="I112" s="13">
        <f>CHAMNORD!I112+AIX!I112+BELLEY!I112+STALBAN!I112+ABRETS!I112+PONT!I112+FRANCIN!I112+VIVIERS!I112</f>
        <v>116123.08</v>
      </c>
      <c r="J112" s="14">
        <f>CHAMNORD!J112+AIX!J112+BELLEY!J112+STALBAN!J112+ABRETS!J112+PONT!J112+FRANCIN!J112+VIVIERS!J112</f>
        <v>5937</v>
      </c>
      <c r="K112" s="15">
        <f>CHAMNORD!K112+AIX!K112+BELLEY!K112+STALBAN!K112+ABRETS!K112+PONT!K112+FRANCIN!K112+VIVIERS!K112</f>
        <v>1123.7099999999998</v>
      </c>
      <c r="L112" s="15">
        <f>CHAMNORD!L112+AIX!L112+BELLEY!L112+STALBAN!L112+ABRETS!L112+PONT!L112+FRANCIN!L112+VIVIERS!L112</f>
        <v>1261.8699999999999</v>
      </c>
      <c r="M112" s="15">
        <f>CHAMNORD!M112+AIX!M112+BELLEY!M112+STALBAN!M112+ABRETS!M112+PONT!M112+FRANCIN!M112+VIVIERS!M112</f>
        <v>533.51</v>
      </c>
      <c r="N112" s="16">
        <f t="shared" si="5"/>
        <v>4.5943493748185115E-3</v>
      </c>
      <c r="O112" s="17">
        <f t="shared" si="8"/>
        <v>-6.9433695062824319E-2</v>
      </c>
      <c r="P112" s="17">
        <f t="shared" si="9"/>
        <v>-0.12161562361296049</v>
      </c>
      <c r="Q112" s="18">
        <f t="shared" si="6"/>
        <v>103.33901095478373</v>
      </c>
      <c r="R112" s="18">
        <f t="shared" si="7"/>
        <v>92.024598413465739</v>
      </c>
      <c r="S112" s="36" t="s">
        <v>40</v>
      </c>
      <c r="T112" s="48">
        <f>SUM(I108:I114)/SUM(L108:L114)</f>
        <v>90.361244054626638</v>
      </c>
      <c r="U112" s="1738"/>
    </row>
    <row r="113" spans="1:25">
      <c r="A113" s="10" t="s">
        <v>15</v>
      </c>
      <c r="B113" s="905">
        <v>45765</v>
      </c>
      <c r="C113" s="76">
        <f>IF(G113=0,0,CHAMNORD!C113+AIX!C113+BELLEY!C113+STALBAN!C113+ABRETS!C113+PONT!C113+FRANCIN!C113+VIVIERS!C113)</f>
        <v>126003.98999999999</v>
      </c>
      <c r="D113" s="76">
        <f>IF(H113=0,0,CHAMNORD!D113+AIX!D113+BELLEY!D113+STALBAN!D113+ABRETS!D113+PONT!D113+FRANCIN!D113+VIVIERS!D113)</f>
        <v>118102.77</v>
      </c>
      <c r="E113" s="76">
        <f>IF(I113=0,0,CHAMNORD!E113+AIX!E113+BELLEY!E113+STALBAN!E113+ABRETS!E113+PONT!E113+FRANCIN!E113+VIVIERS!E113)</f>
        <v>116615.06</v>
      </c>
      <c r="F113" s="20">
        <f>IF(J113=0,0,CHAMNORD!F113+AIX!F113+BELLEY!F113+STALBAN!F113+ABRETS!F113+PONT!F113+FRANCIN!F113+VIVIERS!F113)</f>
        <v>6183</v>
      </c>
      <c r="G113" s="40">
        <f>IF(I113=0,0,CHAMNORD!G113+AIX!G113+BELLEY!G113+STALBAN!G113+ABRETS!G113+PONT!G113+FRANCIN!G113+VIVIERS!G113)</f>
        <v>118900</v>
      </c>
      <c r="H113" s="42">
        <f>CHAMNORD!H113+AIX!H113+BELLEY!H113+STALBAN!H113+ABRETS!H113+PONT!H113+FRANCIN!H113+VIVIERS!H113</f>
        <v>111674.05</v>
      </c>
      <c r="I113" s="13">
        <f>CHAMNORD!I113+AIX!I113+BELLEY!I113+STALBAN!I113+ABRETS!I113+PONT!I113+FRANCIN!I113+VIVIERS!I113</f>
        <v>109472.2</v>
      </c>
      <c r="J113" s="14">
        <f>CHAMNORD!J113+AIX!J113+BELLEY!J113+STALBAN!J113+ABRETS!J113+PONT!J113+FRANCIN!J113+VIVIERS!J113</f>
        <v>5651</v>
      </c>
      <c r="K113" s="15">
        <f>CHAMNORD!K113+AIX!K113+BELLEY!K113+STALBAN!K113+ABRETS!K113+PONT!K113+FRANCIN!K113+VIVIERS!K113</f>
        <v>1095.546</v>
      </c>
      <c r="L113" s="15">
        <f>CHAMNORD!L113+AIX!L113+BELLEY!L113+STALBAN!L113+ABRETS!L113+PONT!L113+FRANCIN!L113+VIVIERS!L113</f>
        <v>1232.45</v>
      </c>
      <c r="M113" s="15">
        <f>CHAMNORD!M113+AIX!M113+BELLEY!M113+STALBAN!M113+ABRETS!M113+PONT!M113+FRANCIN!M113+VIVIERS!M113</f>
        <v>417.76</v>
      </c>
      <c r="N113" s="16">
        <f t="shared" si="5"/>
        <v>3.8161286609751151E-3</v>
      </c>
      <c r="O113" s="17">
        <f t="shared" si="8"/>
        <v>-6.1251608497221548E-2</v>
      </c>
      <c r="P113" s="17">
        <f t="shared" si="9"/>
        <v>-8.6042374251981232E-2</v>
      </c>
      <c r="Q113" s="18">
        <f t="shared" si="6"/>
        <v>99.924786362233988</v>
      </c>
      <c r="R113" s="18">
        <f t="shared" si="7"/>
        <v>88.82486104912978</v>
      </c>
      <c r="S113" s="36">
        <f>SUM(J108:J114)</f>
        <v>34593</v>
      </c>
      <c r="T113" s="30" t="s">
        <v>3</v>
      </c>
      <c r="U113" s="1738"/>
    </row>
    <row r="114" spans="1:25" ht="18" thickBot="1">
      <c r="A114" s="10" t="s">
        <v>16</v>
      </c>
      <c r="B114" s="905">
        <v>45766</v>
      </c>
      <c r="C114" s="76">
        <f>IF(G114=0,0,CHAMNORD!C114+AIX!C114+BELLEY!C114+STALBAN!C114+ABRETS!C114+PONT!C114+FRANCIN!C114+VIVIERS!C114)</f>
        <v>118102.77</v>
      </c>
      <c r="D114" s="76">
        <f>IF(H114=0,0,CHAMNORD!D114+AIX!D114+BELLEY!D114+STALBAN!D114+ABRETS!D114+PONT!D114+FRANCIN!D114+VIVIERS!D114)</f>
        <v>106759.72</v>
      </c>
      <c r="E114" s="76">
        <f>IF(I114=0,0,CHAMNORD!E114+AIX!E114+BELLEY!E114+STALBAN!E114+ABRETS!E114+PONT!E114+FRANCIN!E114+VIVIERS!E114)</f>
        <v>102705.93000000001</v>
      </c>
      <c r="F114" s="20">
        <f>IF(J114=0,0,CHAMNORD!F114+AIX!F114+BELLEY!F114+STALBAN!F114+ABRETS!F114+PONT!F114+FRANCIN!F114+VIVIERS!F114)</f>
        <v>5220</v>
      </c>
      <c r="G114" s="40">
        <f>IF(I114=0,0,CHAMNORD!G114+AIX!G114+BELLEY!G114+STALBAN!G114+ABRETS!G114+PONT!G114+FRANCIN!G114+VIVIERS!G114)</f>
        <v>115600</v>
      </c>
      <c r="H114" s="42">
        <f>CHAMNORD!H114+AIX!H114+BELLEY!H114+STALBAN!H114+ABRETS!H114+PONT!H114+FRANCIN!H114+VIVIERS!H114</f>
        <v>119022.25</v>
      </c>
      <c r="I114" s="13">
        <f>CHAMNORD!I114+AIX!I114+BELLEY!I114+STALBAN!I114+ABRETS!I114+PONT!I114+FRANCIN!I114+VIVIERS!I114</f>
        <v>117018.92</v>
      </c>
      <c r="J114" s="14">
        <f>CHAMNORD!J114+AIX!J114+BELLEY!J114+STALBAN!J114+ABRETS!J114+PONT!J114+FRANCIN!J114+VIVIERS!J114</f>
        <v>5476</v>
      </c>
      <c r="K114" s="15">
        <f>CHAMNORD!K114+AIX!K114+BELLEY!K114+STALBAN!K114+ABRETS!K114+PONT!K114+FRANCIN!K114+VIVIERS!K114</f>
        <v>1046.9699999999998</v>
      </c>
      <c r="L114" s="15">
        <f>CHAMNORD!L114+AIX!L114+BELLEY!L114+STALBAN!L114+ABRETS!L114+PONT!L114+FRANCIN!L114+VIVIERS!L114</f>
        <v>1167.0800000000002</v>
      </c>
      <c r="M114" s="15">
        <f>CHAMNORD!M114+AIX!M114+BELLEY!M114+STALBAN!M114+ABRETS!M114+PONT!M114+FRANCIN!M114+VIVIERS!M114</f>
        <v>549.10000000000014</v>
      </c>
      <c r="N114" s="16">
        <f t="shared" si="5"/>
        <v>4.6924035873856995E-3</v>
      </c>
      <c r="O114" s="17">
        <f t="shared" si="8"/>
        <v>0.13935894451274614</v>
      </c>
      <c r="P114" s="17">
        <f t="shared" si="9"/>
        <v>4.9042145593869733E-2</v>
      </c>
      <c r="Q114" s="18">
        <f t="shared" si="6"/>
        <v>111.76912423469633</v>
      </c>
      <c r="R114" s="18">
        <f t="shared" si="7"/>
        <v>100.2664084724269</v>
      </c>
      <c r="S114" s="37">
        <f>(S113-SUM(F108:F114))/(SUM(F108:F114))</f>
        <v>-4.4101798889165218E-2</v>
      </c>
      <c r="T114" s="47">
        <f>SUM(M108:M114)/SUM(I108:I114)</f>
        <v>5.1183650936171389E-3</v>
      </c>
      <c r="U114" s="1739"/>
    </row>
    <row r="115" spans="1:25" ht="17" customHeight="1" thickTop="1">
      <c r="A115" s="10" t="s">
        <v>9</v>
      </c>
      <c r="B115" s="905">
        <v>45767</v>
      </c>
      <c r="C115" s="76">
        <f>IF(G115=0,0,CHAMNORD!C115+AIX!C115+BELLEY!C115+STALBAN!C115+ABRETS!C115+PONT!C115+FRANCIN!C115+VIVIERS!C115)</f>
        <v>106759.72</v>
      </c>
      <c r="D115" s="76">
        <f>IF(H115=0,0,CHAMNORD!D115+AIX!D115+BELLEY!D115+STALBAN!D115+ABRETS!D115+PONT!D115+FRANCIN!D115+VIVIERS!D115)</f>
        <v>111441.63</v>
      </c>
      <c r="E115" s="76">
        <f>IF(I115=0,0,CHAMNORD!E115+AIX!E115+BELLEY!E115+STALBAN!E115+ABRETS!E115+PONT!E115+FRANCIN!E115+VIVIERS!E115)</f>
        <v>110228.74999999999</v>
      </c>
      <c r="F115" s="20">
        <f>IF(J115=0,0,CHAMNORD!F115+AIX!F115+BELLEY!F115+STALBAN!F115+ABRETS!F115+PONT!F115+FRANCIN!F115+VIVIERS!F115)</f>
        <v>5533</v>
      </c>
      <c r="G115" s="40">
        <f>IF(I115=0,0,CHAMNORD!G115+AIX!G115+BELLEY!G115+STALBAN!G115+ABRETS!G115+PONT!G115+FRANCIN!G115+VIVIERS!G115)</f>
        <v>93400</v>
      </c>
      <c r="H115" s="42">
        <f>CHAMNORD!H115+AIX!H115+BELLEY!H115+STALBAN!H115+ABRETS!H115+PONT!H115+FRANCIN!H115+VIVIERS!H115</f>
        <v>62534.94</v>
      </c>
      <c r="I115" s="13">
        <f>CHAMNORD!I115+AIX!I115+BELLEY!I115+STALBAN!I115+ABRETS!I115+PONT!I115+FRANCIN!I115+VIVIERS!I115</f>
        <v>61592.14</v>
      </c>
      <c r="J115" s="14">
        <f>CHAMNORD!J115+AIX!J115+BELLEY!J115+STALBAN!J115+ABRETS!J115+PONT!J115+FRANCIN!J115+VIVIERS!J115</f>
        <v>3556</v>
      </c>
      <c r="K115" s="15">
        <f>CHAMNORD!K115+AIX!K115+BELLEY!K115+STALBAN!K115+ABRETS!K115+PONT!K115+FRANCIN!K115+VIVIERS!K115</f>
        <v>756.96</v>
      </c>
      <c r="L115" s="15">
        <f>CHAMNORD!L115+AIX!L115+BELLEY!L115+STALBAN!L115+ABRETS!L115+PONT!L115+FRANCIN!L115+VIVIERS!L115</f>
        <v>866.99</v>
      </c>
      <c r="M115" s="15">
        <f>CHAMNORD!M115+AIX!M115+BELLEY!M115+STALBAN!M115+ABRETS!M115+PONT!M115+FRANCIN!M115+VIVIERS!M115</f>
        <v>597.36</v>
      </c>
      <c r="N115" s="16">
        <f t="shared" si="5"/>
        <v>9.6986401186904703E-3</v>
      </c>
      <c r="O115" s="17">
        <f t="shared" si="8"/>
        <v>-0.4412334350158193</v>
      </c>
      <c r="P115" s="17">
        <f t="shared" si="9"/>
        <v>-0.35731068136634736</v>
      </c>
      <c r="Q115" s="18">
        <f t="shared" si="6"/>
        <v>81.367760515747193</v>
      </c>
      <c r="R115" s="18">
        <f t="shared" si="7"/>
        <v>71.041349957900323</v>
      </c>
      <c r="S115" s="33" t="s">
        <v>39</v>
      </c>
      <c r="T115" s="31" t="s">
        <v>42</v>
      </c>
      <c r="U115" s="1737" t="s">
        <v>99</v>
      </c>
    </row>
    <row r="116" spans="1:25">
      <c r="A116" s="10" t="s">
        <v>11</v>
      </c>
      <c r="B116" s="905">
        <v>45768</v>
      </c>
      <c r="C116" s="76">
        <f>IF(G116=0,0,CHAMNORD!C116+AIX!C116+BELLEY!C116+STALBAN!C116+ABRETS!C116+PONT!C116+FRANCIN!C116+VIVIERS!C116)</f>
        <v>111441.63</v>
      </c>
      <c r="D116" s="76">
        <f>IF(H116=0,0,CHAMNORD!D116+AIX!D116+BELLEY!D116+STALBAN!D116+ABRETS!D116+PONT!D116+FRANCIN!D116+VIVIERS!D116)</f>
        <v>85685.770000000019</v>
      </c>
      <c r="E116" s="76">
        <f>IF(I116=0,0,CHAMNORD!E116+AIX!E116+BELLEY!E116+STALBAN!E116+ABRETS!E116+PONT!E116+FRANCIN!E116+VIVIERS!E116)</f>
        <v>84662.06</v>
      </c>
      <c r="F116" s="20">
        <f>IF(J116=0,0,CHAMNORD!F116+AIX!F116+BELLEY!F116+STALBAN!F116+ABRETS!F116+PONT!F116+FRANCIN!F116+VIVIERS!F116)</f>
        <v>4948</v>
      </c>
      <c r="G116" s="40">
        <f>IF(I116=0,0,CHAMNORD!G116+AIX!G116+BELLEY!G116+STALBAN!G116+ABRETS!G116+PONT!G116+FRANCIN!G116+VIVIERS!G116)</f>
        <v>83600</v>
      </c>
      <c r="H116" s="42">
        <f>CHAMNORD!H116+AIX!H116+BELLEY!H116+STALBAN!H116+ABRETS!H116+PONT!H116+FRANCIN!H116+VIVIERS!H116</f>
        <v>69333.98</v>
      </c>
      <c r="I116" s="13">
        <f>CHAMNORD!I116+AIX!I116+BELLEY!I116+STALBAN!I116+ABRETS!I116+PONT!I116+FRANCIN!I116+VIVIERS!I116</f>
        <v>68238.83</v>
      </c>
      <c r="J116" s="14">
        <f>CHAMNORD!J116+AIX!J116+BELLEY!J116+STALBAN!J116+ABRETS!J116+PONT!J116+FRANCIN!J116+VIVIERS!J116</f>
        <v>3850</v>
      </c>
      <c r="K116" s="15">
        <f>CHAMNORD!K116+AIX!K116+BELLEY!K116+STALBAN!K116+ABRETS!K116+PONT!K116+FRANCIN!K116+VIVIERS!K116</f>
        <v>753.63000000000011</v>
      </c>
      <c r="L116" s="15">
        <f>CHAMNORD!L116+AIX!L116+BELLEY!L116+STALBAN!L116+ABRETS!L116+PONT!L116+FRANCIN!L116+VIVIERS!L116</f>
        <v>863.89</v>
      </c>
      <c r="M116" s="15">
        <f>CHAMNORD!M116+AIX!M116+BELLEY!M116+STALBAN!M116+ABRETS!M116+PONT!M116+FRANCIN!M116+VIVIERS!M116</f>
        <v>652.2299999999999</v>
      </c>
      <c r="N116" s="16">
        <f t="shared" si="5"/>
        <v>9.5580478152981208E-3</v>
      </c>
      <c r="O116" s="17">
        <f t="shared" si="8"/>
        <v>-0.19398571213599097</v>
      </c>
      <c r="P116" s="17">
        <f t="shared" si="9"/>
        <v>-0.22190784155214227</v>
      </c>
      <c r="Q116" s="18">
        <f t="shared" si="6"/>
        <v>90.546859864920435</v>
      </c>
      <c r="R116" s="18">
        <f t="shared" si="7"/>
        <v>78.990183935454752</v>
      </c>
      <c r="S116" s="34">
        <f>SUM(I115:I121)</f>
        <v>625362.27</v>
      </c>
      <c r="T116" s="45" t="s">
        <v>41</v>
      </c>
      <c r="U116" s="1738"/>
      <c r="W116" s="202">
        <f>+S116</f>
        <v>625362.27</v>
      </c>
      <c r="X116" s="202">
        <f>SUM(CHAMNORD!E115:E121)+SUM(AIX!E115:E121)+SUM(BELLEY!E115:E121)+SUM(STALBAN!E115:E121)+SUM(ABRETS!E115:E121)+SUM(PONT!E115:E121)+SUM(FRANCIN!E115:E121)+SUM(VIVIERS!E115:E121)</f>
        <v>692643.26</v>
      </c>
      <c r="Y116" s="202">
        <f>+W116-X116</f>
        <v>-67280.989999999991</v>
      </c>
    </row>
    <row r="117" spans="1:25">
      <c r="A117" s="10" t="s">
        <v>12</v>
      </c>
      <c r="B117" s="905">
        <v>45769</v>
      </c>
      <c r="C117" s="76">
        <f>IF(G117=0,0,CHAMNORD!C117+AIX!C117+BELLEY!C117+STALBAN!C117+ABRETS!C117+PONT!C117+FRANCIN!C117+VIVIERS!C117)</f>
        <v>85685.770000000019</v>
      </c>
      <c r="D117" s="76">
        <f>IF(H117=0,0,CHAMNORD!D117+AIX!D117+BELLEY!D117+STALBAN!D117+ABRETS!D117+PONT!D117+FRANCIN!D117+VIVIERS!D117)</f>
        <v>80483.58</v>
      </c>
      <c r="E117" s="76">
        <f>IF(I117=0,0,CHAMNORD!E117+AIX!E117+BELLEY!E117+STALBAN!E117+ABRETS!E117+PONT!E117+FRANCIN!E117+VIVIERS!E117)</f>
        <v>79519.22</v>
      </c>
      <c r="F117" s="20">
        <f>IF(J117=0,0,CHAMNORD!F117+AIX!F117+BELLEY!F117+STALBAN!F117+ABRETS!F117+PONT!F117+FRANCIN!F117+VIVIERS!F117)</f>
        <v>4556</v>
      </c>
      <c r="G117" s="40">
        <f>IF(I117=0,0,CHAMNORD!G117+AIX!G117+BELLEY!G117+STALBAN!G117+ABRETS!G117+PONT!G117+FRANCIN!G117+VIVIERS!G117)</f>
        <v>84000</v>
      </c>
      <c r="H117" s="42">
        <f>CHAMNORD!H117+AIX!H117+BELLEY!H117+STALBAN!H117+ABRETS!H117+PONT!H117+FRANCIN!H117+VIVIERS!H117</f>
        <v>84506.779999999984</v>
      </c>
      <c r="I117" s="13">
        <f>CHAMNORD!I117+AIX!I117+BELLEY!I117+STALBAN!I117+ABRETS!I117+PONT!I117+FRANCIN!I117+VIVIERS!I117</f>
        <v>83026.080000000002</v>
      </c>
      <c r="J117" s="14">
        <f>CHAMNORD!J117+AIX!J117+BELLEY!J117+STALBAN!J117+ABRETS!J117+PONT!J117+FRANCIN!J117+VIVIERS!J117</f>
        <v>4461</v>
      </c>
      <c r="K117" s="15">
        <f>CHAMNORD!K117+AIX!K117+BELLEY!K117+STALBAN!K117+ABRETS!K117+PONT!K117+FRANCIN!K117+VIVIERS!K117</f>
        <v>868.0200000000001</v>
      </c>
      <c r="L117" s="15">
        <f>CHAMNORD!L117+AIX!L117+BELLEY!L117+STALBAN!L117+ABRETS!L117+PONT!L117+FRANCIN!L117+VIVIERS!L117</f>
        <v>994.55000000000018</v>
      </c>
      <c r="M117" s="15">
        <f>CHAMNORD!M117+AIX!M117+BELLEY!M117+STALBAN!M117+ABRETS!M117+PONT!M117+FRANCIN!M117+VIVIERS!M117</f>
        <v>369.33</v>
      </c>
      <c r="N117" s="16">
        <f t="shared" si="5"/>
        <v>4.4483612859959184E-3</v>
      </c>
      <c r="O117" s="17">
        <f t="shared" si="8"/>
        <v>4.4100784690795515E-2</v>
      </c>
      <c r="P117" s="17">
        <f t="shared" si="9"/>
        <v>-2.0851624231782266E-2</v>
      </c>
      <c r="Q117" s="18">
        <f t="shared" si="6"/>
        <v>95.64996198244279</v>
      </c>
      <c r="R117" s="18">
        <f t="shared" si="7"/>
        <v>83.481051731939061</v>
      </c>
      <c r="S117" s="35">
        <f>(S116-SUM(E115:E121))/(SUM(E115:E121))</f>
        <v>-9.7136569263663944E-2</v>
      </c>
      <c r="T117" s="48">
        <f>SUM(I115:I121)/SUM(K115:K121)</f>
        <v>97.107902799280112</v>
      </c>
      <c r="U117" s="1738"/>
    </row>
    <row r="118" spans="1:25">
      <c r="A118" s="10" t="s">
        <v>13</v>
      </c>
      <c r="B118" s="905">
        <v>45770</v>
      </c>
      <c r="C118" s="76">
        <f>IF(G118=0,0,CHAMNORD!C118+AIX!C118+BELLEY!C118+STALBAN!C118+ABRETS!C118+PONT!C118+FRANCIN!C118+VIVIERS!C118)</f>
        <v>80483.58</v>
      </c>
      <c r="D118" s="76">
        <f>IF(H118=0,0,CHAMNORD!D118+AIX!D118+BELLEY!D118+STALBAN!D118+ABRETS!D118+PONT!D118+FRANCIN!D118+VIVIERS!D118)</f>
        <v>87246.65</v>
      </c>
      <c r="E118" s="76">
        <f>IF(I118=0,0,CHAMNORD!E118+AIX!E118+BELLEY!E118+STALBAN!E118+ABRETS!E118+PONT!E118+FRANCIN!E118+VIVIERS!E118)</f>
        <v>86228.95</v>
      </c>
      <c r="F118" s="20">
        <f>IF(J118=0,0,CHAMNORD!F118+AIX!F118+BELLEY!F118+STALBAN!F118+ABRETS!F118+PONT!F118+FRANCIN!F118+VIVIERS!F118)</f>
        <v>4874</v>
      </c>
      <c r="G118" s="40">
        <f>IF(I118=0,0,CHAMNORD!G118+AIX!G118+BELLEY!G118+STALBAN!G118+ABRETS!G118+PONT!G118+FRANCIN!G118+VIVIERS!G118)</f>
        <v>85000</v>
      </c>
      <c r="H118" s="42">
        <f>CHAMNORD!H118+AIX!H118+BELLEY!H118+STALBAN!H118+ABRETS!H118+PONT!H118+FRANCIN!H118+VIVIERS!H118</f>
        <v>78207.44</v>
      </c>
      <c r="I118" s="13">
        <f>CHAMNORD!I118+AIX!I118+BELLEY!I118+STALBAN!I118+ABRETS!I118+PONT!I118+FRANCIN!I118+VIVIERS!I118</f>
        <v>77118.48</v>
      </c>
      <c r="J118" s="14">
        <f>CHAMNORD!J118+AIX!J118+BELLEY!J118+STALBAN!J118+ABRETS!J118+PONT!J118+FRANCIN!J118+VIVIERS!J118</f>
        <v>4398</v>
      </c>
      <c r="K118" s="15">
        <f>CHAMNORD!K118+AIX!K118+BELLEY!K118+STALBAN!K118+ABRETS!K118+PONT!K118+FRANCIN!K118+VIVIERS!K118</f>
        <v>831.33999999999992</v>
      </c>
      <c r="L118" s="15">
        <f>CHAMNORD!L118+AIX!L118+BELLEY!L118+STALBAN!L118+ABRETS!L118+PONT!L118+FRANCIN!L118+VIVIERS!L118</f>
        <v>944.59999999999991</v>
      </c>
      <c r="M118" s="15">
        <f>CHAMNORD!M118+AIX!M118+BELLEY!M118+STALBAN!M118+ABRETS!M118+PONT!M118+FRANCIN!M118+VIVIERS!M118</f>
        <v>592.23</v>
      </c>
      <c r="N118" s="16">
        <f t="shared" si="5"/>
        <v>7.6794822719534932E-3</v>
      </c>
      <c r="O118" s="17">
        <f t="shared" si="8"/>
        <v>-0.10565442348538398</v>
      </c>
      <c r="P118" s="17">
        <f t="shared" si="9"/>
        <v>-9.7661058678703325E-2</v>
      </c>
      <c r="Q118" s="18">
        <f t="shared" si="6"/>
        <v>92.764067649818372</v>
      </c>
      <c r="R118" s="18">
        <f t="shared" si="7"/>
        <v>81.641414355282663</v>
      </c>
      <c r="S118" s="34"/>
      <c r="T118" s="29" t="s">
        <v>8</v>
      </c>
      <c r="U118" s="1738"/>
    </row>
    <row r="119" spans="1:25">
      <c r="A119" s="10" t="s">
        <v>14</v>
      </c>
      <c r="B119" s="905">
        <v>45771</v>
      </c>
      <c r="C119" s="76">
        <f>IF(G119=0,0,CHAMNORD!C119+AIX!C119+BELLEY!C119+STALBAN!C119+ABRETS!C119+PONT!C119+FRANCIN!C119+VIVIERS!C119)</f>
        <v>87246.65</v>
      </c>
      <c r="D119" s="76">
        <f>IF(H119=0,0,CHAMNORD!D119+AIX!D119+BELLEY!D119+STALBAN!D119+ABRETS!D119+PONT!D119+FRANCIN!D119+VIVIERS!D119)</f>
        <v>112119.09999999999</v>
      </c>
      <c r="E119" s="76">
        <f>IF(I119=0,0,CHAMNORD!E119+AIX!E119+BELLEY!E119+STALBAN!E119+ABRETS!E119+PONT!E119+FRANCIN!E119+VIVIERS!E119)</f>
        <v>110853.4</v>
      </c>
      <c r="F119" s="20">
        <f>IF(J119=0,0,CHAMNORD!F119+AIX!F119+BELLEY!F119+STALBAN!F119+ABRETS!F119+PONT!F119+FRANCIN!F119+VIVIERS!F119)</f>
        <v>6159</v>
      </c>
      <c r="G119" s="40">
        <f>IF(I119=0,0,CHAMNORD!G119+AIX!G119+BELLEY!G119+STALBAN!G119+ABRETS!G119+PONT!G119+FRANCIN!G119+VIVIERS!G119)</f>
        <v>117200</v>
      </c>
      <c r="H119" s="42">
        <f>CHAMNORD!H119+AIX!H119+BELLEY!H119+STALBAN!H119+ABRETS!H119+PONT!H119+FRANCIN!H119+VIVIERS!H119</f>
        <v>106170.41</v>
      </c>
      <c r="I119" s="13">
        <f>CHAMNORD!I119+AIX!I119+BELLEY!I119+STALBAN!I119+ABRETS!I119+PONT!I119+FRANCIN!I119+VIVIERS!I119</f>
        <v>104363.07</v>
      </c>
      <c r="J119" s="14">
        <f>CHAMNORD!J119+AIX!J119+BELLEY!J119+STALBAN!J119+ABRETS!J119+PONT!J119+FRANCIN!J119+VIVIERS!J119</f>
        <v>5570</v>
      </c>
      <c r="K119" s="15">
        <f>CHAMNORD!K119+AIX!K119+BELLEY!K119+STALBAN!K119+ABRETS!K119+PONT!K119+FRANCIN!K119+VIVIERS!K119</f>
        <v>1104</v>
      </c>
      <c r="L119" s="15">
        <f>CHAMNORD!L119+AIX!L119+BELLEY!L119+STALBAN!L119+ABRETS!L119+PONT!L119+FRANCIN!L119+VIVIERS!L119</f>
        <v>1219.47</v>
      </c>
      <c r="M119" s="15">
        <f>CHAMNORD!M119+AIX!M119+BELLEY!M119+STALBAN!M119+ABRETS!M119+PONT!M119+FRANCIN!M119+VIVIERS!M119</f>
        <v>476.34</v>
      </c>
      <c r="N119" s="16">
        <f t="shared" si="5"/>
        <v>4.564258218927442E-3</v>
      </c>
      <c r="O119" s="17">
        <f t="shared" si="8"/>
        <v>-5.8548768012528146E-2</v>
      </c>
      <c r="P119" s="17">
        <f t="shared" si="9"/>
        <v>-9.5632407858418575E-2</v>
      </c>
      <c r="Q119" s="18">
        <f t="shared" si="6"/>
        <v>94.531766304347826</v>
      </c>
      <c r="R119" s="18">
        <f t="shared" si="7"/>
        <v>85.580678491475808</v>
      </c>
      <c r="S119" s="36" t="s">
        <v>40</v>
      </c>
      <c r="T119" s="48">
        <f>SUM(I115:I121)/SUM(L115:L121)</f>
        <v>85.873572578120289</v>
      </c>
      <c r="U119" s="1738"/>
    </row>
    <row r="120" spans="1:25">
      <c r="A120" s="10" t="s">
        <v>15</v>
      </c>
      <c r="B120" s="905">
        <v>45772</v>
      </c>
      <c r="C120" s="76">
        <f>IF(G120=0,0,CHAMNORD!C120+AIX!C120+BELLEY!C120+STALBAN!C120+ABRETS!C120+PONT!C120+FRANCIN!C120+VIVIERS!C120)</f>
        <v>112119.09999999999</v>
      </c>
      <c r="D120" s="76">
        <f>IF(H120=0,0,CHAMNORD!D120+AIX!D120+BELLEY!D120+STALBAN!D120+ABRETS!D120+PONT!D120+FRANCIN!D120+VIVIERS!D120)</f>
        <v>104388.10999999999</v>
      </c>
      <c r="E120" s="76">
        <f>IF(I120=0,0,CHAMNORD!E120+AIX!E120+BELLEY!E120+STALBAN!E120+ABRETS!E120+PONT!E120+FRANCIN!E120+VIVIERS!E120)</f>
        <v>103147.15999999999</v>
      </c>
      <c r="F120" s="20">
        <f>IF(J120=0,0,CHAMNORD!F120+AIX!F120+BELLEY!F120+STALBAN!F120+ABRETS!F120+PONT!F120+FRANCIN!F120+VIVIERS!F120)</f>
        <v>5442</v>
      </c>
      <c r="G120" s="40">
        <f>IF(I120=0,0,CHAMNORD!G120+AIX!G120+BELLEY!G120+STALBAN!G120+ABRETS!G120+PONT!G120+FRANCIN!G120+VIVIERS!G120)</f>
        <v>110200</v>
      </c>
      <c r="H120" s="42">
        <f>CHAMNORD!H120+AIX!H120+BELLEY!H120+STALBAN!H120+ABRETS!H120+PONT!H120+FRANCIN!H120+VIVIERS!H120</f>
        <v>115616.79999999999</v>
      </c>
      <c r="I120" s="13">
        <f>CHAMNORD!I120+AIX!I120+BELLEY!I120+STALBAN!I120+ABRETS!I120+PONT!I120+FRANCIN!I120+VIVIERS!I120</f>
        <v>113637.4</v>
      </c>
      <c r="J120" s="14">
        <f>CHAMNORD!J120+AIX!J120+BELLEY!J120+STALBAN!J120+ABRETS!J120+PONT!J120+FRANCIN!J120+VIVIERS!J120</f>
        <v>5884</v>
      </c>
      <c r="K120" s="15">
        <f>CHAMNORD!K120+AIX!K120+BELLEY!K120+STALBAN!K120+ABRETS!K120+PONT!K120+FRANCIN!K120+VIVIERS!K120</f>
        <v>1072.4099999999999</v>
      </c>
      <c r="L120" s="15">
        <f>CHAMNORD!L120+AIX!L120+BELLEY!L120+STALBAN!L120+ABRETS!L120+PONT!L120+FRANCIN!L120+VIVIERS!L120</f>
        <v>1213.1399999999999</v>
      </c>
      <c r="M120" s="15">
        <f>CHAMNORD!M120+AIX!M120+BELLEY!M120+STALBAN!M120+ABRETS!M120+PONT!M120+FRANCIN!M120+VIVIERS!M120</f>
        <v>453.65</v>
      </c>
      <c r="N120" s="16">
        <f t="shared" si="5"/>
        <v>3.9920835921976395E-3</v>
      </c>
      <c r="O120" s="17">
        <f t="shared" si="8"/>
        <v>0.10170168524271542</v>
      </c>
      <c r="P120" s="17">
        <f t="shared" si="9"/>
        <v>8.1220139654538767E-2</v>
      </c>
      <c r="Q120" s="18">
        <f t="shared" si="6"/>
        <v>105.96450984231778</v>
      </c>
      <c r="R120" s="18">
        <f t="shared" si="7"/>
        <v>93.672123580130901</v>
      </c>
      <c r="S120" s="36">
        <f>SUM(J115:J121)</f>
        <v>33284</v>
      </c>
      <c r="T120" s="30" t="s">
        <v>3</v>
      </c>
      <c r="U120" s="1738"/>
    </row>
    <row r="121" spans="1:25" ht="18" thickBot="1">
      <c r="A121" s="10" t="s">
        <v>16</v>
      </c>
      <c r="B121" s="905">
        <v>45773</v>
      </c>
      <c r="C121" s="76">
        <f>IF(G121=0,0,CHAMNORD!C121+AIX!C121+BELLEY!C121+STALBAN!C121+ABRETS!C121+PONT!C121+FRANCIN!C121+VIVIERS!C121)</f>
        <v>104388.10999999999</v>
      </c>
      <c r="D121" s="76">
        <f>IF(H121=0,0,CHAMNORD!D121+AIX!D121+BELLEY!D121+STALBAN!D121+ABRETS!D121+PONT!D121+FRANCIN!D121+VIVIERS!D121)</f>
        <v>119452.95</v>
      </c>
      <c r="E121" s="76">
        <f>IF(I121=0,0,CHAMNORD!E121+AIX!E121+BELLEY!E121+STALBAN!E121+ABRETS!E121+PONT!E121+FRANCIN!E121+VIVIERS!E121)</f>
        <v>118003.72</v>
      </c>
      <c r="F121" s="20">
        <f>IF(J121=0,0,CHAMNORD!F121+AIX!F121+BELLEY!F121+STALBAN!F121+ABRETS!F121+PONT!F121+FRANCIN!F121+VIVIERS!F121)</f>
        <v>5739</v>
      </c>
      <c r="G121" s="40">
        <f>IF(I121=0,0,CHAMNORD!G121+AIX!G121+BELLEY!G121+STALBAN!G121+ABRETS!G121+PONT!G121+FRANCIN!G121+VIVIERS!G121)</f>
        <v>120700</v>
      </c>
      <c r="H121" s="42">
        <f>CHAMNORD!H121+AIX!H121+BELLEY!H121+STALBAN!H121+ABRETS!H121+PONT!H121+FRANCIN!H121+VIVIERS!H121</f>
        <v>119282.15</v>
      </c>
      <c r="I121" s="13">
        <f>CHAMNORD!I121+AIX!I121+BELLEY!I121+STALBAN!I121+ABRETS!I121+PONT!I121+FRANCIN!I121+VIVIERS!I121</f>
        <v>117386.27000000002</v>
      </c>
      <c r="J121" s="14">
        <f>CHAMNORD!J121+AIX!J121+BELLEY!J121+STALBAN!J121+ABRETS!J121+PONT!J121+FRANCIN!J121+VIVIERS!J121</f>
        <v>5565</v>
      </c>
      <c r="K121" s="15">
        <f>CHAMNORD!K121+AIX!K121+BELLEY!K121+STALBAN!K121+ABRETS!K121+PONT!K121+FRANCIN!K121+VIVIERS!K121</f>
        <v>1053.51</v>
      </c>
      <c r="L121" s="15">
        <f>CHAMNORD!L121+AIX!L121+BELLEY!L121+STALBAN!L121+ABRETS!L121+PONT!L121+FRANCIN!L121+VIVIERS!L121</f>
        <v>1179.72</v>
      </c>
      <c r="M121" s="15">
        <f>CHAMNORD!M121+AIX!M121+BELLEY!M121+STALBAN!M121+ABRETS!M121+PONT!M121+FRANCIN!M121+VIVIERS!M121</f>
        <v>377.5200000000001</v>
      </c>
      <c r="N121" s="16">
        <f t="shared" si="5"/>
        <v>3.2160490319694123E-3</v>
      </c>
      <c r="O121" s="17">
        <f t="shared" si="8"/>
        <v>-5.2324621630570846E-3</v>
      </c>
      <c r="P121" s="17">
        <f t="shared" si="9"/>
        <v>-3.0318870883429168E-2</v>
      </c>
      <c r="Q121" s="18">
        <f t="shared" si="6"/>
        <v>111.42397319436932</v>
      </c>
      <c r="R121" s="18">
        <f t="shared" si="7"/>
        <v>99.503500830705605</v>
      </c>
      <c r="S121" s="37">
        <f>(S120-SUM(F115:F121))/(SUM(F115:F121))</f>
        <v>-0.10649378540173418</v>
      </c>
      <c r="T121" s="47">
        <f>SUM(M115:M121)/SUM(I115:I121)</f>
        <v>5.6265946456923272E-3</v>
      </c>
      <c r="U121" s="1739"/>
    </row>
    <row r="122" spans="1:25" ht="17" customHeight="1" thickTop="1">
      <c r="A122" s="10" t="s">
        <v>9</v>
      </c>
      <c r="B122" s="905">
        <v>45774</v>
      </c>
      <c r="C122" s="76">
        <f>IF(G122=0,0,CHAMNORD!C122+AIX!C122+BELLEY!C122+STALBAN!C122+ABRETS!C122+PONT!C122+FRANCIN!C122+VIVIERS!C122)</f>
        <v>119452.95</v>
      </c>
      <c r="D122" s="76">
        <f>IF(H122=0,0,CHAMNORD!D122+AIX!D122+BELLEY!D122+STALBAN!D122+ABRETS!D122+PONT!D122+FRANCIN!D122+VIVIERS!D122)</f>
        <v>82432.819999999992</v>
      </c>
      <c r="E122" s="76">
        <f>IF(I122=0,0,CHAMNORD!E122+AIX!E122+BELLEY!E122+STALBAN!E122+ABRETS!E122+PONT!E122+FRANCIN!E122+VIVIERS!E122)</f>
        <v>81530.92</v>
      </c>
      <c r="F122" s="20">
        <f>IF(J122=0,0,CHAMNORD!F122+AIX!F122+BELLEY!F122+STALBAN!F122+ABRETS!F122+PONT!F122+FRANCIN!F122+VIVIERS!F122)</f>
        <v>4665</v>
      </c>
      <c r="G122" s="40">
        <f>IF(I122=0,0,CHAMNORD!G122+AIX!G122+BELLEY!G122+STALBAN!G122+ABRETS!G122+PONT!G122+FRANCIN!G122+VIVIERS!G122)</f>
        <v>79300</v>
      </c>
      <c r="H122" s="42">
        <f>CHAMNORD!H122+AIX!H122+BELLEY!H122+STALBAN!H122+ABRETS!H122+PONT!H122+FRANCIN!H122+VIVIERS!H122</f>
        <v>62266.810000000005</v>
      </c>
      <c r="I122" s="13">
        <f>CHAMNORD!I122+AIX!I122+BELLEY!I122+STALBAN!I122+ABRETS!I122+PONT!I122+FRANCIN!I122+VIVIERS!I122</f>
        <v>61416.69</v>
      </c>
      <c r="J122" s="14">
        <f>CHAMNORD!J122+AIX!J122+BELLEY!J122+STALBAN!J122+ABRETS!J122+PONT!J122+FRANCIN!J122+VIVIERS!J122</f>
        <v>3550</v>
      </c>
      <c r="K122" s="15">
        <f>CHAMNORD!K122+AIX!K122+BELLEY!K122+STALBAN!K122+ABRETS!K122+PONT!K122+FRANCIN!K122+VIVIERS!K122</f>
        <v>737.80999999999983</v>
      </c>
      <c r="L122" s="15">
        <f>CHAMNORD!L122+AIX!L122+BELLEY!L122+STALBAN!L122+ABRETS!L122+PONT!L122+FRANCIN!L122+VIVIERS!L122</f>
        <v>857.53999999999985</v>
      </c>
      <c r="M122" s="15">
        <f>CHAMNORD!M122+AIX!M122+BELLEY!M122+STALBAN!M122+ABRETS!M122+PONT!M122+FRANCIN!M122+VIVIERS!M122</f>
        <v>376.37</v>
      </c>
      <c r="N122" s="16">
        <f t="shared" si="5"/>
        <v>6.1281387844248853E-3</v>
      </c>
      <c r="O122" s="17">
        <f t="shared" si="8"/>
        <v>-0.24670677087907258</v>
      </c>
      <c r="P122" s="17">
        <f t="shared" si="9"/>
        <v>-0.2390139335476956</v>
      </c>
      <c r="Q122" s="18">
        <f t="shared" si="6"/>
        <v>83.24187799026852</v>
      </c>
      <c r="R122" s="18">
        <f t="shared" si="7"/>
        <v>71.61962124215782</v>
      </c>
      <c r="S122" s="33" t="s">
        <v>39</v>
      </c>
      <c r="T122" s="31" t="s">
        <v>42</v>
      </c>
      <c r="U122" s="1737" t="s">
        <v>100</v>
      </c>
    </row>
    <row r="123" spans="1:25">
      <c r="A123" s="10" t="s">
        <v>11</v>
      </c>
      <c r="B123" s="905">
        <v>45775</v>
      </c>
      <c r="C123" s="76">
        <f>IF(G123=0,0,CHAMNORD!C123+AIX!C123+BELLEY!C123+STALBAN!C123+ABRETS!C123+PONT!C123+FRANCIN!C123+VIVIERS!C123)</f>
        <v>82432.819999999992</v>
      </c>
      <c r="D123" s="76">
        <f>IF(H123=0,0,CHAMNORD!D123+AIX!D123+BELLEY!D123+STALBAN!D123+ABRETS!D123+PONT!D123+FRANCIN!D123+VIVIERS!D123)</f>
        <v>87687.51</v>
      </c>
      <c r="E123" s="76">
        <f>IF(I123=0,0,CHAMNORD!E123+AIX!E123+BELLEY!E123+STALBAN!E123+ABRETS!E123+PONT!E123+FRANCIN!E123+VIVIERS!E123)</f>
        <v>86697.23000000001</v>
      </c>
      <c r="F123" s="20">
        <f>IF(J123=0,0,CHAMNORD!F123+AIX!F123+BELLEY!F123+STALBAN!F123+ABRETS!F123+PONT!F123+FRANCIN!F123+VIVIERS!F123)</f>
        <v>4875</v>
      </c>
      <c r="G123" s="40">
        <f>IF(I123=0,0,CHAMNORD!G123+AIX!G123+BELLEY!G123+STALBAN!G123+ABRETS!G123+PONT!G123+FRANCIN!G123+VIVIERS!G123)</f>
        <v>84100</v>
      </c>
      <c r="H123" s="42">
        <f>CHAMNORD!H123+AIX!H123+BELLEY!H123+STALBAN!H123+ABRETS!H123+PONT!H123+FRANCIN!H123+VIVIERS!H123</f>
        <v>71715.67</v>
      </c>
      <c r="I123" s="13">
        <f>CHAMNORD!I123+AIX!I123+BELLEY!I123+STALBAN!I123+ABRETS!I123+PONT!I123+FRANCIN!I123+VIVIERS!I123</f>
        <v>70501.440000000002</v>
      </c>
      <c r="J123" s="14">
        <f>CHAMNORD!J123+AIX!J123+BELLEY!J123+STALBAN!J123+ABRETS!J123+PONT!J123+FRANCIN!J123+VIVIERS!J123</f>
        <v>3872</v>
      </c>
      <c r="K123" s="15">
        <f>CHAMNORD!K123+AIX!K123+BELLEY!K123+STALBAN!K123+ABRETS!K123+PONT!K123+FRANCIN!K123+VIVIERS!K123</f>
        <v>707.81999999999994</v>
      </c>
      <c r="L123" s="15">
        <f>CHAMNORD!L123+AIX!L123+BELLEY!L123+STALBAN!L123+ABRETS!L123+PONT!L123+FRANCIN!L123+VIVIERS!L123</f>
        <v>824.25</v>
      </c>
      <c r="M123" s="15">
        <f>CHAMNORD!M123+AIX!M123+BELLEY!M123+STALBAN!M123+ABRETS!M123+PONT!M123+FRANCIN!M123+VIVIERS!M123</f>
        <v>467.24</v>
      </c>
      <c r="N123" s="16">
        <f t="shared" si="5"/>
        <v>6.6273823626864922E-3</v>
      </c>
      <c r="O123" s="17">
        <f t="shared" si="8"/>
        <v>-0.18680862122123171</v>
      </c>
      <c r="P123" s="17">
        <f t="shared" si="9"/>
        <v>-0.20574358974358975</v>
      </c>
      <c r="Q123" s="18">
        <f t="shared" si="6"/>
        <v>99.603628041027392</v>
      </c>
      <c r="R123" s="18">
        <f t="shared" si="7"/>
        <v>85.534049135577803</v>
      </c>
      <c r="S123" s="34">
        <f>SUM(I122:I128)</f>
        <v>699360.23</v>
      </c>
      <c r="T123" s="45" t="s">
        <v>41</v>
      </c>
      <c r="U123" s="1738"/>
      <c r="W123" s="202">
        <f>+S123</f>
        <v>699360.23</v>
      </c>
      <c r="X123" s="202">
        <f>SUM(CHAMNORD!E122:E128)+SUM(AIX!E122:E128)+SUM(BELLEY!E122:E128)+SUM(STALBAN!E122:E128)+SUM(ABRETS!E122:E128)+SUM(PONT!E122:E128)+SUM(FRANCIN!E122:E128)+SUM(VIVIERS!E122:E128)</f>
        <v>749517.5199999999</v>
      </c>
      <c r="Y123" s="202">
        <f>+W123-X123</f>
        <v>-50157.289999999921</v>
      </c>
    </row>
    <row r="124" spans="1:25">
      <c r="A124" s="10" t="s">
        <v>12</v>
      </c>
      <c r="B124" s="905">
        <v>45776</v>
      </c>
      <c r="C124" s="76">
        <f>IF(G124=0,0,CHAMNORD!C124+AIX!C124+BELLEY!C124+STALBAN!C124+ABRETS!C124+PONT!C124+FRANCIN!C124+VIVIERS!C124)</f>
        <v>87687.51</v>
      </c>
      <c r="D124" s="76">
        <f>IF(H124=0,0,CHAMNORD!D124+AIX!D124+BELLEY!D124+STALBAN!D124+ABRETS!D124+PONT!D124+FRANCIN!D124+VIVIERS!D124)</f>
        <v>104114.82999999999</v>
      </c>
      <c r="E124" s="76">
        <f>IF(I124=0,0,CHAMNORD!E124+AIX!E124+BELLEY!E124+STALBAN!E124+ABRETS!E124+PONT!E124+FRANCIN!E124+VIVIERS!E124)</f>
        <v>102858.37000000001</v>
      </c>
      <c r="F124" s="20">
        <f>IF(J124=0,0,CHAMNORD!F124+AIX!F124+BELLEY!F124+STALBAN!F124+ABRETS!F124+PONT!F124+FRANCIN!F124+VIVIERS!F124)</f>
        <v>5683</v>
      </c>
      <c r="G124" s="40">
        <f>IF(I124=0,0,CHAMNORD!G124+AIX!G124+BELLEY!G124+STALBAN!G124+ABRETS!G124+PONT!G124+FRANCIN!G124+VIVIERS!G124)</f>
        <v>101400</v>
      </c>
      <c r="H124" s="42">
        <f>CHAMNORD!H124+AIX!H124+BELLEY!H124+STALBAN!H124+ABRETS!H124+PONT!H124+FRANCIN!H124+VIVIERS!H124</f>
        <v>93843.7</v>
      </c>
      <c r="I124" s="13">
        <f>CHAMNORD!I124+AIX!I124+BELLEY!I124+STALBAN!I124+ABRETS!I124+PONT!I124+FRANCIN!I124+VIVIERS!I124</f>
        <v>92141.360000000015</v>
      </c>
      <c r="J124" s="14">
        <f>CHAMNORD!J124+AIX!J124+BELLEY!J124+STALBAN!J124+ABRETS!J124+PONT!J124+FRANCIN!J124+VIVIERS!J124</f>
        <v>4919</v>
      </c>
      <c r="K124" s="15">
        <f>CHAMNORD!K124+AIX!K124+BELLEY!K124+STALBAN!K124+ABRETS!K124+PONT!K124+FRANCIN!K124+VIVIERS!K124</f>
        <v>901.47</v>
      </c>
      <c r="L124" s="15">
        <f>CHAMNORD!L124+AIX!L124+BELLEY!L124+STALBAN!L124+ABRETS!L124+PONT!L124+FRANCIN!L124+VIVIERS!L124</f>
        <v>1014.93</v>
      </c>
      <c r="M124" s="15">
        <f>CHAMNORD!M124+AIX!M124+BELLEY!M124+STALBAN!M124+ABRETS!M124+PONT!M124+FRANCIN!M124+VIVIERS!M124</f>
        <v>427.52</v>
      </c>
      <c r="N124" s="16">
        <f t="shared" si="5"/>
        <v>4.6398273261866324E-3</v>
      </c>
      <c r="O124" s="17">
        <f t="shared" si="8"/>
        <v>-0.10419190971041048</v>
      </c>
      <c r="P124" s="17">
        <f t="shared" si="9"/>
        <v>-0.13443603730424072</v>
      </c>
      <c r="Q124" s="18">
        <f t="shared" si="6"/>
        <v>102.21234206351849</v>
      </c>
      <c r="R124" s="18">
        <f t="shared" si="7"/>
        <v>90.785926122983867</v>
      </c>
      <c r="S124" s="35">
        <f>(S123-SUM(E122:E128))/(SUM(E122:E128))</f>
        <v>-6.6919436386223552E-2</v>
      </c>
      <c r="T124" s="48">
        <f>SUM(I122:I128)/SUM(K122:K128)</f>
        <v>103.76649430616862</v>
      </c>
      <c r="U124" s="1738"/>
    </row>
    <row r="125" spans="1:25">
      <c r="A125" s="10" t="s">
        <v>13</v>
      </c>
      <c r="B125" s="905">
        <v>45777</v>
      </c>
      <c r="C125" s="76">
        <f>IF(G125=0,0,CHAMNORD!C125+AIX!C125+BELLEY!C125+STALBAN!C125+ABRETS!C125+PONT!C125+FRANCIN!C125+VIVIERS!C125)</f>
        <v>104114.82999999999</v>
      </c>
      <c r="D125" s="76">
        <f>IF(H125=0,0,CHAMNORD!D125+AIX!D125+BELLEY!D125+STALBAN!D125+ABRETS!D125+PONT!D125+FRANCIN!D125+VIVIERS!D125)</f>
        <v>138472.63</v>
      </c>
      <c r="E125" s="76">
        <f>IF(I125=0,0,CHAMNORD!E125+AIX!E125+BELLEY!E125+STALBAN!E125+ABRETS!E125+PONT!E125+FRANCIN!E125+VIVIERS!E125)</f>
        <v>136864.46</v>
      </c>
      <c r="F125" s="20">
        <f>IF(J125=0,0,CHAMNORD!F125+AIX!F125+BELLEY!F125+STALBAN!F125+ABRETS!F125+PONT!F125+FRANCIN!F125+VIVIERS!F125)</f>
        <v>6976</v>
      </c>
      <c r="G125" s="40">
        <f>IF(I125=0,0,CHAMNORD!G125+AIX!G125+BELLEY!G125+STALBAN!G125+ABRETS!G125+PONT!G125+FRANCIN!G125+VIVIERS!G125)</f>
        <v>111000</v>
      </c>
      <c r="H125" s="42">
        <f>CHAMNORD!H125+AIX!H125+BELLEY!H125+STALBAN!H125+ABRETS!H125+PONT!H125+FRANCIN!H125+VIVIERS!H125</f>
        <v>107771.69</v>
      </c>
      <c r="I125" s="13">
        <f>CHAMNORD!I125+AIX!I125+BELLEY!I125+STALBAN!I125+ABRETS!I125+PONT!I125+FRANCIN!I125+VIVIERS!I125</f>
        <v>106014.06000000001</v>
      </c>
      <c r="J125" s="14">
        <f>CHAMNORD!J125+AIX!J125+BELLEY!J125+STALBAN!J125+ABRETS!J125+PONT!J125+FRANCIN!J125+VIVIERS!J125</f>
        <v>5553</v>
      </c>
      <c r="K125" s="15">
        <f>CHAMNORD!K125+AIX!K125+BELLEY!K125+STALBAN!K125+ABRETS!K125+PONT!K125+FRANCIN!K125+VIVIERS!K125</f>
        <v>957</v>
      </c>
      <c r="L125" s="15">
        <f>CHAMNORD!L125+AIX!L125+BELLEY!L125+STALBAN!L125+ABRETS!L125+PONT!L125+FRANCIN!L125+VIVIERS!L125</f>
        <v>1092.3</v>
      </c>
      <c r="M125" s="15">
        <f>CHAMNORD!M125+AIX!M125+BELLEY!M125+STALBAN!M125+ABRETS!M125+PONT!M125+FRANCIN!M125+VIVIERS!M125</f>
        <v>886.23</v>
      </c>
      <c r="N125" s="16">
        <f t="shared" si="5"/>
        <v>8.3595515538221997E-3</v>
      </c>
      <c r="O125" s="17">
        <f t="shared" si="8"/>
        <v>-0.22540840770496579</v>
      </c>
      <c r="P125" s="17">
        <f t="shared" si="9"/>
        <v>-0.20398509174311927</v>
      </c>
      <c r="Q125" s="18">
        <f t="shared" si="6"/>
        <v>110.77749216300941</v>
      </c>
      <c r="R125" s="18">
        <f t="shared" si="7"/>
        <v>97.055808843724265</v>
      </c>
      <c r="S125" s="34"/>
      <c r="T125" s="29" t="s">
        <v>8</v>
      </c>
      <c r="U125" s="1738"/>
    </row>
    <row r="126" spans="1:25">
      <c r="A126" s="10" t="s">
        <v>14</v>
      </c>
      <c r="B126" s="905">
        <v>45778</v>
      </c>
      <c r="C126" s="76">
        <f>IF(G126=0,0,CHAMNORD!C126+AIX!C126+BELLEY!C126+STALBAN!C126+ABRETS!C126+PONT!C126+FRANCIN!C126+VIVIERS!C126)</f>
        <v>138472.63</v>
      </c>
      <c r="D126" s="76">
        <f>IF(H126=0,0,CHAMNORD!D126+AIX!D126+BELLEY!D126+STALBAN!D126+ABRETS!D126+PONT!D126+FRANCIN!D126+VIVIERS!D126)</f>
        <v>114231.93</v>
      </c>
      <c r="E126" s="76">
        <f>IF(I126=0,0,CHAMNORD!E126+AIX!E126+BELLEY!E126+STALBAN!E126+ABRETS!E126+PONT!E126+FRANCIN!E126+VIVIERS!E126)</f>
        <v>112911.00999999998</v>
      </c>
      <c r="F126" s="20">
        <f>IF(J126=0,0,CHAMNORD!F126+AIX!F126+BELLEY!F126+STALBAN!F126+ABRETS!F126+PONT!F126+FRANCIN!F126+VIVIERS!F126)</f>
        <v>6026</v>
      </c>
      <c r="G126" s="40">
        <f>IF(I126=0,0,CHAMNORD!G126+AIX!G126+BELLEY!G126+STALBAN!G126+ABRETS!G126+PONT!G126+FRANCIN!G126+VIVIERS!G126)</f>
        <v>122000</v>
      </c>
      <c r="H126" s="42">
        <f>CHAMNORD!H126+AIX!H126+BELLEY!H126+STALBAN!H126+ABRETS!H126+PONT!H126+FRANCIN!H126+VIVIERS!H126</f>
        <v>142945.43</v>
      </c>
      <c r="I126" s="13">
        <f>CHAMNORD!I126+AIX!I126+BELLEY!I126+STALBAN!I126+ABRETS!I126+PONT!I126+FRANCIN!I126+VIVIERS!I126</f>
        <v>140542.79999999999</v>
      </c>
      <c r="J126" s="14">
        <f>CHAMNORD!J126+AIX!J126+BELLEY!J126+STALBAN!J126+ABRETS!J126+PONT!J126+FRANCIN!J126+VIVIERS!J126</f>
        <v>6934</v>
      </c>
      <c r="K126" s="15">
        <f>CHAMNORD!K126+AIX!K126+BELLEY!K126+STALBAN!K126+ABRETS!K126+PONT!K126+FRANCIN!K126+VIVIERS!K126</f>
        <v>1326.4</v>
      </c>
      <c r="L126" s="15">
        <f>CHAMNORD!L126+AIX!L126+BELLEY!L126+STALBAN!L126+ABRETS!L126+PONT!L126+FRANCIN!L126+VIVIERS!L126</f>
        <v>1626.22</v>
      </c>
      <c r="M126" s="15">
        <f>CHAMNORD!M126+AIX!M126+BELLEY!M126+STALBAN!M126+ABRETS!M126+PONT!M126+FRANCIN!M126+VIVIERS!M126</f>
        <v>474.99</v>
      </c>
      <c r="N126" s="16">
        <f t="shared" si="5"/>
        <v>3.3796822035707277E-3</v>
      </c>
      <c r="O126" s="17">
        <f t="shared" si="8"/>
        <v>0.2447218389065868</v>
      </c>
      <c r="P126" s="17">
        <f t="shared" si="9"/>
        <v>0.15068038499834052</v>
      </c>
      <c r="Q126" s="18">
        <f t="shared" si="6"/>
        <v>105.95808202653798</v>
      </c>
      <c r="R126" s="18">
        <f t="shared" si="7"/>
        <v>86.422993198952156</v>
      </c>
      <c r="S126" s="36" t="s">
        <v>40</v>
      </c>
      <c r="T126" s="48">
        <f>SUM(I122:I128)/SUM(L122:L128)</f>
        <v>89.744524104973948</v>
      </c>
      <c r="U126" s="1738"/>
    </row>
    <row r="127" spans="1:25">
      <c r="A127" s="10" t="s">
        <v>15</v>
      </c>
      <c r="B127" s="905">
        <v>45779</v>
      </c>
      <c r="C127" s="76">
        <f>IF(G127=0,0,CHAMNORD!C127+AIX!C127+BELLEY!C127+STALBAN!C127+ABRETS!C127+PONT!C127+FRANCIN!C127+VIVIERS!C127)</f>
        <v>114231.93</v>
      </c>
      <c r="D127" s="76">
        <f>IF(H127=0,0,CHAMNORD!D127+AIX!D127+BELLEY!D127+STALBAN!D127+ABRETS!D127+PONT!D127+FRANCIN!D127+VIVIERS!D127)</f>
        <v>106373.52</v>
      </c>
      <c r="E127" s="76">
        <f>IF(I127=0,0,CHAMNORD!E127+AIX!E127+BELLEY!E127+STALBAN!E127+ABRETS!E127+PONT!E127+FRANCIN!E127+VIVIERS!E127)</f>
        <v>105743.66</v>
      </c>
      <c r="F127" s="20">
        <f>IF(J127=0,0,CHAMNORD!F127+AIX!F127+BELLEY!F127+STALBAN!F127+ABRETS!F127+PONT!F127+FRANCIN!F127+VIVIERS!F127)</f>
        <v>5561</v>
      </c>
      <c r="G127" s="40">
        <f>IF(I127=0,0,CHAMNORD!G127+AIX!G127+BELLEY!G127+STALBAN!G127+ABRETS!G127+PONT!G127+FRANCIN!G127+VIVIERS!G127)</f>
        <v>106700</v>
      </c>
      <c r="H127" s="42">
        <f>CHAMNORD!H127+AIX!H127+BELLEY!H127+STALBAN!H127+ABRETS!H127+PONT!H127+FRANCIN!H127+VIVIERS!H127</f>
        <v>107595.64000000001</v>
      </c>
      <c r="I127" s="13">
        <f>CHAMNORD!I127+AIX!I127+BELLEY!I127+STALBAN!I127+ABRETS!I127+PONT!I127+FRANCIN!I127+VIVIERS!I127</f>
        <v>105824.15999999999</v>
      </c>
      <c r="J127" s="14">
        <f>CHAMNORD!J127+AIX!J127+BELLEY!J127+STALBAN!J127+ABRETS!J127+PONT!J127+FRANCIN!J127+VIVIERS!J127</f>
        <v>5394</v>
      </c>
      <c r="K127" s="15">
        <f>CHAMNORD!K127+AIX!K127+BELLEY!K127+STALBAN!K127+ABRETS!K127+PONT!K127+FRANCIN!K127+VIVIERS!K127</f>
        <v>1116.2099999999998</v>
      </c>
      <c r="L127" s="15">
        <f>CHAMNORD!L127+AIX!L127+BELLEY!L127+STALBAN!L127+ABRETS!L127+PONT!L127+FRANCIN!L127+VIVIERS!L127</f>
        <v>1251.51</v>
      </c>
      <c r="M127" s="15">
        <f>CHAMNORD!M127+AIX!M127+BELLEY!M127+STALBAN!M127+ABRETS!M127+PONT!M127+FRANCIN!M127+VIVIERS!M127</f>
        <v>558.47</v>
      </c>
      <c r="N127" s="16">
        <f t="shared" si="5"/>
        <v>5.2773393145761809E-3</v>
      </c>
      <c r="O127" s="17">
        <f t="shared" si="8"/>
        <v>7.6127495492387385E-4</v>
      </c>
      <c r="P127" s="17">
        <f t="shared" si="9"/>
        <v>-3.0030570041359467E-2</v>
      </c>
      <c r="Q127" s="18">
        <f t="shared" si="6"/>
        <v>94.806676163087602</v>
      </c>
      <c r="R127" s="18">
        <f t="shared" si="7"/>
        <v>84.557182923028975</v>
      </c>
      <c r="S127" s="36">
        <f>SUM(J122:J128)</f>
        <v>35778</v>
      </c>
      <c r="T127" s="30" t="s">
        <v>3</v>
      </c>
      <c r="U127" s="1738"/>
    </row>
    <row r="128" spans="1:25" ht="18" thickBot="1">
      <c r="A128" s="10" t="s">
        <v>16</v>
      </c>
      <c r="B128" s="905">
        <v>45780</v>
      </c>
      <c r="C128" s="76">
        <f>IF(G128=0,0,CHAMNORD!C128+AIX!C128+BELLEY!C128+STALBAN!C128+ABRETS!C128+PONT!C128+FRANCIN!C128+VIVIERS!C128)</f>
        <v>106373.52</v>
      </c>
      <c r="D128" s="76">
        <f>IF(H128=0,0,CHAMNORD!D128+AIX!D128+BELLEY!D128+STALBAN!D128+ABRETS!D128+PONT!D128+FRANCIN!D128+VIVIERS!D128)</f>
        <v>124384.86</v>
      </c>
      <c r="E128" s="76">
        <f>IF(I128=0,0,CHAMNORD!E128+AIX!E128+BELLEY!E128+STALBAN!E128+ABRETS!E128+PONT!E128+FRANCIN!E128+VIVIERS!E128)</f>
        <v>122911.87</v>
      </c>
      <c r="F128" s="20">
        <f>IF(J128=0,0,CHAMNORD!F128+AIX!F128+BELLEY!F128+STALBAN!F128+ABRETS!F128+PONT!F128+FRANCIN!F128+VIVIERS!F128)</f>
        <v>5747</v>
      </c>
      <c r="G128" s="40">
        <f>IF(I128=0,0,CHAMNORD!G128+AIX!G128+BELLEY!G128+STALBAN!G128+ABRETS!G128+PONT!G128+FRANCIN!G128+VIVIERS!G128)</f>
        <v>124100</v>
      </c>
      <c r="H128" s="42">
        <f>CHAMNORD!H128+AIX!H128+BELLEY!H128+STALBAN!H128+ABRETS!H128+PONT!H128+FRANCIN!H128+VIVIERS!H128</f>
        <v>125005.95999999999</v>
      </c>
      <c r="I128" s="13">
        <f>CHAMNORD!I128+AIX!I128+BELLEY!I128+STALBAN!I128+ABRETS!I128+PONT!I128+FRANCIN!I128+VIVIERS!I128</f>
        <v>122919.72</v>
      </c>
      <c r="J128" s="14">
        <f>CHAMNORD!J128+AIX!J128+BELLEY!J128+STALBAN!J128+ABRETS!J128+PONT!J128+FRANCIN!J128+VIVIERS!J128</f>
        <v>5556</v>
      </c>
      <c r="K128" s="15">
        <f>CHAMNORD!K128+AIX!K128+BELLEY!K128+STALBAN!K128+ABRETS!K128+PONT!K128+FRANCIN!K128+VIVIERS!K128</f>
        <v>993.04</v>
      </c>
      <c r="L128" s="15">
        <f>CHAMNORD!L128+AIX!L128+BELLEY!L128+STALBAN!L128+ABRETS!L128+PONT!L128+FRANCIN!L128+VIVIERS!L128</f>
        <v>1126.04</v>
      </c>
      <c r="M128" s="15">
        <f>CHAMNORD!M128+AIX!M128+BELLEY!M128+STALBAN!M128+ABRETS!M128+PONT!M128+FRANCIN!M128+VIVIERS!M128</f>
        <v>482.37</v>
      </c>
      <c r="N128" s="16">
        <f t="shared" si="5"/>
        <v>3.924268620201868E-3</v>
      </c>
      <c r="O128" s="17">
        <f t="shared" si="8"/>
        <v>6.3866899104259185E-5</v>
      </c>
      <c r="P128" s="17">
        <f t="shared" si="9"/>
        <v>-3.323473116408561E-2</v>
      </c>
      <c r="Q128" s="18">
        <f t="shared" si="6"/>
        <v>123.78123741239024</v>
      </c>
      <c r="R128" s="18">
        <f t="shared" si="7"/>
        <v>109.16105999786865</v>
      </c>
      <c r="S128" s="37">
        <f>(S127-SUM(F122:F128))/(SUM(F122:F128))</f>
        <v>-9.498393746996181E-2</v>
      </c>
      <c r="T128" s="47">
        <f>SUM(M122:M128)/SUM(I122:I128)</f>
        <v>5.2522145847498369E-3</v>
      </c>
      <c r="U128" s="1739"/>
    </row>
    <row r="129" spans="1:25" ht="17" customHeight="1" thickTop="1">
      <c r="A129" s="10" t="s">
        <v>9</v>
      </c>
      <c r="B129" s="905">
        <v>45781</v>
      </c>
      <c r="C129" s="76">
        <f>IF(G129=0,0,CHAMNORD!C129+AIX!C129+BELLEY!C129+STALBAN!C129+ABRETS!C129+PONT!C129+FRANCIN!C129+VIVIERS!C129)</f>
        <v>124384.86</v>
      </c>
      <c r="D129" s="76">
        <f>IF(H129=0,0,CHAMNORD!D129+AIX!D129+BELLEY!D129+STALBAN!D129+ABRETS!D129+PONT!D129+FRANCIN!D129+VIVIERS!D129)</f>
        <v>67794.790000000008</v>
      </c>
      <c r="E129" s="76">
        <f>IF(I129=0,0,CHAMNORD!E129+AIX!E129+BELLEY!E129+STALBAN!E129+ABRETS!E129+PONT!E129+FRANCIN!E129+VIVIERS!E129)</f>
        <v>67180.950000000012</v>
      </c>
      <c r="F129" s="20">
        <f>IF(J129=0,0,CHAMNORD!F129+AIX!F129+BELLEY!F129+STALBAN!F129+ABRETS!F129+PONT!F129+FRANCIN!F129+VIVIERS!F129)</f>
        <v>3941</v>
      </c>
      <c r="G129" s="40">
        <f>IF(I129=0,0,CHAMNORD!G129+AIX!G129+BELLEY!G129+STALBAN!G129+ABRETS!G129+PONT!G129+FRANCIN!G129+VIVIERS!G129)</f>
        <v>67800</v>
      </c>
      <c r="H129" s="42">
        <f>CHAMNORD!H129+AIX!H129+BELLEY!H129+STALBAN!H129+ABRETS!H129+PONT!H129+FRANCIN!H129+VIVIERS!H129</f>
        <v>64352.729999999996</v>
      </c>
      <c r="I129" s="13">
        <f>CHAMNORD!I129+AIX!I129+BELLEY!I129+STALBAN!I129+ABRETS!I129+PONT!I129+FRANCIN!I129+VIVIERS!I129</f>
        <v>63553.05</v>
      </c>
      <c r="J129" s="14">
        <f>CHAMNORD!J129+AIX!J129+BELLEY!J129+STALBAN!J129+ABRETS!J129+PONT!J129+FRANCIN!J129+VIVIERS!J129</f>
        <v>3478</v>
      </c>
      <c r="K129" s="15">
        <f>CHAMNORD!K129+AIX!K129+BELLEY!K129+STALBAN!K129+ABRETS!K129+PONT!K129+FRANCIN!K129+VIVIERS!K129</f>
        <v>770.75</v>
      </c>
      <c r="L129" s="15">
        <f>CHAMNORD!L129+AIX!L129+BELLEY!L129+STALBAN!L129+ABRETS!L129+PONT!L129+FRANCIN!L129+VIVIERS!L129</f>
        <v>864.43000000000006</v>
      </c>
      <c r="M129" s="15">
        <f>CHAMNORD!M129+AIX!M129+BELLEY!M129+STALBAN!M129+ABRETS!M129+PONT!M129+FRANCIN!M129+VIVIERS!M129</f>
        <v>459.19</v>
      </c>
      <c r="N129" s="16">
        <f t="shared" si="5"/>
        <v>7.2253023261668794E-3</v>
      </c>
      <c r="O129" s="17">
        <f t="shared" si="8"/>
        <v>-5.4001915721644429E-2</v>
      </c>
      <c r="P129" s="17">
        <f t="shared" si="9"/>
        <v>-0.11748287236741943</v>
      </c>
      <c r="Q129" s="18">
        <f t="shared" si="6"/>
        <v>82.456114174505359</v>
      </c>
      <c r="R129" s="18">
        <f t="shared" si="7"/>
        <v>73.520180928473096</v>
      </c>
      <c r="S129" s="33" t="s">
        <v>39</v>
      </c>
      <c r="T129" s="31" t="s">
        <v>42</v>
      </c>
      <c r="U129" s="1737" t="s">
        <v>101</v>
      </c>
    </row>
    <row r="130" spans="1:25">
      <c r="A130" s="10" t="s">
        <v>11</v>
      </c>
      <c r="B130" s="905">
        <v>45782</v>
      </c>
      <c r="C130" s="76">
        <f>IF(G130=0,0,CHAMNORD!C130+AIX!C130+BELLEY!C130+STALBAN!C130+ABRETS!C130+PONT!C130+FRANCIN!C130+VIVIERS!C130)</f>
        <v>67794.790000000008</v>
      </c>
      <c r="D130" s="76">
        <f>IF(H130=0,0,CHAMNORD!D130+AIX!D130+BELLEY!D130+STALBAN!D130+ABRETS!D130+PONT!D130+FRANCIN!D130+VIVIERS!D130)</f>
        <v>74391.3</v>
      </c>
      <c r="E130" s="76">
        <f>IF(I130=0,0,CHAMNORD!E130+AIX!E130+BELLEY!E130+STALBAN!E130+ABRETS!E130+PONT!E130+FRANCIN!E130+VIVIERS!E130)</f>
        <v>73670.919999999984</v>
      </c>
      <c r="F130" s="20">
        <f>IF(J130=0,0,CHAMNORD!F130+AIX!F130+BELLEY!F130+STALBAN!F130+ABRETS!F130+PONT!F130+FRANCIN!F130+VIVIERS!F130)</f>
        <v>4257</v>
      </c>
      <c r="G130" s="40">
        <f>IF(I130=0,0,CHAMNORD!G130+AIX!G130+BELLEY!G130+STALBAN!G130+ABRETS!G130+PONT!G130+FRANCIN!G130+VIVIERS!G130)</f>
        <v>74300</v>
      </c>
      <c r="H130" s="42">
        <f>CHAMNORD!H130+AIX!H130+BELLEY!H130+STALBAN!H130+ABRETS!H130+PONT!H130+FRANCIN!H130+VIVIERS!H130</f>
        <v>77469.790000000008</v>
      </c>
      <c r="I130" s="13">
        <f>CHAMNORD!I130+AIX!I130+BELLEY!I130+STALBAN!I130+ABRETS!I130+PONT!I130+FRANCIN!I130+VIVIERS!I130</f>
        <v>75978.5</v>
      </c>
      <c r="J130" s="14">
        <f>CHAMNORD!J130+AIX!J130+BELLEY!J130+STALBAN!J130+ABRETS!J130+PONT!J130+FRANCIN!J130+VIVIERS!J130</f>
        <v>4200</v>
      </c>
      <c r="K130" s="15">
        <f>CHAMNORD!K130+AIX!K130+BELLEY!K130+STALBAN!K130+ABRETS!K130+PONT!K130+FRANCIN!K130+VIVIERS!K130</f>
        <v>792.42999999999984</v>
      </c>
      <c r="L130" s="15">
        <f>CHAMNORD!L130+AIX!L130+BELLEY!L130+STALBAN!L130+ABRETS!L130+PONT!L130+FRANCIN!L130+VIVIERS!L130</f>
        <v>897.94</v>
      </c>
      <c r="M130" s="15">
        <f>CHAMNORD!M130+AIX!M130+BELLEY!M130+STALBAN!M130+ABRETS!M130+PONT!M130+FRANCIN!M130+VIVIERS!M130</f>
        <v>449.69</v>
      </c>
      <c r="N130" s="16">
        <f t="shared" si="5"/>
        <v>5.9186480385898643E-3</v>
      </c>
      <c r="O130" s="17">
        <f t="shared" si="8"/>
        <v>3.1322806882281597E-2</v>
      </c>
      <c r="P130" s="17">
        <f t="shared" si="9"/>
        <v>-1.3389711064129669E-2</v>
      </c>
      <c r="Q130" s="18">
        <f t="shared" si="6"/>
        <v>95.880393220852341</v>
      </c>
      <c r="R130" s="18">
        <f t="shared" si="7"/>
        <v>84.614228122146244</v>
      </c>
      <c r="S130" s="34">
        <f>SUM(I129:I135)</f>
        <v>660001.54</v>
      </c>
      <c r="T130" s="45" t="s">
        <v>41</v>
      </c>
      <c r="U130" s="1738"/>
      <c r="W130" s="202">
        <f>+S130</f>
        <v>660001.54</v>
      </c>
      <c r="X130" s="202">
        <f>SUM(CHAMNORD!E129:E135)+SUM(AIX!E129:E135)+SUM(BELLEY!E129:E135)+SUM(STALBAN!E129:E135)+SUM(ABRETS!E129:E135)+SUM(PONT!E129:E135)+SUM(FRANCIN!E129:E135)+SUM(VIVIERS!E129:E135)</f>
        <v>680466.21</v>
      </c>
      <c r="Y130" s="202">
        <f>+W130-X130</f>
        <v>-20464.669999999925</v>
      </c>
    </row>
    <row r="131" spans="1:25">
      <c r="A131" s="10" t="s">
        <v>12</v>
      </c>
      <c r="B131" s="905">
        <v>45783</v>
      </c>
      <c r="C131" s="76">
        <f>IF(G131=0,0,CHAMNORD!C131+AIX!C131+BELLEY!C131+STALBAN!C131+ABRETS!C131+PONT!C131+FRANCIN!C131+VIVIERS!C131)</f>
        <v>74391.3</v>
      </c>
      <c r="D131" s="76">
        <f>IF(H131=0,0,CHAMNORD!D131+AIX!D131+BELLEY!D131+STALBAN!D131+ABRETS!D131+PONT!D131+FRANCIN!D131+VIVIERS!D131)</f>
        <v>107726.94</v>
      </c>
      <c r="E131" s="76">
        <f>IF(I131=0,0,CHAMNORD!E131+AIX!E131+BELLEY!E131+STALBAN!E131+ABRETS!E131+PONT!E131+FRANCIN!E131+VIVIERS!E131)</f>
        <v>106514.32</v>
      </c>
      <c r="F131" s="20">
        <f>IF(J131=0,0,CHAMNORD!F131+AIX!F131+BELLEY!F131+STALBAN!F131+ABRETS!F131+PONT!F131+FRANCIN!F131+VIVIERS!F131)</f>
        <v>5742</v>
      </c>
      <c r="G131" s="40">
        <f>IF(I131=0,0,CHAMNORD!G131+AIX!G131+BELLEY!G131+STALBAN!G131+ABRETS!G131+PONT!G131+FRANCIN!G131+VIVIERS!G131)</f>
        <v>105000</v>
      </c>
      <c r="H131" s="42">
        <f>CHAMNORD!H131+AIX!H131+BELLEY!H131+STALBAN!H131+ABRETS!H131+PONT!H131+FRANCIN!H131+VIVIERS!H131</f>
        <v>93612.12000000001</v>
      </c>
      <c r="I131" s="13">
        <f>CHAMNORD!I131+AIX!I131+BELLEY!I131+STALBAN!I131+ABRETS!I131+PONT!I131+FRANCIN!I131+VIVIERS!I131</f>
        <v>92011.34</v>
      </c>
      <c r="J131" s="14">
        <f>CHAMNORD!J131+AIX!J131+BELLEY!J131+STALBAN!J131+ABRETS!J131+PONT!J131+FRANCIN!J131+VIVIERS!J131</f>
        <v>4911</v>
      </c>
      <c r="K131" s="15">
        <f>CHAMNORD!K131+AIX!K131+BELLEY!K131+STALBAN!K131+ABRETS!K131+PONT!K131+FRANCIN!K131+VIVIERS!K131</f>
        <v>877.55</v>
      </c>
      <c r="L131" s="15">
        <f>CHAMNORD!L131+AIX!L131+BELLEY!L131+STALBAN!L131+ABRETS!L131+PONT!L131+FRANCIN!L131+VIVIERS!L131</f>
        <v>991.61000000000013</v>
      </c>
      <c r="M131" s="15">
        <f>CHAMNORD!M131+AIX!M131+BELLEY!M131+STALBAN!M131+ABRETS!M131+PONT!M131+FRANCIN!M131+VIVIERS!M131</f>
        <v>458.1</v>
      </c>
      <c r="N131" s="16">
        <f t="shared" si="5"/>
        <v>4.978734142987158E-3</v>
      </c>
      <c r="O131" s="17">
        <f t="shared" si="8"/>
        <v>-0.13615990788844176</v>
      </c>
      <c r="P131" s="17">
        <f t="shared" si="9"/>
        <v>-0.14472309299895506</v>
      </c>
      <c r="Q131" s="18">
        <f t="shared" si="6"/>
        <v>104.85025354680646</v>
      </c>
      <c r="R131" s="18">
        <f t="shared" si="7"/>
        <v>92.789846814775956</v>
      </c>
      <c r="S131" s="35">
        <f>(S130-SUM(E129:E135))/(SUM(E129:E135))</f>
        <v>-3.0074483786637879E-2</v>
      </c>
      <c r="T131" s="48">
        <f>SUM(I129:I135)/SUM(K129:K135)</f>
        <v>99.978874210206612</v>
      </c>
      <c r="U131" s="1738"/>
    </row>
    <row r="132" spans="1:25">
      <c r="A132" s="10" t="s">
        <v>13</v>
      </c>
      <c r="B132" s="905">
        <v>45784</v>
      </c>
      <c r="C132" s="76">
        <f>IF(G132=0,0,CHAMNORD!C132+AIX!C132+BELLEY!C132+STALBAN!C132+ABRETS!C132+PONT!C132+FRANCIN!C132+VIVIERS!C132)</f>
        <v>107726.94</v>
      </c>
      <c r="D132" s="76">
        <f>IF(H132=0,0,CHAMNORD!D132+AIX!D132+BELLEY!D132+STALBAN!D132+ABRETS!D132+PONT!D132+FRANCIN!D132+VIVIERS!D132)</f>
        <v>109538.54</v>
      </c>
      <c r="E132" s="76">
        <f>IF(I132=0,0,CHAMNORD!E132+AIX!E132+BELLEY!E132+STALBAN!E132+ABRETS!E132+PONT!E132+FRANCIN!E132+VIVIERS!E132)</f>
        <v>108180.65</v>
      </c>
      <c r="F132" s="20">
        <f>IF(J132=0,0,CHAMNORD!F132+AIX!F132+BELLEY!F132+STALBAN!F132+ABRETS!F132+PONT!F132+FRANCIN!F132+VIVIERS!F132)</f>
        <v>5522</v>
      </c>
      <c r="G132" s="40">
        <f>IF(I132=0,0,CHAMNORD!G132+AIX!G132+BELLEY!G132+STALBAN!G132+ABRETS!G132+PONT!G132+FRANCIN!G132+VIVIERS!G132)</f>
        <v>105000</v>
      </c>
      <c r="H132" s="42">
        <f>CHAMNORD!H132+AIX!H132+BELLEY!H132+STALBAN!H132+ABRETS!H132+PONT!H132+FRANCIN!H132+VIVIERS!H132</f>
        <v>103123.55</v>
      </c>
      <c r="I132" s="13">
        <f>CHAMNORD!I132+AIX!I132+BELLEY!I132+STALBAN!I132+ABRETS!I132+PONT!I132+FRANCIN!I132+VIVIERS!I132</f>
        <v>101706.59999999999</v>
      </c>
      <c r="J132" s="14">
        <f>CHAMNORD!J132+AIX!J132+BELLEY!J132+STALBAN!J132+ABRETS!J132+PONT!J132+FRANCIN!J132+VIVIERS!J132</f>
        <v>5668</v>
      </c>
      <c r="K132" s="15">
        <f>CHAMNORD!K132+AIX!K132+BELLEY!K132+STALBAN!K132+ABRETS!K132+PONT!K132+FRANCIN!K132+VIVIERS!K132</f>
        <v>928.25999999999988</v>
      </c>
      <c r="L132" s="15">
        <f>CHAMNORD!L132+AIX!L132+BELLEY!L132+STALBAN!L132+ABRETS!L132+PONT!L132+FRANCIN!L132+VIVIERS!L132</f>
        <v>1076.5</v>
      </c>
      <c r="M132" s="15">
        <f>CHAMNORD!M132+AIX!M132+BELLEY!M132+STALBAN!M132+ABRETS!M132+PONT!M132+FRANCIN!M132+VIVIERS!M132</f>
        <v>490.71000000000004</v>
      </c>
      <c r="N132" s="16">
        <f t="shared" ref="N132:N195" si="10">IF(M132=0,"",M132/I132)</f>
        <v>4.8247606350030389E-3</v>
      </c>
      <c r="O132" s="17">
        <f t="shared" si="8"/>
        <v>-5.9844805887189649E-2</v>
      </c>
      <c r="P132" s="17">
        <f t="shared" si="9"/>
        <v>2.6439695762404927E-2</v>
      </c>
      <c r="Q132" s="18">
        <f t="shared" ref="Q132:Q195" si="11">IF(I132=0,"",I132/K132)</f>
        <v>109.56693167862453</v>
      </c>
      <c r="R132" s="18">
        <f t="shared" ref="R132:R195" si="12">I132/L132</f>
        <v>94.478959591267994</v>
      </c>
      <c r="S132" s="34"/>
      <c r="T132" s="29" t="s">
        <v>8</v>
      </c>
      <c r="U132" s="1738"/>
    </row>
    <row r="133" spans="1:25">
      <c r="A133" s="10" t="s">
        <v>14</v>
      </c>
      <c r="B133" s="905">
        <v>45785</v>
      </c>
      <c r="C133" s="76">
        <f>IF(G133=0,0,CHAMNORD!C133+AIX!C133+BELLEY!C133+STALBAN!C133+ABRETS!C133+PONT!C133+FRANCIN!C133+VIVIERS!C133)</f>
        <v>109538.54</v>
      </c>
      <c r="D133" s="76">
        <f>IF(H133=0,0,CHAMNORD!D133+AIX!D133+BELLEY!D133+STALBAN!D133+ABRETS!D133+PONT!D133+FRANCIN!D133+VIVIERS!D133)</f>
        <v>100528.73</v>
      </c>
      <c r="E133" s="76">
        <f>IF(I133=0,0,CHAMNORD!E133+AIX!E133+BELLEY!E133+STALBAN!E133+ABRETS!E133+PONT!E133+FRANCIN!E133+VIVIERS!E133)</f>
        <v>99490.84</v>
      </c>
      <c r="F133" s="20">
        <f>IF(J133=0,0,CHAMNORD!F133+AIX!F133+BELLEY!F133+STALBAN!F133+ABRETS!F133+PONT!F133+FRANCIN!F133+VIVIERS!F133)</f>
        <v>5661</v>
      </c>
      <c r="G133" s="40">
        <f>IF(I133=0,0,CHAMNORD!G133+AIX!G133+BELLEY!G133+STALBAN!G133+ABRETS!G133+PONT!G133+FRANCIN!G133+VIVIERS!G133)</f>
        <v>133000</v>
      </c>
      <c r="H133" s="42">
        <f>CHAMNORD!H133+AIX!H133+BELLEY!H133+STALBAN!H133+ABRETS!H133+PONT!H133+FRANCIN!H133+VIVIERS!H133</f>
        <v>109795.42000000001</v>
      </c>
      <c r="I133" s="13">
        <f>CHAMNORD!I133+AIX!I133+BELLEY!I133+STALBAN!I133+ABRETS!I133+PONT!I133+FRANCIN!I133+VIVIERS!I133</f>
        <v>107933.27</v>
      </c>
      <c r="J133" s="14">
        <f>CHAMNORD!J133+AIX!J133+BELLEY!J133+STALBAN!J133+ABRETS!J133+PONT!J133+FRANCIN!J133+VIVIERS!J133</f>
        <v>5633</v>
      </c>
      <c r="K133" s="15">
        <f>CHAMNORD!K133+AIX!K133+BELLEY!K133+STALBAN!K133+ABRETS!K133+PONT!K133+FRANCIN!K133+VIVIERS!K133</f>
        <v>1164.75</v>
      </c>
      <c r="L133" s="15">
        <f>CHAMNORD!L133+AIX!L133+BELLEY!L133+STALBAN!L133+ABRETS!L133+PONT!L133+FRANCIN!L133+VIVIERS!L133</f>
        <v>1274.9600000000003</v>
      </c>
      <c r="M133" s="15">
        <f>CHAMNORD!M133+AIX!M133+BELLEY!M133+STALBAN!M133+ABRETS!M133+PONT!M133+FRANCIN!M133+VIVIERS!M133</f>
        <v>436.88000000000005</v>
      </c>
      <c r="N133" s="16">
        <f t="shared" si="10"/>
        <v>4.047686130513789E-3</v>
      </c>
      <c r="O133" s="17">
        <f t="shared" si="8"/>
        <v>8.4856354615158613E-2</v>
      </c>
      <c r="P133" s="17">
        <f t="shared" si="9"/>
        <v>-4.946122593181417E-3</v>
      </c>
      <c r="Q133" s="18">
        <f t="shared" si="11"/>
        <v>92.666469199399017</v>
      </c>
      <c r="R133" s="18">
        <f t="shared" si="12"/>
        <v>84.65620097885423</v>
      </c>
      <c r="S133" s="36" t="s">
        <v>40</v>
      </c>
      <c r="T133" s="48">
        <f>SUM(I129:I135)/SUM(L129:L135)</f>
        <v>88.928021019301383</v>
      </c>
      <c r="U133" s="1738"/>
    </row>
    <row r="134" spans="1:25">
      <c r="A134" s="10" t="s">
        <v>15</v>
      </c>
      <c r="B134" s="905">
        <v>45786</v>
      </c>
      <c r="C134" s="76">
        <f>IF(G134=0,0,CHAMNORD!C134+AIX!C134+BELLEY!C134+STALBAN!C134+ABRETS!C134+PONT!C134+FRANCIN!C134+VIVIERS!C134)</f>
        <v>100528.73</v>
      </c>
      <c r="D134" s="76">
        <f>IF(H134=0,0,CHAMNORD!D134+AIX!D134+BELLEY!D134+STALBAN!D134+ABRETS!D134+PONT!D134+FRANCIN!D134+VIVIERS!D134)</f>
        <v>108158.68</v>
      </c>
      <c r="E134" s="76">
        <f>IF(I134=0,0,CHAMNORD!E134+AIX!E134+BELLEY!E134+STALBAN!E134+ABRETS!E134+PONT!E134+FRANCIN!E134+VIVIERS!E134)</f>
        <v>106951.51999999999</v>
      </c>
      <c r="F134" s="20">
        <f>IF(J134=0,0,CHAMNORD!F134+AIX!F134+BELLEY!F134+STALBAN!F134+ABRETS!F134+PONT!F134+FRANCIN!F134+VIVIERS!F134)</f>
        <v>5895</v>
      </c>
      <c r="G134" s="40">
        <f>IF(I134=0,0,CHAMNORD!G134+AIX!G134+BELLEY!G134+STALBAN!G134+ABRETS!G134+PONT!G134+FRANCIN!G134+VIVIERS!G134)</f>
        <v>107900</v>
      </c>
      <c r="H134" s="42">
        <f>CHAMNORD!H134+AIX!H134+BELLEY!H134+STALBAN!H134+ABRETS!H134+PONT!H134+FRANCIN!H134+VIVIERS!H134</f>
        <v>99866.03</v>
      </c>
      <c r="I134" s="13">
        <f>CHAMNORD!I134+AIX!I134+BELLEY!I134+STALBAN!I134+ABRETS!I134+PONT!I134+FRANCIN!I134+VIVIERS!I134</f>
        <v>98289.459999999992</v>
      </c>
      <c r="J134" s="14">
        <f>CHAMNORD!J134+AIX!J134+BELLEY!J134+STALBAN!J134+ABRETS!J134+PONT!J134+FRANCIN!J134+VIVIERS!J134</f>
        <v>5366</v>
      </c>
      <c r="K134" s="15">
        <f>CHAMNORD!K134+AIX!K134+BELLEY!K134+STALBAN!K134+ABRETS!K134+PONT!K134+FRANCIN!K134+VIVIERS!K134</f>
        <v>1078.8200000000002</v>
      </c>
      <c r="L134" s="15">
        <f>CHAMNORD!L134+AIX!L134+BELLEY!L134+STALBAN!L134+ABRETS!L134+PONT!L134+FRANCIN!L134+VIVIERS!L134</f>
        <v>1218.1599999999999</v>
      </c>
      <c r="M134" s="15">
        <f>CHAMNORD!M134+AIX!M134+BELLEY!M134+STALBAN!M134+ABRETS!M134+PONT!M134+FRANCIN!M134+VIVIERS!M134</f>
        <v>540.99</v>
      </c>
      <c r="N134" s="16">
        <f t="shared" si="10"/>
        <v>5.5040489590643801E-3</v>
      </c>
      <c r="O134" s="17">
        <f t="shared" si="8"/>
        <v>-8.0990527296853743E-2</v>
      </c>
      <c r="P134" s="17">
        <f t="shared" si="9"/>
        <v>-8.9737065309584391E-2</v>
      </c>
      <c r="Q134" s="18">
        <f t="shared" si="11"/>
        <v>91.108303516805378</v>
      </c>
      <c r="R134" s="18">
        <f t="shared" si="12"/>
        <v>80.686822749064163</v>
      </c>
      <c r="S134" s="36">
        <f>SUM(J129:J135)</f>
        <v>34856</v>
      </c>
      <c r="T134" s="30" t="s">
        <v>3</v>
      </c>
      <c r="U134" s="1738"/>
    </row>
    <row r="135" spans="1:25" ht="18" thickBot="1">
      <c r="A135" s="10" t="s">
        <v>16</v>
      </c>
      <c r="B135" s="905">
        <v>45787</v>
      </c>
      <c r="C135" s="76">
        <f>IF(G135=0,0,CHAMNORD!C135+AIX!C135+BELLEY!C135+STALBAN!C135+ABRETS!C135+PONT!C135+FRANCIN!C135+VIVIERS!C135)</f>
        <v>108158.68</v>
      </c>
      <c r="D135" s="76">
        <f>IF(H135=0,0,CHAMNORD!D135+AIX!D135+BELLEY!D135+STALBAN!D135+ABRETS!D135+PONT!D135+FRANCIN!D135+VIVIERS!D135)</f>
        <v>119714.22</v>
      </c>
      <c r="E135" s="76">
        <f>IF(I135=0,0,CHAMNORD!E135+AIX!E135+BELLEY!E135+STALBAN!E135+ABRETS!E135+PONT!E135+FRANCIN!E135+VIVIERS!E135)</f>
        <v>118477.01</v>
      </c>
      <c r="F135" s="20">
        <f>IF(J135=0,0,CHAMNORD!F135+AIX!F135+BELLEY!F135+STALBAN!F135+ABRETS!F135+PONT!F135+FRANCIN!F135+VIVIERS!F135)</f>
        <v>5797</v>
      </c>
      <c r="G135" s="40">
        <f>IF(I135=0,0,CHAMNORD!G135+AIX!G135+BELLEY!G135+STALBAN!G135+ABRETS!G135+PONT!G135+FRANCIN!G135+VIVIERS!G135)</f>
        <v>120100</v>
      </c>
      <c r="H135" s="42">
        <f>CHAMNORD!H135+AIX!H135+BELLEY!H135+STALBAN!H135+ABRETS!H135+PONT!H135+FRANCIN!H135+VIVIERS!H135</f>
        <v>122486.39</v>
      </c>
      <c r="I135" s="13">
        <f>CHAMNORD!I135+AIX!I135+BELLEY!I135+STALBAN!I135+ABRETS!I135+PONT!I135+FRANCIN!I135+VIVIERS!I135</f>
        <v>120529.32</v>
      </c>
      <c r="J135" s="14">
        <f>CHAMNORD!J135+AIX!J135+BELLEY!J135+STALBAN!J135+ABRETS!J135+PONT!J135+FRANCIN!J135+VIVIERS!J135</f>
        <v>5600</v>
      </c>
      <c r="K135" s="15">
        <f>CHAMNORD!K135+AIX!K135+BELLEY!K135+STALBAN!K135+ABRETS!K135+PONT!K135+FRANCIN!K135+VIVIERS!K135</f>
        <v>988.85</v>
      </c>
      <c r="L135" s="15">
        <f>CHAMNORD!L135+AIX!L135+BELLEY!L135+STALBAN!L135+ABRETS!L135+PONT!L135+FRANCIN!L135+VIVIERS!L135</f>
        <v>1098.1500000000001</v>
      </c>
      <c r="M135" s="15">
        <f>CHAMNORD!M135+AIX!M135+BELLEY!M135+STALBAN!M135+ABRETS!M135+PONT!M135+FRANCIN!M135+VIVIERS!M135</f>
        <v>544.41</v>
      </c>
      <c r="N135" s="16">
        <f t="shared" si="10"/>
        <v>4.516826279282086E-3</v>
      </c>
      <c r="O135" s="17">
        <f t="shared" ref="O135:O198" si="13">IF(I135=0,"",(I135-E135)/E135)</f>
        <v>1.7322432428029812E-2</v>
      </c>
      <c r="P135" s="17">
        <f t="shared" ref="P135:P198" si="14">IF(J135=0,"",(J135-F135)/F135)</f>
        <v>-3.3983094704157321E-2</v>
      </c>
      <c r="Q135" s="18">
        <f t="shared" si="11"/>
        <v>121.88837538554887</v>
      </c>
      <c r="R135" s="18">
        <f t="shared" si="12"/>
        <v>109.75669990438465</v>
      </c>
      <c r="S135" s="37">
        <f>(S134-SUM(F129:F135))/(SUM(F129:F135))</f>
        <v>-5.3212005975825073E-2</v>
      </c>
      <c r="T135" s="47">
        <f>SUM(M129:M135)/SUM(I129:I135)</f>
        <v>5.1211547173056595E-3</v>
      </c>
      <c r="U135" s="1739"/>
    </row>
    <row r="136" spans="1:25" ht="17" customHeight="1" thickTop="1">
      <c r="A136" s="10" t="s">
        <v>9</v>
      </c>
      <c r="B136" s="905">
        <v>45788</v>
      </c>
      <c r="C136" s="76">
        <f>IF(G136=0,0,CHAMNORD!C136+AIX!C136+BELLEY!C136+STALBAN!C136+ABRETS!C136+PONT!C136+FRANCIN!C136+VIVIERS!C136)</f>
        <v>119714.22</v>
      </c>
      <c r="D136" s="76">
        <f>IF(H136=0,0,CHAMNORD!D136+AIX!D136+BELLEY!D136+STALBAN!D136+ABRETS!D136+PONT!D136+FRANCIN!D136+VIVIERS!D136)</f>
        <v>63793.61</v>
      </c>
      <c r="E136" s="76">
        <f>IF(I136=0,0,CHAMNORD!E136+AIX!E136+BELLEY!E136+STALBAN!E136+ABRETS!E136+PONT!E136+FRANCIN!E136+VIVIERS!E136)</f>
        <v>63304.44</v>
      </c>
      <c r="F136" s="20">
        <f>IF(J136=0,0,CHAMNORD!F136+AIX!F136+BELLEY!F136+STALBAN!F136+ABRETS!F136+PONT!F136+FRANCIN!F136+VIVIERS!F136)</f>
        <v>3886</v>
      </c>
      <c r="G136" s="40">
        <f>IF(I136=0,0,CHAMNORD!G136+AIX!G136+BELLEY!G136+STALBAN!G136+ABRETS!G136+PONT!G136+FRANCIN!G136+VIVIERS!G136)</f>
        <v>64300</v>
      </c>
      <c r="H136" s="42">
        <f>CHAMNORD!H136+AIX!H136+BELLEY!H136+STALBAN!H136+ABRETS!H136+PONT!H136+FRANCIN!H136+VIVIERS!H136</f>
        <v>61935.43</v>
      </c>
      <c r="I136" s="13">
        <f>CHAMNORD!I136+AIX!I136+BELLEY!I136+STALBAN!I136+ABRETS!I136+PONT!I136+FRANCIN!I136+VIVIERS!I136</f>
        <v>61035.340000000004</v>
      </c>
      <c r="J136" s="14">
        <f>CHAMNORD!J136+AIX!J136+BELLEY!J136+STALBAN!J136+ABRETS!J136+PONT!J136+FRANCIN!J136+VIVIERS!J136</f>
        <v>3553</v>
      </c>
      <c r="K136" s="15">
        <f>CHAMNORD!K136+AIX!K136+BELLEY!K136+STALBAN!K136+ABRETS!K136+PONT!K136+FRANCIN!K136+VIVIERS!K136</f>
        <v>723.07999999999981</v>
      </c>
      <c r="L136" s="15">
        <f>CHAMNORD!L136+AIX!L136+BELLEY!L136+STALBAN!L136+ABRETS!L136+PONT!L136+FRANCIN!L136+VIVIERS!L136</f>
        <v>814.95</v>
      </c>
      <c r="M136" s="15">
        <f>CHAMNORD!M136+AIX!M136+BELLEY!M136+STALBAN!M136+ABRETS!M136+PONT!M136+FRANCIN!M136+VIVIERS!M136</f>
        <v>630.74</v>
      </c>
      <c r="N136" s="16">
        <f t="shared" si="10"/>
        <v>1.0334013048833674E-2</v>
      </c>
      <c r="O136" s="17">
        <f t="shared" si="13"/>
        <v>-3.5844247259749842E-2</v>
      </c>
      <c r="P136" s="17">
        <f t="shared" si="14"/>
        <v>-8.5692228512609367E-2</v>
      </c>
      <c r="Q136" s="18">
        <f t="shared" si="11"/>
        <v>84.410217403330222</v>
      </c>
      <c r="R136" s="18">
        <f t="shared" si="12"/>
        <v>74.894582489723291</v>
      </c>
      <c r="S136" s="33" t="s">
        <v>482</v>
      </c>
      <c r="T136" s="31" t="s">
        <v>42</v>
      </c>
      <c r="U136" s="1737" t="s">
        <v>102</v>
      </c>
    </row>
    <row r="137" spans="1:25">
      <c r="A137" s="10" t="s">
        <v>11</v>
      </c>
      <c r="B137" s="905">
        <v>45789</v>
      </c>
      <c r="C137" s="76">
        <f>IF(G137=0,0,CHAMNORD!C137+AIX!C137+BELLEY!C137+STALBAN!C137+ABRETS!C137+PONT!C137+FRANCIN!C137+VIVIERS!C137)</f>
        <v>63793.61</v>
      </c>
      <c r="D137" s="76">
        <f>IF(H137=0,0,CHAMNORD!D137+AIX!D137+BELLEY!D137+STALBAN!D137+ABRETS!D137+PONT!D137+FRANCIN!D137+VIVIERS!D137)</f>
        <v>76994.23</v>
      </c>
      <c r="E137" s="76">
        <f>IF(I137=0,0,CHAMNORD!E137+AIX!E137+BELLEY!E137+STALBAN!E137+ABRETS!E137+PONT!E137+FRANCIN!E137+VIVIERS!E137)</f>
        <v>76212.97</v>
      </c>
      <c r="F137" s="20">
        <f>IF(J137=0,0,CHAMNORD!F137+AIX!F137+BELLEY!F137+STALBAN!F137+ABRETS!F137+PONT!F137+FRANCIN!F137+VIVIERS!F137)</f>
        <v>4556</v>
      </c>
      <c r="G137" s="40">
        <f>IF(I137=0,0,CHAMNORD!G137+AIX!G137+BELLEY!G137+STALBAN!G137+ABRETS!G137+PONT!G137+FRANCIN!G137+VIVIERS!G137)</f>
        <v>76400</v>
      </c>
      <c r="H137" s="42">
        <f>CHAMNORD!H137+AIX!H137+BELLEY!H137+STALBAN!H137+ABRETS!H137+PONT!H137+FRANCIN!H137+VIVIERS!H137</f>
        <v>75219.14</v>
      </c>
      <c r="I137" s="13">
        <f>CHAMNORD!I137+AIX!I137+BELLEY!I137+STALBAN!I137+ABRETS!I137+PONT!I137+FRANCIN!I137+VIVIERS!I137</f>
        <v>74194.28</v>
      </c>
      <c r="J137" s="14">
        <f>CHAMNORD!J137+AIX!J137+BELLEY!J137+STALBAN!J137+ABRETS!J137+PONT!J137+FRANCIN!J137+VIVIERS!J137</f>
        <v>4204</v>
      </c>
      <c r="K137" s="15">
        <f>CHAMNORD!K137+AIX!K137+BELLEY!K137+STALBAN!K137+ABRETS!K137+PONT!K137+FRANCIN!K137+VIVIERS!K137</f>
        <v>805.66000000000008</v>
      </c>
      <c r="L137" s="15">
        <f>CHAMNORD!L137+AIX!L137+BELLEY!L137+STALBAN!L137+ABRETS!L137+PONT!L137+FRANCIN!L137+VIVIERS!L137</f>
        <v>926.04</v>
      </c>
      <c r="M137" s="15">
        <f>CHAMNORD!M137+AIX!M137+BELLEY!M137+STALBAN!M137+ABRETS!M137+PONT!M137+FRANCIN!M137+VIVIERS!M137</f>
        <v>370.68</v>
      </c>
      <c r="N137" s="16">
        <f t="shared" si="10"/>
        <v>4.9960724735114356E-3</v>
      </c>
      <c r="O137" s="17">
        <f t="shared" si="13"/>
        <v>-2.6487486316305511E-2</v>
      </c>
      <c r="P137" s="17">
        <f t="shared" si="14"/>
        <v>-7.7260755048287971E-2</v>
      </c>
      <c r="Q137" s="18">
        <f t="shared" si="11"/>
        <v>92.091304024029981</v>
      </c>
      <c r="R137" s="18">
        <f t="shared" si="12"/>
        <v>80.119951621960183</v>
      </c>
      <c r="S137" s="34">
        <f>SUM(I136:I142)</f>
        <v>636764.99</v>
      </c>
      <c r="T137" s="45" t="s">
        <v>41</v>
      </c>
      <c r="U137" s="1738"/>
      <c r="W137" s="202">
        <f>+S137</f>
        <v>636764.99</v>
      </c>
      <c r="X137" s="202">
        <f>SUM(CHAMNORD!E136:E142)+SUM(AIX!E136:E142)+SUM(BELLEY!E136:E142)+SUM(STALBAN!E136:E142)+SUM(ABRETS!E136:E142)+SUM(PONT!E136:E142)+SUM(FRANCIN!E136:E142)+SUM(VIVIERS!E136:E142)</f>
        <v>658221.81999999995</v>
      </c>
      <c r="Y137" s="202">
        <f>+W137-X137</f>
        <v>-21456.829999999958</v>
      </c>
    </row>
    <row r="138" spans="1:25">
      <c r="A138" s="10" t="s">
        <v>12</v>
      </c>
      <c r="B138" s="905">
        <v>45790</v>
      </c>
      <c r="C138" s="76">
        <f>IF(G138=0,0,CHAMNORD!C138+AIX!C138+BELLEY!C138+STALBAN!C138+ABRETS!C138+PONT!C138+FRANCIN!C138+VIVIERS!C138)</f>
        <v>76994.23</v>
      </c>
      <c r="D138" s="76">
        <f>IF(H138=0,0,CHAMNORD!D138+AIX!D138+BELLEY!D138+STALBAN!D138+ABRETS!D138+PONT!D138+FRANCIN!D138+VIVIERS!D138)</f>
        <v>91663.959999999992</v>
      </c>
      <c r="E138" s="76">
        <f>IF(I138=0,0,CHAMNORD!E138+AIX!E138+BELLEY!E138+STALBAN!E138+ABRETS!E138+PONT!E138+FRANCIN!E138+VIVIERS!E138)</f>
        <v>90647.529999999984</v>
      </c>
      <c r="F138" s="20">
        <f>IF(J138=0,0,CHAMNORD!F138+AIX!F138+BELLEY!F138+STALBAN!F138+ABRETS!F138+PONT!F138+FRANCIN!F138+VIVIERS!F138)</f>
        <v>5394</v>
      </c>
      <c r="G138" s="40">
        <f>IF(I138=0,0,CHAMNORD!G138+AIX!G138+BELLEY!G138+STALBAN!G138+ABRETS!G138+PONT!G138+FRANCIN!G138+VIVIERS!G138)</f>
        <v>96500</v>
      </c>
      <c r="H138" s="42">
        <f>CHAMNORD!H138+AIX!H138+BELLEY!H138+STALBAN!H138+ABRETS!H138+PONT!H138+FRANCIN!H138+VIVIERS!H138</f>
        <v>105622.79000000001</v>
      </c>
      <c r="I138" s="13">
        <f>CHAMNORD!I138+AIX!I138+BELLEY!I138+STALBAN!I138+ABRETS!I138+PONT!I138+FRANCIN!I138+VIVIERS!I138</f>
        <v>103993.5</v>
      </c>
      <c r="J138" s="14">
        <f>CHAMNORD!J138+AIX!J138+BELLEY!J138+STALBAN!J138+ABRETS!J138+PONT!J138+FRANCIN!J138+VIVIERS!J138</f>
        <v>5559</v>
      </c>
      <c r="K138" s="15">
        <f>CHAMNORD!K138+AIX!K138+BELLEY!K138+STALBAN!K138+ABRETS!K138+PONT!K138+FRANCIN!K138+VIVIERS!K138</f>
        <v>974.05</v>
      </c>
      <c r="L138" s="15">
        <f>CHAMNORD!L138+AIX!L138+BELLEY!L138+STALBAN!L138+ABRETS!L138+PONT!L138+FRANCIN!L138+VIVIERS!L138</f>
        <v>1093.8399999999999</v>
      </c>
      <c r="M138" s="15">
        <f>CHAMNORD!M138+AIX!M138+BELLEY!M138+STALBAN!M138+ABRETS!M138+PONT!M138+FRANCIN!M138+VIVIERS!M138</f>
        <v>511.44</v>
      </c>
      <c r="N138" s="16">
        <f t="shared" si="10"/>
        <v>4.9179996826724751E-3</v>
      </c>
      <c r="O138" s="17">
        <f t="shared" si="13"/>
        <v>0.14722927364926566</v>
      </c>
      <c r="P138" s="17">
        <f t="shared" si="14"/>
        <v>3.0589543937708564E-2</v>
      </c>
      <c r="Q138" s="18">
        <f t="shared" si="11"/>
        <v>106.76402648734665</v>
      </c>
      <c r="R138" s="18">
        <f t="shared" si="12"/>
        <v>95.071948365391648</v>
      </c>
      <c r="S138" s="35">
        <f>(S137-SUM(E136:E142))/(SUM(E136:E142))</f>
        <v>-3.2598174882746911E-2</v>
      </c>
      <c r="T138" s="48">
        <f>SUM(I136:I142)/SUM(K136:K142)</f>
        <v>94.10955172836789</v>
      </c>
      <c r="U138" s="1738"/>
    </row>
    <row r="139" spans="1:25">
      <c r="A139" s="10" t="s">
        <v>13</v>
      </c>
      <c r="B139" s="905">
        <v>45791</v>
      </c>
      <c r="C139" s="76">
        <f>IF(G139=0,0,CHAMNORD!C139+AIX!C139+BELLEY!C139+STALBAN!C139+ABRETS!C139+PONT!C139+FRANCIN!C139+VIVIERS!C139)</f>
        <v>91663.959999999992</v>
      </c>
      <c r="D139" s="76">
        <f>IF(H139=0,0,CHAMNORD!D139+AIX!D139+BELLEY!D139+STALBAN!D139+ABRETS!D139+PONT!D139+FRANCIN!D139+VIVIERS!D139)</f>
        <v>81157.61</v>
      </c>
      <c r="E139" s="76">
        <f>IF(I139=0,0,CHAMNORD!E139+AIX!E139+BELLEY!E139+STALBAN!E139+ABRETS!E139+PONT!E139+FRANCIN!E139+VIVIERS!E139)</f>
        <v>80429.639999999985</v>
      </c>
      <c r="F139" s="20">
        <f>IF(J139=0,0,CHAMNORD!F139+AIX!F139+BELLEY!F139+STALBAN!F139+ABRETS!F139+PONT!F139+FRANCIN!F139+VIVIERS!F139)</f>
        <v>4849</v>
      </c>
      <c r="G139" s="40">
        <f>IF(I139=0,0,CHAMNORD!G139+AIX!G139+BELLEY!G139+STALBAN!G139+ABRETS!G139+PONT!G139+FRANCIN!G139+VIVIERS!G139)</f>
        <v>123100</v>
      </c>
      <c r="H139" s="42">
        <f>CHAMNORD!H139+AIX!H139+BELLEY!H139+STALBAN!H139+ABRETS!H139+PONT!H139+FRANCIN!H139+VIVIERS!H139</f>
        <v>101578.25</v>
      </c>
      <c r="I139" s="13">
        <f>CHAMNORD!I139+AIX!I139+BELLEY!I139+STALBAN!I139+ABRETS!I139+PONT!I139+FRANCIN!I139+VIVIERS!I139</f>
        <v>99864.4</v>
      </c>
      <c r="J139" s="14">
        <f>CHAMNORD!J139+AIX!J139+BELLEY!J139+STALBAN!J139+ABRETS!J139+PONT!J139+FRANCIN!J139+VIVIERS!J139</f>
        <v>4934</v>
      </c>
      <c r="K139" s="15">
        <f>CHAMNORD!K139+AIX!K139+BELLEY!K139+STALBAN!K139+ABRETS!K139+PONT!K139+FRANCIN!K139+VIVIERS!K139</f>
        <v>979.49</v>
      </c>
      <c r="L139" s="15">
        <f>CHAMNORD!L139+AIX!L139+BELLEY!L139+STALBAN!L139+ABRETS!L139+PONT!L139+FRANCIN!L139+VIVIERS!L139</f>
        <v>1097.96</v>
      </c>
      <c r="M139" s="15">
        <f>CHAMNORD!M139+AIX!M139+BELLEY!M139+STALBAN!M139+ABRETS!M139+PONT!M139+FRANCIN!M139+VIVIERS!M139</f>
        <v>424</v>
      </c>
      <c r="N139" s="16">
        <f t="shared" si="10"/>
        <v>4.2457572468266973E-3</v>
      </c>
      <c r="O139" s="17">
        <f t="shared" si="13"/>
        <v>0.24163678962133875</v>
      </c>
      <c r="P139" s="17">
        <f t="shared" si="14"/>
        <v>1.7529387502577851E-2</v>
      </c>
      <c r="Q139" s="18">
        <f t="shared" si="11"/>
        <v>101.95550745796281</v>
      </c>
      <c r="R139" s="18">
        <f t="shared" si="12"/>
        <v>90.954497431600416</v>
      </c>
      <c r="S139" s="34"/>
      <c r="T139" s="29" t="s">
        <v>8</v>
      </c>
      <c r="U139" s="1738"/>
    </row>
    <row r="140" spans="1:25">
      <c r="A140" s="10" t="s">
        <v>14</v>
      </c>
      <c r="B140" s="905">
        <v>45792</v>
      </c>
      <c r="C140" s="76">
        <f>IF(G140=0,0,CHAMNORD!C140+AIX!C140+BELLEY!C140+STALBAN!C140+ABRETS!C140+PONT!C140+FRANCIN!C140+VIVIERS!C140)</f>
        <v>81157.61</v>
      </c>
      <c r="D140" s="76">
        <f>IF(H140=0,0,CHAMNORD!D140+AIX!D140+BELLEY!D140+STALBAN!D140+ABRETS!D140+PONT!D140+FRANCIN!D140+VIVIERS!D140)</f>
        <v>112539.98</v>
      </c>
      <c r="E140" s="76">
        <f>IF(I140=0,0,CHAMNORD!E140+AIX!E140+BELLEY!E140+STALBAN!E140+ABRETS!E140+PONT!E140+FRANCIN!E140+VIVIERS!E140)</f>
        <v>111550.76999999999</v>
      </c>
      <c r="F140" s="20">
        <f>IF(J140=0,0,CHAMNORD!F140+AIX!F140+BELLEY!F140+STALBAN!F140+ABRETS!F140+PONT!F140+FRANCIN!F140+VIVIERS!F140)</f>
        <v>6504</v>
      </c>
      <c r="G140" s="40">
        <f>IF(I140=0,0,CHAMNORD!G140+AIX!G140+BELLEY!G140+STALBAN!G140+ABRETS!G140+PONT!G140+FRANCIN!G140+VIVIERS!G140)</f>
        <v>112100</v>
      </c>
      <c r="H140" s="42">
        <f>CHAMNORD!H140+AIX!H140+BELLEY!H140+STALBAN!H140+ABRETS!H140+PONT!H140+FRANCIN!H140+VIVIERS!H140</f>
        <v>93958.88</v>
      </c>
      <c r="I140" s="13">
        <f>CHAMNORD!I140+AIX!I140+BELLEY!I140+STALBAN!I140+ABRETS!I140+PONT!I140+FRANCIN!I140+VIVIERS!I140</f>
        <v>92332.08</v>
      </c>
      <c r="J140" s="14">
        <f>CHAMNORD!J140+AIX!J140+BELLEY!J140+STALBAN!J140+ABRETS!J140+PONT!J140+FRANCIN!J140+VIVIERS!J140</f>
        <v>4840</v>
      </c>
      <c r="K140" s="15">
        <f>CHAMNORD!K140+AIX!K140+BELLEY!K140+STALBAN!K140+ABRETS!K140+PONT!K140+FRANCIN!K140+VIVIERS!K140</f>
        <v>1134.04</v>
      </c>
      <c r="L140" s="15">
        <f>CHAMNORD!L140+AIX!L140+BELLEY!L140+STALBAN!L140+ABRETS!L140+PONT!L140+FRANCIN!L140+VIVIERS!L140</f>
        <v>1252.8</v>
      </c>
      <c r="M140" s="15">
        <f>CHAMNORD!M140+AIX!M140+BELLEY!M140+STALBAN!M140+ABRETS!M140+PONT!M140+FRANCIN!M140+VIVIERS!M140</f>
        <v>405.52</v>
      </c>
      <c r="N140" s="16">
        <f t="shared" si="10"/>
        <v>4.3919729740735831E-3</v>
      </c>
      <c r="O140" s="17">
        <f t="shared" si="13"/>
        <v>-0.1722864844411203</v>
      </c>
      <c r="P140" s="17">
        <f t="shared" si="14"/>
        <v>-0.25584255842558423</v>
      </c>
      <c r="Q140" s="18">
        <f t="shared" si="11"/>
        <v>81.418715389227899</v>
      </c>
      <c r="R140" s="18">
        <f t="shared" si="12"/>
        <v>73.700574712643686</v>
      </c>
      <c r="S140" s="36" t="s">
        <v>40</v>
      </c>
      <c r="T140" s="48">
        <f>SUM(I136:I142)/SUM(L136:L142)</f>
        <v>83.998067463337861</v>
      </c>
      <c r="U140" s="1738"/>
    </row>
    <row r="141" spans="1:25">
      <c r="A141" s="10" t="s">
        <v>15</v>
      </c>
      <c r="B141" s="905">
        <v>45793</v>
      </c>
      <c r="C141" s="76">
        <f>IF(G141=0,0,CHAMNORD!C141+AIX!C141+BELLEY!C141+STALBAN!C141+ABRETS!C141+PONT!C141+FRANCIN!C141+VIVIERS!C141)</f>
        <v>112539.98</v>
      </c>
      <c r="D141" s="76">
        <f>IF(H141=0,0,CHAMNORD!D141+AIX!D141+BELLEY!D141+STALBAN!D141+ABRETS!D141+PONT!D141+FRANCIN!D141+VIVIERS!D141)</f>
        <v>113647.35</v>
      </c>
      <c r="E141" s="76">
        <f>IF(I141=0,0,CHAMNORD!E141+AIX!E141+BELLEY!E141+STALBAN!E141+ABRETS!E141+PONT!E141+FRANCIN!E141+VIVIERS!E141)</f>
        <v>112451.14000000001</v>
      </c>
      <c r="F141" s="20">
        <f>IF(J141=0,0,CHAMNORD!F141+AIX!F141+BELLEY!F141+STALBAN!F141+ABRETS!F141+PONT!F141+FRANCIN!F141+VIVIERS!F141)</f>
        <v>6089</v>
      </c>
      <c r="G141" s="40">
        <f>IF(I141=0,0,CHAMNORD!G141+AIX!G141+BELLEY!G141+STALBAN!G141+ABRETS!G141+PONT!G141+FRANCIN!G141+VIVIERS!G141)</f>
        <v>111500</v>
      </c>
      <c r="H141" s="42">
        <f>CHAMNORD!H141+AIX!H141+BELLEY!H141+STALBAN!H141+ABRETS!H141+PONT!H141+FRANCIN!H141+VIVIERS!H141</f>
        <v>90780.81</v>
      </c>
      <c r="I141" s="13">
        <f>CHAMNORD!I141+AIX!I141+BELLEY!I141+STALBAN!I141+ABRETS!I141+PONT!I141+FRANCIN!I141+VIVIERS!I141</f>
        <v>89214.680000000008</v>
      </c>
      <c r="J141" s="14">
        <f>CHAMNORD!J141+AIX!J141+BELLEY!J141+STALBAN!J141+ABRETS!J141+PONT!J141+FRANCIN!J141+VIVIERS!J141</f>
        <v>4690</v>
      </c>
      <c r="K141" s="15">
        <f>CHAMNORD!K141+AIX!K141+BELLEY!K141+STALBAN!K141+ABRETS!K141+PONT!K141+FRANCIN!K141+VIVIERS!K141</f>
        <v>1078.3699999999999</v>
      </c>
      <c r="L141" s="15">
        <f>CHAMNORD!L141+AIX!L141+BELLEY!L141+STALBAN!L141+ABRETS!L141+PONT!L141+FRANCIN!L141+VIVIERS!L141</f>
        <v>1212.8900000000003</v>
      </c>
      <c r="M141" s="15">
        <f>CHAMNORD!M141+AIX!M141+BELLEY!M141+STALBAN!M141+ABRETS!M141+PONT!M141+FRANCIN!M141+VIVIERS!M141</f>
        <v>462.6</v>
      </c>
      <c r="N141" s="16">
        <f t="shared" si="10"/>
        <v>5.1852452981953189E-3</v>
      </c>
      <c r="O141" s="17">
        <f t="shared" si="13"/>
        <v>-0.20663605544594749</v>
      </c>
      <c r="P141" s="17">
        <f t="shared" si="14"/>
        <v>-0.22975858104779109</v>
      </c>
      <c r="Q141" s="18">
        <f t="shared" si="11"/>
        <v>82.731047785083064</v>
      </c>
      <c r="R141" s="18">
        <f t="shared" si="12"/>
        <v>73.555458450477772</v>
      </c>
      <c r="S141" s="36">
        <f>SUM(J136:J142)</f>
        <v>33108</v>
      </c>
      <c r="T141" s="30" t="s">
        <v>3</v>
      </c>
      <c r="U141" s="1738"/>
    </row>
    <row r="142" spans="1:25" ht="18" thickBot="1">
      <c r="A142" s="10" t="s">
        <v>16</v>
      </c>
      <c r="B142" s="905">
        <v>45794</v>
      </c>
      <c r="C142" s="76">
        <f>IF(G142=0,0,CHAMNORD!C142+AIX!C142+BELLEY!C142+STALBAN!C142+ABRETS!C142+PONT!C142+FRANCIN!C142+VIVIERS!C142)</f>
        <v>113647.35</v>
      </c>
      <c r="D142" s="76">
        <f>IF(H142=0,0,CHAMNORD!D142+AIX!D142+BELLEY!D142+STALBAN!D142+ABRETS!D142+PONT!D142+FRANCIN!D142+VIVIERS!D142)</f>
        <v>124809.90999999999</v>
      </c>
      <c r="E142" s="76">
        <f>IF(I142=0,0,CHAMNORD!E142+AIX!E142+BELLEY!E142+STALBAN!E142+ABRETS!E142+PONT!E142+FRANCIN!E142+VIVIERS!E142)</f>
        <v>123625.33</v>
      </c>
      <c r="F142" s="20">
        <f>IF(J142=0,0,CHAMNORD!F142+AIX!F142+BELLEY!F142+STALBAN!F142+ABRETS!F142+PONT!F142+FRANCIN!F142+VIVIERS!F142)</f>
        <v>6183</v>
      </c>
      <c r="G142" s="40">
        <f>IF(I142=0,0,CHAMNORD!G142+AIX!G142+BELLEY!G142+STALBAN!G142+ABRETS!G142+PONT!G142+FRANCIN!G142+VIVIERS!G142)</f>
        <v>127300</v>
      </c>
      <c r="H142" s="42">
        <f>CHAMNORD!H142+AIX!H142+BELLEY!H142+STALBAN!H142+ABRETS!H142+PONT!H142+FRANCIN!H142+VIVIERS!H142</f>
        <v>117843.89000000001</v>
      </c>
      <c r="I142" s="13">
        <f>CHAMNORD!I142+AIX!I142+BELLEY!I142+STALBAN!I142+ABRETS!I142+PONT!I142+FRANCIN!I142+VIVIERS!I142</f>
        <v>116130.71000000002</v>
      </c>
      <c r="J142" s="14">
        <f>CHAMNORD!J142+AIX!J142+BELLEY!J142+STALBAN!J142+ABRETS!J142+PONT!J142+FRANCIN!J142+VIVIERS!J142</f>
        <v>5328</v>
      </c>
      <c r="K142" s="15">
        <f>CHAMNORD!K142+AIX!K142+BELLEY!K142+STALBAN!K142+ABRETS!K142+PONT!K142+FRANCIN!K142+VIVIERS!K142</f>
        <v>1071.52</v>
      </c>
      <c r="L142" s="15">
        <f>CHAMNORD!L142+AIX!L142+BELLEY!L142+STALBAN!L142+ABRETS!L142+PONT!L142+FRANCIN!L142+VIVIERS!L142</f>
        <v>1182.2299999999998</v>
      </c>
      <c r="M142" s="15">
        <f>CHAMNORD!M142+AIX!M142+BELLEY!M142+STALBAN!M142+ABRETS!M142+PONT!M142+FRANCIN!M142+VIVIERS!M142</f>
        <v>413.15000000000003</v>
      </c>
      <c r="N142" s="16">
        <f t="shared" si="10"/>
        <v>3.5576291576965295E-3</v>
      </c>
      <c r="O142" s="17">
        <f t="shared" si="13"/>
        <v>-6.0623660215911909E-2</v>
      </c>
      <c r="P142" s="17">
        <f t="shared" si="14"/>
        <v>-0.13828238719068414</v>
      </c>
      <c r="Q142" s="18">
        <f t="shared" si="11"/>
        <v>108.37941428998062</v>
      </c>
      <c r="R142" s="18">
        <f t="shared" si="12"/>
        <v>98.230217470373816</v>
      </c>
      <c r="S142" s="37">
        <f>(S141-SUM(F136:F142))/(SUM(F136:F142))</f>
        <v>-0.11620084888283815</v>
      </c>
      <c r="T142" s="47">
        <f>SUM(M136:M142)/SUM(I136:I142)</f>
        <v>5.0538739574862625E-3</v>
      </c>
      <c r="U142" s="1739"/>
    </row>
    <row r="143" spans="1:25" ht="17" customHeight="1" thickTop="1">
      <c r="A143" s="10" t="s">
        <v>9</v>
      </c>
      <c r="B143" s="905">
        <v>45795</v>
      </c>
      <c r="C143" s="76">
        <f>IF(G143=0,0,CHAMNORD!C143+AIX!C143+BELLEY!C143+STALBAN!C143+ABRETS!C143+PONT!C143+FRANCIN!C143+VIVIERS!C143)</f>
        <v>124809.90999999999</v>
      </c>
      <c r="D143" s="76">
        <f>IF(H143=0,0,CHAMNORD!D143+AIX!D143+BELLEY!D143+STALBAN!D143+ABRETS!D143+PONT!D143+FRANCIN!D143+VIVIERS!D143)</f>
        <v>65839.740000000005</v>
      </c>
      <c r="E143" s="76">
        <f>IF(I143=0,0,CHAMNORD!E143+AIX!E143+BELLEY!E143+STALBAN!E143+ABRETS!E143+PONT!E143+FRANCIN!E143+VIVIERS!E143)</f>
        <v>65292.06</v>
      </c>
      <c r="F143" s="20">
        <f>IF(J143=0,0,CHAMNORD!F143+AIX!F143+BELLEY!F143+STALBAN!F143+ABRETS!F143+PONT!F143+FRANCIN!F143+VIVIERS!F143)</f>
        <v>3860</v>
      </c>
      <c r="G143" s="40">
        <f>IF(I143=0,0,CHAMNORD!G143+AIX!G143+BELLEY!G143+STALBAN!G143+ABRETS!G143+PONT!G143+FRANCIN!G143+VIVIERS!G143)</f>
        <v>65100</v>
      </c>
      <c r="H143" s="42">
        <f>CHAMNORD!H143+AIX!H143+BELLEY!H143+STALBAN!H143+ABRETS!H143+PONT!H143+FRANCIN!H143+VIVIERS!H143</f>
        <v>59771.34</v>
      </c>
      <c r="I143" s="13">
        <f>CHAMNORD!I143+AIX!I143+BELLEY!I143+STALBAN!I143+ABRETS!I143+PONT!I143+FRANCIN!I143+VIVIERS!I143</f>
        <v>59095.75</v>
      </c>
      <c r="J143" s="14">
        <f>CHAMNORD!J143+AIX!J143+BELLEY!J143+STALBAN!J143+ABRETS!J143+PONT!J143+FRANCIN!J143+VIVIERS!J143</f>
        <v>3477</v>
      </c>
      <c r="K143" s="15">
        <f>CHAMNORD!K143+AIX!K143+BELLEY!K143+STALBAN!K143+ABRETS!K143+PONT!K143+FRANCIN!K143+VIVIERS!K143</f>
        <v>740.81</v>
      </c>
      <c r="L143" s="15">
        <f>CHAMNORD!L143+AIX!L143+BELLEY!L143+STALBAN!L143+ABRETS!L143+PONT!L143+FRANCIN!L143+VIVIERS!L143</f>
        <v>841.35000000000014</v>
      </c>
      <c r="M143" s="15">
        <f>CHAMNORD!M143+AIX!M143+BELLEY!M143+STALBAN!M143+ABRETS!M143+PONT!M143+FRANCIN!M143+VIVIERS!M143</f>
        <v>606.35000000000014</v>
      </c>
      <c r="N143" s="16">
        <f t="shared" si="10"/>
        <v>1.0260467123270289E-2</v>
      </c>
      <c r="O143" s="17">
        <f t="shared" si="13"/>
        <v>-9.4901432119004939E-2</v>
      </c>
      <c r="P143" s="17">
        <f t="shared" si="14"/>
        <v>-9.9222797927461137E-2</v>
      </c>
      <c r="Q143" s="18">
        <f t="shared" si="11"/>
        <v>79.771803836341306</v>
      </c>
      <c r="R143" s="18">
        <f t="shared" si="12"/>
        <v>70.239198906519277</v>
      </c>
      <c r="S143" s="33" t="s">
        <v>39</v>
      </c>
      <c r="T143" s="31" t="s">
        <v>42</v>
      </c>
      <c r="U143" s="1737" t="s">
        <v>103</v>
      </c>
    </row>
    <row r="144" spans="1:25">
      <c r="A144" s="10" t="s">
        <v>11</v>
      </c>
      <c r="B144" s="905">
        <v>45796</v>
      </c>
      <c r="C144" s="76">
        <f>IF(G144=0,0,CHAMNORD!C144+AIX!C144+BELLEY!C144+STALBAN!C144+ABRETS!C144+PONT!C144+FRANCIN!C144+VIVIERS!C144)</f>
        <v>65839.740000000005</v>
      </c>
      <c r="D144" s="76">
        <f>IF(H144=0,0,CHAMNORD!D144+AIX!D144+BELLEY!D144+STALBAN!D144+ABRETS!D144+PONT!D144+FRANCIN!D144+VIVIERS!D144)</f>
        <v>74514.240000000005</v>
      </c>
      <c r="E144" s="76">
        <f>IF(I144=0,0,CHAMNORD!E144+AIX!E144+BELLEY!E144+STALBAN!E144+ABRETS!E144+PONT!E144+FRANCIN!E144+VIVIERS!E144)</f>
        <v>73717.459999999992</v>
      </c>
      <c r="F144" s="20">
        <f>IF(J144=0,0,CHAMNORD!F144+AIX!F144+BELLEY!F144+STALBAN!F144+ABRETS!F144+PONT!F144+FRANCIN!F144+VIVIERS!F144)</f>
        <v>4310</v>
      </c>
      <c r="G144" s="40">
        <f>IF(I144=0,0,CHAMNORD!G144+AIX!G144+BELLEY!G144+STALBAN!G144+ABRETS!G144+PONT!G144+FRANCIN!G144+VIVIERS!G144)</f>
        <v>73000</v>
      </c>
      <c r="H144" s="42">
        <f>CHAMNORD!H144+AIX!H144+BELLEY!H144+STALBAN!H144+ABRETS!H144+PONT!H144+FRANCIN!H144+VIVIERS!H144</f>
        <v>67874.239999999991</v>
      </c>
      <c r="I144" s="13">
        <f>CHAMNORD!I144+AIX!I144+BELLEY!I144+STALBAN!I144+ABRETS!I144+PONT!I144+FRANCIN!I144+VIVIERS!I144</f>
        <v>67072.42</v>
      </c>
      <c r="J144" s="14">
        <f>CHAMNORD!J144+AIX!J144+BELLEY!J144+STALBAN!J144+ABRETS!J144+PONT!J144+FRANCIN!J144+VIVIERS!J144</f>
        <v>3818</v>
      </c>
      <c r="K144" s="15">
        <f>CHAMNORD!K144+AIX!K144+BELLEY!K144+STALBAN!K144+ABRETS!K144+PONT!K144+FRANCIN!K144+VIVIERS!K144</f>
        <v>819.39999999999986</v>
      </c>
      <c r="L144" s="15">
        <f>CHAMNORD!L144+AIX!L144+BELLEY!L144+STALBAN!L144+ABRETS!L144+PONT!L144+FRANCIN!L144+VIVIERS!L144</f>
        <v>925.95999999999992</v>
      </c>
      <c r="M144" s="15">
        <f>CHAMNORD!M144+AIX!M144+BELLEY!M144+STALBAN!M144+ABRETS!M144+PONT!M144+FRANCIN!M144+VIVIERS!M144</f>
        <v>306.81999999999994</v>
      </c>
      <c r="N144" s="16">
        <f t="shared" si="10"/>
        <v>4.5744584733933853E-3</v>
      </c>
      <c r="O144" s="17">
        <f t="shared" si="13"/>
        <v>-9.0142009776245605E-2</v>
      </c>
      <c r="P144" s="17">
        <f t="shared" si="14"/>
        <v>-0.11415313225058005</v>
      </c>
      <c r="Q144" s="18">
        <f t="shared" si="11"/>
        <v>81.855528435440576</v>
      </c>
      <c r="R144" s="18">
        <f t="shared" si="12"/>
        <v>72.435547971834637</v>
      </c>
      <c r="S144" s="34">
        <f>SUM(I143:I149)</f>
        <v>586446.12</v>
      </c>
      <c r="T144" s="45" t="s">
        <v>41</v>
      </c>
      <c r="U144" s="1738"/>
      <c r="W144" s="202">
        <f>+S144</f>
        <v>586446.12</v>
      </c>
      <c r="X144" s="202">
        <f>SUM(CHAMNORD!E143:E149)+SUM(AIX!E143:E149)+SUM(BELLEY!E143:E149)+SUM(STALBAN!E143:E149)+SUM(ABRETS!E143:E149)+SUM(PONT!E143:E149)+SUM(FRANCIN!E143:E149)+SUM(VIVIERS!E143:E149)</f>
        <v>637781.1</v>
      </c>
      <c r="Y144" s="202">
        <f>+W144-X144</f>
        <v>-51334.979999999981</v>
      </c>
    </row>
    <row r="145" spans="1:25">
      <c r="A145" s="10" t="s">
        <v>12</v>
      </c>
      <c r="B145" s="905">
        <v>45797</v>
      </c>
      <c r="C145" s="76">
        <f>IF(G145=0,0,CHAMNORD!C145+AIX!C145+BELLEY!C145+STALBAN!C145+ABRETS!C145+PONT!C145+FRANCIN!C145+VIVIERS!C145)</f>
        <v>74514.240000000005</v>
      </c>
      <c r="D145" s="76">
        <f>IF(H145=0,0,CHAMNORD!D145+AIX!D145+BELLEY!D145+STALBAN!D145+ABRETS!D145+PONT!D145+FRANCIN!D145+VIVIERS!D145)</f>
        <v>87266.31</v>
      </c>
      <c r="E145" s="76">
        <f>IF(I145=0,0,CHAMNORD!E145+AIX!E145+BELLEY!E145+STALBAN!E145+ABRETS!E145+PONT!E145+FRANCIN!E145+VIVIERS!E145)</f>
        <v>86253.27</v>
      </c>
      <c r="F145" s="20">
        <f>IF(J145=0,0,CHAMNORD!F145+AIX!F145+BELLEY!F145+STALBAN!F145+ABRETS!F145+PONT!F145+FRANCIN!F145+VIVIERS!F145)</f>
        <v>4993</v>
      </c>
      <c r="G145" s="40">
        <f>IF(I145=0,0,CHAMNORD!G145+AIX!G145+BELLEY!G145+STALBAN!G145+ABRETS!G145+PONT!G145+FRANCIN!G145+VIVIERS!G145)</f>
        <v>86500</v>
      </c>
      <c r="H145" s="42">
        <f>CHAMNORD!H145+AIX!H145+BELLEY!H145+STALBAN!H145+ABRETS!H145+PONT!H145+FRANCIN!H145+VIVIERS!H145</f>
        <v>78123.94</v>
      </c>
      <c r="I145" s="13">
        <f>CHAMNORD!I145+AIX!I145+BELLEY!I145+STALBAN!I145+ABRETS!I145+PONT!I145+FRANCIN!I145+VIVIERS!I145</f>
        <v>77057.27</v>
      </c>
      <c r="J145" s="14">
        <f>CHAMNORD!J145+AIX!J145+BELLEY!J145+STALBAN!J145+ABRETS!J145+PONT!J145+FRANCIN!J145+VIVIERS!J145</f>
        <v>4446</v>
      </c>
      <c r="K145" s="15">
        <f>CHAMNORD!K145+AIX!K145+BELLEY!K145+STALBAN!K145+ABRETS!K145+PONT!K145+FRANCIN!K145+VIVIERS!K145</f>
        <v>993.56999999999982</v>
      </c>
      <c r="L145" s="15">
        <f>CHAMNORD!L145+AIX!L145+BELLEY!L145+STALBAN!L145+ABRETS!L145+PONT!L145+FRANCIN!L145+VIVIERS!L145</f>
        <v>1121.24</v>
      </c>
      <c r="M145" s="15">
        <f>CHAMNORD!M145+AIX!M145+BELLEY!M145+STALBAN!M145+ABRETS!M145+PONT!M145+FRANCIN!M145+VIVIERS!M145</f>
        <v>475.49</v>
      </c>
      <c r="N145" s="16">
        <f t="shared" si="10"/>
        <v>6.1706053173178855E-3</v>
      </c>
      <c r="O145" s="17">
        <f t="shared" si="13"/>
        <v>-0.10661624770863759</v>
      </c>
      <c r="P145" s="17">
        <f t="shared" si="14"/>
        <v>-0.10955337472461446</v>
      </c>
      <c r="Q145" s="18">
        <f t="shared" si="11"/>
        <v>77.555954789295185</v>
      </c>
      <c r="R145" s="18">
        <f t="shared" si="12"/>
        <v>68.725045485355508</v>
      </c>
      <c r="S145" s="35">
        <f>(S144-SUM(E143:E149))/(SUM(E143:E149))</f>
        <v>-8.0489967482573546E-2</v>
      </c>
      <c r="T145" s="48">
        <f>SUM(I143:I149)/SUM(K143:K149)</f>
        <v>87.452913500898475</v>
      </c>
      <c r="U145" s="1738"/>
    </row>
    <row r="146" spans="1:25">
      <c r="A146" s="10" t="s">
        <v>13</v>
      </c>
      <c r="B146" s="905">
        <v>45798</v>
      </c>
      <c r="C146" s="76">
        <f>IF(G146=0,0,CHAMNORD!C146+AIX!C146+BELLEY!C146+STALBAN!C146+ABRETS!C146+PONT!C146+FRANCIN!C146+VIVIERS!C146)</f>
        <v>87266.31</v>
      </c>
      <c r="D146" s="76">
        <f>IF(H146=0,0,CHAMNORD!D146+AIX!D146+BELLEY!D146+STALBAN!D146+ABRETS!D146+PONT!D146+FRANCIN!D146+VIVIERS!D146)</f>
        <v>77698.349999999991</v>
      </c>
      <c r="E146" s="76">
        <f>IF(I146=0,0,CHAMNORD!E146+AIX!E146+BELLEY!E146+STALBAN!E146+ABRETS!E146+PONT!E146+FRANCIN!E146+VIVIERS!E146)</f>
        <v>76959.090000000011</v>
      </c>
      <c r="F146" s="20">
        <f>IF(J146=0,0,CHAMNORD!F146+AIX!F146+BELLEY!F146+STALBAN!F146+ABRETS!F146+PONT!F146+FRANCIN!F146+VIVIERS!F146)</f>
        <v>4502</v>
      </c>
      <c r="G146" s="40">
        <f>IF(I146=0,0,CHAMNORD!G146+AIX!G146+BELLEY!G146+STALBAN!G146+ABRETS!G146+PONT!G146+FRANCIN!G146+VIVIERS!G146)</f>
        <v>78600</v>
      </c>
      <c r="H146" s="42">
        <f>CHAMNORD!H146+AIX!H146+BELLEY!H146+STALBAN!H146+ABRETS!H146+PONT!H146+FRANCIN!H146+VIVIERS!H146</f>
        <v>71301.91</v>
      </c>
      <c r="I146" s="13">
        <f>CHAMNORD!I146+AIX!I146+BELLEY!I146+STALBAN!I146+ABRETS!I146+PONT!I146+FRANCIN!I146+VIVIERS!I146</f>
        <v>70502.47</v>
      </c>
      <c r="J146" s="14">
        <f>CHAMNORD!J146+AIX!J146+BELLEY!J146+STALBAN!J146+ABRETS!J146+PONT!J146+FRANCIN!J146+VIVIERS!J146</f>
        <v>4296</v>
      </c>
      <c r="K146" s="15">
        <f>CHAMNORD!K146+AIX!K146+BELLEY!K146+STALBAN!K146+ABRETS!K146+PONT!K146+FRANCIN!K146+VIVIERS!K146</f>
        <v>884.74000000000012</v>
      </c>
      <c r="L146" s="15">
        <f>CHAMNORD!L146+AIX!L146+BELLEY!L146+STALBAN!L146+ABRETS!L146+PONT!L146+FRANCIN!L146+VIVIERS!L146</f>
        <v>1024.81</v>
      </c>
      <c r="M146" s="15">
        <f>CHAMNORD!M146+AIX!M146+BELLEY!M146+STALBAN!M146+ABRETS!M146+PONT!M146+FRANCIN!M146+VIVIERS!M146</f>
        <v>400.15000000000003</v>
      </c>
      <c r="N146" s="16">
        <f t="shared" si="10"/>
        <v>5.6756876744885679E-3</v>
      </c>
      <c r="O146" s="17">
        <f t="shared" si="13"/>
        <v>-8.3896782043550791E-2</v>
      </c>
      <c r="P146" s="17">
        <f t="shared" si="14"/>
        <v>-4.5757441137272321E-2</v>
      </c>
      <c r="Q146" s="18">
        <f t="shared" si="11"/>
        <v>79.687218843954142</v>
      </c>
      <c r="R146" s="18">
        <f t="shared" si="12"/>
        <v>68.795649925352024</v>
      </c>
      <c r="S146" s="34"/>
      <c r="T146" s="29" t="s">
        <v>8</v>
      </c>
      <c r="U146" s="1738"/>
    </row>
    <row r="147" spans="1:25">
      <c r="A147" s="10" t="s">
        <v>14</v>
      </c>
      <c r="B147" s="905">
        <v>45799</v>
      </c>
      <c r="C147" s="76">
        <f>IF(G147=0,0,CHAMNORD!C147+AIX!C147+BELLEY!C147+STALBAN!C147+ABRETS!C147+PONT!C147+FRANCIN!C147+VIVIERS!C147)</f>
        <v>77698.349999999991</v>
      </c>
      <c r="D147" s="76">
        <f>IF(H147=0,0,CHAMNORD!D147+AIX!D147+BELLEY!D147+STALBAN!D147+ABRETS!D147+PONT!D147+FRANCIN!D147+VIVIERS!D147)</f>
        <v>112312.24999999999</v>
      </c>
      <c r="E147" s="76">
        <f>IF(I147=0,0,CHAMNORD!E147+AIX!E147+BELLEY!E147+STALBAN!E147+ABRETS!E147+PONT!E147+FRANCIN!E147+VIVIERS!E147)</f>
        <v>111292.38</v>
      </c>
      <c r="F147" s="20">
        <f>IF(J147=0,0,CHAMNORD!F147+AIX!F147+BELLEY!F147+STALBAN!F147+ABRETS!F147+PONT!F147+FRANCIN!F147+VIVIERS!F147)</f>
        <v>6263</v>
      </c>
      <c r="G147" s="40">
        <f>IF(I147=0,0,CHAMNORD!G147+AIX!G147+BELLEY!G147+STALBAN!G147+ABRETS!G147+PONT!G147+FRANCIN!G147+VIVIERS!G147)</f>
        <v>113800</v>
      </c>
      <c r="H147" s="42">
        <f>CHAMNORD!H147+AIX!H147+BELLEY!H147+STALBAN!H147+ABRETS!H147+PONT!H147+FRANCIN!H147+VIVIERS!H147</f>
        <v>102970.41999999998</v>
      </c>
      <c r="I147" s="13">
        <f>CHAMNORD!I147+AIX!I147+BELLEY!I147+STALBAN!I147+ABRETS!I147+PONT!I147+FRANCIN!I147+VIVIERS!I147</f>
        <v>101712.06</v>
      </c>
      <c r="J147" s="14">
        <f>CHAMNORD!J147+AIX!J147+BELLEY!J147+STALBAN!J147+ABRETS!J147+PONT!J147+FRANCIN!J147+VIVIERS!J147</f>
        <v>5666</v>
      </c>
      <c r="K147" s="15">
        <f>CHAMNORD!K147+AIX!K147+BELLEY!K147+STALBAN!K147+ABRETS!K147+PONT!K147+FRANCIN!K147+VIVIERS!K147</f>
        <v>1175.56</v>
      </c>
      <c r="L147" s="15">
        <f>CHAMNORD!L147+AIX!L147+BELLEY!L147+STALBAN!L147+ABRETS!L147+PONT!L147+FRANCIN!L147+VIVIERS!L147</f>
        <v>1320.0499999999997</v>
      </c>
      <c r="M147" s="15">
        <f>CHAMNORD!M147+AIX!M147+BELLEY!M147+STALBAN!M147+ABRETS!M147+PONT!M147+FRANCIN!M147+VIVIERS!M147</f>
        <v>579.63</v>
      </c>
      <c r="N147" s="16">
        <f t="shared" si="10"/>
        <v>5.6987342503927261E-3</v>
      </c>
      <c r="O147" s="17">
        <f t="shared" si="13"/>
        <v>-8.6082443380220697E-2</v>
      </c>
      <c r="P147" s="17">
        <f t="shared" si="14"/>
        <v>-9.5321730799936139E-2</v>
      </c>
      <c r="Q147" s="18">
        <f t="shared" si="11"/>
        <v>86.522219197658984</v>
      </c>
      <c r="R147" s="18">
        <f t="shared" si="12"/>
        <v>77.051672285140725</v>
      </c>
      <c r="S147" s="36" t="s">
        <v>40</v>
      </c>
      <c r="T147" s="48">
        <f>SUM(I143:I149)/SUM(L143:L149)</f>
        <v>77.813501119874317</v>
      </c>
      <c r="U147" s="1738"/>
    </row>
    <row r="148" spans="1:25">
      <c r="A148" s="10" t="s">
        <v>15</v>
      </c>
      <c r="B148" s="905">
        <v>45800</v>
      </c>
      <c r="C148" s="76">
        <f>IF(G148=0,0,CHAMNORD!C148+AIX!C148+BELLEY!C148+STALBAN!C148+ABRETS!C148+PONT!C148+FRANCIN!C148+VIVIERS!C148)</f>
        <v>112312.24999999999</v>
      </c>
      <c r="D148" s="76">
        <f>IF(H148=0,0,CHAMNORD!D148+AIX!D148+BELLEY!D148+STALBAN!D148+ABRETS!D148+PONT!D148+FRANCIN!D148+VIVIERS!D148)</f>
        <v>119057.29</v>
      </c>
      <c r="E148" s="76">
        <f>IF(I148=0,0,CHAMNORD!E148+AIX!E148+BELLEY!E148+STALBAN!E148+ABRETS!E148+PONT!E148+FRANCIN!E148+VIVIERS!E148)</f>
        <v>117668.68</v>
      </c>
      <c r="F148" s="20">
        <f>IF(J148=0,0,CHAMNORD!F148+AIX!F148+BELLEY!F148+STALBAN!F148+ABRETS!F148+PONT!F148+FRANCIN!F148+VIVIERS!F148)</f>
        <v>6259</v>
      </c>
      <c r="G148" s="40">
        <f>IF(I148=0,0,CHAMNORD!G148+AIX!G148+BELLEY!G148+STALBAN!G148+ABRETS!G148+PONT!G148+FRANCIN!G148+VIVIERS!G148)</f>
        <v>113300</v>
      </c>
      <c r="H148" s="42">
        <f>CHAMNORD!H148+AIX!H148+BELLEY!H148+STALBAN!H148+ABRETS!H148+PONT!H148+FRANCIN!H148+VIVIERS!H148</f>
        <v>99434.66</v>
      </c>
      <c r="I148" s="13">
        <f>CHAMNORD!I148+AIX!I148+BELLEY!I148+STALBAN!I148+ABRETS!I148+PONT!I148+FRANCIN!I148+VIVIERS!I148</f>
        <v>98013.99</v>
      </c>
      <c r="J148" s="14">
        <f>CHAMNORD!J148+AIX!J148+BELLEY!J148+STALBAN!J148+ABRETS!J148+PONT!J148+FRANCIN!J148+VIVIERS!J148</f>
        <v>5408</v>
      </c>
      <c r="K148" s="15">
        <f>CHAMNORD!K148+AIX!K148+BELLEY!K148+STALBAN!K148+ABRETS!K148+PONT!K148+FRANCIN!K148+VIVIERS!K148</f>
        <v>1076.6599999999999</v>
      </c>
      <c r="L148" s="15">
        <f>CHAMNORD!L148+AIX!L148+BELLEY!L148+STALBAN!L148+ABRETS!L148+PONT!L148+FRANCIN!L148+VIVIERS!L148</f>
        <v>1175.6599999999999</v>
      </c>
      <c r="M148" s="15">
        <f>CHAMNORD!M148+AIX!M148+BELLEY!M148+STALBAN!M148+ABRETS!M148+PONT!M148+FRANCIN!M148+VIVIERS!M148</f>
        <v>2029.96</v>
      </c>
      <c r="N148" s="16">
        <f t="shared" si="10"/>
        <v>2.0710920961385205E-2</v>
      </c>
      <c r="O148" s="17">
        <f t="shared" si="13"/>
        <v>-0.16703416746070399</v>
      </c>
      <c r="P148" s="17">
        <f t="shared" si="14"/>
        <v>-0.13596421153538904</v>
      </c>
      <c r="Q148" s="18">
        <f t="shared" si="11"/>
        <v>91.035229320305405</v>
      </c>
      <c r="R148" s="18">
        <f t="shared" si="12"/>
        <v>83.369332970416636</v>
      </c>
      <c r="S148" s="36">
        <f>SUM(J143:J149)</f>
        <v>32977</v>
      </c>
      <c r="T148" s="30" t="s">
        <v>3</v>
      </c>
      <c r="U148" s="1738"/>
    </row>
    <row r="149" spans="1:25" ht="18" thickBot="1">
      <c r="A149" s="10" t="s">
        <v>16</v>
      </c>
      <c r="B149" s="905">
        <v>45801</v>
      </c>
      <c r="C149" s="76">
        <f>IF(G149=0,0,CHAMNORD!C149+AIX!C149+BELLEY!C149+STALBAN!C149+ABRETS!C149+PONT!C149+FRANCIN!C149+VIVIERS!C149)</f>
        <v>119057.29</v>
      </c>
      <c r="D149" s="76">
        <f>IF(H149=0,0,CHAMNORD!D149+AIX!D149+BELLEY!D149+STALBAN!D149+ABRETS!D149+PONT!D149+FRANCIN!D149+VIVIERS!D149)</f>
        <v>107913.78</v>
      </c>
      <c r="E149" s="76">
        <f>IF(I149=0,0,CHAMNORD!E149+AIX!E149+BELLEY!E149+STALBAN!E149+ABRETS!E149+PONT!E149+FRANCIN!E149+VIVIERS!E149)</f>
        <v>106598.16</v>
      </c>
      <c r="F149" s="20">
        <f>IF(J149=0,0,CHAMNORD!F149+AIX!F149+BELLEY!F149+STALBAN!F149+ABRETS!F149+PONT!F149+FRANCIN!F149+VIVIERS!F149)</f>
        <v>5166</v>
      </c>
      <c r="G149" s="40">
        <f>IF(I149=0,0,CHAMNORD!G149+AIX!G149+BELLEY!G149+STALBAN!G149+ABRETS!G149+PONT!G149+FRANCIN!G149+VIVIERS!G149)</f>
        <v>109400</v>
      </c>
      <c r="H149" s="42">
        <f>CHAMNORD!H149+AIX!H149+BELLEY!H149+STALBAN!H149+ABRETS!H149+PONT!H149+FRANCIN!H149+VIVIERS!H149</f>
        <v>114541.56999999999</v>
      </c>
      <c r="I149" s="13">
        <f>CHAMNORD!I149+AIX!I149+BELLEY!I149+STALBAN!I149+ABRETS!I149+PONT!I149+FRANCIN!I149+VIVIERS!I149</f>
        <v>112992.16</v>
      </c>
      <c r="J149" s="14">
        <f>CHAMNORD!J149+AIX!J149+BELLEY!J149+STALBAN!J149+ABRETS!J149+PONT!J149+FRANCIN!J149+VIVIERS!J149</f>
        <v>5866</v>
      </c>
      <c r="K149" s="15">
        <f>CHAMNORD!K149+AIX!K149+BELLEY!K149+STALBAN!K149+ABRETS!K149+PONT!K149+FRANCIN!K149+VIVIERS!K149</f>
        <v>1015.11</v>
      </c>
      <c r="L149" s="15">
        <f>CHAMNORD!L149+AIX!L149+BELLEY!L149+STALBAN!L149+ABRETS!L149+PONT!L149+FRANCIN!L149+VIVIERS!L149</f>
        <v>1127.49</v>
      </c>
      <c r="M149" s="15">
        <f>CHAMNORD!M149+AIX!M149+BELLEY!M149+STALBAN!M149+ABRETS!M149+PONT!M149+FRANCIN!M149+VIVIERS!M149</f>
        <v>395.06999999999994</v>
      </c>
      <c r="N149" s="16">
        <f t="shared" si="10"/>
        <v>3.4964372749401369E-3</v>
      </c>
      <c r="O149" s="17">
        <f t="shared" si="13"/>
        <v>5.9982273615229377E-2</v>
      </c>
      <c r="P149" s="17">
        <f t="shared" si="14"/>
        <v>0.13550135501355012</v>
      </c>
      <c r="Q149" s="18">
        <f t="shared" si="11"/>
        <v>111.31026194205555</v>
      </c>
      <c r="R149" s="18">
        <f t="shared" si="12"/>
        <v>100.21566488394576</v>
      </c>
      <c r="S149" s="37">
        <f>(S148-SUM(F143:F149))/(SUM(F143:F149))</f>
        <v>-6.7207874862105055E-2</v>
      </c>
      <c r="T149" s="47">
        <f>SUM(M143:M149)/SUM(I143:I149)</f>
        <v>8.1737602765621486E-3</v>
      </c>
      <c r="U149" s="1739"/>
    </row>
    <row r="150" spans="1:25" ht="17" customHeight="1" thickTop="1">
      <c r="A150" s="10" t="s">
        <v>9</v>
      </c>
      <c r="B150" s="905">
        <v>45802</v>
      </c>
      <c r="C150" s="76">
        <f>IF(G150=0,0,CHAMNORD!C150+AIX!C150+BELLEY!C150+STALBAN!C150+ABRETS!C150+PONT!C150+FRANCIN!C150+VIVIERS!C150)</f>
        <v>107913.78</v>
      </c>
      <c r="D150" s="76">
        <f>IF(H150=0,0,CHAMNORD!D150+AIX!D150+BELLEY!D150+STALBAN!D150+ABRETS!D150+PONT!D150+FRANCIN!D150+VIVIERS!D150)</f>
        <v>68399.86</v>
      </c>
      <c r="E150" s="76">
        <f>IF(I150=0,0,CHAMNORD!E150+AIX!E150+BELLEY!E150+STALBAN!E150+ABRETS!E150+PONT!E150+FRANCIN!E150+VIVIERS!E150)</f>
        <v>67844.73</v>
      </c>
      <c r="F150" s="20">
        <f>IF(J150=0,0,CHAMNORD!F150+AIX!F150+BELLEY!F150+STALBAN!F150+ABRETS!F150+PONT!F150+FRANCIN!F150+VIVIERS!F150)</f>
        <v>4095</v>
      </c>
      <c r="G150" s="40">
        <f>IF(I150=0,0,CHAMNORD!G150+AIX!G150+BELLEY!G150+STALBAN!G150+ABRETS!G150+PONT!G150+FRANCIN!G150+VIVIERS!G150)</f>
        <v>117100</v>
      </c>
      <c r="H150" s="42">
        <f>CHAMNORD!H150+AIX!H150+BELLEY!H150+STALBAN!H150+ABRETS!H150+PONT!H150+FRANCIN!H150+VIVIERS!H150</f>
        <v>113531.54</v>
      </c>
      <c r="I150" s="13">
        <f>CHAMNORD!I150+AIX!I150+BELLEY!I150+STALBAN!I150+ABRETS!I150+PONT!I150+FRANCIN!I150+VIVIERS!I150</f>
        <v>111980.95999999999</v>
      </c>
      <c r="J150" s="14">
        <f>CHAMNORD!J150+AIX!J150+BELLEY!J150+STALBAN!J150+ABRETS!J150+PONT!J150+FRANCIN!J150+VIVIERS!J150</f>
        <v>5745</v>
      </c>
      <c r="K150" s="15">
        <f>CHAMNORD!K150+AIX!K150+BELLEY!K150+STALBAN!K150+ABRETS!K150+PONT!K150+FRANCIN!K150+VIVIERS!K150</f>
        <v>951.05000000000007</v>
      </c>
      <c r="L150" s="15">
        <f>CHAMNORD!L150+AIX!L150+BELLEY!L150+STALBAN!L150+ABRETS!L150+PONT!L150+FRANCIN!L150+VIVIERS!L150</f>
        <v>1100.3599999999999</v>
      </c>
      <c r="M150" s="15">
        <f>CHAMNORD!M150+AIX!M150+BELLEY!M150+STALBAN!M150+ABRETS!M150+PONT!M150+FRANCIN!M150+VIVIERS!M150</f>
        <v>430.82</v>
      </c>
      <c r="N150" s="16">
        <f t="shared" si="10"/>
        <v>3.8472611772572768E-3</v>
      </c>
      <c r="O150" s="17">
        <f t="shared" si="13"/>
        <v>0.65054765491733846</v>
      </c>
      <c r="P150" s="17">
        <f t="shared" si="14"/>
        <v>0.40293040293040294</v>
      </c>
      <c r="Q150" s="18">
        <f t="shared" si="11"/>
        <v>117.74455601703379</v>
      </c>
      <c r="R150" s="18">
        <f t="shared" si="12"/>
        <v>101.7675669780799</v>
      </c>
      <c r="S150" s="33" t="s">
        <v>39</v>
      </c>
      <c r="T150" s="31" t="s">
        <v>42</v>
      </c>
      <c r="U150" s="1737" t="s">
        <v>104</v>
      </c>
    </row>
    <row r="151" spans="1:25">
      <c r="A151" s="10" t="s">
        <v>11</v>
      </c>
      <c r="B151" s="905">
        <v>45803</v>
      </c>
      <c r="C151" s="76">
        <f>IF(G151=0,0,CHAMNORD!C151+AIX!C151+BELLEY!C151+STALBAN!C151+ABRETS!C151+PONT!C151+FRANCIN!C151+VIVIERS!C151)</f>
        <v>68399.86</v>
      </c>
      <c r="D151" s="76">
        <f>IF(H151=0,0,CHAMNORD!D151+AIX!D151+BELLEY!D151+STALBAN!D151+ABRETS!D151+PONT!D151+FRANCIN!D151+VIVIERS!D151)</f>
        <v>80383.560000000012</v>
      </c>
      <c r="E151" s="76">
        <f>IF(I151=0,0,CHAMNORD!E151+AIX!E151+BELLEY!E151+STALBAN!E151+ABRETS!E151+PONT!E151+FRANCIN!E151+VIVIERS!E151)</f>
        <v>79679.509999999995</v>
      </c>
      <c r="F151" s="20">
        <f>IF(J151=0,0,CHAMNORD!F151+AIX!F151+BELLEY!F151+STALBAN!F151+ABRETS!F151+PONT!F151+FRANCIN!F151+VIVIERS!F151)</f>
        <v>4679</v>
      </c>
      <c r="G151" s="40">
        <f>IF(I151=0,0,CHAMNORD!G151+AIX!G151+BELLEY!G151+STALBAN!G151+ABRETS!G151+PONT!G151+FRANCIN!G151+VIVIERS!G151)</f>
        <v>75800</v>
      </c>
      <c r="H151" s="42">
        <f>CHAMNORD!H151+AIX!H151+BELLEY!H151+STALBAN!H151+ABRETS!H151+PONT!H151+FRANCIN!H151+VIVIERS!H151</f>
        <v>64462.880000000005</v>
      </c>
      <c r="I151" s="13">
        <f>CHAMNORD!I151+AIX!I151+BELLEY!I151+STALBAN!I151+ABRETS!I151+PONT!I151+FRANCIN!I151+VIVIERS!I151</f>
        <v>63775.41</v>
      </c>
      <c r="J151" s="14">
        <f>CHAMNORD!J151+AIX!J151+BELLEY!J151+STALBAN!J151+ABRETS!J151+PONT!J151+FRANCIN!J151+VIVIERS!J151</f>
        <v>3812</v>
      </c>
      <c r="K151" s="15">
        <f>CHAMNORD!K151+AIX!K151+BELLEY!K151+STALBAN!K151+ABRETS!K151+PONT!K151+FRANCIN!K151+VIVIERS!K151</f>
        <v>800.08</v>
      </c>
      <c r="L151" s="15">
        <f>CHAMNORD!L151+AIX!L151+BELLEY!L151+STALBAN!L151+ABRETS!L151+PONT!L151+FRANCIN!L151+VIVIERS!L151</f>
        <v>893.87000000000012</v>
      </c>
      <c r="M151" s="15">
        <f>CHAMNORD!M151+AIX!M151+BELLEY!M151+STALBAN!M151+ABRETS!M151+PONT!M151+FRANCIN!M151+VIVIERS!M151</f>
        <v>448.35</v>
      </c>
      <c r="N151" s="16">
        <f t="shared" si="10"/>
        <v>7.0301390457544683E-3</v>
      </c>
      <c r="O151" s="17">
        <f t="shared" si="13"/>
        <v>-0.19960087605960419</v>
      </c>
      <c r="P151" s="17">
        <f t="shared" si="14"/>
        <v>-0.18529600341953409</v>
      </c>
      <c r="Q151" s="18">
        <f t="shared" si="11"/>
        <v>79.711291370862909</v>
      </c>
      <c r="R151" s="18">
        <f t="shared" si="12"/>
        <v>71.347522570396137</v>
      </c>
      <c r="S151" s="34">
        <f>SUM(I150:I156)</f>
        <v>669336.63</v>
      </c>
      <c r="T151" s="45" t="s">
        <v>41</v>
      </c>
      <c r="U151" s="1738"/>
      <c r="W151" s="202">
        <f>+S151</f>
        <v>669336.63</v>
      </c>
      <c r="X151" s="202">
        <f>SUM(CHAMNORD!E150:E156)+SUM(AIX!E150:E156)+SUM(BELLEY!E150:E156)+SUM(STALBAN!E150:E156)+SUM(ABRETS!E150:E156)+SUM(PONT!E150:E156)+SUM(FRANCIN!E150:E156)+SUM(VIVIERS!E150:E156)</f>
        <v>737066.96999999986</v>
      </c>
      <c r="Y151" s="1051">
        <f>+W151-X151</f>
        <v>-67730.339999999851</v>
      </c>
    </row>
    <row r="152" spans="1:25">
      <c r="A152" s="10" t="s">
        <v>12</v>
      </c>
      <c r="B152" s="905">
        <v>45804</v>
      </c>
      <c r="C152" s="76">
        <f>IF(G152=0,0,CHAMNORD!C152+AIX!C152+BELLEY!C152+STALBAN!C152+ABRETS!C152+PONT!C152+FRANCIN!C152+VIVIERS!C152)</f>
        <v>80383.560000000012</v>
      </c>
      <c r="D152" s="76">
        <f>IF(H152=0,0,CHAMNORD!D152+AIX!D152+BELLEY!D152+STALBAN!D152+ABRETS!D152+PONT!D152+FRANCIN!D152+VIVIERS!D152)</f>
        <v>120616.31</v>
      </c>
      <c r="E152" s="76">
        <f>IF(I152=0,0,CHAMNORD!E152+AIX!E152+BELLEY!E152+STALBAN!E152+ABRETS!E152+PONT!E152+FRANCIN!E152+VIVIERS!E152)</f>
        <v>119253.45</v>
      </c>
      <c r="F152" s="20">
        <f>IF(J152=0,0,CHAMNORD!F152+AIX!F152+BELLEY!F152+STALBAN!F152+ABRETS!F152+PONT!F152+FRANCIN!F152+VIVIERS!F152)</f>
        <v>6243</v>
      </c>
      <c r="G152" s="40">
        <f>IF(I152=0,0,CHAMNORD!G152+AIX!G152+BELLEY!G152+STALBAN!G152+ABRETS!G152+PONT!G152+FRANCIN!G152+VIVIERS!G152)</f>
        <v>105300</v>
      </c>
      <c r="H152" s="42">
        <f>CHAMNORD!H152+AIX!H152+BELLEY!H152+STALBAN!H152+ABRETS!H152+PONT!H152+FRANCIN!H152+VIVIERS!H152</f>
        <v>88841.95</v>
      </c>
      <c r="I152" s="13">
        <f>CHAMNORD!I152+AIX!I152+BELLEY!I152+STALBAN!I152+ABRETS!I152+PONT!I152+FRANCIN!I152+VIVIERS!I152</f>
        <v>87614.56</v>
      </c>
      <c r="J152" s="14">
        <f>CHAMNORD!J152+AIX!J152+BELLEY!J152+STALBAN!J152+ABRETS!J152+PONT!J152+FRANCIN!J152+VIVIERS!J152</f>
        <v>4922</v>
      </c>
      <c r="K152" s="15">
        <f>CHAMNORD!K152+AIX!K152+BELLEY!K152+STALBAN!K152+ABRETS!K152+PONT!K152+FRANCIN!K152+VIVIERS!K152</f>
        <v>895.78000000000009</v>
      </c>
      <c r="L152" s="15">
        <f>CHAMNORD!L152+AIX!L152+BELLEY!L152+STALBAN!L152+ABRETS!L152+PONT!L152+FRANCIN!L152+VIVIERS!L152</f>
        <v>1017.2500000000001</v>
      </c>
      <c r="M152" s="15">
        <f>CHAMNORD!M152+AIX!M152+BELLEY!M152+STALBAN!M152+ABRETS!M152+PONT!M152+FRANCIN!M152+VIVIERS!M152</f>
        <v>551.0200000000001</v>
      </c>
      <c r="N152" s="16">
        <f t="shared" si="10"/>
        <v>6.2891373305989338E-3</v>
      </c>
      <c r="O152" s="17">
        <f t="shared" si="13"/>
        <v>-0.26530796383668565</v>
      </c>
      <c r="P152" s="17">
        <f t="shared" si="14"/>
        <v>-0.21159698862726253</v>
      </c>
      <c r="Q152" s="18">
        <f t="shared" si="11"/>
        <v>97.808122530085498</v>
      </c>
      <c r="R152" s="18">
        <f t="shared" si="12"/>
        <v>86.128837552224127</v>
      </c>
      <c r="S152" s="35">
        <f>(S151-SUM(E150:E156))/(SUM(E150:E156))</f>
        <v>-9.1891704223294624E-2</v>
      </c>
      <c r="T152" s="48">
        <f>SUM(I150:I156)/SUM(K150:K156)</f>
        <v>103.3901765399165</v>
      </c>
      <c r="U152" s="1738"/>
    </row>
    <row r="153" spans="1:25">
      <c r="A153" s="10" t="s">
        <v>13</v>
      </c>
      <c r="B153" s="905">
        <v>45805</v>
      </c>
      <c r="C153" s="76">
        <f>IF(G153=0,0,CHAMNORD!C153+AIX!C153+BELLEY!C153+STALBAN!C153+ABRETS!C153+PONT!C153+FRANCIN!C153+VIVIERS!C153)</f>
        <v>120616.31</v>
      </c>
      <c r="D153" s="76">
        <f>IF(H153=0,0,CHAMNORD!D153+AIX!D153+BELLEY!D153+STALBAN!D153+ABRETS!D153+PONT!D153+FRANCIN!D153+VIVIERS!D153)</f>
        <v>115741.92</v>
      </c>
      <c r="E153" s="76">
        <f>IF(I153=0,0,CHAMNORD!E153+AIX!E153+BELLEY!E153+STALBAN!E153+ABRETS!E153+PONT!E153+FRANCIN!E153+VIVIERS!E153)</f>
        <v>114476.96</v>
      </c>
      <c r="F153" s="20">
        <f>IF(J153=0,0,CHAMNORD!F153+AIX!F153+BELLEY!F153+STALBAN!F153+ABRETS!F153+PONT!F153+FRANCIN!F153+VIVIERS!F153)</f>
        <v>5960</v>
      </c>
      <c r="G153" s="40">
        <f>IF(I153=0,0,CHAMNORD!G153+AIX!G153+BELLEY!G153+STALBAN!G153+ABRETS!G153+PONT!G153+FRANCIN!G153+VIVIERS!G153)</f>
        <v>67800</v>
      </c>
      <c r="H153" s="42">
        <f>CHAMNORD!H153+AIX!H153+BELLEY!H153+STALBAN!H153+ABRETS!H153+PONT!H153+FRANCIN!H153+VIVIERS!H153</f>
        <v>78489.649999999994</v>
      </c>
      <c r="I153" s="13">
        <f>CHAMNORD!I153+AIX!I153+BELLEY!I153+STALBAN!I153+ABRETS!I153+PONT!I153+FRANCIN!I153+VIVIERS!I153</f>
        <v>77549.88</v>
      </c>
      <c r="J153" s="14">
        <f>CHAMNORD!J153+AIX!J153+BELLEY!J153+STALBAN!J153+ABRETS!J153+PONT!J153+FRANCIN!J153+VIVIERS!J153</f>
        <v>4529</v>
      </c>
      <c r="K153" s="15">
        <f>CHAMNORD!K153+AIX!K153+BELLEY!K153+STALBAN!K153+ABRETS!K153+PONT!K153+FRANCIN!K153+VIVIERS!K153</f>
        <v>851.3900000000001</v>
      </c>
      <c r="L153" s="15">
        <f>CHAMNORD!L153+AIX!L153+BELLEY!L153+STALBAN!L153+ABRETS!L153+PONT!L153+FRANCIN!L153+VIVIERS!L153</f>
        <v>947.18999999999994</v>
      </c>
      <c r="M153" s="15">
        <f>CHAMNORD!M153+AIX!M153+BELLEY!M153+STALBAN!M153+ABRETS!M153+PONT!M153+FRANCIN!M153+VIVIERS!M153</f>
        <v>560.77</v>
      </c>
      <c r="N153" s="16">
        <f t="shared" si="10"/>
        <v>7.231087913998061E-3</v>
      </c>
      <c r="O153" s="17">
        <f t="shared" si="13"/>
        <v>-0.32257215775121911</v>
      </c>
      <c r="P153" s="17">
        <f t="shared" si="14"/>
        <v>-0.24010067114093961</v>
      </c>
      <c r="Q153" s="18">
        <f t="shared" si="11"/>
        <v>91.086200213768066</v>
      </c>
      <c r="R153" s="18">
        <f t="shared" si="12"/>
        <v>81.873626199600935</v>
      </c>
      <c r="S153" s="34"/>
      <c r="T153" s="29" t="s">
        <v>8</v>
      </c>
      <c r="U153" s="1738"/>
    </row>
    <row r="154" spans="1:25">
      <c r="A154" s="10" t="s">
        <v>14</v>
      </c>
      <c r="B154" s="905">
        <v>45806</v>
      </c>
      <c r="C154" s="76">
        <f>IF(G154=0,0,CHAMNORD!C154+AIX!C154+BELLEY!C154+STALBAN!C154+ABRETS!C154+PONT!C154+FRANCIN!C154+VIVIERS!C154)</f>
        <v>115741.92</v>
      </c>
      <c r="D154" s="76">
        <f>IF(H154=0,0,CHAMNORD!D154+AIX!D154+BELLEY!D154+STALBAN!D154+ABRETS!D154+PONT!D154+FRANCIN!D154+VIVIERS!D154)</f>
        <v>109926.26999999999</v>
      </c>
      <c r="E154" s="76">
        <f>IF(I154=0,0,CHAMNORD!E154+AIX!E154+BELLEY!E154+STALBAN!E154+ABRETS!E154+PONT!E154+FRANCIN!E154+VIVIERS!E154)</f>
        <v>108679.81000000001</v>
      </c>
      <c r="F154" s="20">
        <f>IF(J154=0,0,CHAMNORD!F154+AIX!F154+BELLEY!F154+STALBAN!F154+ABRETS!F154+PONT!F154+FRANCIN!F154+VIVIERS!F154)</f>
        <v>5939</v>
      </c>
      <c r="G154" s="40">
        <f>IF(I154=0,0,CHAMNORD!G154+AIX!G154+BELLEY!G154+STALBAN!G154+ABRETS!G154+PONT!G154+FRANCIN!G154+VIVIERS!G154)</f>
        <v>113300</v>
      </c>
      <c r="H154" s="42">
        <f>CHAMNORD!H154+AIX!H154+BELLEY!H154+STALBAN!H154+ABRETS!H154+PONT!H154+FRANCIN!H154+VIVIERS!H154</f>
        <v>110086.08</v>
      </c>
      <c r="I154" s="13">
        <f>CHAMNORD!I154+AIX!I154+BELLEY!I154+STALBAN!I154+ABRETS!I154+PONT!I154+FRANCIN!I154+VIVIERS!I154</f>
        <v>108547.46000000002</v>
      </c>
      <c r="J154" s="14">
        <f>CHAMNORD!J154+AIX!J154+BELLEY!J154+STALBAN!J154+ABRETS!J154+PONT!J154+FRANCIN!J154+VIVIERS!J154</f>
        <v>5884</v>
      </c>
      <c r="K154" s="15">
        <f>CHAMNORD!K154+AIX!K154+BELLEY!K154+STALBAN!K154+ABRETS!K154+PONT!K154+FRANCIN!K154+VIVIERS!K154</f>
        <v>1057.4000000000001</v>
      </c>
      <c r="L154" s="15">
        <f>CHAMNORD!L154+AIX!L154+BELLEY!L154+STALBAN!L154+ABRETS!L154+PONT!L154+FRANCIN!L154+VIVIERS!L154</f>
        <v>1160.6099999999999</v>
      </c>
      <c r="M154" s="15">
        <f>CHAMNORD!M154+AIX!M154+BELLEY!M154+STALBAN!M154+ABRETS!M154+PONT!M154+FRANCIN!M154+VIVIERS!M154</f>
        <v>375.66999999999996</v>
      </c>
      <c r="N154" s="16">
        <f t="shared" si="10"/>
        <v>3.4608824563928061E-3</v>
      </c>
      <c r="O154" s="17">
        <f t="shared" si="13"/>
        <v>-1.2177974915487178E-3</v>
      </c>
      <c r="P154" s="17">
        <f t="shared" si="14"/>
        <v>-9.2608183195824218E-3</v>
      </c>
      <c r="Q154" s="18">
        <f t="shared" si="11"/>
        <v>102.65505958010215</v>
      </c>
      <c r="R154" s="18">
        <f t="shared" si="12"/>
        <v>93.526214662978973</v>
      </c>
      <c r="S154" s="36" t="s">
        <v>40</v>
      </c>
      <c r="T154" s="48">
        <f>SUM(I150:I156)/SUM(L150:L156)</f>
        <v>91.671489439797753</v>
      </c>
      <c r="U154" s="1738"/>
    </row>
    <row r="155" spans="1:25">
      <c r="A155" s="10" t="s">
        <v>15</v>
      </c>
      <c r="B155" s="905">
        <v>45807</v>
      </c>
      <c r="C155" s="76">
        <f>IF(G155=0,0,CHAMNORD!C155+AIX!C155+BELLEY!C155+STALBAN!C155+ABRETS!C155+PONT!C155+FRANCIN!C155+VIVIERS!C155)</f>
        <v>109926.26999999999</v>
      </c>
      <c r="D155" s="76">
        <f>IF(H155=0,0,CHAMNORD!D155+AIX!D155+BELLEY!D155+STALBAN!D155+ABRETS!D155+PONT!D155+FRANCIN!D155+VIVIERS!D155)</f>
        <v>100040.55999999998</v>
      </c>
      <c r="E155" s="76">
        <f>IF(I155=0,0,CHAMNORD!E155+AIX!E155+BELLEY!E155+STALBAN!E155+ABRETS!E155+PONT!E155+FRANCIN!E155+VIVIERS!E155)</f>
        <v>98979.540000000008</v>
      </c>
      <c r="F155" s="20">
        <f>IF(J155=0,0,CHAMNORD!F155+AIX!F155+BELLEY!F155+STALBAN!F155+ABRETS!F155+PONT!F155+FRANCIN!F155+VIVIERS!F155)</f>
        <v>5269</v>
      </c>
      <c r="G155" s="40">
        <f>IF(I155=0,0,CHAMNORD!G155+AIX!G155+BELLEY!G155+STALBAN!G155+ABRETS!G155+PONT!G155+FRANCIN!G155+VIVIERS!G155)</f>
        <v>104800</v>
      </c>
      <c r="H155" s="42">
        <f>CHAMNORD!H155+AIX!H155+BELLEY!H155+STALBAN!H155+ABRETS!H155+PONT!H155+FRANCIN!H155+VIVIERS!H155</f>
        <v>107988.03</v>
      </c>
      <c r="I155" s="13">
        <f>CHAMNORD!I155+AIX!I155+BELLEY!I155+STALBAN!I155+ABRETS!I155+PONT!I155+FRANCIN!I155+VIVIERS!I155</f>
        <v>106425.26000000001</v>
      </c>
      <c r="J155" s="14">
        <f>CHAMNORD!J155+AIX!J155+BELLEY!J155+STALBAN!J155+ABRETS!J155+PONT!J155+FRANCIN!J155+VIVIERS!J155</f>
        <v>5629</v>
      </c>
      <c r="K155" s="15">
        <f>CHAMNORD!K155+AIX!K155+BELLEY!K155+STALBAN!K155+ABRETS!K155+PONT!K155+FRANCIN!K155+VIVIERS!K155</f>
        <v>953.36999999999989</v>
      </c>
      <c r="L155" s="15">
        <f>CHAMNORD!L155+AIX!L155+BELLEY!L155+STALBAN!L155+ABRETS!L155+PONT!L155+FRANCIN!L155+VIVIERS!L155</f>
        <v>1079.7</v>
      </c>
      <c r="M155" s="15">
        <f>CHAMNORD!M155+AIX!M155+BELLEY!M155+STALBAN!M155+ABRETS!M155+PONT!M155+FRANCIN!M155+VIVIERS!M155</f>
        <v>454.44</v>
      </c>
      <c r="N155" s="16">
        <f t="shared" si="10"/>
        <v>4.270038898659961E-3</v>
      </c>
      <c r="O155" s="17">
        <f t="shared" si="13"/>
        <v>7.5224839396101459E-2</v>
      </c>
      <c r="P155" s="17">
        <f t="shared" si="14"/>
        <v>6.8324160182197766E-2</v>
      </c>
      <c r="Q155" s="18">
        <f t="shared" si="11"/>
        <v>111.63059462747938</v>
      </c>
      <c r="R155" s="18">
        <f t="shared" si="12"/>
        <v>98.569287765119938</v>
      </c>
      <c r="S155" s="36">
        <f>SUM(J150:J156)</f>
        <v>35784</v>
      </c>
      <c r="T155" s="30" t="s">
        <v>3</v>
      </c>
      <c r="U155" s="1738"/>
    </row>
    <row r="156" spans="1:25" ht="18" thickBot="1">
      <c r="A156" s="10" t="s">
        <v>16</v>
      </c>
      <c r="B156" s="905">
        <v>45808</v>
      </c>
      <c r="C156" s="76">
        <f>IF(G156=0,0,CHAMNORD!C156+AIX!C156+BELLEY!C156+STALBAN!C156+ABRETS!C156+PONT!C156+FRANCIN!C156+VIVIERS!C156)</f>
        <v>100040.55999999998</v>
      </c>
      <c r="D156" s="76">
        <f>IF(H156=0,0,CHAMNORD!D156+AIX!D156+BELLEY!D156+STALBAN!D156+ABRETS!D156+PONT!D156+FRANCIN!D156+VIVIERS!D156)</f>
        <v>149699.34000000003</v>
      </c>
      <c r="E156" s="76">
        <f>IF(I156=0,0,CHAMNORD!E156+AIX!E156+BELLEY!E156+STALBAN!E156+ABRETS!E156+PONT!E156+FRANCIN!E156+VIVIERS!E156)</f>
        <v>148152.97</v>
      </c>
      <c r="F156" s="20">
        <f>IF(J156=0,0,CHAMNORD!F156+AIX!F156+BELLEY!F156+STALBAN!F156+ABRETS!F156+PONT!F156+FRANCIN!F156+VIVIERS!F156)</f>
        <v>6951</v>
      </c>
      <c r="G156" s="40">
        <f>IF(I156=0,0,CHAMNORD!G156+AIX!G156+BELLEY!G156+STALBAN!G156+ABRETS!G156+PONT!G156+FRANCIN!G156+VIVIERS!G156)</f>
        <v>144200</v>
      </c>
      <c r="H156" s="42">
        <f>CHAMNORD!H156+AIX!H156+BELLEY!H156+STALBAN!H156+ABRETS!H156+PONT!H156+FRANCIN!H156+VIVIERS!H156</f>
        <v>114942.72</v>
      </c>
      <c r="I156" s="13">
        <f>CHAMNORD!I156+AIX!I156+BELLEY!I156+STALBAN!I156+ABRETS!I156+PONT!I156+FRANCIN!I156+VIVIERS!I156</f>
        <v>113443.09999999999</v>
      </c>
      <c r="J156" s="14">
        <f>CHAMNORD!J156+AIX!J156+BELLEY!J156+STALBAN!J156+ABRETS!J156+PONT!J156+FRANCIN!J156+VIVIERS!J156</f>
        <v>5263</v>
      </c>
      <c r="K156" s="15">
        <f>CHAMNORD!K156+AIX!K156+BELLEY!K156+STALBAN!K156+ABRETS!K156+PONT!K156+FRANCIN!K156+VIVIERS!K156</f>
        <v>964.81999999999994</v>
      </c>
      <c r="L156" s="15">
        <f>CHAMNORD!L156+AIX!L156+BELLEY!L156+STALBAN!L156+ABRETS!L156+PONT!L156+FRANCIN!L156+VIVIERS!L156</f>
        <v>1102.49</v>
      </c>
      <c r="M156" s="15">
        <f>CHAMNORD!M156+AIX!M156+BELLEY!M156+STALBAN!M156+ABRETS!M156+PONT!M156+FRANCIN!M156+VIVIERS!M156</f>
        <v>579.41999999999996</v>
      </c>
      <c r="N156" s="16">
        <f t="shared" si="10"/>
        <v>5.107582567824751E-3</v>
      </c>
      <c r="O156" s="17">
        <f t="shared" si="13"/>
        <v>-0.23428399714160311</v>
      </c>
      <c r="P156" s="17">
        <f t="shared" si="14"/>
        <v>-0.24284275643792261</v>
      </c>
      <c r="Q156" s="18">
        <f t="shared" si="11"/>
        <v>117.57954851682179</v>
      </c>
      <c r="R156" s="18">
        <f t="shared" si="12"/>
        <v>102.89716913532095</v>
      </c>
      <c r="S156" s="37">
        <f>(S155-SUM(F150:F156))/(SUM(F150:F156))</f>
        <v>-8.5650040883074402E-2</v>
      </c>
      <c r="T156" s="47">
        <f>SUM(M150:M156)/SUM(I150:I156)</f>
        <v>5.080388324183005E-3</v>
      </c>
      <c r="U156" s="1739"/>
    </row>
    <row r="157" spans="1:25" ht="17" customHeight="1" thickTop="1">
      <c r="A157" s="10" t="s">
        <v>9</v>
      </c>
      <c r="B157" s="905">
        <v>45809</v>
      </c>
      <c r="C157" s="76">
        <f>IF(G157=0,0,CHAMNORD!C157+AIX!C157+BELLEY!C157+STALBAN!C157+ABRETS!C157+PONT!C157+FRANCIN!C157+VIVIERS!C157)</f>
        <v>149699.34000000003</v>
      </c>
      <c r="D157" s="76">
        <f>IF(H157=0,0,CHAMNORD!D157+AIX!D157+BELLEY!D157+STALBAN!D157+ABRETS!D157+PONT!D157+FRANCIN!D157+VIVIERS!D157)</f>
        <v>73107.62</v>
      </c>
      <c r="E157" s="76">
        <f>IF(I157=0,0,CHAMNORD!E157+AIX!E157+BELLEY!E157+STALBAN!E157+ABRETS!E157+PONT!E157+FRANCIN!E157+VIVIERS!E157)</f>
        <v>72404.670000000013</v>
      </c>
      <c r="F157" s="20">
        <f>IF(J157=0,0,CHAMNORD!F157+AIX!F157+BELLEY!F157+STALBAN!F157+ABRETS!F157+PONT!F157+FRANCIN!F157+VIVIERS!F157)</f>
        <v>4157</v>
      </c>
      <c r="G157" s="40">
        <f>IF(I157=0,0,CHAMNORD!G157+AIX!G157+BELLEY!G157+STALBAN!G157+ABRETS!G157+PONT!G157+FRANCIN!G157+VIVIERS!G157)</f>
        <v>72600</v>
      </c>
      <c r="H157" s="42">
        <f>CHAMNORD!H157+AIX!H157+BELLEY!H157+STALBAN!H157+ABRETS!H157+PONT!H157+FRANCIN!H157+VIVIERS!H157</f>
        <v>70438.34</v>
      </c>
      <c r="I157" s="13">
        <f>CHAMNORD!I157+AIX!I157+BELLEY!I157+STALBAN!I157+ABRETS!I157+PONT!I157+FRANCIN!I157+VIVIERS!I157</f>
        <v>69636.62999999999</v>
      </c>
      <c r="J157" s="14">
        <f>CHAMNORD!J157+AIX!J157+BELLEY!J157+STALBAN!J157+ABRETS!J157+PONT!J157+FRANCIN!J157+VIVIERS!J157</f>
        <v>4023</v>
      </c>
      <c r="K157" s="15">
        <f>CHAMNORD!K157+AIX!K157+BELLEY!K157+STALBAN!K157+ABRETS!K157+PONT!K157+FRANCIN!K157+VIVIERS!K157</f>
        <v>802.98</v>
      </c>
      <c r="L157" s="15">
        <f>CHAMNORD!L157+AIX!L157+BELLEY!L157+STALBAN!L157+ABRETS!L157+PONT!L157+FRANCIN!L157+VIVIERS!L157</f>
        <v>921.07</v>
      </c>
      <c r="M157" s="15">
        <f>CHAMNORD!M157+AIX!M157+BELLEY!M157+STALBAN!M157+ABRETS!M157+PONT!M157+FRANCIN!M157+VIVIERS!M157</f>
        <v>-1073.2123139820117</v>
      </c>
      <c r="N157" s="16">
        <f t="shared" si="10"/>
        <v>-1.541160613289316E-2</v>
      </c>
      <c r="O157" s="17">
        <f t="shared" si="13"/>
        <v>-3.823013073604261E-2</v>
      </c>
      <c r="P157" s="17">
        <f t="shared" si="14"/>
        <v>-3.223478470050517E-2</v>
      </c>
      <c r="Q157" s="18">
        <f t="shared" si="11"/>
        <v>86.722745273854869</v>
      </c>
      <c r="R157" s="18">
        <f t="shared" si="12"/>
        <v>75.604058323471605</v>
      </c>
      <c r="S157" s="33" t="s">
        <v>39</v>
      </c>
      <c r="T157" s="31" t="s">
        <v>42</v>
      </c>
      <c r="U157" s="1737" t="s">
        <v>105</v>
      </c>
    </row>
    <row r="158" spans="1:25">
      <c r="A158" s="10" t="s">
        <v>11</v>
      </c>
      <c r="B158" s="905">
        <v>45810</v>
      </c>
      <c r="C158" s="76">
        <f>IF(G158=0,0,CHAMNORD!C158+AIX!C158+BELLEY!C158+STALBAN!C158+ABRETS!C158+PONT!C158+FRANCIN!C158+VIVIERS!C158)</f>
        <v>73107.62</v>
      </c>
      <c r="D158" s="76">
        <f>IF(H158=0,0,CHAMNORD!D158+AIX!D158+BELLEY!D158+STALBAN!D158+ABRETS!D158+PONT!D158+FRANCIN!D158+VIVIERS!D158)</f>
        <v>82050.929999999993</v>
      </c>
      <c r="E158" s="76">
        <f>IF(I158=0,0,CHAMNORD!E158+AIX!E158+BELLEY!E158+STALBAN!E158+ABRETS!E158+PONT!E158+FRANCIN!E158+VIVIERS!E158)</f>
        <v>81236.72</v>
      </c>
      <c r="F158" s="20">
        <f>IF(J158=0,0,CHAMNORD!F158+AIX!F158+BELLEY!F158+STALBAN!F158+ABRETS!F158+PONT!F158+FRANCIN!F158+VIVIERS!F158)</f>
        <v>4684</v>
      </c>
      <c r="G158" s="40">
        <f>IF(I158=0,0,CHAMNORD!G158+AIX!G158+BELLEY!G158+STALBAN!G158+ABRETS!G158+PONT!G158+FRANCIN!G158+VIVIERS!G158)</f>
        <v>81200</v>
      </c>
      <c r="H158" s="42">
        <f>CHAMNORD!H158+AIX!H158+BELLEY!H158+STALBAN!H158+ABRETS!H158+PONT!H158+FRANCIN!H158+VIVIERS!H158</f>
        <v>78441.5</v>
      </c>
      <c r="I158" s="13">
        <f>CHAMNORD!I158+AIX!I158+BELLEY!I158+STALBAN!I158+ABRETS!I158+PONT!I158+FRANCIN!I158+VIVIERS!I158</f>
        <v>77165.009999999995</v>
      </c>
      <c r="J158" s="14">
        <f>CHAMNORD!J158+AIX!J158+BELLEY!J158+STALBAN!J158+ABRETS!J158+PONT!J158+FRANCIN!J158+VIVIERS!J158</f>
        <v>4219</v>
      </c>
      <c r="K158" s="15">
        <f>CHAMNORD!K158+AIX!K158+BELLEY!K158+STALBAN!K158+ABRETS!K158+PONT!K158+FRANCIN!K158+VIVIERS!K158</f>
        <v>873.91</v>
      </c>
      <c r="L158" s="15">
        <f>CHAMNORD!L158+AIX!L158+BELLEY!L158+STALBAN!L158+ABRETS!L158+PONT!L158+FRANCIN!L158+VIVIERS!L158</f>
        <v>985.52999999999986</v>
      </c>
      <c r="M158" s="15">
        <f>CHAMNORD!M158+AIX!M158+BELLEY!M158+STALBAN!M158+ABRETS!M158+PONT!M158+FRANCIN!M158+VIVIERS!M158</f>
        <v>439.49218993472306</v>
      </c>
      <c r="N158" s="16">
        <f t="shared" si="10"/>
        <v>5.6954854270701589E-3</v>
      </c>
      <c r="O158" s="17">
        <f t="shared" si="13"/>
        <v>-5.0121546020075729E-2</v>
      </c>
      <c r="P158" s="17">
        <f t="shared" si="14"/>
        <v>-9.9274124679760892E-2</v>
      </c>
      <c r="Q158" s="18">
        <f t="shared" si="11"/>
        <v>88.298577656738104</v>
      </c>
      <c r="R158" s="18">
        <f t="shared" si="12"/>
        <v>78.297981796596758</v>
      </c>
      <c r="S158" s="34">
        <f>SUM(I157:I163)</f>
        <v>678916.48</v>
      </c>
      <c r="T158" s="45" t="s">
        <v>41</v>
      </c>
      <c r="U158" s="1738"/>
      <c r="W158" s="202">
        <f>+S158</f>
        <v>678916.48</v>
      </c>
      <c r="X158" s="202">
        <f>SUM(CHAMNORD!E157:E163)+SUM(AIX!E157:E163)+SUM(BELLEY!E157:E163)+SUM(STALBAN!E157:E163)+SUM(ABRETS!E157:E163)+SUM(PONT!E157:E163)+SUM(FRANCIN!E157:E163)+SUM(VIVIERS!E157:E163)</f>
        <v>713179.13</v>
      </c>
      <c r="Y158" s="1051">
        <f>+W158-X158</f>
        <v>-34262.650000000023</v>
      </c>
    </row>
    <row r="159" spans="1:25">
      <c r="A159" s="10" t="s">
        <v>12</v>
      </c>
      <c r="B159" s="905">
        <v>45811</v>
      </c>
      <c r="C159" s="76">
        <f>IF(G159=0,0,CHAMNORD!C159+AIX!C159+BELLEY!C159+STALBAN!C159+ABRETS!C159+PONT!C159+FRANCIN!C159+VIVIERS!C159)</f>
        <v>82050.929999999993</v>
      </c>
      <c r="D159" s="76">
        <f>IF(H159=0,0,CHAMNORD!D159+AIX!D159+BELLEY!D159+STALBAN!D159+ABRETS!D159+PONT!D159+FRANCIN!D159+VIVIERS!D159)</f>
        <v>96044.14</v>
      </c>
      <c r="E159" s="76">
        <f>IF(I159=0,0,CHAMNORD!E159+AIX!E159+BELLEY!E159+STALBAN!E159+ABRETS!E159+PONT!E159+FRANCIN!E159+VIVIERS!E159)</f>
        <v>94814.220000000016</v>
      </c>
      <c r="F159" s="20">
        <f>IF(J159=0,0,CHAMNORD!F159+AIX!F159+BELLEY!F159+STALBAN!F159+ABRETS!F159+PONT!F159+FRANCIN!F159+VIVIERS!F159)</f>
        <v>5216</v>
      </c>
      <c r="G159" s="40">
        <f>IF(I159=0,0,CHAMNORD!G159+AIX!G159+BELLEY!G159+STALBAN!G159+ABRETS!G159+PONT!G159+FRANCIN!G159+VIVIERS!G159)</f>
        <v>95400</v>
      </c>
      <c r="H159" s="42">
        <f>CHAMNORD!H159+AIX!H159+BELLEY!H159+STALBAN!H159+ABRETS!H159+PONT!H159+FRANCIN!H159+VIVIERS!H159</f>
        <v>93108.72</v>
      </c>
      <c r="I159" s="13">
        <f>CHAMNORD!I159+AIX!I159+BELLEY!I159+STALBAN!I159+ABRETS!I159+PONT!I159+FRANCIN!I159+VIVIERS!I159</f>
        <v>91421.73</v>
      </c>
      <c r="J159" s="14">
        <f>CHAMNORD!J159+AIX!J159+BELLEY!J159+STALBAN!J159+ABRETS!J159+PONT!J159+FRANCIN!J159+VIVIERS!J159</f>
        <v>5047</v>
      </c>
      <c r="K159" s="15">
        <f>CHAMNORD!K159+AIX!K159+BELLEY!K159+STALBAN!K159+ABRETS!K159+PONT!K159+FRANCIN!K159+VIVIERS!K159</f>
        <v>1017.1099999999999</v>
      </c>
      <c r="L159" s="15">
        <f>CHAMNORD!L159+AIX!L159+BELLEY!L159+STALBAN!L159+ABRETS!L159+PONT!L159+FRANCIN!L159+VIVIERS!L159</f>
        <v>1177.8</v>
      </c>
      <c r="M159" s="15">
        <f>CHAMNORD!M159+AIX!M159+BELLEY!M159+STALBAN!M159+ABRETS!M159+PONT!M159+FRANCIN!M159+VIVIERS!M159</f>
        <v>630.36781901958261</v>
      </c>
      <c r="N159" s="16">
        <f t="shared" si="10"/>
        <v>6.8951639727183314E-3</v>
      </c>
      <c r="O159" s="17">
        <f t="shared" si="13"/>
        <v>-3.5780392434805866E-2</v>
      </c>
      <c r="P159" s="17">
        <f t="shared" si="14"/>
        <v>-3.2400306748466258E-2</v>
      </c>
      <c r="Q159" s="18">
        <f t="shared" si="11"/>
        <v>89.883817876139261</v>
      </c>
      <c r="R159" s="18">
        <f t="shared" si="12"/>
        <v>77.620759042282216</v>
      </c>
      <c r="S159" s="35">
        <f>(S158-SUM(E157:E163))/(SUM(E157:E163))</f>
        <v>-4.804213774455237E-2</v>
      </c>
      <c r="T159" s="48">
        <f>SUM(I157:I163)/SUM(K157:K163)</f>
        <v>96.98349649230822</v>
      </c>
      <c r="U159" s="1738"/>
    </row>
    <row r="160" spans="1:25">
      <c r="A160" s="10" t="s">
        <v>13</v>
      </c>
      <c r="B160" s="905">
        <v>45812</v>
      </c>
      <c r="C160" s="76">
        <f>IF(G160=0,0,CHAMNORD!C160+AIX!C160+BELLEY!C160+STALBAN!C160+ABRETS!C160+PONT!C160+FRANCIN!C160+VIVIERS!C160)</f>
        <v>96044.14</v>
      </c>
      <c r="D160" s="76">
        <f>IF(H160=0,0,CHAMNORD!D160+AIX!D160+BELLEY!D160+STALBAN!D160+ABRETS!D160+PONT!D160+FRANCIN!D160+VIVIERS!D160)</f>
        <v>90029.969999999987</v>
      </c>
      <c r="E160" s="76">
        <f>IF(I160=0,0,CHAMNORD!E160+AIX!E160+BELLEY!E160+STALBAN!E160+ABRETS!E160+PONT!E160+FRANCIN!E160+VIVIERS!E160)</f>
        <v>89081.53</v>
      </c>
      <c r="F160" s="20">
        <f>IF(J160=0,0,CHAMNORD!F160+AIX!F160+BELLEY!F160+STALBAN!F160+ABRETS!F160+PONT!F160+FRANCIN!F160+VIVIERS!F160)</f>
        <v>5136</v>
      </c>
      <c r="G160" s="40">
        <f>IF(I160=0,0,CHAMNORD!G160+AIX!G160+BELLEY!G160+STALBAN!G160+ABRETS!G160+PONT!G160+FRANCIN!G160+VIVIERS!G160)</f>
        <v>85800</v>
      </c>
      <c r="H160" s="42">
        <f>CHAMNORD!H160+AIX!H160+BELLEY!H160+STALBAN!H160+ABRETS!H160+PONT!H160+FRANCIN!H160+VIVIERS!H160</f>
        <v>79376.33</v>
      </c>
      <c r="I160" s="13">
        <f>CHAMNORD!I160+AIX!I160+BELLEY!I160+STALBAN!I160+ABRETS!I160+PONT!I160+FRANCIN!I160+VIVIERS!I160</f>
        <v>78136.87000000001</v>
      </c>
      <c r="J160" s="14">
        <f>CHAMNORD!J160+AIX!J160+BELLEY!J160+STALBAN!J160+ABRETS!J160+PONT!J160+FRANCIN!J160+VIVIERS!J160</f>
        <v>4262</v>
      </c>
      <c r="K160" s="15">
        <f>CHAMNORD!K160+AIX!K160+BELLEY!K160+STALBAN!K160+ABRETS!K160+PONT!K160+FRANCIN!K160+VIVIERS!K160</f>
        <v>934.46999999999991</v>
      </c>
      <c r="L160" s="15">
        <f>CHAMNORD!L160+AIX!L160+BELLEY!L160+STALBAN!L160+ABRETS!L160+PONT!L160+FRANCIN!L160+VIVIERS!L160</f>
        <v>1074.23</v>
      </c>
      <c r="M160" s="15">
        <f>CHAMNORD!M160+AIX!M160+BELLEY!M160+STALBAN!M160+ABRETS!M160+PONT!M160+FRANCIN!M160+VIVIERS!M160</f>
        <v>538.75159879668354</v>
      </c>
      <c r="N160" s="16">
        <f t="shared" si="10"/>
        <v>6.8949728699995725E-3</v>
      </c>
      <c r="O160" s="17">
        <f t="shared" si="13"/>
        <v>-0.12286115876096862</v>
      </c>
      <c r="P160" s="17">
        <f t="shared" si="14"/>
        <v>-0.17017133956386293</v>
      </c>
      <c r="Q160" s="18">
        <f t="shared" si="11"/>
        <v>83.616242361980611</v>
      </c>
      <c r="R160" s="18">
        <f t="shared" si="12"/>
        <v>72.73756085754448</v>
      </c>
      <c r="S160" s="34"/>
      <c r="T160" s="29" t="s">
        <v>8</v>
      </c>
      <c r="U160" s="1738"/>
    </row>
    <row r="161" spans="1:25">
      <c r="A161" s="10" t="s">
        <v>14</v>
      </c>
      <c r="B161" s="905">
        <v>45813</v>
      </c>
      <c r="C161" s="76">
        <f>IF(G161=0,0,CHAMNORD!C161+AIX!C161+BELLEY!C161+STALBAN!C161+ABRETS!C161+PONT!C161+FRANCIN!C161+VIVIERS!C161)</f>
        <v>90029.969999999987</v>
      </c>
      <c r="D161" s="76">
        <f>IF(H161=0,0,CHAMNORD!D161+AIX!D161+BELLEY!D161+STALBAN!D161+ABRETS!D161+PONT!D161+FRANCIN!D161+VIVIERS!D161)</f>
        <v>126673.97</v>
      </c>
      <c r="E161" s="76">
        <f>IF(I161=0,0,CHAMNORD!E161+AIX!E161+BELLEY!E161+STALBAN!E161+ABRETS!E161+PONT!E161+FRANCIN!E161+VIVIERS!E161)</f>
        <v>125349.01000000001</v>
      </c>
      <c r="F161" s="20">
        <f>IF(J161=0,0,CHAMNORD!F161+AIX!F161+BELLEY!F161+STALBAN!F161+ABRETS!F161+PONT!F161+FRANCIN!F161+VIVIERS!F161)</f>
        <v>6790</v>
      </c>
      <c r="G161" s="40">
        <f>IF(I161=0,0,CHAMNORD!G161+AIX!G161+BELLEY!G161+STALBAN!G161+ABRETS!G161+PONT!G161+FRANCIN!G161+VIVIERS!G161)</f>
        <v>126100</v>
      </c>
      <c r="H161" s="42">
        <f>CHAMNORD!H161+AIX!H161+BELLEY!H161+STALBAN!H161+ABRETS!H161+PONT!H161+FRANCIN!H161+VIVIERS!H161</f>
        <v>120964.19</v>
      </c>
      <c r="I161" s="13">
        <f>CHAMNORD!I161+AIX!I161+BELLEY!I161+STALBAN!I161+ABRETS!I161+PONT!I161+FRANCIN!I161+VIVIERS!I161</f>
        <v>118970.70000000001</v>
      </c>
      <c r="J161" s="14">
        <f>CHAMNORD!J161+AIX!J161+BELLEY!J161+STALBAN!J161+ABRETS!J161+PONT!J161+FRANCIN!J161+VIVIERS!J161</f>
        <v>6298</v>
      </c>
      <c r="K161" s="15">
        <f>CHAMNORD!K161+AIX!K161+BELLEY!K161+STALBAN!K161+ABRETS!K161+PONT!K161+FRANCIN!K161+VIVIERS!K161</f>
        <v>1193.0600000000002</v>
      </c>
      <c r="L161" s="15">
        <f>CHAMNORD!L161+AIX!L161+BELLEY!L161+STALBAN!L161+ABRETS!L161+PONT!L161+FRANCIN!L161+VIVIERS!L161</f>
        <v>1300.1499999999999</v>
      </c>
      <c r="M161" s="15">
        <f>CHAMNORD!M161+AIX!M161+BELLEY!M161+STALBAN!M161+ABRETS!M161+PONT!M161+FRANCIN!M161+VIVIERS!M161</f>
        <v>510.5853845319449</v>
      </c>
      <c r="N161" s="16">
        <f t="shared" si="10"/>
        <v>4.2916901769254516E-3</v>
      </c>
      <c r="O161" s="17">
        <f t="shared" si="13"/>
        <v>-5.0884406665836428E-2</v>
      </c>
      <c r="P161" s="17">
        <f t="shared" si="14"/>
        <v>-7.2459499263622981E-2</v>
      </c>
      <c r="Q161" s="18">
        <f t="shared" si="11"/>
        <v>99.718957973614067</v>
      </c>
      <c r="R161" s="18">
        <f t="shared" si="12"/>
        <v>91.505364765603986</v>
      </c>
      <c r="S161" s="36" t="s">
        <v>40</v>
      </c>
      <c r="T161" s="48">
        <f>SUM(I157:I163)/SUM(L157:L163)</f>
        <v>85.971986653074936</v>
      </c>
      <c r="U161" s="1738"/>
    </row>
    <row r="162" spans="1:25">
      <c r="A162" s="10" t="s">
        <v>15</v>
      </c>
      <c r="B162" s="905">
        <v>45814</v>
      </c>
      <c r="C162" s="76">
        <f>IF(G162=0,0,CHAMNORD!C162+AIX!C162+BELLEY!C162+STALBAN!C162+ABRETS!C162+PONT!C162+FRANCIN!C162+VIVIERS!C162)</f>
        <v>126673.97</v>
      </c>
      <c r="D162" s="76">
        <f>IF(H162=0,0,CHAMNORD!D162+AIX!D162+BELLEY!D162+STALBAN!D162+ABRETS!D162+PONT!D162+FRANCIN!D162+VIVIERS!D162)</f>
        <v>119839.81999999998</v>
      </c>
      <c r="E162" s="76">
        <f>IF(I162=0,0,CHAMNORD!E162+AIX!E162+BELLEY!E162+STALBAN!E162+ABRETS!E162+PONT!E162+FRANCIN!E162+VIVIERS!E162)</f>
        <v>118476.56999999998</v>
      </c>
      <c r="F162" s="20">
        <f>IF(J162=0,0,CHAMNORD!F162+AIX!F162+BELLEY!F162+STALBAN!F162+ABRETS!F162+PONT!F162+FRANCIN!F162+VIVIERS!F162)</f>
        <v>6050</v>
      </c>
      <c r="G162" s="40">
        <f>IF(I162=0,0,CHAMNORD!G162+AIX!G162+BELLEY!G162+STALBAN!G162+ABRETS!G162+PONT!G162+FRANCIN!G162+VIVIERS!G162)</f>
        <v>117100</v>
      </c>
      <c r="H162" s="42">
        <f>CHAMNORD!H162+AIX!H162+BELLEY!H162+STALBAN!H162+ABRETS!H162+PONT!H162+FRANCIN!H162+VIVIERS!H162</f>
        <v>118643.03</v>
      </c>
      <c r="I162" s="13">
        <f>CHAMNORD!I162+AIX!I162+BELLEY!I162+STALBAN!I162+ABRETS!I162+PONT!I162+FRANCIN!I162+VIVIERS!I162</f>
        <v>116875.29</v>
      </c>
      <c r="J162" s="14">
        <f>CHAMNORD!J162+AIX!J162+BELLEY!J162+STALBAN!J162+ABRETS!J162+PONT!J162+FRANCIN!J162+VIVIERS!J162</f>
        <v>6070</v>
      </c>
      <c r="K162" s="15">
        <f>CHAMNORD!K162+AIX!K162+BELLEY!K162+STALBAN!K162+ABRETS!K162+PONT!K162+FRANCIN!K162+VIVIERS!K162</f>
        <v>1106.19</v>
      </c>
      <c r="L162" s="15">
        <f>CHAMNORD!L162+AIX!L162+BELLEY!L162+STALBAN!L162+ABRETS!L162+PONT!L162+FRANCIN!L162+VIVIERS!L162</f>
        <v>1226.96</v>
      </c>
      <c r="M162" s="15">
        <f>CHAMNORD!M162+AIX!M162+BELLEY!M162+STALBAN!M162+ABRETS!M162+PONT!M162+FRANCIN!M162+VIVIERS!M162</f>
        <v>501.45155243116574</v>
      </c>
      <c r="N162" s="16">
        <f t="shared" si="10"/>
        <v>4.2904839203493379E-3</v>
      </c>
      <c r="O162" s="17">
        <f t="shared" si="13"/>
        <v>-1.3515583714146896E-2</v>
      </c>
      <c r="P162" s="17">
        <f t="shared" si="14"/>
        <v>3.3057851239669421E-3</v>
      </c>
      <c r="Q162" s="18">
        <f t="shared" si="11"/>
        <v>105.65571014021099</v>
      </c>
      <c r="R162" s="18">
        <f t="shared" si="12"/>
        <v>95.255990415335461</v>
      </c>
      <c r="S162" s="36">
        <f>SUM(J157:J163)</f>
        <v>35988</v>
      </c>
      <c r="T162" s="30" t="s">
        <v>3</v>
      </c>
      <c r="U162" s="1738"/>
    </row>
    <row r="163" spans="1:25" ht="18" thickBot="1">
      <c r="A163" s="10" t="s">
        <v>16</v>
      </c>
      <c r="B163" s="905">
        <v>45815</v>
      </c>
      <c r="C163" s="76">
        <f>IF(G163=0,0,CHAMNORD!C163+AIX!C163+BELLEY!C163+STALBAN!C163+ABRETS!C163+PONT!C163+FRANCIN!C163+VIVIERS!C163)</f>
        <v>119839.81999999998</v>
      </c>
      <c r="D163" s="76">
        <f>IF(H163=0,0,CHAMNORD!D163+AIX!D163+BELLEY!D163+STALBAN!D163+ABRETS!D163+PONT!D163+FRANCIN!D163+VIVIERS!D163)</f>
        <v>133388.08000000002</v>
      </c>
      <c r="E163" s="76">
        <f>IF(I163=0,0,CHAMNORD!E163+AIX!E163+BELLEY!E163+STALBAN!E163+ABRETS!E163+PONT!E163+FRANCIN!E163+VIVIERS!E163)</f>
        <v>131816.41</v>
      </c>
      <c r="F163" s="20">
        <f>IF(J163=0,0,CHAMNORD!F163+AIX!F163+BELLEY!F163+STALBAN!F163+ABRETS!F163+PONT!F163+FRANCIN!F163+VIVIERS!F163)</f>
        <v>6486</v>
      </c>
      <c r="G163" s="40">
        <f>IF(I163=0,0,CHAMNORD!G163+AIX!G163+BELLEY!G163+STALBAN!G163+ABRETS!G163+PONT!G163+FRANCIN!G163+VIVIERS!G163)</f>
        <v>129300</v>
      </c>
      <c r="H163" s="42">
        <f>CHAMNORD!H163+AIX!H163+BELLEY!H163+STALBAN!H163+ABRETS!H163+PONT!H163+FRANCIN!H163+VIVIERS!H163</f>
        <v>128633.55</v>
      </c>
      <c r="I163" s="13">
        <f>CHAMNORD!I163+AIX!I163+BELLEY!I163+STALBAN!I163+ABRETS!I163+PONT!I163+FRANCIN!I163+VIVIERS!I163</f>
        <v>126710.25</v>
      </c>
      <c r="J163" s="14">
        <f>CHAMNORD!J163+AIX!J163+BELLEY!J163+STALBAN!J163+ABRETS!J163+PONT!J163+FRANCIN!J163+VIVIERS!J163</f>
        <v>6069</v>
      </c>
      <c r="K163" s="15">
        <f>CHAMNORD!K163+AIX!K163+BELLEY!K163+STALBAN!K163+ABRETS!K163+PONT!K163+FRANCIN!K163+VIVIERS!K163</f>
        <v>1072.6100000000001</v>
      </c>
      <c r="L163" s="15">
        <f>CHAMNORD!L163+AIX!L163+BELLEY!L163+STALBAN!L163+ABRETS!L163+PONT!L163+FRANCIN!L163+VIVIERS!L163</f>
        <v>1211.21</v>
      </c>
      <c r="M163" s="15">
        <f>CHAMNORD!M163+AIX!M163+BELLEY!M163+STALBAN!M163+ABRETS!M163+PONT!M163+FRANCIN!M163+VIVIERS!M163</f>
        <v>794.0309345052799</v>
      </c>
      <c r="N163" s="16">
        <f t="shared" si="10"/>
        <v>6.2665090985557989E-3</v>
      </c>
      <c r="O163" s="17">
        <f t="shared" si="13"/>
        <v>-3.873690688435532E-2</v>
      </c>
      <c r="P163" s="17">
        <f t="shared" si="14"/>
        <v>-6.4292321924144316E-2</v>
      </c>
      <c r="Q163" s="18">
        <f t="shared" si="11"/>
        <v>118.13263907664481</v>
      </c>
      <c r="R163" s="18">
        <f t="shared" si="12"/>
        <v>104.6146002757573</v>
      </c>
      <c r="S163" s="37">
        <f>(S162-SUM(F157:F163))/(SUM(F157:F163))</f>
        <v>-6.5707832498247618E-2</v>
      </c>
      <c r="T163" s="47">
        <f>SUM(M157:M163)/SUM(I157:I163)</f>
        <v>3.4488294719806599E-3</v>
      </c>
      <c r="U163" s="1739"/>
    </row>
    <row r="164" spans="1:25" ht="17" customHeight="1" thickTop="1">
      <c r="A164" s="10" t="s">
        <v>9</v>
      </c>
      <c r="B164" s="905">
        <v>45816</v>
      </c>
      <c r="C164" s="76">
        <f>IF(G164=0,0,CHAMNORD!C164+AIX!C164+BELLEY!C164+STALBAN!C164+ABRETS!C164+PONT!C164+FRANCIN!C164+VIVIERS!C164)</f>
        <v>0</v>
      </c>
      <c r="D164" s="76">
        <f>IF(H164=0,0,CHAMNORD!D164+AIX!D164+BELLEY!D164+STALBAN!D164+ABRETS!D164+PONT!D164+FRANCIN!D164+VIVIERS!D164)</f>
        <v>0</v>
      </c>
      <c r="E164" s="76">
        <f>IF(I164=0,0,CHAMNORD!E164+AIX!E164+BELLEY!E164+STALBAN!E164+ABRETS!E164+PONT!E164+FRANCIN!E164+VIVIERS!E164)</f>
        <v>0</v>
      </c>
      <c r="F164" s="20">
        <f>IF(J164=0,0,CHAMNORD!F164+AIX!F164+BELLEY!F164+STALBAN!F164+ABRETS!F164+PONT!F164+FRANCIN!F164+VIVIERS!F164)</f>
        <v>0</v>
      </c>
      <c r="G164" s="40">
        <f>IF(I164=0,0,CHAMNORD!G164+AIX!G164+BELLEY!G164+STALBAN!G164+ABRETS!G164+PONT!G164+FRANCIN!G164+VIVIERS!G164)</f>
        <v>0</v>
      </c>
      <c r="H164" s="42">
        <f>CHAMNORD!H164+AIX!H164+BELLEY!H164+STALBAN!H164+ABRETS!H164+PONT!H164+FRANCIN!H164+VIVIERS!H164</f>
        <v>0</v>
      </c>
      <c r="I164" s="13">
        <f>CHAMNORD!I164+AIX!I164+BELLEY!I164+STALBAN!I164+ABRETS!I164+PONT!I164+FRANCIN!I164+VIVIERS!I164</f>
        <v>0</v>
      </c>
      <c r="J164" s="14">
        <f>CHAMNORD!J164+AIX!J164+BELLEY!J164+STALBAN!J164+ABRETS!J164+PONT!J164+FRANCIN!J164+VIVIERS!J164</f>
        <v>0</v>
      </c>
      <c r="K164" s="15">
        <f>CHAMNORD!K164+AIX!K164+BELLEY!K164+STALBAN!K164+ABRETS!K164+PONT!K164+FRANCIN!K164+VIVIERS!K164</f>
        <v>0</v>
      </c>
      <c r="L164" s="15">
        <f>CHAMNORD!L164+AIX!L164+BELLEY!L164+STALBAN!L164+ABRETS!L164+PONT!L164+FRANCIN!L164+VIVIERS!L164</f>
        <v>0</v>
      </c>
      <c r="M164" s="15" t="e">
        <f>CHAMNORD!M164+AIX!M164+BELLEY!M164+STALBAN!M164+ABRETS!M164+PONT!M164+FRANCIN!M164+VIVIERS!M164</f>
        <v>#VALUE!</v>
      </c>
      <c r="N164" s="16" t="e">
        <f t="shared" si="10"/>
        <v>#VALUE!</v>
      </c>
      <c r="O164" s="17" t="str">
        <f t="shared" si="13"/>
        <v/>
      </c>
      <c r="P164" s="17" t="str">
        <f t="shared" si="14"/>
        <v/>
      </c>
      <c r="Q164" s="18" t="str">
        <f t="shared" si="11"/>
        <v/>
      </c>
      <c r="R164" s="18" t="e">
        <f t="shared" si="12"/>
        <v>#DIV/0!</v>
      </c>
      <c r="S164" s="33" t="s">
        <v>39</v>
      </c>
      <c r="T164" s="31" t="s">
        <v>42</v>
      </c>
      <c r="U164" s="1737" t="s">
        <v>106</v>
      </c>
    </row>
    <row r="165" spans="1:25">
      <c r="A165" s="10" t="s">
        <v>11</v>
      </c>
      <c r="B165" s="905">
        <v>45817</v>
      </c>
      <c r="C165" s="76">
        <f>IF(G165=0,0,CHAMNORD!C165+AIX!C165+BELLEY!C165+STALBAN!C165+ABRETS!C165+PONT!C165+FRANCIN!C165+VIVIERS!C165)</f>
        <v>0</v>
      </c>
      <c r="D165" s="76">
        <f>IF(H165=0,0,CHAMNORD!D165+AIX!D165+BELLEY!D165+STALBAN!D165+ABRETS!D165+PONT!D165+FRANCIN!D165+VIVIERS!D165)</f>
        <v>0</v>
      </c>
      <c r="E165" s="76">
        <f>IF(I165=0,0,CHAMNORD!E165+AIX!E165+BELLEY!E165+STALBAN!E165+ABRETS!E165+PONT!E165+FRANCIN!E165+VIVIERS!E165)</f>
        <v>0</v>
      </c>
      <c r="F165" s="20">
        <f>IF(J165=0,0,CHAMNORD!F165+AIX!F165+BELLEY!F165+STALBAN!F165+ABRETS!F165+PONT!F165+FRANCIN!F165+VIVIERS!F165)</f>
        <v>0</v>
      </c>
      <c r="G165" s="40">
        <f>IF(I165=0,0,CHAMNORD!G165+AIX!G165+BELLEY!G165+STALBAN!G165+ABRETS!G165+PONT!G165+FRANCIN!G165+VIVIERS!G165)</f>
        <v>0</v>
      </c>
      <c r="H165" s="42">
        <f>CHAMNORD!H165+AIX!H165+BELLEY!H165+STALBAN!H165+ABRETS!H165+PONT!H165+FRANCIN!H165+VIVIERS!H165</f>
        <v>0</v>
      </c>
      <c r="I165" s="13">
        <f>CHAMNORD!I165+AIX!I165+BELLEY!I165+STALBAN!I165+ABRETS!I165+PONT!I165+FRANCIN!I165+VIVIERS!I165</f>
        <v>0</v>
      </c>
      <c r="J165" s="14">
        <f>CHAMNORD!J165+AIX!J165+BELLEY!J165+STALBAN!J165+ABRETS!J165+PONT!J165+FRANCIN!J165+VIVIERS!J165</f>
        <v>0</v>
      </c>
      <c r="K165" s="15">
        <f>CHAMNORD!K165+AIX!K165+BELLEY!K165+STALBAN!K165+ABRETS!K165+PONT!K165+FRANCIN!K165+VIVIERS!K165</f>
        <v>0</v>
      </c>
      <c r="L165" s="15">
        <f>CHAMNORD!L165+AIX!L165+BELLEY!L165+STALBAN!L165+ABRETS!L165+PONT!L165+FRANCIN!L165+VIVIERS!L165</f>
        <v>0</v>
      </c>
      <c r="M165" s="15" t="e">
        <f>CHAMNORD!M165+AIX!M165+BELLEY!M165+STALBAN!M165+ABRETS!M165+PONT!M165+FRANCIN!M165+VIVIERS!M165</f>
        <v>#VALUE!</v>
      </c>
      <c r="N165" s="16" t="e">
        <f t="shared" si="10"/>
        <v>#VALUE!</v>
      </c>
      <c r="O165" s="17" t="str">
        <f t="shared" si="13"/>
        <v/>
      </c>
      <c r="P165" s="17" t="str">
        <f t="shared" si="14"/>
        <v/>
      </c>
      <c r="Q165" s="18" t="str">
        <f t="shared" si="11"/>
        <v/>
      </c>
      <c r="R165" s="18" t="e">
        <f t="shared" si="12"/>
        <v>#DIV/0!</v>
      </c>
      <c r="S165" s="34">
        <f>SUM(I164:I170)</f>
        <v>0</v>
      </c>
      <c r="T165" s="45" t="s">
        <v>41</v>
      </c>
      <c r="U165" s="1738"/>
      <c r="W165" s="202">
        <f>+S165</f>
        <v>0</v>
      </c>
      <c r="X165" s="202">
        <f>SUM(CHAMNORD!E164:E170)+SUM(AIX!E164:E170)+SUM(BELLEY!E164:E170)+SUM(STALBAN!E164:E170)+SUM(ABRETS!E164:E170)+SUM(PONT!E164:E170)+SUM(FRANCIN!E164:E170)+SUM(VIVIERS!E164:E170)</f>
        <v>0</v>
      </c>
      <c r="Y165" s="1051">
        <f>+W165-X165</f>
        <v>0</v>
      </c>
    </row>
    <row r="166" spans="1:25">
      <c r="A166" s="10" t="s">
        <v>12</v>
      </c>
      <c r="B166" s="905">
        <v>45818</v>
      </c>
      <c r="C166" s="76">
        <f>IF(G166=0,0,CHAMNORD!C166+AIX!C166+BELLEY!C166+STALBAN!C166+ABRETS!C166+PONT!C166+FRANCIN!C166+VIVIERS!C166)</f>
        <v>0</v>
      </c>
      <c r="D166" s="76">
        <f>IF(H166=0,0,CHAMNORD!D166+AIX!D166+BELLEY!D166+STALBAN!D166+ABRETS!D166+PONT!D166+FRANCIN!D166+VIVIERS!D166)</f>
        <v>0</v>
      </c>
      <c r="E166" s="76">
        <f>IF(I166=0,0,CHAMNORD!E166+AIX!E166+BELLEY!E166+STALBAN!E166+ABRETS!E166+PONT!E166+FRANCIN!E166+VIVIERS!E166)</f>
        <v>0</v>
      </c>
      <c r="F166" s="20">
        <f>IF(J166=0,0,CHAMNORD!F166+AIX!F166+BELLEY!F166+STALBAN!F166+ABRETS!F166+PONT!F166+FRANCIN!F166+VIVIERS!F166)</f>
        <v>0</v>
      </c>
      <c r="G166" s="40">
        <f>IF(I166=0,0,CHAMNORD!G166+AIX!G166+BELLEY!G166+STALBAN!G166+ABRETS!G166+PONT!G166+FRANCIN!G166+VIVIERS!G166)</f>
        <v>0</v>
      </c>
      <c r="H166" s="42">
        <f>CHAMNORD!H166+AIX!H166+BELLEY!H166+STALBAN!H166+ABRETS!H166+PONT!H166+FRANCIN!H166+VIVIERS!H166</f>
        <v>0</v>
      </c>
      <c r="I166" s="13">
        <f>CHAMNORD!I166+AIX!I166+BELLEY!I166+STALBAN!I166+ABRETS!I166+PONT!I166+FRANCIN!I166+VIVIERS!I166</f>
        <v>0</v>
      </c>
      <c r="J166" s="14">
        <f>CHAMNORD!J166+AIX!J166+BELLEY!J166+STALBAN!J166+ABRETS!J166+PONT!J166+FRANCIN!J166+VIVIERS!J166</f>
        <v>0</v>
      </c>
      <c r="K166" s="15">
        <f>CHAMNORD!K166+AIX!K166+BELLEY!K166+STALBAN!K166+ABRETS!K166+PONT!K166+FRANCIN!K166+VIVIERS!K166</f>
        <v>0</v>
      </c>
      <c r="L166" s="15">
        <f>CHAMNORD!L166+AIX!L166+BELLEY!L166+STALBAN!L166+ABRETS!L166+PONT!L166+FRANCIN!L166+VIVIERS!L166</f>
        <v>0</v>
      </c>
      <c r="M166" s="15" t="e">
        <f>CHAMNORD!M166+AIX!M166+BELLEY!M166+STALBAN!M166+ABRETS!M166+PONT!M166+FRANCIN!M166+VIVIERS!M166</f>
        <v>#VALUE!</v>
      </c>
      <c r="N166" s="16" t="e">
        <f t="shared" si="10"/>
        <v>#VALUE!</v>
      </c>
      <c r="O166" s="17" t="str">
        <f t="shared" si="13"/>
        <v/>
      </c>
      <c r="P166" s="17" t="str">
        <f t="shared" si="14"/>
        <v/>
      </c>
      <c r="Q166" s="18" t="str">
        <f t="shared" si="11"/>
        <v/>
      </c>
      <c r="R166" s="18" t="e">
        <f t="shared" si="12"/>
        <v>#DIV/0!</v>
      </c>
      <c r="S166" s="35" t="e">
        <f>(S165-SUM(E164:E170))/(SUM(E164:E170))</f>
        <v>#DIV/0!</v>
      </c>
      <c r="T166" s="48" t="e">
        <f>SUM(I164:I170)/SUM(K164:K170)</f>
        <v>#DIV/0!</v>
      </c>
      <c r="U166" s="1738"/>
    </row>
    <row r="167" spans="1:25">
      <c r="A167" s="10" t="s">
        <v>13</v>
      </c>
      <c r="B167" s="905">
        <v>45819</v>
      </c>
      <c r="C167" s="76">
        <f>IF(G167=0,0,CHAMNORD!C167+AIX!C167+BELLEY!C167+STALBAN!C167+ABRETS!C167+PONT!C167+FRANCIN!C167+VIVIERS!C167)</f>
        <v>0</v>
      </c>
      <c r="D167" s="76">
        <f>IF(H167=0,0,CHAMNORD!D167+AIX!D167+BELLEY!D167+STALBAN!D167+ABRETS!D167+PONT!D167+FRANCIN!D167+VIVIERS!D167)</f>
        <v>0</v>
      </c>
      <c r="E167" s="76">
        <f>IF(I167=0,0,CHAMNORD!E167+AIX!E167+BELLEY!E167+STALBAN!E167+ABRETS!E167+PONT!E167+FRANCIN!E167+VIVIERS!E167)</f>
        <v>0</v>
      </c>
      <c r="F167" s="20">
        <f>IF(J167=0,0,CHAMNORD!F167+AIX!F167+BELLEY!F167+STALBAN!F167+ABRETS!F167+PONT!F167+FRANCIN!F167+VIVIERS!F167)</f>
        <v>0</v>
      </c>
      <c r="G167" s="40">
        <f>IF(I167=0,0,CHAMNORD!G167+AIX!G167+BELLEY!G167+STALBAN!G167+ABRETS!G167+PONT!G167+FRANCIN!G167+VIVIERS!G167)</f>
        <v>0</v>
      </c>
      <c r="H167" s="42">
        <f>CHAMNORD!H167+AIX!H167+BELLEY!H167+STALBAN!H167+ABRETS!H167+PONT!H167+FRANCIN!H167+VIVIERS!H167</f>
        <v>0</v>
      </c>
      <c r="I167" s="13">
        <f>CHAMNORD!I167+AIX!I167+BELLEY!I167+STALBAN!I167+ABRETS!I167+PONT!I167+FRANCIN!I167+VIVIERS!I167</f>
        <v>0</v>
      </c>
      <c r="J167" s="14">
        <f>CHAMNORD!J167+AIX!J167+BELLEY!J167+STALBAN!J167+ABRETS!J167+PONT!J167+FRANCIN!J167+VIVIERS!J167</f>
        <v>0</v>
      </c>
      <c r="K167" s="15">
        <f>CHAMNORD!K167+AIX!K167+BELLEY!K167+STALBAN!K167+ABRETS!K167+PONT!K167+FRANCIN!K167+VIVIERS!K167</f>
        <v>0</v>
      </c>
      <c r="L167" s="15">
        <f>CHAMNORD!L167+AIX!L167+BELLEY!L167+STALBAN!L167+ABRETS!L167+PONT!L167+FRANCIN!L167+VIVIERS!L167</f>
        <v>0</v>
      </c>
      <c r="M167" s="15" t="e">
        <f>CHAMNORD!M167+AIX!M167+BELLEY!M167+STALBAN!M167+ABRETS!M167+PONT!M167+FRANCIN!M167+VIVIERS!M167</f>
        <v>#VALUE!</v>
      </c>
      <c r="N167" s="16" t="e">
        <f t="shared" si="10"/>
        <v>#VALUE!</v>
      </c>
      <c r="O167" s="17" t="str">
        <f t="shared" si="13"/>
        <v/>
      </c>
      <c r="P167" s="17" t="str">
        <f t="shared" si="14"/>
        <v/>
      </c>
      <c r="Q167" s="18" t="str">
        <f t="shared" si="11"/>
        <v/>
      </c>
      <c r="R167" s="18" t="e">
        <f t="shared" si="12"/>
        <v>#DIV/0!</v>
      </c>
      <c r="S167" s="34"/>
      <c r="T167" s="29" t="s">
        <v>8</v>
      </c>
      <c r="U167" s="1738"/>
    </row>
    <row r="168" spans="1:25">
      <c r="A168" s="10" t="s">
        <v>14</v>
      </c>
      <c r="B168" s="905">
        <v>45820</v>
      </c>
      <c r="C168" s="76">
        <f>IF(G168=0,0,CHAMNORD!C168+AIX!C168+BELLEY!C168+STALBAN!C168+ABRETS!C168+PONT!C168+FRANCIN!C168+VIVIERS!C168)</f>
        <v>0</v>
      </c>
      <c r="D168" s="76">
        <f>IF(H168=0,0,CHAMNORD!D168+AIX!D168+BELLEY!D168+STALBAN!D168+ABRETS!D168+PONT!D168+FRANCIN!D168+VIVIERS!D168)</f>
        <v>0</v>
      </c>
      <c r="E168" s="76">
        <f>IF(I168=0,0,CHAMNORD!E168+AIX!E168+BELLEY!E168+STALBAN!E168+ABRETS!E168+PONT!E168+FRANCIN!E168+VIVIERS!E168)</f>
        <v>0</v>
      </c>
      <c r="F168" s="20">
        <f>IF(J168=0,0,CHAMNORD!F168+AIX!F168+BELLEY!F168+STALBAN!F168+ABRETS!F168+PONT!F168+FRANCIN!F168+VIVIERS!F168)</f>
        <v>0</v>
      </c>
      <c r="G168" s="40">
        <f>IF(I168=0,0,CHAMNORD!G168+AIX!G168+BELLEY!G168+STALBAN!G168+ABRETS!G168+PONT!G168+FRANCIN!G168+VIVIERS!G168)</f>
        <v>0</v>
      </c>
      <c r="H168" s="42">
        <f>CHAMNORD!H168+AIX!H168+BELLEY!H168+STALBAN!H168+ABRETS!H168+PONT!H168+FRANCIN!H168+VIVIERS!H168</f>
        <v>0</v>
      </c>
      <c r="I168" s="13">
        <f>CHAMNORD!I168+AIX!I168+BELLEY!I168+STALBAN!I168+ABRETS!I168+PONT!I168+FRANCIN!I168+VIVIERS!I168</f>
        <v>0</v>
      </c>
      <c r="J168" s="14">
        <f>CHAMNORD!J168+AIX!J168+BELLEY!J168+STALBAN!J168+ABRETS!J168+PONT!J168+FRANCIN!J168+VIVIERS!J168</f>
        <v>0</v>
      </c>
      <c r="K168" s="15">
        <f>CHAMNORD!K168+AIX!K168+BELLEY!K168+STALBAN!K168+ABRETS!K168+PONT!K168+FRANCIN!K168+VIVIERS!K168</f>
        <v>0</v>
      </c>
      <c r="L168" s="15">
        <f>CHAMNORD!L168+AIX!L168+BELLEY!L168+STALBAN!L168+ABRETS!L168+PONT!L168+FRANCIN!L168+VIVIERS!L168</f>
        <v>0</v>
      </c>
      <c r="M168" s="15" t="e">
        <f>CHAMNORD!M168+AIX!M168+BELLEY!M168+STALBAN!M168+ABRETS!M168+PONT!M168+FRANCIN!M168+VIVIERS!M168</f>
        <v>#VALUE!</v>
      </c>
      <c r="N168" s="16" t="e">
        <f t="shared" si="10"/>
        <v>#VALUE!</v>
      </c>
      <c r="O168" s="17" t="str">
        <f t="shared" si="13"/>
        <v/>
      </c>
      <c r="P168" s="17" t="str">
        <f t="shared" si="14"/>
        <v/>
      </c>
      <c r="Q168" s="18" t="str">
        <f t="shared" si="11"/>
        <v/>
      </c>
      <c r="R168" s="18" t="e">
        <f t="shared" si="12"/>
        <v>#DIV/0!</v>
      </c>
      <c r="S168" s="36" t="s">
        <v>40</v>
      </c>
      <c r="T168" s="48" t="e">
        <f>SUM(I164:I170)/SUM(L164:L170)</f>
        <v>#DIV/0!</v>
      </c>
      <c r="U168" s="1738"/>
    </row>
    <row r="169" spans="1:25">
      <c r="A169" s="10" t="s">
        <v>15</v>
      </c>
      <c r="B169" s="905">
        <v>45821</v>
      </c>
      <c r="C169" s="76">
        <f>IF(G169=0,0,CHAMNORD!C169+AIX!C169+BELLEY!C169+STALBAN!C169+ABRETS!C169+PONT!C169+FRANCIN!C169+VIVIERS!C169)</f>
        <v>0</v>
      </c>
      <c r="D169" s="76">
        <f>IF(H169=0,0,CHAMNORD!D169+AIX!D169+BELLEY!D169+STALBAN!D169+ABRETS!D169+PONT!D169+FRANCIN!D169+VIVIERS!D169)</f>
        <v>0</v>
      </c>
      <c r="E169" s="76">
        <f>IF(I169=0,0,CHAMNORD!E169+AIX!E169+BELLEY!E169+STALBAN!E169+ABRETS!E169+PONT!E169+FRANCIN!E169+VIVIERS!E169)</f>
        <v>0</v>
      </c>
      <c r="F169" s="20">
        <f>IF(J169=0,0,CHAMNORD!F169+AIX!F169+BELLEY!F169+STALBAN!F169+ABRETS!F169+PONT!F169+FRANCIN!F169+VIVIERS!F169)</f>
        <v>0</v>
      </c>
      <c r="G169" s="40">
        <f>IF(I169=0,0,CHAMNORD!G169+AIX!G169+BELLEY!G169+STALBAN!G169+ABRETS!G169+PONT!G169+FRANCIN!G169+VIVIERS!G169)</f>
        <v>0</v>
      </c>
      <c r="H169" s="42">
        <f>CHAMNORD!H169+AIX!H169+BELLEY!H169+STALBAN!H169+ABRETS!H169+PONT!H169+FRANCIN!H169+VIVIERS!H169</f>
        <v>0</v>
      </c>
      <c r="I169" s="13">
        <f>CHAMNORD!I169+AIX!I169+BELLEY!I169+STALBAN!I169+ABRETS!I169+PONT!I169+FRANCIN!I169+VIVIERS!I169</f>
        <v>0</v>
      </c>
      <c r="J169" s="14">
        <f>CHAMNORD!J169+AIX!J169+BELLEY!J169+STALBAN!J169+ABRETS!J169+PONT!J169+FRANCIN!J169+VIVIERS!J169</f>
        <v>0</v>
      </c>
      <c r="K169" s="15">
        <f>CHAMNORD!K169+AIX!K169+BELLEY!K169+STALBAN!K169+ABRETS!K169+PONT!K169+FRANCIN!K169+VIVIERS!K169</f>
        <v>0</v>
      </c>
      <c r="L169" s="15">
        <f>CHAMNORD!L169+AIX!L169+BELLEY!L169+STALBAN!L169+ABRETS!L169+PONT!L169+FRANCIN!L169+VIVIERS!L169</f>
        <v>0</v>
      </c>
      <c r="M169" s="15" t="e">
        <f>CHAMNORD!M169+AIX!M169+BELLEY!M169+STALBAN!M169+ABRETS!M169+PONT!M169+FRANCIN!M169+VIVIERS!M169</f>
        <v>#VALUE!</v>
      </c>
      <c r="N169" s="16" t="e">
        <f t="shared" si="10"/>
        <v>#VALUE!</v>
      </c>
      <c r="O169" s="17" t="str">
        <f t="shared" si="13"/>
        <v/>
      </c>
      <c r="P169" s="17" t="str">
        <f t="shared" si="14"/>
        <v/>
      </c>
      <c r="Q169" s="18" t="str">
        <f t="shared" si="11"/>
        <v/>
      </c>
      <c r="R169" s="18" t="e">
        <f t="shared" si="12"/>
        <v>#DIV/0!</v>
      </c>
      <c r="S169" s="36">
        <f>SUM(J164:J170)</f>
        <v>0</v>
      </c>
      <c r="T169" s="30" t="s">
        <v>3</v>
      </c>
      <c r="U169" s="1738"/>
    </row>
    <row r="170" spans="1:25" ht="18" thickBot="1">
      <c r="A170" s="10" t="s">
        <v>16</v>
      </c>
      <c r="B170" s="905">
        <v>45822</v>
      </c>
      <c r="C170" s="76">
        <f>IF(G170=0,0,CHAMNORD!C170+AIX!C170+BELLEY!C170+STALBAN!C170+ABRETS!C170+PONT!C170+FRANCIN!C170+VIVIERS!C170)</f>
        <v>0</v>
      </c>
      <c r="D170" s="76">
        <f>IF(H170=0,0,CHAMNORD!D170+AIX!D170+BELLEY!D170+STALBAN!D170+ABRETS!D170+PONT!D170+FRANCIN!D170+VIVIERS!D170)</f>
        <v>0</v>
      </c>
      <c r="E170" s="76">
        <f>IF(I170=0,0,CHAMNORD!E170+AIX!E170+BELLEY!E170+STALBAN!E170+ABRETS!E170+PONT!E170+FRANCIN!E170+VIVIERS!E170)</f>
        <v>0</v>
      </c>
      <c r="F170" s="20">
        <f>IF(J170=0,0,CHAMNORD!F170+AIX!F170+BELLEY!F170+STALBAN!F170+ABRETS!F170+PONT!F170+FRANCIN!F170+VIVIERS!F170)</f>
        <v>0</v>
      </c>
      <c r="G170" s="40">
        <f>IF(I170=0,0,CHAMNORD!G170+AIX!G170+BELLEY!G170+STALBAN!G170+ABRETS!G170+PONT!G170+FRANCIN!G170+VIVIERS!G170)</f>
        <v>0</v>
      </c>
      <c r="H170" s="42">
        <f>CHAMNORD!H170+AIX!H170+BELLEY!H170+STALBAN!H170+ABRETS!H170+PONT!H170+FRANCIN!H170+VIVIERS!H170</f>
        <v>0</v>
      </c>
      <c r="I170" s="13">
        <f>CHAMNORD!I170+AIX!I170+BELLEY!I170+STALBAN!I170+ABRETS!I170+PONT!I170+FRANCIN!I170+VIVIERS!I170</f>
        <v>0</v>
      </c>
      <c r="J170" s="14">
        <f>CHAMNORD!J170+AIX!J170+BELLEY!J170+STALBAN!J170+ABRETS!J170+PONT!J170+FRANCIN!J170+VIVIERS!J170</f>
        <v>0</v>
      </c>
      <c r="K170" s="15">
        <f>CHAMNORD!K170+AIX!K170+BELLEY!K170+STALBAN!K170+ABRETS!K170+PONT!K170+FRANCIN!K170+VIVIERS!K170</f>
        <v>0</v>
      </c>
      <c r="L170" s="15">
        <f>CHAMNORD!L170+AIX!L170+BELLEY!L170+STALBAN!L170+ABRETS!L170+PONT!L170+FRANCIN!L170+VIVIERS!L170</f>
        <v>0</v>
      </c>
      <c r="M170" s="15" t="e">
        <f>CHAMNORD!M170+AIX!M170+BELLEY!M170+STALBAN!M170+ABRETS!M170+PONT!M170+FRANCIN!M170+VIVIERS!M170</f>
        <v>#VALUE!</v>
      </c>
      <c r="N170" s="16" t="e">
        <f t="shared" si="10"/>
        <v>#VALUE!</v>
      </c>
      <c r="O170" s="17" t="str">
        <f t="shared" si="13"/>
        <v/>
      </c>
      <c r="P170" s="17" t="str">
        <f t="shared" si="14"/>
        <v/>
      </c>
      <c r="Q170" s="18" t="str">
        <f t="shared" si="11"/>
        <v/>
      </c>
      <c r="R170" s="18" t="e">
        <f t="shared" si="12"/>
        <v>#DIV/0!</v>
      </c>
      <c r="S170" s="37" t="e">
        <f>(S169-SUM(F164:F170))/(SUM(F164:F170))</f>
        <v>#DIV/0!</v>
      </c>
      <c r="T170" s="47" t="e">
        <f>SUM(M164:M170)/SUM(I164:I170)</f>
        <v>#VALUE!</v>
      </c>
      <c r="U170" s="1739"/>
    </row>
    <row r="171" spans="1:25" ht="17" customHeight="1" thickTop="1">
      <c r="A171" s="10" t="s">
        <v>9</v>
      </c>
      <c r="B171" s="905">
        <v>45823</v>
      </c>
      <c r="C171" s="76">
        <f>IF(G171=0,0,CHAMNORD!C171+AIX!C171+BELLEY!C171+STALBAN!C171+ABRETS!C171+PONT!C171+FRANCIN!C171+VIVIERS!C171)</f>
        <v>0</v>
      </c>
      <c r="D171" s="76">
        <f>IF(H171=0,0,CHAMNORD!D171+AIX!D171+BELLEY!D171+STALBAN!D171+ABRETS!D171+PONT!D171+FRANCIN!D171+VIVIERS!D171)</f>
        <v>0</v>
      </c>
      <c r="E171" s="76">
        <f>IF(I171=0,0,CHAMNORD!E171+AIX!E171+BELLEY!E171+STALBAN!E171+ABRETS!E171+PONT!E171+FRANCIN!E171+VIVIERS!E171)</f>
        <v>0</v>
      </c>
      <c r="F171" s="20">
        <f>IF(J171=0,0,CHAMNORD!F171+AIX!F171+BELLEY!F171+STALBAN!F171+ABRETS!F171+PONT!F171+FRANCIN!F171+VIVIERS!F171)</f>
        <v>0</v>
      </c>
      <c r="G171" s="40">
        <f>IF(I171=0,0,CHAMNORD!G171+AIX!G171+BELLEY!G171+STALBAN!G171+ABRETS!G171+PONT!G171+FRANCIN!G171+VIVIERS!G171)</f>
        <v>0</v>
      </c>
      <c r="H171" s="42">
        <f>CHAMNORD!H171+AIX!H171+BELLEY!H171+STALBAN!H171+ABRETS!H171+PONT!H171+FRANCIN!H171+VIVIERS!H171</f>
        <v>0</v>
      </c>
      <c r="I171" s="13">
        <f>CHAMNORD!I171+AIX!I171+BELLEY!I171+STALBAN!I171+ABRETS!I171+PONT!I171+FRANCIN!I171+VIVIERS!I171</f>
        <v>0</v>
      </c>
      <c r="J171" s="14">
        <f>CHAMNORD!J171+AIX!J171+BELLEY!J171+STALBAN!J171+ABRETS!J171+PONT!J171+FRANCIN!J171+VIVIERS!J171</f>
        <v>0</v>
      </c>
      <c r="K171" s="15">
        <f>CHAMNORD!K171+AIX!K171+BELLEY!K171+STALBAN!K171+ABRETS!K171+PONT!K171+FRANCIN!K171+VIVIERS!K171</f>
        <v>0</v>
      </c>
      <c r="L171" s="15">
        <f>CHAMNORD!L171+AIX!L171+BELLEY!L171+STALBAN!L171+ABRETS!L171+PONT!L171+FRANCIN!L171+VIVIERS!L171</f>
        <v>0</v>
      </c>
      <c r="M171" s="15" t="e">
        <f>CHAMNORD!M171+AIX!M171+BELLEY!M171+STALBAN!M171+ABRETS!M171+PONT!M171+FRANCIN!M171+VIVIERS!M171</f>
        <v>#VALUE!</v>
      </c>
      <c r="N171" s="16" t="e">
        <f t="shared" si="10"/>
        <v>#VALUE!</v>
      </c>
      <c r="O171" s="17" t="str">
        <f t="shared" si="13"/>
        <v/>
      </c>
      <c r="P171" s="17" t="str">
        <f t="shared" si="14"/>
        <v/>
      </c>
      <c r="Q171" s="18" t="str">
        <f t="shared" si="11"/>
        <v/>
      </c>
      <c r="R171" s="18" t="e">
        <f t="shared" si="12"/>
        <v>#DIV/0!</v>
      </c>
      <c r="S171" s="33" t="s">
        <v>39</v>
      </c>
      <c r="T171" s="31" t="s">
        <v>42</v>
      </c>
      <c r="U171" s="1737" t="s">
        <v>107</v>
      </c>
    </row>
    <row r="172" spans="1:25">
      <c r="A172" s="10" t="s">
        <v>11</v>
      </c>
      <c r="B172" s="905">
        <v>45824</v>
      </c>
      <c r="C172" s="76">
        <f>IF(G172=0,0,CHAMNORD!C172+AIX!C172+BELLEY!C172+STALBAN!C172+ABRETS!C172+PONT!C172+FRANCIN!C172+VIVIERS!C172)</f>
        <v>0</v>
      </c>
      <c r="D172" s="76">
        <f>IF(H172=0,0,CHAMNORD!D172+AIX!D172+BELLEY!D172+STALBAN!D172+ABRETS!D172+PONT!D172+FRANCIN!D172+VIVIERS!D172)</f>
        <v>0</v>
      </c>
      <c r="E172" s="76">
        <f>IF(I172=0,0,CHAMNORD!E172+AIX!E172+BELLEY!E172+STALBAN!E172+ABRETS!E172+PONT!E172+FRANCIN!E172+VIVIERS!E172)</f>
        <v>0</v>
      </c>
      <c r="F172" s="20">
        <f>IF(J172=0,0,CHAMNORD!F172+AIX!F172+BELLEY!F172+STALBAN!F172+ABRETS!F172+PONT!F172+FRANCIN!F172+VIVIERS!F172)</f>
        <v>0</v>
      </c>
      <c r="G172" s="40">
        <f>IF(I172=0,0,CHAMNORD!G172+AIX!G172+BELLEY!G172+STALBAN!G172+ABRETS!G172+PONT!G172+FRANCIN!G172+VIVIERS!G172)</f>
        <v>0</v>
      </c>
      <c r="H172" s="42">
        <f>CHAMNORD!H172+AIX!H172+BELLEY!H172+STALBAN!H172+ABRETS!H172+PONT!H172+FRANCIN!H172+VIVIERS!H172</f>
        <v>0</v>
      </c>
      <c r="I172" s="13">
        <f>CHAMNORD!I172+AIX!I172+BELLEY!I172+STALBAN!I172+ABRETS!I172+PONT!I172+FRANCIN!I172+VIVIERS!I172</f>
        <v>0</v>
      </c>
      <c r="J172" s="14">
        <f>CHAMNORD!J172+AIX!J172+BELLEY!J172+STALBAN!J172+ABRETS!J172+PONT!J172+FRANCIN!J172+VIVIERS!J172</f>
        <v>0</v>
      </c>
      <c r="K172" s="15">
        <f>CHAMNORD!K172+AIX!K172+BELLEY!K172+STALBAN!K172+ABRETS!K172+PONT!K172+FRANCIN!K172+VIVIERS!K172</f>
        <v>0</v>
      </c>
      <c r="L172" s="15">
        <f>CHAMNORD!L172+AIX!L172+BELLEY!L172+STALBAN!L172+ABRETS!L172+PONT!L172+FRANCIN!L172+VIVIERS!L172</f>
        <v>0</v>
      </c>
      <c r="M172" s="15" t="e">
        <f>CHAMNORD!M172+AIX!M172+BELLEY!M172+STALBAN!M172+ABRETS!M172+PONT!M172+FRANCIN!M172+VIVIERS!M172</f>
        <v>#VALUE!</v>
      </c>
      <c r="N172" s="16" t="e">
        <f t="shared" si="10"/>
        <v>#VALUE!</v>
      </c>
      <c r="O172" s="17" t="str">
        <f t="shared" si="13"/>
        <v/>
      </c>
      <c r="P172" s="17" t="str">
        <f t="shared" si="14"/>
        <v/>
      </c>
      <c r="Q172" s="18" t="str">
        <f t="shared" si="11"/>
        <v/>
      </c>
      <c r="R172" s="18" t="e">
        <f t="shared" si="12"/>
        <v>#DIV/0!</v>
      </c>
      <c r="S172" s="34">
        <f>SUM(I171:I177)</f>
        <v>0</v>
      </c>
      <c r="T172" s="45" t="s">
        <v>41</v>
      </c>
      <c r="U172" s="1738"/>
      <c r="W172" s="202">
        <f>+S172</f>
        <v>0</v>
      </c>
      <c r="X172" s="202">
        <f>SUM(CHAMNORD!E171:E177)+SUM(AIX!E171:E177)+SUM(BELLEY!E171:E177)+SUM(STALBAN!E171:E177)+SUM(ABRETS!E171:E177)+SUM(PONT!E171:E177)+SUM(FRANCIN!E171:E177)+SUM(VIVIERS!E171:E177)</f>
        <v>0</v>
      </c>
      <c r="Y172" s="1051">
        <f>+W172-X172</f>
        <v>0</v>
      </c>
    </row>
    <row r="173" spans="1:25">
      <c r="A173" s="10" t="s">
        <v>12</v>
      </c>
      <c r="B173" s="905">
        <v>45825</v>
      </c>
      <c r="C173" s="76">
        <f>IF(G173=0,0,CHAMNORD!C173+AIX!C173+BELLEY!C173+STALBAN!C173+ABRETS!C173+PONT!C173+FRANCIN!C173+VIVIERS!C173)</f>
        <v>0</v>
      </c>
      <c r="D173" s="76">
        <f>IF(H173=0,0,CHAMNORD!D173+AIX!D173+BELLEY!D173+STALBAN!D173+ABRETS!D173+PONT!D173+FRANCIN!D173+VIVIERS!D173)</f>
        <v>0</v>
      </c>
      <c r="E173" s="76">
        <f>IF(I173=0,0,CHAMNORD!E173+AIX!E173+BELLEY!E173+STALBAN!E173+ABRETS!E173+PONT!E173+FRANCIN!E173+VIVIERS!E173)</f>
        <v>0</v>
      </c>
      <c r="F173" s="20">
        <f>IF(J173=0,0,CHAMNORD!F173+AIX!F173+BELLEY!F173+STALBAN!F173+ABRETS!F173+PONT!F173+FRANCIN!F173+VIVIERS!F173)</f>
        <v>0</v>
      </c>
      <c r="G173" s="40">
        <f>IF(I173=0,0,CHAMNORD!G173+AIX!G173+BELLEY!G173+STALBAN!G173+ABRETS!G173+PONT!G173+FRANCIN!G173+VIVIERS!G173)</f>
        <v>0</v>
      </c>
      <c r="H173" s="42">
        <f>CHAMNORD!H173+AIX!H173+BELLEY!H173+STALBAN!H173+ABRETS!H173+PONT!H173+FRANCIN!H173+VIVIERS!H173</f>
        <v>0</v>
      </c>
      <c r="I173" s="13">
        <f>CHAMNORD!I173+AIX!I173+BELLEY!I173+STALBAN!I173+ABRETS!I173+PONT!I173+FRANCIN!I173+VIVIERS!I173</f>
        <v>0</v>
      </c>
      <c r="J173" s="14">
        <f>CHAMNORD!J173+AIX!J173+BELLEY!J173+STALBAN!J173+ABRETS!J173+PONT!J173+FRANCIN!J173+VIVIERS!J173</f>
        <v>0</v>
      </c>
      <c r="K173" s="15">
        <f>CHAMNORD!K173+AIX!K173+BELLEY!K173+STALBAN!K173+ABRETS!K173+PONT!K173+FRANCIN!K173+VIVIERS!K173</f>
        <v>0</v>
      </c>
      <c r="L173" s="15">
        <f>CHAMNORD!L173+AIX!L173+BELLEY!L173+STALBAN!L173+ABRETS!L173+PONT!L173+FRANCIN!L173+VIVIERS!L173</f>
        <v>0</v>
      </c>
      <c r="M173" s="15" t="e">
        <f>CHAMNORD!M173+AIX!M173+BELLEY!M173+STALBAN!M173+ABRETS!M173+PONT!M173+FRANCIN!M173+VIVIERS!M173</f>
        <v>#VALUE!</v>
      </c>
      <c r="N173" s="16" t="e">
        <f t="shared" si="10"/>
        <v>#VALUE!</v>
      </c>
      <c r="O173" s="17" t="str">
        <f t="shared" si="13"/>
        <v/>
      </c>
      <c r="P173" s="17" t="str">
        <f t="shared" si="14"/>
        <v/>
      </c>
      <c r="Q173" s="18" t="str">
        <f t="shared" si="11"/>
        <v/>
      </c>
      <c r="R173" s="18" t="e">
        <f t="shared" si="12"/>
        <v>#DIV/0!</v>
      </c>
      <c r="S173" s="35" t="e">
        <f>(S172-SUM(E171:E177))/(SUM(E171:E177))</f>
        <v>#DIV/0!</v>
      </c>
      <c r="T173" s="48" t="e">
        <f>SUM(I171:I177)/SUM(K171:K177)</f>
        <v>#DIV/0!</v>
      </c>
      <c r="U173" s="1738"/>
    </row>
    <row r="174" spans="1:25">
      <c r="A174" s="10" t="s">
        <v>13</v>
      </c>
      <c r="B174" s="905">
        <v>45826</v>
      </c>
      <c r="C174" s="76">
        <f>IF(G174=0,0,CHAMNORD!C174+AIX!C174+BELLEY!C174+STALBAN!C174+ABRETS!C174+PONT!C174+FRANCIN!C174+VIVIERS!C174)</f>
        <v>0</v>
      </c>
      <c r="D174" s="76">
        <f>IF(H174=0,0,CHAMNORD!D174+AIX!D174+BELLEY!D174+STALBAN!D174+ABRETS!D174+PONT!D174+FRANCIN!D174+VIVIERS!D174)</f>
        <v>0</v>
      </c>
      <c r="E174" s="76">
        <f>IF(I174=0,0,CHAMNORD!E174+AIX!E174+BELLEY!E174+STALBAN!E174+ABRETS!E174+PONT!E174+FRANCIN!E174+VIVIERS!E174)</f>
        <v>0</v>
      </c>
      <c r="F174" s="20">
        <f>IF(J174=0,0,CHAMNORD!F174+AIX!F174+BELLEY!F174+STALBAN!F174+ABRETS!F174+PONT!F174+FRANCIN!F174+VIVIERS!F174)</f>
        <v>0</v>
      </c>
      <c r="G174" s="40">
        <f>IF(I174=0,0,CHAMNORD!G174+AIX!G174+BELLEY!G174+STALBAN!G174+ABRETS!G174+PONT!G174+FRANCIN!G174+VIVIERS!G174)</f>
        <v>0</v>
      </c>
      <c r="H174" s="42">
        <f>CHAMNORD!H174+AIX!H174+BELLEY!H174+STALBAN!H174+ABRETS!H174+PONT!H174+FRANCIN!H174+VIVIERS!H174</f>
        <v>0</v>
      </c>
      <c r="I174" s="13">
        <f>CHAMNORD!I174+AIX!I174+BELLEY!I174+STALBAN!I174+ABRETS!I174+PONT!I174+FRANCIN!I174+VIVIERS!I174</f>
        <v>0</v>
      </c>
      <c r="J174" s="14">
        <f>CHAMNORD!J174+AIX!J174+BELLEY!J174+STALBAN!J174+ABRETS!J174+PONT!J174+FRANCIN!J174+VIVIERS!J174</f>
        <v>0</v>
      </c>
      <c r="K174" s="15">
        <f>CHAMNORD!K174+AIX!K174+BELLEY!K174+STALBAN!K174+ABRETS!K174+PONT!K174+FRANCIN!K174+VIVIERS!K174</f>
        <v>0</v>
      </c>
      <c r="L174" s="15">
        <f>CHAMNORD!L174+AIX!L174+BELLEY!L174+STALBAN!L174+ABRETS!L174+PONT!L174+FRANCIN!L174+VIVIERS!L174</f>
        <v>0</v>
      </c>
      <c r="M174" s="15" t="e">
        <f>CHAMNORD!M174+AIX!M174+BELLEY!M174+STALBAN!M174+ABRETS!M174+PONT!M174+FRANCIN!M174+VIVIERS!M174</f>
        <v>#VALUE!</v>
      </c>
      <c r="N174" s="16" t="e">
        <f t="shared" si="10"/>
        <v>#VALUE!</v>
      </c>
      <c r="O174" s="17" t="str">
        <f t="shared" si="13"/>
        <v/>
      </c>
      <c r="P174" s="17" t="str">
        <f t="shared" si="14"/>
        <v/>
      </c>
      <c r="Q174" s="18" t="str">
        <f t="shared" si="11"/>
        <v/>
      </c>
      <c r="R174" s="18" t="e">
        <f t="shared" si="12"/>
        <v>#DIV/0!</v>
      </c>
      <c r="S174" s="34"/>
      <c r="T174" s="29" t="s">
        <v>8</v>
      </c>
      <c r="U174" s="1738"/>
    </row>
    <row r="175" spans="1:25">
      <c r="A175" s="10" t="s">
        <v>14</v>
      </c>
      <c r="B175" s="905">
        <v>45827</v>
      </c>
      <c r="C175" s="76">
        <f>IF(G175=0,0,CHAMNORD!C175+AIX!C175+BELLEY!C175+STALBAN!C175+ABRETS!C175+PONT!C175+FRANCIN!C175+VIVIERS!C175)</f>
        <v>0</v>
      </c>
      <c r="D175" s="76">
        <f>IF(H175=0,0,CHAMNORD!D175+AIX!D175+BELLEY!D175+STALBAN!D175+ABRETS!D175+PONT!D175+FRANCIN!D175+VIVIERS!D175)</f>
        <v>0</v>
      </c>
      <c r="E175" s="76">
        <f>IF(I175=0,0,CHAMNORD!E175+AIX!E175+BELLEY!E175+STALBAN!E175+ABRETS!E175+PONT!E175+FRANCIN!E175+VIVIERS!E175)</f>
        <v>0</v>
      </c>
      <c r="F175" s="20">
        <f>IF(J175=0,0,CHAMNORD!F175+AIX!F175+BELLEY!F175+STALBAN!F175+ABRETS!F175+PONT!F175+FRANCIN!F175+VIVIERS!F175)</f>
        <v>0</v>
      </c>
      <c r="G175" s="40">
        <f>IF(I175=0,0,CHAMNORD!G175+AIX!G175+BELLEY!G175+STALBAN!G175+ABRETS!G175+PONT!G175+FRANCIN!G175+VIVIERS!G175)</f>
        <v>0</v>
      </c>
      <c r="H175" s="42">
        <f>CHAMNORD!H175+AIX!H175+BELLEY!H175+STALBAN!H175+ABRETS!H175+PONT!H175+FRANCIN!H175+VIVIERS!H175</f>
        <v>0</v>
      </c>
      <c r="I175" s="13">
        <f>CHAMNORD!I175+AIX!I175+BELLEY!I175+STALBAN!I175+ABRETS!I175+PONT!I175+FRANCIN!I175+VIVIERS!I175</f>
        <v>0</v>
      </c>
      <c r="J175" s="14">
        <f>CHAMNORD!J175+AIX!J175+BELLEY!J175+STALBAN!J175+ABRETS!J175+PONT!J175+FRANCIN!J175+VIVIERS!J175</f>
        <v>0</v>
      </c>
      <c r="K175" s="15">
        <f>CHAMNORD!K175+AIX!K175+BELLEY!K175+STALBAN!K175+ABRETS!K175+PONT!K175+FRANCIN!K175+VIVIERS!K175</f>
        <v>0</v>
      </c>
      <c r="L175" s="15">
        <f>CHAMNORD!L175+AIX!L175+BELLEY!L175+STALBAN!L175+ABRETS!L175+PONT!L175+FRANCIN!L175+VIVIERS!L175</f>
        <v>0</v>
      </c>
      <c r="M175" s="15" t="e">
        <f>CHAMNORD!M175+AIX!M175+BELLEY!M175+STALBAN!M175+ABRETS!M175+PONT!M175+FRANCIN!M175+VIVIERS!M175</f>
        <v>#VALUE!</v>
      </c>
      <c r="N175" s="16" t="e">
        <f t="shared" si="10"/>
        <v>#VALUE!</v>
      </c>
      <c r="O175" s="17" t="str">
        <f t="shared" si="13"/>
        <v/>
      </c>
      <c r="P175" s="17" t="str">
        <f t="shared" si="14"/>
        <v/>
      </c>
      <c r="Q175" s="18" t="str">
        <f t="shared" si="11"/>
        <v/>
      </c>
      <c r="R175" s="18" t="e">
        <f t="shared" si="12"/>
        <v>#DIV/0!</v>
      </c>
      <c r="S175" s="36" t="s">
        <v>40</v>
      </c>
      <c r="T175" s="48" t="e">
        <f>SUM(I171:I177)/SUM(L171:L177)</f>
        <v>#DIV/0!</v>
      </c>
      <c r="U175" s="1738"/>
    </row>
    <row r="176" spans="1:25">
      <c r="A176" s="10" t="s">
        <v>15</v>
      </c>
      <c r="B176" s="905">
        <v>45828</v>
      </c>
      <c r="C176" s="76">
        <f>IF(G176=0,0,CHAMNORD!C176+AIX!C176+BELLEY!C176+STALBAN!C176+ABRETS!C176+PONT!C176+FRANCIN!C176+VIVIERS!C176)</f>
        <v>0</v>
      </c>
      <c r="D176" s="76">
        <f>IF(H176=0,0,CHAMNORD!D176+AIX!D176+BELLEY!D176+STALBAN!D176+ABRETS!D176+PONT!D176+FRANCIN!D176+VIVIERS!D176)</f>
        <v>0</v>
      </c>
      <c r="E176" s="76">
        <f>IF(I176=0,0,CHAMNORD!E176+AIX!E176+BELLEY!E176+STALBAN!E176+ABRETS!E176+PONT!E176+FRANCIN!E176+VIVIERS!E176)</f>
        <v>0</v>
      </c>
      <c r="F176" s="20">
        <f>IF(J176=0,0,CHAMNORD!F176+AIX!F176+BELLEY!F176+STALBAN!F176+ABRETS!F176+PONT!F176+FRANCIN!F176+VIVIERS!F176)</f>
        <v>0</v>
      </c>
      <c r="G176" s="40">
        <f>IF(I176=0,0,CHAMNORD!G176+AIX!G176+BELLEY!G176+STALBAN!G176+ABRETS!G176+PONT!G176+FRANCIN!G176+VIVIERS!G176)</f>
        <v>0</v>
      </c>
      <c r="H176" s="42">
        <f>CHAMNORD!H176+AIX!H176+BELLEY!H176+STALBAN!H176+ABRETS!H176+PONT!H176+FRANCIN!H176+VIVIERS!H176</f>
        <v>0</v>
      </c>
      <c r="I176" s="13">
        <f>CHAMNORD!I176+AIX!I176+BELLEY!I176+STALBAN!I176+ABRETS!I176+PONT!I176+FRANCIN!I176+VIVIERS!I176</f>
        <v>0</v>
      </c>
      <c r="J176" s="14">
        <f>CHAMNORD!J176+AIX!J176+BELLEY!J176+STALBAN!J176+ABRETS!J176+PONT!J176+FRANCIN!J176+VIVIERS!J176</f>
        <v>0</v>
      </c>
      <c r="K176" s="15">
        <f>CHAMNORD!K176+AIX!K176+BELLEY!K176+STALBAN!K176+ABRETS!K176+PONT!K176+FRANCIN!K176+VIVIERS!K176</f>
        <v>0</v>
      </c>
      <c r="L176" s="15">
        <f>CHAMNORD!L176+AIX!L176+BELLEY!L176+STALBAN!L176+ABRETS!L176+PONT!L176+FRANCIN!L176+VIVIERS!L176</f>
        <v>0</v>
      </c>
      <c r="M176" s="15" t="e">
        <f>CHAMNORD!M176+AIX!M176+BELLEY!M176+STALBAN!M176+ABRETS!M176+PONT!M176+FRANCIN!M176+VIVIERS!M176</f>
        <v>#VALUE!</v>
      </c>
      <c r="N176" s="16" t="e">
        <f t="shared" si="10"/>
        <v>#VALUE!</v>
      </c>
      <c r="O176" s="17" t="str">
        <f t="shared" si="13"/>
        <v/>
      </c>
      <c r="P176" s="17" t="str">
        <f t="shared" si="14"/>
        <v/>
      </c>
      <c r="Q176" s="18" t="str">
        <f t="shared" si="11"/>
        <v/>
      </c>
      <c r="R176" s="18" t="e">
        <f t="shared" si="12"/>
        <v>#DIV/0!</v>
      </c>
      <c r="S176" s="36">
        <f>SUM(J171:J177)</f>
        <v>0</v>
      </c>
      <c r="T176" s="30" t="s">
        <v>3</v>
      </c>
      <c r="U176" s="1738"/>
    </row>
    <row r="177" spans="1:25" ht="18" thickBot="1">
      <c r="A177" s="10" t="s">
        <v>16</v>
      </c>
      <c r="B177" s="905">
        <v>45829</v>
      </c>
      <c r="C177" s="76">
        <f>IF(G177=0,0,CHAMNORD!C177+AIX!C177+BELLEY!C177+STALBAN!C177+ABRETS!C177+PONT!C177+FRANCIN!C177+VIVIERS!C177)</f>
        <v>0</v>
      </c>
      <c r="D177" s="76">
        <f>IF(H177=0,0,CHAMNORD!D177+AIX!D177+BELLEY!D177+STALBAN!D177+ABRETS!D177+PONT!D177+FRANCIN!D177+VIVIERS!D177)</f>
        <v>0</v>
      </c>
      <c r="E177" s="76">
        <f>IF(I177=0,0,CHAMNORD!E177+AIX!E177+BELLEY!E177+STALBAN!E177+ABRETS!E177+PONT!E177+FRANCIN!E177+VIVIERS!E177)</f>
        <v>0</v>
      </c>
      <c r="F177" s="20">
        <f>IF(J177=0,0,CHAMNORD!F177+AIX!F177+BELLEY!F177+STALBAN!F177+ABRETS!F177+PONT!F177+FRANCIN!F177+VIVIERS!F177)</f>
        <v>0</v>
      </c>
      <c r="G177" s="40">
        <f>IF(I177=0,0,CHAMNORD!G177+AIX!G177+BELLEY!G177+STALBAN!G177+ABRETS!G177+PONT!G177+FRANCIN!G177+VIVIERS!G177)</f>
        <v>0</v>
      </c>
      <c r="H177" s="42">
        <f>CHAMNORD!H177+AIX!H177+BELLEY!H177+STALBAN!H177+ABRETS!H177+PONT!H177+FRANCIN!H177+VIVIERS!H177</f>
        <v>0</v>
      </c>
      <c r="I177" s="13">
        <f>CHAMNORD!I177+AIX!I177+BELLEY!I177+STALBAN!I177+ABRETS!I177+PONT!I177+FRANCIN!I177+VIVIERS!I177</f>
        <v>0</v>
      </c>
      <c r="J177" s="14">
        <f>CHAMNORD!J177+AIX!J177+BELLEY!J177+STALBAN!J177+ABRETS!J177+PONT!J177+FRANCIN!J177+VIVIERS!J177</f>
        <v>0</v>
      </c>
      <c r="K177" s="15">
        <f>CHAMNORD!K177+AIX!K177+BELLEY!K177+STALBAN!K177+ABRETS!K177+PONT!K177+FRANCIN!K177+VIVIERS!K177</f>
        <v>0</v>
      </c>
      <c r="L177" s="15">
        <f>CHAMNORD!L177+AIX!L177+BELLEY!L177+STALBAN!L177+ABRETS!L177+PONT!L177+FRANCIN!L177+VIVIERS!L177</f>
        <v>0</v>
      </c>
      <c r="M177" s="15" t="e">
        <f>CHAMNORD!M177+AIX!M177+BELLEY!M177+STALBAN!M177+ABRETS!M177+PONT!M177+FRANCIN!M177+VIVIERS!M177</f>
        <v>#VALUE!</v>
      </c>
      <c r="N177" s="16" t="e">
        <f t="shared" si="10"/>
        <v>#VALUE!</v>
      </c>
      <c r="O177" s="17" t="str">
        <f t="shared" si="13"/>
        <v/>
      </c>
      <c r="P177" s="17" t="str">
        <f t="shared" si="14"/>
        <v/>
      </c>
      <c r="Q177" s="18" t="str">
        <f t="shared" si="11"/>
        <v/>
      </c>
      <c r="R177" s="18" t="e">
        <f t="shared" si="12"/>
        <v>#DIV/0!</v>
      </c>
      <c r="S177" s="37" t="e">
        <f>(S176-SUM(F171:F177))/(SUM(F171:F177))</f>
        <v>#DIV/0!</v>
      </c>
      <c r="T177" s="47" t="e">
        <f>SUM(M171:M177)/SUM(I171:I177)</f>
        <v>#VALUE!</v>
      </c>
      <c r="U177" s="1739"/>
    </row>
    <row r="178" spans="1:25" ht="17" customHeight="1" thickTop="1">
      <c r="A178" s="10" t="s">
        <v>9</v>
      </c>
      <c r="B178" s="905">
        <v>45830</v>
      </c>
      <c r="C178" s="76">
        <f>IF(G178=0,0,CHAMNORD!C178+AIX!C178+BELLEY!C178+STALBAN!C178+ABRETS!C178+PONT!C178+FRANCIN!C178+VIVIERS!C178)</f>
        <v>0</v>
      </c>
      <c r="D178" s="76">
        <f>IF(H178=0,0,CHAMNORD!D178+AIX!D178+BELLEY!D178+STALBAN!D178+ABRETS!D178+PONT!D178+FRANCIN!D178+VIVIERS!D178)</f>
        <v>0</v>
      </c>
      <c r="E178" s="76">
        <f>IF(I178=0,0,CHAMNORD!E178+AIX!E178+BELLEY!E178+STALBAN!E178+ABRETS!E178+PONT!E178+FRANCIN!E178+VIVIERS!E178)</f>
        <v>0</v>
      </c>
      <c r="F178" s="20">
        <f>IF(J178=0,0,CHAMNORD!F178+AIX!F178+BELLEY!F178+STALBAN!F178+ABRETS!F178+PONT!F178+FRANCIN!F178+VIVIERS!F178)</f>
        <v>0</v>
      </c>
      <c r="G178" s="40">
        <f>IF(I178=0,0,CHAMNORD!G178+AIX!G178+BELLEY!G178+STALBAN!G178+ABRETS!G178+PONT!G178+FRANCIN!G178+VIVIERS!G178)</f>
        <v>0</v>
      </c>
      <c r="H178" s="42">
        <f>CHAMNORD!H178+AIX!H178+BELLEY!H178+STALBAN!H178+ABRETS!H178+PONT!H178+FRANCIN!H178+VIVIERS!H178</f>
        <v>0</v>
      </c>
      <c r="I178" s="13">
        <f>CHAMNORD!I178+AIX!I178+BELLEY!I178+STALBAN!I178+ABRETS!I178+PONT!I178+FRANCIN!I178+VIVIERS!I178</f>
        <v>0</v>
      </c>
      <c r="J178" s="14">
        <f>CHAMNORD!J178+AIX!J178+BELLEY!J178+STALBAN!J178+ABRETS!J178+PONT!J178+FRANCIN!J178+VIVIERS!J178</f>
        <v>0</v>
      </c>
      <c r="K178" s="15">
        <f>CHAMNORD!K178+AIX!K178+BELLEY!K178+STALBAN!K178+ABRETS!K178+PONT!K178+FRANCIN!K178+VIVIERS!K178</f>
        <v>0</v>
      </c>
      <c r="L178" s="15">
        <f>CHAMNORD!L178+AIX!L178+BELLEY!L178+STALBAN!L178+ABRETS!L178+PONT!L178+FRANCIN!L178+VIVIERS!L178</f>
        <v>0</v>
      </c>
      <c r="M178" s="15" t="e">
        <f>CHAMNORD!M178+AIX!M178+BELLEY!M178+STALBAN!M178+ABRETS!M178+PONT!M178+FRANCIN!M178+VIVIERS!M178</f>
        <v>#VALUE!</v>
      </c>
      <c r="N178" s="16" t="e">
        <f t="shared" si="10"/>
        <v>#VALUE!</v>
      </c>
      <c r="O178" s="17" t="str">
        <f t="shared" si="13"/>
        <v/>
      </c>
      <c r="P178" s="17" t="str">
        <f t="shared" si="14"/>
        <v/>
      </c>
      <c r="Q178" s="18" t="str">
        <f t="shared" si="11"/>
        <v/>
      </c>
      <c r="R178" s="18" t="e">
        <f t="shared" si="12"/>
        <v>#DIV/0!</v>
      </c>
      <c r="S178" s="33" t="s">
        <v>39</v>
      </c>
      <c r="T178" s="31" t="s">
        <v>42</v>
      </c>
      <c r="U178" s="1737" t="s">
        <v>108</v>
      </c>
    </row>
    <row r="179" spans="1:25">
      <c r="A179" s="10" t="s">
        <v>11</v>
      </c>
      <c r="B179" s="905">
        <v>45831</v>
      </c>
      <c r="C179" s="76">
        <f>IF(G179=0,0,CHAMNORD!C179+AIX!C179+BELLEY!C179+STALBAN!C179+ABRETS!C179+PONT!C179+FRANCIN!C179+VIVIERS!C179)</f>
        <v>0</v>
      </c>
      <c r="D179" s="76">
        <f>IF(H179=0,0,CHAMNORD!D179+AIX!D179+BELLEY!D179+STALBAN!D179+ABRETS!D179+PONT!D179+FRANCIN!D179+VIVIERS!D179)</f>
        <v>0</v>
      </c>
      <c r="E179" s="76">
        <f>IF(I179=0,0,CHAMNORD!E179+AIX!E179+BELLEY!E179+STALBAN!E179+ABRETS!E179+PONT!E179+FRANCIN!E179+VIVIERS!E179)</f>
        <v>0</v>
      </c>
      <c r="F179" s="20">
        <f>IF(J179=0,0,CHAMNORD!F179+AIX!F179+BELLEY!F179+STALBAN!F179+ABRETS!F179+PONT!F179+FRANCIN!F179+VIVIERS!F179)</f>
        <v>0</v>
      </c>
      <c r="G179" s="40">
        <f>IF(I179=0,0,CHAMNORD!G179+AIX!G179+BELLEY!G179+STALBAN!G179+ABRETS!G179+PONT!G179+FRANCIN!G179+VIVIERS!G179)</f>
        <v>0</v>
      </c>
      <c r="H179" s="42">
        <f>CHAMNORD!H179+AIX!H179+BELLEY!H179+STALBAN!H179+ABRETS!H179+PONT!H179+FRANCIN!H179+VIVIERS!H179</f>
        <v>0</v>
      </c>
      <c r="I179" s="13">
        <f>CHAMNORD!I179+AIX!I179+BELLEY!I179+STALBAN!I179+ABRETS!I179+PONT!I179+FRANCIN!I179+VIVIERS!I179</f>
        <v>0</v>
      </c>
      <c r="J179" s="14">
        <f>CHAMNORD!J179+AIX!J179+BELLEY!J179+STALBAN!J179+ABRETS!J179+PONT!J179+FRANCIN!J179+VIVIERS!J179</f>
        <v>0</v>
      </c>
      <c r="K179" s="15">
        <f>CHAMNORD!K179+AIX!K179+BELLEY!K179+STALBAN!K179+ABRETS!K179+PONT!K179+FRANCIN!K179+VIVIERS!K179</f>
        <v>0</v>
      </c>
      <c r="L179" s="15">
        <f>CHAMNORD!L179+AIX!L179+BELLEY!L179+STALBAN!L179+ABRETS!L179+PONT!L179+FRANCIN!L179+VIVIERS!L179</f>
        <v>0</v>
      </c>
      <c r="M179" s="15" t="e">
        <f>CHAMNORD!M179+AIX!M179+BELLEY!M179+STALBAN!M179+ABRETS!M179+PONT!M179+FRANCIN!M179+VIVIERS!M179</f>
        <v>#VALUE!</v>
      </c>
      <c r="N179" s="16" t="e">
        <f t="shared" si="10"/>
        <v>#VALUE!</v>
      </c>
      <c r="O179" s="17" t="str">
        <f t="shared" si="13"/>
        <v/>
      </c>
      <c r="P179" s="17" t="str">
        <f t="shared" si="14"/>
        <v/>
      </c>
      <c r="Q179" s="18" t="str">
        <f t="shared" si="11"/>
        <v/>
      </c>
      <c r="R179" s="18" t="e">
        <f t="shared" si="12"/>
        <v>#DIV/0!</v>
      </c>
      <c r="S179" s="34">
        <f>SUM(I178:I184)</f>
        <v>0</v>
      </c>
      <c r="T179" s="45" t="s">
        <v>41</v>
      </c>
      <c r="U179" s="1738"/>
      <c r="W179" s="202">
        <f>+S179</f>
        <v>0</v>
      </c>
      <c r="X179" s="202">
        <f>SUM(CHAMNORD!E178:E184)+SUM(AIX!E178:E184)+SUM(BELLEY!E178:E184)+SUM(STALBAN!E178:E184)+SUM(ABRETS!E178:E184)+SUM(PONT!E178:E184)+SUM(FRANCIN!E178:E184)+SUM(VIVIERS!E178:E184)</f>
        <v>0</v>
      </c>
      <c r="Y179" s="1051">
        <f>+W179-X179</f>
        <v>0</v>
      </c>
    </row>
    <row r="180" spans="1:25">
      <c r="A180" s="10" t="s">
        <v>12</v>
      </c>
      <c r="B180" s="905">
        <v>45832</v>
      </c>
      <c r="C180" s="76">
        <f>IF(G180=0,0,CHAMNORD!C180+AIX!C180+BELLEY!C180+STALBAN!C180+ABRETS!C180+PONT!C180+FRANCIN!C180+VIVIERS!C180)</f>
        <v>0</v>
      </c>
      <c r="D180" s="76">
        <f>IF(H180=0,0,CHAMNORD!D180+AIX!D180+BELLEY!D180+STALBAN!D180+ABRETS!D180+PONT!D180+FRANCIN!D180+VIVIERS!D180)</f>
        <v>0</v>
      </c>
      <c r="E180" s="76">
        <f>IF(I180=0,0,CHAMNORD!E180+AIX!E180+BELLEY!E180+STALBAN!E180+ABRETS!E180+PONT!E180+FRANCIN!E180+VIVIERS!E180)</f>
        <v>0</v>
      </c>
      <c r="F180" s="20">
        <f>IF(J180=0,0,CHAMNORD!F180+AIX!F180+BELLEY!F180+STALBAN!F180+ABRETS!F180+PONT!F180+FRANCIN!F180+VIVIERS!F180)</f>
        <v>0</v>
      </c>
      <c r="G180" s="40">
        <f>IF(I180=0,0,CHAMNORD!G180+AIX!G180+BELLEY!G180+STALBAN!G180+ABRETS!G180+PONT!G180+FRANCIN!G180+VIVIERS!G180)</f>
        <v>0</v>
      </c>
      <c r="H180" s="42">
        <f>CHAMNORD!H180+AIX!H180+BELLEY!H180+STALBAN!H180+ABRETS!H180+PONT!H180+FRANCIN!H180+VIVIERS!H180</f>
        <v>0</v>
      </c>
      <c r="I180" s="13">
        <f>CHAMNORD!I180+AIX!I180+BELLEY!I180+STALBAN!I180+ABRETS!I180+PONT!I180+FRANCIN!I180+VIVIERS!I180</f>
        <v>0</v>
      </c>
      <c r="J180" s="14">
        <f>CHAMNORD!J180+AIX!J180+BELLEY!J180+STALBAN!J180+ABRETS!J180+PONT!J180+FRANCIN!J180+VIVIERS!J180</f>
        <v>0</v>
      </c>
      <c r="K180" s="15">
        <f>CHAMNORD!K180+AIX!K180+BELLEY!K180+STALBAN!K180+ABRETS!K180+PONT!K180+FRANCIN!K180+VIVIERS!K180</f>
        <v>0</v>
      </c>
      <c r="L180" s="15">
        <f>CHAMNORD!L180+AIX!L180+BELLEY!L180+STALBAN!L180+ABRETS!L180+PONT!L180+FRANCIN!L180+VIVIERS!L180</f>
        <v>0</v>
      </c>
      <c r="M180" s="15" t="e">
        <f>CHAMNORD!M180+AIX!M180+BELLEY!M180+STALBAN!M180+ABRETS!M180+PONT!M180+FRANCIN!M180+VIVIERS!M180</f>
        <v>#VALUE!</v>
      </c>
      <c r="N180" s="16" t="e">
        <f t="shared" si="10"/>
        <v>#VALUE!</v>
      </c>
      <c r="O180" s="17" t="str">
        <f t="shared" si="13"/>
        <v/>
      </c>
      <c r="P180" s="17" t="str">
        <f t="shared" si="14"/>
        <v/>
      </c>
      <c r="Q180" s="18" t="str">
        <f t="shared" si="11"/>
        <v/>
      </c>
      <c r="R180" s="18" t="e">
        <f t="shared" si="12"/>
        <v>#DIV/0!</v>
      </c>
      <c r="S180" s="35" t="e">
        <f>(S179-SUM(E178:E184))/(SUM(E178:E184))</f>
        <v>#DIV/0!</v>
      </c>
      <c r="T180" s="48" t="e">
        <f>SUM(I178:I184)/SUM(K178:K184)</f>
        <v>#DIV/0!</v>
      </c>
      <c r="U180" s="1738"/>
    </row>
    <row r="181" spans="1:25">
      <c r="A181" s="10" t="s">
        <v>13</v>
      </c>
      <c r="B181" s="905">
        <v>45833</v>
      </c>
      <c r="C181" s="76">
        <f>IF(G181=0,0,CHAMNORD!C181+AIX!C181+BELLEY!C181+STALBAN!C181+ABRETS!C181+PONT!C181+FRANCIN!C181+VIVIERS!C181)</f>
        <v>0</v>
      </c>
      <c r="D181" s="76">
        <f>IF(H181=0,0,CHAMNORD!D181+AIX!D181+BELLEY!D181+STALBAN!D181+ABRETS!D181+PONT!D181+FRANCIN!D181+VIVIERS!D181)</f>
        <v>0</v>
      </c>
      <c r="E181" s="76">
        <f>IF(I181=0,0,CHAMNORD!E181+AIX!E181+BELLEY!E181+STALBAN!E181+ABRETS!E181+PONT!E181+FRANCIN!E181+VIVIERS!E181)</f>
        <v>0</v>
      </c>
      <c r="F181" s="20">
        <f>IF(J181=0,0,CHAMNORD!F181+AIX!F181+BELLEY!F181+STALBAN!F181+ABRETS!F181+PONT!F181+FRANCIN!F181+VIVIERS!F181)</f>
        <v>0</v>
      </c>
      <c r="G181" s="40">
        <f>IF(I181=0,0,CHAMNORD!G181+AIX!G181+BELLEY!G181+STALBAN!G181+ABRETS!G181+PONT!G181+FRANCIN!G181+VIVIERS!G181)</f>
        <v>0</v>
      </c>
      <c r="H181" s="42">
        <f>CHAMNORD!H181+AIX!H181+BELLEY!H181+STALBAN!H181+ABRETS!H181+PONT!H181+FRANCIN!H181+VIVIERS!H181</f>
        <v>0</v>
      </c>
      <c r="I181" s="13">
        <f>CHAMNORD!I181+AIX!I181+BELLEY!I181+STALBAN!I181+ABRETS!I181+PONT!I181+FRANCIN!I181+VIVIERS!I181</f>
        <v>0</v>
      </c>
      <c r="J181" s="14">
        <f>CHAMNORD!J181+AIX!J181+BELLEY!J181+STALBAN!J181+ABRETS!J181+PONT!J181+FRANCIN!J181+VIVIERS!J181</f>
        <v>0</v>
      </c>
      <c r="K181" s="15">
        <f>CHAMNORD!K181+AIX!K181+BELLEY!K181+STALBAN!K181+ABRETS!K181+PONT!K181+FRANCIN!K181+VIVIERS!K181</f>
        <v>0</v>
      </c>
      <c r="L181" s="15">
        <f>CHAMNORD!L181+AIX!L181+BELLEY!L181+STALBAN!L181+ABRETS!L181+PONT!L181+FRANCIN!L181+VIVIERS!L181</f>
        <v>0</v>
      </c>
      <c r="M181" s="15" t="e">
        <f>CHAMNORD!M181+AIX!M181+BELLEY!M181+STALBAN!M181+ABRETS!M181+PONT!M181+FRANCIN!M181+VIVIERS!M181</f>
        <v>#VALUE!</v>
      </c>
      <c r="N181" s="16" t="e">
        <f t="shared" si="10"/>
        <v>#VALUE!</v>
      </c>
      <c r="O181" s="17" t="str">
        <f t="shared" si="13"/>
        <v/>
      </c>
      <c r="P181" s="17" t="str">
        <f t="shared" si="14"/>
        <v/>
      </c>
      <c r="Q181" s="18" t="str">
        <f t="shared" si="11"/>
        <v/>
      </c>
      <c r="R181" s="18" t="e">
        <f t="shared" si="12"/>
        <v>#DIV/0!</v>
      </c>
      <c r="S181" s="34"/>
      <c r="T181" s="29" t="s">
        <v>8</v>
      </c>
      <c r="U181" s="1738"/>
    </row>
    <row r="182" spans="1:25">
      <c r="A182" s="10" t="s">
        <v>14</v>
      </c>
      <c r="B182" s="905">
        <v>45834</v>
      </c>
      <c r="C182" s="76">
        <f>IF(G182=0,0,CHAMNORD!C182+AIX!C182+BELLEY!C182+STALBAN!C182+ABRETS!C182+PONT!C182+FRANCIN!C182+VIVIERS!C182)</f>
        <v>0</v>
      </c>
      <c r="D182" s="76">
        <f>IF(H182=0,0,CHAMNORD!D182+AIX!D182+BELLEY!D182+STALBAN!D182+ABRETS!D182+PONT!D182+FRANCIN!D182+VIVIERS!D182)</f>
        <v>0</v>
      </c>
      <c r="E182" s="76">
        <f>IF(I182=0,0,CHAMNORD!E182+AIX!E182+BELLEY!E182+STALBAN!E182+ABRETS!E182+PONT!E182+FRANCIN!E182+VIVIERS!E182)</f>
        <v>0</v>
      </c>
      <c r="F182" s="20">
        <f>IF(J182=0,0,CHAMNORD!F182+AIX!F182+BELLEY!F182+STALBAN!F182+ABRETS!F182+PONT!F182+FRANCIN!F182+VIVIERS!F182)</f>
        <v>0</v>
      </c>
      <c r="G182" s="40">
        <f>IF(I182=0,0,CHAMNORD!G182+AIX!G182+BELLEY!G182+STALBAN!G182+ABRETS!G182+PONT!G182+FRANCIN!G182+VIVIERS!G182)</f>
        <v>0</v>
      </c>
      <c r="H182" s="42">
        <f>CHAMNORD!H182+AIX!H182+BELLEY!H182+STALBAN!H182+ABRETS!H182+PONT!H182+FRANCIN!H182+VIVIERS!H182</f>
        <v>0</v>
      </c>
      <c r="I182" s="13">
        <f>CHAMNORD!I182+AIX!I182+BELLEY!I182+STALBAN!I182+ABRETS!I182+PONT!I182+FRANCIN!I182+VIVIERS!I182</f>
        <v>0</v>
      </c>
      <c r="J182" s="14">
        <f>CHAMNORD!J182+AIX!J182+BELLEY!J182+STALBAN!J182+ABRETS!J182+PONT!J182+FRANCIN!J182+VIVIERS!J182</f>
        <v>0</v>
      </c>
      <c r="K182" s="15">
        <f>CHAMNORD!K182+AIX!K182+BELLEY!K182+STALBAN!K182+ABRETS!K182+PONT!K182+FRANCIN!K182+VIVIERS!K182</f>
        <v>0</v>
      </c>
      <c r="L182" s="15">
        <f>CHAMNORD!L182+AIX!L182+BELLEY!L182+STALBAN!L182+ABRETS!L182+PONT!L182+FRANCIN!L182+VIVIERS!L182</f>
        <v>0</v>
      </c>
      <c r="M182" s="15" t="e">
        <f>CHAMNORD!M182+AIX!M182+BELLEY!M182+STALBAN!M182+ABRETS!M182+PONT!M182+FRANCIN!M182+VIVIERS!M182</f>
        <v>#VALUE!</v>
      </c>
      <c r="N182" s="16" t="e">
        <f t="shared" si="10"/>
        <v>#VALUE!</v>
      </c>
      <c r="O182" s="17" t="str">
        <f t="shared" si="13"/>
        <v/>
      </c>
      <c r="P182" s="17" t="str">
        <f t="shared" si="14"/>
        <v/>
      </c>
      <c r="Q182" s="18" t="str">
        <f t="shared" si="11"/>
        <v/>
      </c>
      <c r="R182" s="18" t="e">
        <f t="shared" si="12"/>
        <v>#DIV/0!</v>
      </c>
      <c r="S182" s="36" t="s">
        <v>40</v>
      </c>
      <c r="T182" s="48" t="e">
        <f>SUM(I178:I184)/SUM(L178:L184)</f>
        <v>#DIV/0!</v>
      </c>
      <c r="U182" s="1738"/>
    </row>
    <row r="183" spans="1:25">
      <c r="A183" s="10" t="s">
        <v>15</v>
      </c>
      <c r="B183" s="905">
        <v>45835</v>
      </c>
      <c r="C183" s="76">
        <f>IF(G183=0,0,CHAMNORD!C183+AIX!C183+BELLEY!C183+STALBAN!C183+ABRETS!C183+PONT!C183+FRANCIN!C183+VIVIERS!C183)</f>
        <v>0</v>
      </c>
      <c r="D183" s="76">
        <f>IF(H183=0,0,CHAMNORD!D183+AIX!D183+BELLEY!D183+STALBAN!D183+ABRETS!D183+PONT!D183+FRANCIN!D183+VIVIERS!D183)</f>
        <v>0</v>
      </c>
      <c r="E183" s="76">
        <f>IF(I183=0,0,CHAMNORD!E183+AIX!E183+BELLEY!E183+STALBAN!E183+ABRETS!E183+PONT!E183+FRANCIN!E183+VIVIERS!E183)</f>
        <v>0</v>
      </c>
      <c r="F183" s="20">
        <f>IF(J183=0,0,CHAMNORD!F183+AIX!F183+BELLEY!F183+STALBAN!F183+ABRETS!F183+PONT!F183+FRANCIN!F183+VIVIERS!F183)</f>
        <v>0</v>
      </c>
      <c r="G183" s="40">
        <f>IF(I183=0,0,CHAMNORD!G183+AIX!G183+BELLEY!G183+STALBAN!G183+ABRETS!G183+PONT!G183+FRANCIN!G183+VIVIERS!G183)</f>
        <v>0</v>
      </c>
      <c r="H183" s="42">
        <f>CHAMNORD!H183+AIX!H183+BELLEY!H183+STALBAN!H183+ABRETS!H183+PONT!H183+FRANCIN!H183+VIVIERS!H183</f>
        <v>0</v>
      </c>
      <c r="I183" s="13">
        <f>CHAMNORD!I183+AIX!I183+BELLEY!I183+STALBAN!I183+ABRETS!I183+PONT!I183+FRANCIN!I183+VIVIERS!I183</f>
        <v>0</v>
      </c>
      <c r="J183" s="14">
        <f>CHAMNORD!J183+AIX!J183+BELLEY!J183+STALBAN!J183+ABRETS!J183+PONT!J183+FRANCIN!J183+VIVIERS!J183</f>
        <v>0</v>
      </c>
      <c r="K183" s="15">
        <f>CHAMNORD!K183+AIX!K183+BELLEY!K183+STALBAN!K183+ABRETS!K183+PONT!K183+FRANCIN!K183+VIVIERS!K183</f>
        <v>0</v>
      </c>
      <c r="L183" s="15">
        <f>CHAMNORD!L183+AIX!L183+BELLEY!L183+STALBAN!L183+ABRETS!L183+PONT!L183+FRANCIN!L183+VIVIERS!L183</f>
        <v>0</v>
      </c>
      <c r="M183" s="15" t="e">
        <f>CHAMNORD!M183+AIX!M183+BELLEY!M183+STALBAN!M183+ABRETS!M183+PONT!M183+FRANCIN!M183+VIVIERS!M183</f>
        <v>#VALUE!</v>
      </c>
      <c r="N183" s="16" t="e">
        <f t="shared" si="10"/>
        <v>#VALUE!</v>
      </c>
      <c r="O183" s="17" t="str">
        <f t="shared" si="13"/>
        <v/>
      </c>
      <c r="P183" s="17" t="str">
        <f t="shared" si="14"/>
        <v/>
      </c>
      <c r="Q183" s="18" t="str">
        <f t="shared" si="11"/>
        <v/>
      </c>
      <c r="R183" s="18" t="e">
        <f t="shared" si="12"/>
        <v>#DIV/0!</v>
      </c>
      <c r="S183" s="36">
        <f>SUM(J178:J184)</f>
        <v>0</v>
      </c>
      <c r="T183" s="30" t="s">
        <v>3</v>
      </c>
      <c r="U183" s="1738"/>
    </row>
    <row r="184" spans="1:25" ht="18" thickBot="1">
      <c r="A184" s="10" t="s">
        <v>16</v>
      </c>
      <c r="B184" s="905">
        <v>45836</v>
      </c>
      <c r="C184" s="76">
        <f>IF(G184=0,0,CHAMNORD!C184+AIX!C184+BELLEY!C184+STALBAN!C184+ABRETS!C184+PONT!C184+FRANCIN!C184+VIVIERS!C184)</f>
        <v>0</v>
      </c>
      <c r="D184" s="76">
        <f>IF(H184=0,0,CHAMNORD!D184+AIX!D184+BELLEY!D184+STALBAN!D184+ABRETS!D184+PONT!D184+FRANCIN!D184+VIVIERS!D184)</f>
        <v>0</v>
      </c>
      <c r="E184" s="76">
        <f>IF(I184=0,0,CHAMNORD!E184+AIX!E184+BELLEY!E184+STALBAN!E184+ABRETS!E184+PONT!E184+FRANCIN!E184+VIVIERS!E184)</f>
        <v>0</v>
      </c>
      <c r="F184" s="20">
        <f>IF(J184=0,0,CHAMNORD!F184+AIX!F184+BELLEY!F184+STALBAN!F184+ABRETS!F184+PONT!F184+FRANCIN!F184+VIVIERS!F184)</f>
        <v>0</v>
      </c>
      <c r="G184" s="40">
        <f>IF(I184=0,0,CHAMNORD!G184+AIX!G184+BELLEY!G184+STALBAN!G184+ABRETS!G184+PONT!G184+FRANCIN!G184+VIVIERS!G184)</f>
        <v>0</v>
      </c>
      <c r="H184" s="42">
        <f>CHAMNORD!H184+AIX!H184+BELLEY!H184+STALBAN!H184+ABRETS!H184+PONT!H184+FRANCIN!H184+VIVIERS!H184</f>
        <v>0</v>
      </c>
      <c r="I184" s="13">
        <f>CHAMNORD!I184+AIX!I184+BELLEY!I184+STALBAN!I184+ABRETS!I184+PONT!I184+FRANCIN!I184+VIVIERS!I184</f>
        <v>0</v>
      </c>
      <c r="J184" s="14">
        <f>CHAMNORD!J184+AIX!J184+BELLEY!J184+STALBAN!J184+ABRETS!J184+PONT!J184+FRANCIN!J184+VIVIERS!J184</f>
        <v>0</v>
      </c>
      <c r="K184" s="15">
        <f>CHAMNORD!K184+AIX!K184+BELLEY!K184+STALBAN!K184+ABRETS!K184+PONT!K184+FRANCIN!K184+VIVIERS!K184</f>
        <v>0</v>
      </c>
      <c r="L184" s="15">
        <f>CHAMNORD!L184+AIX!L184+BELLEY!L184+STALBAN!L184+ABRETS!L184+PONT!L184+FRANCIN!L184+VIVIERS!L184</f>
        <v>0</v>
      </c>
      <c r="M184" s="15" t="e">
        <f>CHAMNORD!M184+AIX!M184+BELLEY!M184+STALBAN!M184+ABRETS!M184+PONT!M184+FRANCIN!M184+VIVIERS!M184</f>
        <v>#VALUE!</v>
      </c>
      <c r="N184" s="16" t="e">
        <f t="shared" si="10"/>
        <v>#VALUE!</v>
      </c>
      <c r="O184" s="17" t="str">
        <f t="shared" si="13"/>
        <v/>
      </c>
      <c r="P184" s="17" t="str">
        <f t="shared" si="14"/>
        <v/>
      </c>
      <c r="Q184" s="18" t="str">
        <f t="shared" si="11"/>
        <v/>
      </c>
      <c r="R184" s="18" t="e">
        <f t="shared" si="12"/>
        <v>#DIV/0!</v>
      </c>
      <c r="S184" s="37" t="e">
        <f>(S183-SUM(F178:F184))/(SUM(F178:F184))</f>
        <v>#DIV/0!</v>
      </c>
      <c r="T184" s="47" t="e">
        <f>SUM(M178:M184)/SUM(I178:I184)</f>
        <v>#VALUE!</v>
      </c>
      <c r="U184" s="1739"/>
    </row>
    <row r="185" spans="1:25" ht="17" customHeight="1" thickTop="1">
      <c r="A185" s="10" t="s">
        <v>9</v>
      </c>
      <c r="B185" s="905">
        <v>45837</v>
      </c>
      <c r="C185" s="76">
        <f>IF(G185=0,0,CHAMNORD!C185+AIX!C185+BELLEY!C185+STALBAN!C185+ABRETS!C185+PONT!C185+FRANCIN!C185+VIVIERS!C185)</f>
        <v>0</v>
      </c>
      <c r="D185" s="76">
        <f>IF(H185=0,0,CHAMNORD!D185+AIX!D185+BELLEY!D185+STALBAN!D185+ABRETS!D185+PONT!D185+FRANCIN!D185+VIVIERS!D185)</f>
        <v>0</v>
      </c>
      <c r="E185" s="76">
        <f>IF(I185=0,0,CHAMNORD!E185+AIX!E185+BELLEY!E185+STALBAN!E185+ABRETS!E185+PONT!E185+FRANCIN!E185+VIVIERS!E185)</f>
        <v>0</v>
      </c>
      <c r="F185" s="20">
        <f>IF(J185=0,0,CHAMNORD!F185+AIX!F185+BELLEY!F185+STALBAN!F185+ABRETS!F185+PONT!F185+FRANCIN!F185+VIVIERS!F185)</f>
        <v>0</v>
      </c>
      <c r="G185" s="40">
        <f>IF(I185=0,0,CHAMNORD!G185+AIX!G185+BELLEY!G185+STALBAN!G185+ABRETS!G185+PONT!G185+FRANCIN!G185+VIVIERS!G185)</f>
        <v>0</v>
      </c>
      <c r="H185" s="42">
        <f>CHAMNORD!H185+AIX!H185+BELLEY!H185+STALBAN!H185+ABRETS!H185+PONT!H185+FRANCIN!H185+VIVIERS!H185</f>
        <v>0</v>
      </c>
      <c r="I185" s="13">
        <f>CHAMNORD!I185+AIX!I185+BELLEY!I185+STALBAN!I185+ABRETS!I185+PONT!I185+FRANCIN!I185+VIVIERS!I185</f>
        <v>0</v>
      </c>
      <c r="J185" s="14">
        <f>CHAMNORD!J185+AIX!J185+BELLEY!J185+STALBAN!J185+ABRETS!J185+PONT!J185+FRANCIN!J185+VIVIERS!J185</f>
        <v>0</v>
      </c>
      <c r="K185" s="15">
        <f>CHAMNORD!K185+AIX!K185+BELLEY!K185+STALBAN!K185+ABRETS!K185+PONT!K185+FRANCIN!K185+VIVIERS!K185</f>
        <v>0</v>
      </c>
      <c r="L185" s="15">
        <f>CHAMNORD!L185+AIX!L185+BELLEY!L185+STALBAN!L185+ABRETS!L185+PONT!L185+FRANCIN!L185+VIVIERS!L185</f>
        <v>0</v>
      </c>
      <c r="M185" s="15" t="e">
        <f>CHAMNORD!M185+AIX!M185+BELLEY!M185+STALBAN!M185+ABRETS!M185+PONT!M185+FRANCIN!M185+VIVIERS!M185</f>
        <v>#VALUE!</v>
      </c>
      <c r="N185" s="16" t="e">
        <f t="shared" si="10"/>
        <v>#VALUE!</v>
      </c>
      <c r="O185" s="17" t="str">
        <f t="shared" si="13"/>
        <v/>
      </c>
      <c r="P185" s="17" t="str">
        <f t="shared" si="14"/>
        <v/>
      </c>
      <c r="Q185" s="18" t="str">
        <f t="shared" si="11"/>
        <v/>
      </c>
      <c r="R185" s="18" t="e">
        <f t="shared" si="12"/>
        <v>#DIV/0!</v>
      </c>
      <c r="S185" s="33" t="s">
        <v>39</v>
      </c>
      <c r="T185" s="31" t="s">
        <v>42</v>
      </c>
      <c r="U185" s="1737" t="s">
        <v>109</v>
      </c>
    </row>
    <row r="186" spans="1:25">
      <c r="A186" s="10" t="s">
        <v>11</v>
      </c>
      <c r="B186" s="905">
        <v>45838</v>
      </c>
      <c r="C186" s="76">
        <f>IF(G186=0,0,CHAMNORD!C186+AIX!C186+BELLEY!C186+STALBAN!C186+ABRETS!C186+PONT!C186+FRANCIN!C186+VIVIERS!C186)</f>
        <v>0</v>
      </c>
      <c r="D186" s="76">
        <f>IF(H186=0,0,CHAMNORD!D186+AIX!D186+BELLEY!D186+STALBAN!D186+ABRETS!D186+PONT!D186+FRANCIN!D186+VIVIERS!D186)</f>
        <v>0</v>
      </c>
      <c r="E186" s="76">
        <f>IF(I186=0,0,CHAMNORD!E186+AIX!E186+BELLEY!E186+STALBAN!E186+ABRETS!E186+PONT!E186+FRANCIN!E186+VIVIERS!E186)</f>
        <v>0</v>
      </c>
      <c r="F186" s="20">
        <f>IF(J186=0,0,CHAMNORD!F186+AIX!F186+BELLEY!F186+STALBAN!F186+ABRETS!F186+PONT!F186+FRANCIN!F186+VIVIERS!F186)</f>
        <v>0</v>
      </c>
      <c r="G186" s="40">
        <f>IF(I186=0,0,CHAMNORD!G186+AIX!G186+BELLEY!G186+STALBAN!G186+ABRETS!G186+PONT!G186+FRANCIN!G186+VIVIERS!G186)</f>
        <v>0</v>
      </c>
      <c r="H186" s="42">
        <f>CHAMNORD!H186+AIX!H186+BELLEY!H186+STALBAN!H186+ABRETS!H186+PONT!H186+FRANCIN!H186+VIVIERS!H186</f>
        <v>0</v>
      </c>
      <c r="I186" s="13">
        <f>CHAMNORD!I186+AIX!I186+BELLEY!I186+STALBAN!I186+ABRETS!I186+PONT!I186+FRANCIN!I186+VIVIERS!I186</f>
        <v>0</v>
      </c>
      <c r="J186" s="14">
        <f>CHAMNORD!J186+AIX!J186+BELLEY!J186+STALBAN!J186+ABRETS!J186+PONT!J186+FRANCIN!J186+VIVIERS!J186</f>
        <v>0</v>
      </c>
      <c r="K186" s="15">
        <f>CHAMNORD!K186+AIX!K186+BELLEY!K186+STALBAN!K186+ABRETS!K186+PONT!K186+FRANCIN!K186+VIVIERS!K186</f>
        <v>0</v>
      </c>
      <c r="L186" s="15">
        <f>CHAMNORD!L186+AIX!L186+BELLEY!L186+STALBAN!L186+ABRETS!L186+PONT!L186+FRANCIN!L186+VIVIERS!L186</f>
        <v>0</v>
      </c>
      <c r="M186" s="15" t="e">
        <f>CHAMNORD!M186+AIX!M186+BELLEY!M186+STALBAN!M186+ABRETS!M186+PONT!M186+FRANCIN!M186+VIVIERS!M186</f>
        <v>#VALUE!</v>
      </c>
      <c r="N186" s="16" t="e">
        <f t="shared" si="10"/>
        <v>#VALUE!</v>
      </c>
      <c r="O186" s="17" t="str">
        <f t="shared" si="13"/>
        <v/>
      </c>
      <c r="P186" s="17" t="str">
        <f t="shared" si="14"/>
        <v/>
      </c>
      <c r="Q186" s="18" t="str">
        <f t="shared" si="11"/>
        <v/>
      </c>
      <c r="R186" s="18" t="e">
        <f t="shared" si="12"/>
        <v>#DIV/0!</v>
      </c>
      <c r="S186" s="34">
        <f>SUM(I185:I191)</f>
        <v>0</v>
      </c>
      <c r="T186" s="45" t="s">
        <v>41</v>
      </c>
      <c r="U186" s="1738"/>
      <c r="W186" s="202">
        <f>+S186</f>
        <v>0</v>
      </c>
      <c r="X186" s="202">
        <f>SUM(CHAMNORD!E185:E191)+SUM(AIX!E185:E191)+SUM(BELLEY!E185:E191)+SUM(STALBAN!E185:E191)+SUM(ABRETS!E185:E191)+SUM(PONT!E185:E191)+SUM(FRANCIN!E185:E191)+SUM(VIVIERS!E185:E191)</f>
        <v>0</v>
      </c>
      <c r="Y186" s="1051">
        <f>+W186-X186</f>
        <v>0</v>
      </c>
    </row>
    <row r="187" spans="1:25">
      <c r="A187" s="10" t="s">
        <v>12</v>
      </c>
      <c r="B187" s="905">
        <v>45839</v>
      </c>
      <c r="C187" s="76">
        <f>IF(G187=0,0,CHAMNORD!C187+AIX!C187+BELLEY!C187+STALBAN!C187+ABRETS!C187+PONT!C187+FRANCIN!C187+VIVIERS!C187)</f>
        <v>0</v>
      </c>
      <c r="D187" s="76">
        <f>IF(H187=0,0,CHAMNORD!D187+AIX!D187+BELLEY!D187+STALBAN!D187+ABRETS!D187+PONT!D187+FRANCIN!D187+VIVIERS!D187)</f>
        <v>0</v>
      </c>
      <c r="E187" s="76">
        <f>IF(I187=0,0,CHAMNORD!E187+AIX!E187+BELLEY!E187+STALBAN!E187+ABRETS!E187+PONT!E187+FRANCIN!E187+VIVIERS!E187)</f>
        <v>0</v>
      </c>
      <c r="F187" s="20">
        <f>IF(J187=0,0,CHAMNORD!F187+AIX!F187+BELLEY!F187+STALBAN!F187+ABRETS!F187+PONT!F187+FRANCIN!F187+VIVIERS!F187)</f>
        <v>0</v>
      </c>
      <c r="G187" s="40">
        <f>IF(I187=0,0,CHAMNORD!G187+AIX!G187+BELLEY!G187+STALBAN!G187+ABRETS!G187+PONT!G187+FRANCIN!G187+VIVIERS!G187)</f>
        <v>0</v>
      </c>
      <c r="H187" s="42">
        <f>CHAMNORD!H187+AIX!H187+BELLEY!H187+STALBAN!H187+ABRETS!H187+PONT!H187+FRANCIN!H187+VIVIERS!H187</f>
        <v>0</v>
      </c>
      <c r="I187" s="13">
        <f>CHAMNORD!I187+AIX!I187+BELLEY!I187+STALBAN!I187+ABRETS!I187+PONT!I187+FRANCIN!I187+VIVIERS!I187</f>
        <v>0</v>
      </c>
      <c r="J187" s="14">
        <f>CHAMNORD!J187+AIX!J187+BELLEY!J187+STALBAN!J187+ABRETS!J187+PONT!J187+FRANCIN!J187+VIVIERS!J187</f>
        <v>0</v>
      </c>
      <c r="K187" s="15">
        <f>CHAMNORD!K187+AIX!K187+BELLEY!K187+STALBAN!K187+ABRETS!K187+PONT!K187+FRANCIN!K187+VIVIERS!K187</f>
        <v>0</v>
      </c>
      <c r="L187" s="15">
        <f>CHAMNORD!L187+AIX!L187+BELLEY!L187+STALBAN!L187+ABRETS!L187+PONT!L187+FRANCIN!L187+VIVIERS!L187</f>
        <v>0</v>
      </c>
      <c r="M187" s="15">
        <f>CHAMNORD!M187+AIX!M187+BELLEY!M187+STALBAN!M187+ABRETS!M187+PONT!M187+FRANCIN!M187+VIVIERS!M187</f>
        <v>0</v>
      </c>
      <c r="N187" s="16" t="str">
        <f t="shared" si="10"/>
        <v/>
      </c>
      <c r="O187" s="17" t="str">
        <f t="shared" si="13"/>
        <v/>
      </c>
      <c r="P187" s="17" t="str">
        <f t="shared" si="14"/>
        <v/>
      </c>
      <c r="Q187" s="18" t="str">
        <f t="shared" si="11"/>
        <v/>
      </c>
      <c r="R187" s="18" t="e">
        <f t="shared" si="12"/>
        <v>#DIV/0!</v>
      </c>
      <c r="S187" s="35" t="e">
        <f>(S186-SUM(E185:E191))/(SUM(E185:E191))</f>
        <v>#DIV/0!</v>
      </c>
      <c r="T187" s="48" t="e">
        <f>SUM(I185:I191)/SUM(K185:K191)</f>
        <v>#DIV/0!</v>
      </c>
      <c r="U187" s="1738"/>
    </row>
    <row r="188" spans="1:25">
      <c r="A188" s="10" t="s">
        <v>13</v>
      </c>
      <c r="B188" s="905">
        <v>45840</v>
      </c>
      <c r="C188" s="76">
        <f>IF(G188=0,0,CHAMNORD!C188+AIX!C188+BELLEY!C188+STALBAN!C188+ABRETS!C188+PONT!C188+FRANCIN!C188+VIVIERS!C188)</f>
        <v>0</v>
      </c>
      <c r="D188" s="76">
        <f>IF(H188=0,0,CHAMNORD!D188+AIX!D188+BELLEY!D188+STALBAN!D188+ABRETS!D188+PONT!D188+FRANCIN!D188+VIVIERS!D188)</f>
        <v>0</v>
      </c>
      <c r="E188" s="76">
        <f>IF(I188=0,0,CHAMNORD!E188+AIX!E188+BELLEY!E188+STALBAN!E188+ABRETS!E188+PONT!E188+FRANCIN!E188+VIVIERS!E188)</f>
        <v>0</v>
      </c>
      <c r="F188" s="20">
        <f>IF(J188=0,0,CHAMNORD!F188+AIX!F188+BELLEY!F188+STALBAN!F188+ABRETS!F188+PONT!F188+FRANCIN!F188+VIVIERS!F188)</f>
        <v>0</v>
      </c>
      <c r="G188" s="40">
        <f>IF(I188=0,0,CHAMNORD!G188+AIX!G188+BELLEY!G188+STALBAN!G188+ABRETS!G188+PONT!G188+FRANCIN!G188+VIVIERS!G188)</f>
        <v>0</v>
      </c>
      <c r="H188" s="42">
        <f>CHAMNORD!H188+AIX!H188+BELLEY!H188+STALBAN!H188+ABRETS!H188+PONT!H188+FRANCIN!H188+VIVIERS!H188</f>
        <v>0</v>
      </c>
      <c r="I188" s="13">
        <f>CHAMNORD!I188+AIX!I188+BELLEY!I188+STALBAN!I188+ABRETS!I188+PONT!I188+FRANCIN!I188+VIVIERS!I188</f>
        <v>0</v>
      </c>
      <c r="J188" s="14">
        <f>CHAMNORD!J188+AIX!J188+BELLEY!J188+STALBAN!J188+ABRETS!J188+PONT!J188+FRANCIN!J188+VIVIERS!J188</f>
        <v>0</v>
      </c>
      <c r="K188" s="15">
        <f>CHAMNORD!K188+AIX!K188+BELLEY!K188+STALBAN!K188+ABRETS!K188+PONT!K188+FRANCIN!K188+VIVIERS!K188</f>
        <v>0</v>
      </c>
      <c r="L188" s="15">
        <f>CHAMNORD!L188+AIX!L188+BELLEY!L188+STALBAN!L188+ABRETS!L188+PONT!L188+FRANCIN!L188+VIVIERS!L188</f>
        <v>0</v>
      </c>
      <c r="M188" s="15">
        <f>CHAMNORD!M188+AIX!M188+BELLEY!M188+STALBAN!M188+ABRETS!M188+PONT!M188+FRANCIN!M188+VIVIERS!M188</f>
        <v>0</v>
      </c>
      <c r="N188" s="16" t="str">
        <f t="shared" si="10"/>
        <v/>
      </c>
      <c r="O188" s="17" t="str">
        <f t="shared" si="13"/>
        <v/>
      </c>
      <c r="P188" s="17" t="str">
        <f t="shared" si="14"/>
        <v/>
      </c>
      <c r="Q188" s="18" t="str">
        <f t="shared" si="11"/>
        <v/>
      </c>
      <c r="R188" s="18" t="e">
        <f t="shared" si="12"/>
        <v>#DIV/0!</v>
      </c>
      <c r="S188" s="34"/>
      <c r="T188" s="29" t="s">
        <v>8</v>
      </c>
      <c r="U188" s="1738"/>
    </row>
    <row r="189" spans="1:25">
      <c r="A189" s="10" t="s">
        <v>14</v>
      </c>
      <c r="B189" s="905">
        <v>45841</v>
      </c>
      <c r="C189" s="76">
        <f>IF(G189=0,0,CHAMNORD!C189+AIX!C189+BELLEY!C189+STALBAN!C189+ABRETS!C189+PONT!C189+FRANCIN!C189+VIVIERS!C189)</f>
        <v>0</v>
      </c>
      <c r="D189" s="76">
        <f>IF(H189=0,0,CHAMNORD!D189+AIX!D189+BELLEY!D189+STALBAN!D189+ABRETS!D189+PONT!D189+FRANCIN!D189+VIVIERS!D189)</f>
        <v>0</v>
      </c>
      <c r="E189" s="76">
        <f>IF(I189=0,0,CHAMNORD!E189+AIX!E189+BELLEY!E189+STALBAN!E189+ABRETS!E189+PONT!E189+FRANCIN!E189+VIVIERS!E189)</f>
        <v>0</v>
      </c>
      <c r="F189" s="20">
        <f>IF(J189=0,0,CHAMNORD!F189+AIX!F189+BELLEY!F189+STALBAN!F189+ABRETS!F189+PONT!F189+FRANCIN!F189+VIVIERS!F189)</f>
        <v>0</v>
      </c>
      <c r="G189" s="40">
        <f>IF(I189=0,0,CHAMNORD!G189+AIX!G189+BELLEY!G189+STALBAN!G189+ABRETS!G189+PONT!G189+FRANCIN!G189+VIVIERS!G189)</f>
        <v>0</v>
      </c>
      <c r="H189" s="42">
        <f>CHAMNORD!H189+AIX!H189+BELLEY!H189+STALBAN!H189+ABRETS!H189+PONT!H189+FRANCIN!H189+VIVIERS!H189</f>
        <v>0</v>
      </c>
      <c r="I189" s="13">
        <f>CHAMNORD!I189+AIX!I189+BELLEY!I189+STALBAN!I189+ABRETS!I189+PONT!I189+FRANCIN!I189+VIVIERS!I189</f>
        <v>0</v>
      </c>
      <c r="J189" s="14">
        <f>CHAMNORD!J189+AIX!J189+BELLEY!J189+STALBAN!J189+ABRETS!J189+PONT!J189+FRANCIN!J189+VIVIERS!J189</f>
        <v>0</v>
      </c>
      <c r="K189" s="15">
        <f>CHAMNORD!K189+AIX!K189+BELLEY!K189+STALBAN!K189+ABRETS!K189+PONT!K189+FRANCIN!K189+VIVIERS!K189</f>
        <v>0</v>
      </c>
      <c r="L189" s="15">
        <f>CHAMNORD!L189+AIX!L189+BELLEY!L189+STALBAN!L189+ABRETS!L189+PONT!L189+FRANCIN!L189+VIVIERS!L189</f>
        <v>0</v>
      </c>
      <c r="M189" s="15">
        <f>CHAMNORD!M189+AIX!M189+BELLEY!M189+STALBAN!M189+ABRETS!M189+PONT!M189+FRANCIN!M189+VIVIERS!M189</f>
        <v>0</v>
      </c>
      <c r="N189" s="16" t="str">
        <f t="shared" si="10"/>
        <v/>
      </c>
      <c r="O189" s="17" t="str">
        <f t="shared" si="13"/>
        <v/>
      </c>
      <c r="P189" s="17" t="str">
        <f t="shared" si="14"/>
        <v/>
      </c>
      <c r="Q189" s="18" t="str">
        <f t="shared" si="11"/>
        <v/>
      </c>
      <c r="R189" s="18" t="e">
        <f t="shared" si="12"/>
        <v>#DIV/0!</v>
      </c>
      <c r="S189" s="36" t="s">
        <v>40</v>
      </c>
      <c r="T189" s="48" t="e">
        <f>SUM(I185:I191)/SUM(L185:L191)</f>
        <v>#DIV/0!</v>
      </c>
      <c r="U189" s="1738"/>
    </row>
    <row r="190" spans="1:25">
      <c r="A190" s="10" t="s">
        <v>15</v>
      </c>
      <c r="B190" s="905">
        <v>45842</v>
      </c>
      <c r="C190" s="76">
        <f>IF(G190=0,0,CHAMNORD!C190+AIX!C190+BELLEY!C190+STALBAN!C190+ABRETS!C190+PONT!C190+FRANCIN!C190+VIVIERS!C190)</f>
        <v>0</v>
      </c>
      <c r="D190" s="76">
        <f>IF(H190=0,0,CHAMNORD!D190+AIX!D190+BELLEY!D190+STALBAN!D190+ABRETS!D190+PONT!D190+FRANCIN!D190+VIVIERS!D190)</f>
        <v>0</v>
      </c>
      <c r="E190" s="76">
        <f>IF(I190=0,0,CHAMNORD!E190+AIX!E190+BELLEY!E190+STALBAN!E190+ABRETS!E190+PONT!E190+FRANCIN!E190+VIVIERS!E190)</f>
        <v>0</v>
      </c>
      <c r="F190" s="20">
        <f>IF(J190=0,0,CHAMNORD!F190+AIX!F190+BELLEY!F190+STALBAN!F190+ABRETS!F190+PONT!F190+FRANCIN!F190+VIVIERS!F190)</f>
        <v>0</v>
      </c>
      <c r="G190" s="40">
        <f>IF(I190=0,0,CHAMNORD!G190+AIX!G190+BELLEY!G190+STALBAN!G190+ABRETS!G190+PONT!G190+FRANCIN!G190+VIVIERS!G190)</f>
        <v>0</v>
      </c>
      <c r="H190" s="42">
        <f>CHAMNORD!H190+AIX!H190+BELLEY!H190+STALBAN!H190+ABRETS!H190+PONT!H190+FRANCIN!H190+VIVIERS!H190</f>
        <v>0</v>
      </c>
      <c r="I190" s="13">
        <f>CHAMNORD!I190+AIX!I190+BELLEY!I190+STALBAN!I190+ABRETS!I190+PONT!I190+FRANCIN!I190+VIVIERS!I190</f>
        <v>0</v>
      </c>
      <c r="J190" s="14">
        <f>CHAMNORD!J190+AIX!J190+BELLEY!J190+STALBAN!J190+ABRETS!J190+PONT!J190+FRANCIN!J190+VIVIERS!J190</f>
        <v>0</v>
      </c>
      <c r="K190" s="15">
        <f>CHAMNORD!K190+AIX!K190+BELLEY!K190+STALBAN!K190+ABRETS!K190+PONT!K190+FRANCIN!K190+VIVIERS!K190</f>
        <v>0</v>
      </c>
      <c r="L190" s="15">
        <f>CHAMNORD!L190+AIX!L190+BELLEY!L190+STALBAN!L190+ABRETS!L190+PONT!L190+FRANCIN!L190+VIVIERS!L190</f>
        <v>0</v>
      </c>
      <c r="M190" s="15">
        <f>CHAMNORD!M190+AIX!M190+BELLEY!M190+STALBAN!M190+ABRETS!M190+PONT!M190+FRANCIN!M190+VIVIERS!M190</f>
        <v>0</v>
      </c>
      <c r="N190" s="16" t="str">
        <f t="shared" si="10"/>
        <v/>
      </c>
      <c r="O190" s="17" t="str">
        <f t="shared" si="13"/>
        <v/>
      </c>
      <c r="P190" s="17" t="str">
        <f t="shared" si="14"/>
        <v/>
      </c>
      <c r="Q190" s="18" t="str">
        <f t="shared" si="11"/>
        <v/>
      </c>
      <c r="R190" s="18" t="e">
        <f t="shared" si="12"/>
        <v>#DIV/0!</v>
      </c>
      <c r="S190" s="36">
        <f>SUM(J185:J191)</f>
        <v>0</v>
      </c>
      <c r="T190" s="30" t="s">
        <v>3</v>
      </c>
      <c r="U190" s="1738"/>
    </row>
    <row r="191" spans="1:25" ht="18" thickBot="1">
      <c r="A191" s="10" t="s">
        <v>16</v>
      </c>
      <c r="B191" s="905">
        <v>45843</v>
      </c>
      <c r="C191" s="76">
        <f>IF(G191=0,0,CHAMNORD!C191+AIX!C191+BELLEY!C191+STALBAN!C191+ABRETS!C191+PONT!C191+FRANCIN!C191+VIVIERS!C191)</f>
        <v>0</v>
      </c>
      <c r="D191" s="76">
        <f>IF(H191=0,0,CHAMNORD!D191+AIX!D191+BELLEY!D191+STALBAN!D191+ABRETS!D191+PONT!D191+FRANCIN!D191+VIVIERS!D191)</f>
        <v>0</v>
      </c>
      <c r="E191" s="76">
        <f>IF(I191=0,0,CHAMNORD!E191+AIX!E191+BELLEY!E191+STALBAN!E191+ABRETS!E191+PONT!E191+FRANCIN!E191+VIVIERS!E191)</f>
        <v>0</v>
      </c>
      <c r="F191" s="20">
        <f>IF(J191=0,0,CHAMNORD!F191+AIX!F191+BELLEY!F191+STALBAN!F191+ABRETS!F191+PONT!F191+FRANCIN!F191+VIVIERS!F191)</f>
        <v>0</v>
      </c>
      <c r="G191" s="40">
        <f>IF(I191=0,0,CHAMNORD!G191+AIX!G191+BELLEY!G191+STALBAN!G191+ABRETS!G191+PONT!G191+FRANCIN!G191+VIVIERS!G191)</f>
        <v>0</v>
      </c>
      <c r="H191" s="42">
        <f>CHAMNORD!H191+AIX!H191+BELLEY!H191+STALBAN!H191+ABRETS!H191+PONT!H191+FRANCIN!H191+VIVIERS!H191</f>
        <v>0</v>
      </c>
      <c r="I191" s="13">
        <f>CHAMNORD!I191+AIX!I191+BELLEY!I191+STALBAN!I191+ABRETS!I191+PONT!I191+FRANCIN!I191+VIVIERS!I191</f>
        <v>0</v>
      </c>
      <c r="J191" s="14">
        <f>CHAMNORD!J191+AIX!J191+BELLEY!J191+STALBAN!J191+ABRETS!J191+PONT!J191+FRANCIN!J191+VIVIERS!J191</f>
        <v>0</v>
      </c>
      <c r="K191" s="15">
        <f>CHAMNORD!K191+AIX!K191+BELLEY!K191+STALBAN!K191+ABRETS!K191+PONT!K191+FRANCIN!K191+VIVIERS!K191</f>
        <v>0</v>
      </c>
      <c r="L191" s="15">
        <f>CHAMNORD!L191+AIX!L191+BELLEY!L191+STALBAN!L191+ABRETS!L191+PONT!L191+FRANCIN!L191+VIVIERS!L191</f>
        <v>0</v>
      </c>
      <c r="M191" s="15">
        <f>CHAMNORD!M191+AIX!M191+BELLEY!M191+STALBAN!M191+ABRETS!M191+PONT!M191+FRANCIN!M191+VIVIERS!M191</f>
        <v>0</v>
      </c>
      <c r="N191" s="16" t="str">
        <f t="shared" si="10"/>
        <v/>
      </c>
      <c r="O191" s="17" t="str">
        <f t="shared" si="13"/>
        <v/>
      </c>
      <c r="P191" s="17" t="str">
        <f t="shared" si="14"/>
        <v/>
      </c>
      <c r="Q191" s="18" t="str">
        <f t="shared" si="11"/>
        <v/>
      </c>
      <c r="R191" s="18" t="e">
        <f t="shared" si="12"/>
        <v>#DIV/0!</v>
      </c>
      <c r="S191" s="37" t="e">
        <f>(S190-SUM(F185:F191))/(SUM(F185:F191))</f>
        <v>#DIV/0!</v>
      </c>
      <c r="T191" s="47" t="e">
        <f>SUM(M185:M191)/SUM(I185:I191)</f>
        <v>#VALUE!</v>
      </c>
      <c r="U191" s="1739"/>
    </row>
    <row r="192" spans="1:25" ht="17" customHeight="1" thickTop="1">
      <c r="A192" s="10" t="s">
        <v>9</v>
      </c>
      <c r="B192" s="905">
        <v>45844</v>
      </c>
      <c r="C192" s="76">
        <f>IF(G192=0,0,CHAMNORD!C192+AIX!C192+BELLEY!C192+STALBAN!C192+ABRETS!C192+PONT!C192+FRANCIN!C192+VIVIERS!C192)</f>
        <v>0</v>
      </c>
      <c r="D192" s="76">
        <f>IF(H192=0,0,CHAMNORD!D192+AIX!D192+BELLEY!D192+STALBAN!D192+ABRETS!D192+PONT!D192+FRANCIN!D192+VIVIERS!D192)</f>
        <v>0</v>
      </c>
      <c r="E192" s="76">
        <f>IF(I192=0,0,CHAMNORD!E192+AIX!E192+BELLEY!E192+STALBAN!E192+ABRETS!E192+PONT!E192+FRANCIN!E192+VIVIERS!E192)</f>
        <v>0</v>
      </c>
      <c r="F192" s="20">
        <f>IF(J192=0,0,CHAMNORD!F192+AIX!F192+BELLEY!F192+STALBAN!F192+ABRETS!F192+PONT!F192+FRANCIN!F192+VIVIERS!F192)</f>
        <v>0</v>
      </c>
      <c r="G192" s="40">
        <f>IF(I192=0,0,CHAMNORD!G192+AIX!G192+BELLEY!G192+STALBAN!G192+ABRETS!G192+PONT!G192+FRANCIN!G192+VIVIERS!G192)</f>
        <v>0</v>
      </c>
      <c r="H192" s="42">
        <f>CHAMNORD!H192+AIX!H192+BELLEY!H192+STALBAN!H192+ABRETS!H192+PONT!H192+FRANCIN!H192+VIVIERS!H192</f>
        <v>0</v>
      </c>
      <c r="I192" s="13">
        <f>CHAMNORD!I192+AIX!I192+BELLEY!I192+STALBAN!I192+ABRETS!I192+PONT!I192+FRANCIN!I192+VIVIERS!I192</f>
        <v>0</v>
      </c>
      <c r="J192" s="14">
        <f>CHAMNORD!J192+AIX!J192+BELLEY!J192+STALBAN!J192+ABRETS!J192+PONT!J192+FRANCIN!J192+VIVIERS!J192</f>
        <v>0</v>
      </c>
      <c r="K192" s="15">
        <f>CHAMNORD!K192+AIX!K192+BELLEY!K192+STALBAN!K192+ABRETS!K192+PONT!K192+FRANCIN!K192+VIVIERS!K192</f>
        <v>0</v>
      </c>
      <c r="L192" s="15">
        <f>CHAMNORD!L192+AIX!L192+BELLEY!L192+STALBAN!L192+ABRETS!L192+PONT!L192+FRANCIN!L192+VIVIERS!L192</f>
        <v>0</v>
      </c>
      <c r="M192" s="15">
        <f>CHAMNORD!M192+AIX!M192+BELLEY!M192+STALBAN!M192+ABRETS!M192+PONT!M192+FRANCIN!M192+VIVIERS!M192</f>
        <v>0</v>
      </c>
      <c r="N192" s="16" t="str">
        <f t="shared" si="10"/>
        <v/>
      </c>
      <c r="O192" s="17" t="str">
        <f t="shared" si="13"/>
        <v/>
      </c>
      <c r="P192" s="17" t="str">
        <f t="shared" si="14"/>
        <v/>
      </c>
      <c r="Q192" s="18" t="str">
        <f t="shared" si="11"/>
        <v/>
      </c>
      <c r="R192" s="18" t="e">
        <f t="shared" si="12"/>
        <v>#DIV/0!</v>
      </c>
      <c r="S192" s="33" t="s">
        <v>39</v>
      </c>
      <c r="T192" s="31" t="s">
        <v>42</v>
      </c>
      <c r="U192" s="1737" t="s">
        <v>110</v>
      </c>
    </row>
    <row r="193" spans="1:25">
      <c r="A193" s="10" t="s">
        <v>11</v>
      </c>
      <c r="B193" s="905">
        <v>45845</v>
      </c>
      <c r="C193" s="76">
        <f>IF(G193=0,0,CHAMNORD!C193+AIX!C193+BELLEY!C193+STALBAN!C193+ABRETS!C193+PONT!C193+FRANCIN!C193+VIVIERS!C193)</f>
        <v>0</v>
      </c>
      <c r="D193" s="76">
        <f>IF(H193=0,0,CHAMNORD!D193+AIX!D193+BELLEY!D193+STALBAN!D193+ABRETS!D193+PONT!D193+FRANCIN!D193+VIVIERS!D193)</f>
        <v>0</v>
      </c>
      <c r="E193" s="76">
        <f>IF(I193=0,0,CHAMNORD!E193+AIX!E193+BELLEY!E193+STALBAN!E193+ABRETS!E193+PONT!E193+FRANCIN!E193+VIVIERS!E193)</f>
        <v>0</v>
      </c>
      <c r="F193" s="20">
        <f>IF(J193=0,0,CHAMNORD!F193+AIX!F193+BELLEY!F193+STALBAN!F193+ABRETS!F193+PONT!F193+FRANCIN!F193+VIVIERS!F193)</f>
        <v>0</v>
      </c>
      <c r="G193" s="40">
        <f>IF(I193=0,0,CHAMNORD!G193+AIX!G193+BELLEY!G193+STALBAN!G193+ABRETS!G193+PONT!G193+FRANCIN!G193+VIVIERS!G193)</f>
        <v>0</v>
      </c>
      <c r="H193" s="42">
        <f>CHAMNORD!H193+AIX!H193+BELLEY!H193+STALBAN!H193+ABRETS!H193+PONT!H193+FRANCIN!H193+VIVIERS!H193</f>
        <v>0</v>
      </c>
      <c r="I193" s="13">
        <f>CHAMNORD!I193+AIX!I193+BELLEY!I193+STALBAN!I193+ABRETS!I193+PONT!I193+FRANCIN!I193+VIVIERS!I193</f>
        <v>0</v>
      </c>
      <c r="J193" s="14">
        <f>CHAMNORD!J193+AIX!J193+BELLEY!J193+STALBAN!J193+ABRETS!J193+PONT!J193+FRANCIN!J193+VIVIERS!J193</f>
        <v>0</v>
      </c>
      <c r="K193" s="15">
        <f>CHAMNORD!K193+AIX!K193+BELLEY!K193+STALBAN!K193+ABRETS!K193+PONT!K193+FRANCIN!K193+VIVIERS!K193</f>
        <v>0</v>
      </c>
      <c r="L193" s="15">
        <f>CHAMNORD!L193+AIX!L193+BELLEY!L193+STALBAN!L193+ABRETS!L193+PONT!L193+FRANCIN!L193+VIVIERS!L193</f>
        <v>0</v>
      </c>
      <c r="M193" s="15">
        <f>CHAMNORD!M193+AIX!M193+BELLEY!M193+STALBAN!M193+ABRETS!M193+PONT!M193+FRANCIN!M193+VIVIERS!M193</f>
        <v>0</v>
      </c>
      <c r="N193" s="16" t="str">
        <f t="shared" si="10"/>
        <v/>
      </c>
      <c r="O193" s="17" t="str">
        <f t="shared" si="13"/>
        <v/>
      </c>
      <c r="P193" s="17" t="str">
        <f t="shared" si="14"/>
        <v/>
      </c>
      <c r="Q193" s="18" t="str">
        <f t="shared" si="11"/>
        <v/>
      </c>
      <c r="R193" s="18" t="e">
        <f t="shared" si="12"/>
        <v>#DIV/0!</v>
      </c>
      <c r="S193" s="34">
        <f>SUM(I192:I198)</f>
        <v>0</v>
      </c>
      <c r="T193" s="45" t="s">
        <v>41</v>
      </c>
      <c r="U193" s="1738"/>
      <c r="W193" s="202">
        <f>+S193</f>
        <v>0</v>
      </c>
      <c r="X193" s="202">
        <f>SUM(CHAMNORD!E192:E198)+SUM(AIX!E192:E198)+SUM(BELLEY!E192:E198)+SUM(STALBAN!E192:E198)+SUM(ABRETS!E192:E198)+SUM(PONT!E192:E198)+SUM(FRANCIN!E192:E198)+SUM(VIVIERS!E192:E198)</f>
        <v>0</v>
      </c>
      <c r="Y193" s="1051">
        <f>+W193-X193</f>
        <v>0</v>
      </c>
    </row>
    <row r="194" spans="1:25">
      <c r="A194" s="10" t="s">
        <v>12</v>
      </c>
      <c r="B194" s="905">
        <v>45846</v>
      </c>
      <c r="C194" s="76">
        <f>IF(G194=0,0,CHAMNORD!C194+AIX!C194+BELLEY!C194+STALBAN!C194+ABRETS!C194+PONT!C194+FRANCIN!C194+VIVIERS!C194)</f>
        <v>0</v>
      </c>
      <c r="D194" s="76">
        <f>IF(H194=0,0,CHAMNORD!D194+AIX!D194+BELLEY!D194+STALBAN!D194+ABRETS!D194+PONT!D194+FRANCIN!D194+VIVIERS!D194)</f>
        <v>0</v>
      </c>
      <c r="E194" s="76">
        <f>IF(I194=0,0,CHAMNORD!E194+AIX!E194+BELLEY!E194+STALBAN!E194+ABRETS!E194+PONT!E194+FRANCIN!E194+VIVIERS!E194)</f>
        <v>0</v>
      </c>
      <c r="F194" s="20">
        <f>IF(J194=0,0,CHAMNORD!F194+AIX!F194+BELLEY!F194+STALBAN!F194+ABRETS!F194+PONT!F194+FRANCIN!F194+VIVIERS!F194)</f>
        <v>0</v>
      </c>
      <c r="G194" s="40">
        <f>IF(I194=0,0,CHAMNORD!G194+AIX!G194+BELLEY!G194+STALBAN!G194+ABRETS!G194+PONT!G194+FRANCIN!G194+VIVIERS!G194)</f>
        <v>0</v>
      </c>
      <c r="H194" s="42">
        <f>CHAMNORD!H194+AIX!H194+BELLEY!H194+STALBAN!H194+ABRETS!H194+PONT!H194+FRANCIN!H194+VIVIERS!H194</f>
        <v>0</v>
      </c>
      <c r="I194" s="13">
        <f>CHAMNORD!I194+AIX!I194+BELLEY!I194+STALBAN!I194+ABRETS!I194+PONT!I194+FRANCIN!I194+VIVIERS!I194</f>
        <v>0</v>
      </c>
      <c r="J194" s="14">
        <f>CHAMNORD!J194+AIX!J194+BELLEY!J194+STALBAN!J194+ABRETS!J194+PONT!J194+FRANCIN!J194+VIVIERS!J194</f>
        <v>0</v>
      </c>
      <c r="K194" s="15">
        <f>CHAMNORD!K194+AIX!K194+BELLEY!K194+STALBAN!K194+ABRETS!K194+PONT!K194+FRANCIN!K194+VIVIERS!K194</f>
        <v>0</v>
      </c>
      <c r="L194" s="15">
        <f>CHAMNORD!L194+AIX!L194+BELLEY!L194+STALBAN!L194+ABRETS!L194+PONT!L194+FRANCIN!L194+VIVIERS!L194</f>
        <v>0</v>
      </c>
      <c r="M194" s="15">
        <f>CHAMNORD!M194+AIX!M194+BELLEY!M194+STALBAN!M194+ABRETS!M194+PONT!M194+FRANCIN!M194+VIVIERS!M194</f>
        <v>0</v>
      </c>
      <c r="N194" s="16" t="str">
        <f t="shared" si="10"/>
        <v/>
      </c>
      <c r="O194" s="17" t="str">
        <f t="shared" si="13"/>
        <v/>
      </c>
      <c r="P194" s="17" t="str">
        <f t="shared" si="14"/>
        <v/>
      </c>
      <c r="Q194" s="18" t="str">
        <f t="shared" si="11"/>
        <v/>
      </c>
      <c r="R194" s="18" t="e">
        <f t="shared" si="12"/>
        <v>#DIV/0!</v>
      </c>
      <c r="S194" s="35" t="e">
        <f>(S193-SUM(E192:E198))/(SUM(E192:E198))</f>
        <v>#DIV/0!</v>
      </c>
      <c r="T194" s="48" t="e">
        <f>SUM(I192:I198)/SUM(K192:K198)</f>
        <v>#DIV/0!</v>
      </c>
      <c r="U194" s="1738"/>
    </row>
    <row r="195" spans="1:25">
      <c r="A195" s="10" t="s">
        <v>13</v>
      </c>
      <c r="B195" s="905">
        <v>45847</v>
      </c>
      <c r="C195" s="76">
        <f>IF(G195=0,0,CHAMNORD!C195+AIX!C195+BELLEY!C195+STALBAN!C195+ABRETS!C195+PONT!C195+FRANCIN!C195+VIVIERS!C195)</f>
        <v>0</v>
      </c>
      <c r="D195" s="76">
        <f>IF(H195=0,0,CHAMNORD!D195+AIX!D195+BELLEY!D195+STALBAN!D195+ABRETS!D195+PONT!D195+FRANCIN!D195+VIVIERS!D195)</f>
        <v>0</v>
      </c>
      <c r="E195" s="76">
        <f>IF(I195=0,0,CHAMNORD!E195+AIX!E195+BELLEY!E195+STALBAN!E195+ABRETS!E195+PONT!E195+FRANCIN!E195+VIVIERS!E195)</f>
        <v>0</v>
      </c>
      <c r="F195" s="20">
        <f>IF(J195=0,0,CHAMNORD!F195+AIX!F195+BELLEY!F195+STALBAN!F195+ABRETS!F195+PONT!F195+FRANCIN!F195+VIVIERS!F195)</f>
        <v>0</v>
      </c>
      <c r="G195" s="40">
        <f>IF(I195=0,0,CHAMNORD!G195+AIX!G195+BELLEY!G195+STALBAN!G195+ABRETS!G195+PONT!G195+FRANCIN!G195+VIVIERS!G195)</f>
        <v>0</v>
      </c>
      <c r="H195" s="42">
        <f>CHAMNORD!H195+AIX!H195+BELLEY!H195+STALBAN!H195+ABRETS!H195+PONT!H195+FRANCIN!H195+VIVIERS!H195</f>
        <v>0</v>
      </c>
      <c r="I195" s="13">
        <f>CHAMNORD!I195+AIX!I195+BELLEY!I195+STALBAN!I195+ABRETS!I195+PONT!I195+FRANCIN!I195+VIVIERS!I195</f>
        <v>0</v>
      </c>
      <c r="J195" s="14">
        <f>CHAMNORD!J195+AIX!J195+BELLEY!J195+STALBAN!J195+ABRETS!J195+PONT!J195+FRANCIN!J195+VIVIERS!J195</f>
        <v>0</v>
      </c>
      <c r="K195" s="15">
        <f>CHAMNORD!K195+AIX!K195+BELLEY!K195+STALBAN!K195+ABRETS!K195+PONT!K195+FRANCIN!K195+VIVIERS!K195</f>
        <v>0</v>
      </c>
      <c r="L195" s="15">
        <f>CHAMNORD!L195+AIX!L195+BELLEY!L195+STALBAN!L195+ABRETS!L195+PONT!L195+FRANCIN!L195+VIVIERS!L195</f>
        <v>0</v>
      </c>
      <c r="M195" s="15">
        <f>CHAMNORD!M195+AIX!M195+BELLEY!M195+STALBAN!M195+ABRETS!M195+PONT!M195+FRANCIN!M195+VIVIERS!M195</f>
        <v>0</v>
      </c>
      <c r="N195" s="16" t="str">
        <f t="shared" si="10"/>
        <v/>
      </c>
      <c r="O195" s="17" t="str">
        <f t="shared" si="13"/>
        <v/>
      </c>
      <c r="P195" s="17" t="str">
        <f t="shared" si="14"/>
        <v/>
      </c>
      <c r="Q195" s="18" t="str">
        <f t="shared" si="11"/>
        <v/>
      </c>
      <c r="R195" s="18" t="e">
        <f t="shared" si="12"/>
        <v>#DIV/0!</v>
      </c>
      <c r="S195" s="34"/>
      <c r="T195" s="29" t="s">
        <v>8</v>
      </c>
      <c r="U195" s="1738"/>
    </row>
    <row r="196" spans="1:25">
      <c r="A196" s="10" t="s">
        <v>14</v>
      </c>
      <c r="B196" s="905">
        <v>45848</v>
      </c>
      <c r="C196" s="76">
        <f>IF(G196=0,0,CHAMNORD!C196+AIX!C196+BELLEY!C196+STALBAN!C196+ABRETS!C196+PONT!C196+FRANCIN!C196+VIVIERS!C196)</f>
        <v>0</v>
      </c>
      <c r="D196" s="76">
        <f>IF(H196=0,0,CHAMNORD!D196+AIX!D196+BELLEY!D196+STALBAN!D196+ABRETS!D196+PONT!D196+FRANCIN!D196+VIVIERS!D196)</f>
        <v>0</v>
      </c>
      <c r="E196" s="76">
        <f>IF(I196=0,0,CHAMNORD!E196+AIX!E196+BELLEY!E196+STALBAN!E196+ABRETS!E196+PONT!E196+FRANCIN!E196+VIVIERS!E196)</f>
        <v>0</v>
      </c>
      <c r="F196" s="20">
        <f>IF(J196=0,0,CHAMNORD!F196+AIX!F196+BELLEY!F196+STALBAN!F196+ABRETS!F196+PONT!F196+FRANCIN!F196+VIVIERS!F196)</f>
        <v>0</v>
      </c>
      <c r="G196" s="40">
        <f>IF(I196=0,0,CHAMNORD!G196+AIX!G196+BELLEY!G196+STALBAN!G196+ABRETS!G196+PONT!G196+FRANCIN!G196+VIVIERS!G196)</f>
        <v>0</v>
      </c>
      <c r="H196" s="42">
        <f>CHAMNORD!H196+AIX!H196+BELLEY!H196+STALBAN!H196+ABRETS!H196+PONT!H196+FRANCIN!H196+VIVIERS!H196</f>
        <v>0</v>
      </c>
      <c r="I196" s="13">
        <f>CHAMNORD!I196+AIX!I196+BELLEY!I196+STALBAN!I196+ABRETS!I196+PONT!I196+FRANCIN!I196+VIVIERS!I196</f>
        <v>0</v>
      </c>
      <c r="J196" s="14">
        <f>CHAMNORD!J196+AIX!J196+BELLEY!J196+STALBAN!J196+ABRETS!J196+PONT!J196+FRANCIN!J196+VIVIERS!J196</f>
        <v>0</v>
      </c>
      <c r="K196" s="15">
        <f>CHAMNORD!K196+AIX!K196+BELLEY!K196+STALBAN!K196+ABRETS!K196+PONT!K196+FRANCIN!K196+VIVIERS!K196</f>
        <v>0</v>
      </c>
      <c r="L196" s="15">
        <f>CHAMNORD!L196+AIX!L196+BELLEY!L196+STALBAN!L196+ABRETS!L196+PONT!L196+FRANCIN!L196+VIVIERS!L196</f>
        <v>0</v>
      </c>
      <c r="M196" s="15">
        <f>CHAMNORD!M196+AIX!M196+BELLEY!M196+STALBAN!M196+ABRETS!M196+PONT!M196+FRANCIN!M196+VIVIERS!M196</f>
        <v>0</v>
      </c>
      <c r="N196" s="16" t="str">
        <f t="shared" ref="N196:N259" si="15">IF(M196=0,"",M196/I196)</f>
        <v/>
      </c>
      <c r="O196" s="17" t="str">
        <f t="shared" si="13"/>
        <v/>
      </c>
      <c r="P196" s="17" t="str">
        <f t="shared" si="14"/>
        <v/>
      </c>
      <c r="Q196" s="18" t="str">
        <f t="shared" ref="Q196:Q259" si="16">IF(I196=0,"",I196/K196)</f>
        <v/>
      </c>
      <c r="R196" s="18" t="e">
        <f t="shared" ref="R196:R259" si="17">I196/L196</f>
        <v>#DIV/0!</v>
      </c>
      <c r="S196" s="36" t="s">
        <v>40</v>
      </c>
      <c r="T196" s="48" t="e">
        <f>SUM(I192:I198)/SUM(L192:L198)</f>
        <v>#DIV/0!</v>
      </c>
      <c r="U196" s="1738"/>
    </row>
    <row r="197" spans="1:25">
      <c r="A197" s="10" t="s">
        <v>15</v>
      </c>
      <c r="B197" s="905">
        <v>45849</v>
      </c>
      <c r="C197" s="76">
        <f>IF(G197=0,0,CHAMNORD!C197+AIX!C197+BELLEY!C197+STALBAN!C197+ABRETS!C197+PONT!C197+FRANCIN!C197+VIVIERS!C197)</f>
        <v>0</v>
      </c>
      <c r="D197" s="76">
        <f>IF(H197=0,0,CHAMNORD!D197+AIX!D197+BELLEY!D197+STALBAN!D197+ABRETS!D197+PONT!D197+FRANCIN!D197+VIVIERS!D197)</f>
        <v>0</v>
      </c>
      <c r="E197" s="76">
        <f>IF(I197=0,0,CHAMNORD!E197+AIX!E197+BELLEY!E197+STALBAN!E197+ABRETS!E197+PONT!E197+FRANCIN!E197+VIVIERS!E197)</f>
        <v>0</v>
      </c>
      <c r="F197" s="20">
        <f>IF(J197=0,0,CHAMNORD!F197+AIX!F197+BELLEY!F197+STALBAN!F197+ABRETS!F197+PONT!F197+FRANCIN!F197+VIVIERS!F197)</f>
        <v>0</v>
      </c>
      <c r="G197" s="40">
        <f>IF(I197=0,0,CHAMNORD!G197+AIX!G197+BELLEY!G197+STALBAN!G197+ABRETS!G197+PONT!G197+FRANCIN!G197+VIVIERS!G197)</f>
        <v>0</v>
      </c>
      <c r="H197" s="42">
        <f>CHAMNORD!H197+AIX!H197+BELLEY!H197+STALBAN!H197+ABRETS!H197+PONT!H197+FRANCIN!H197+VIVIERS!H197</f>
        <v>0</v>
      </c>
      <c r="I197" s="13">
        <f>CHAMNORD!I197+AIX!I197+BELLEY!I197+STALBAN!I197+ABRETS!I197+PONT!I197+FRANCIN!I197+VIVIERS!I197</f>
        <v>0</v>
      </c>
      <c r="J197" s="14">
        <f>CHAMNORD!J197+AIX!J197+BELLEY!J197+STALBAN!J197+ABRETS!J197+PONT!J197+FRANCIN!J197+VIVIERS!J197</f>
        <v>0</v>
      </c>
      <c r="K197" s="15">
        <f>CHAMNORD!K197+AIX!K197+BELLEY!K197+STALBAN!K197+ABRETS!K197+PONT!K197+FRANCIN!K197+VIVIERS!K197</f>
        <v>0</v>
      </c>
      <c r="L197" s="15">
        <f>CHAMNORD!L197+AIX!L197+BELLEY!L197+STALBAN!L197+ABRETS!L197+PONT!L197+FRANCIN!L197+VIVIERS!L197</f>
        <v>0</v>
      </c>
      <c r="M197" s="15">
        <f>CHAMNORD!M197+AIX!M197+BELLEY!M197+STALBAN!M197+ABRETS!M197+PONT!M197+FRANCIN!M197+VIVIERS!M197</f>
        <v>0</v>
      </c>
      <c r="N197" s="16" t="str">
        <f t="shared" si="15"/>
        <v/>
      </c>
      <c r="O197" s="17" t="str">
        <f t="shared" si="13"/>
        <v/>
      </c>
      <c r="P197" s="17" t="str">
        <f t="shared" si="14"/>
        <v/>
      </c>
      <c r="Q197" s="18" t="str">
        <f t="shared" si="16"/>
        <v/>
      </c>
      <c r="R197" s="18" t="e">
        <f t="shared" si="17"/>
        <v>#DIV/0!</v>
      </c>
      <c r="S197" s="36">
        <f>SUM(J192:J198)</f>
        <v>0</v>
      </c>
      <c r="T197" s="30" t="s">
        <v>3</v>
      </c>
      <c r="U197" s="1738"/>
    </row>
    <row r="198" spans="1:25" ht="18" thickBot="1">
      <c r="A198" s="10" t="s">
        <v>16</v>
      </c>
      <c r="B198" s="905">
        <v>45850</v>
      </c>
      <c r="C198" s="76">
        <f>IF(G198=0,0,CHAMNORD!C198+AIX!C198+BELLEY!C198+STALBAN!C198+ABRETS!C198+PONT!C198+FRANCIN!C198+VIVIERS!C198)</f>
        <v>0</v>
      </c>
      <c r="D198" s="76">
        <f>IF(H198=0,0,CHAMNORD!D198+AIX!D198+BELLEY!D198+STALBAN!D198+ABRETS!D198+PONT!D198+FRANCIN!D198+VIVIERS!D198)</f>
        <v>0</v>
      </c>
      <c r="E198" s="76">
        <f>IF(I198=0,0,CHAMNORD!E198+AIX!E198+BELLEY!E198+STALBAN!E198+ABRETS!E198+PONT!E198+FRANCIN!E198+VIVIERS!E198)</f>
        <v>0</v>
      </c>
      <c r="F198" s="20">
        <f>IF(J198=0,0,CHAMNORD!F198+AIX!F198+BELLEY!F198+STALBAN!F198+ABRETS!F198+PONT!F198+FRANCIN!F198+VIVIERS!F198)</f>
        <v>0</v>
      </c>
      <c r="G198" s="40">
        <f>IF(I198=0,0,CHAMNORD!G198+AIX!G198+BELLEY!G198+STALBAN!G198+ABRETS!G198+PONT!G198+FRANCIN!G198+VIVIERS!G198)</f>
        <v>0</v>
      </c>
      <c r="H198" s="42">
        <f>CHAMNORD!H198+AIX!H198+BELLEY!H198+STALBAN!H198+ABRETS!H198+PONT!H198+FRANCIN!H198+VIVIERS!H198</f>
        <v>0</v>
      </c>
      <c r="I198" s="13">
        <f>CHAMNORD!I198+AIX!I198+BELLEY!I198+STALBAN!I198+ABRETS!I198+PONT!I198+FRANCIN!I198+VIVIERS!I198</f>
        <v>0</v>
      </c>
      <c r="J198" s="14">
        <f>CHAMNORD!J198+AIX!J198+BELLEY!J198+STALBAN!J198+ABRETS!J198+PONT!J198+FRANCIN!J198+VIVIERS!J198</f>
        <v>0</v>
      </c>
      <c r="K198" s="15">
        <f>CHAMNORD!K198+AIX!K198+BELLEY!K198+STALBAN!K198+ABRETS!K198+PONT!K198+FRANCIN!K198+VIVIERS!K198</f>
        <v>0</v>
      </c>
      <c r="L198" s="15">
        <f>CHAMNORD!L198+AIX!L198+BELLEY!L198+STALBAN!L198+ABRETS!L198+PONT!L198+FRANCIN!L198+VIVIERS!L198</f>
        <v>0</v>
      </c>
      <c r="M198" s="15">
        <f>CHAMNORD!M198+AIX!M198+BELLEY!M198+STALBAN!M198+ABRETS!M198+PONT!M198+FRANCIN!M198+VIVIERS!M198</f>
        <v>0</v>
      </c>
      <c r="N198" s="16" t="str">
        <f t="shared" si="15"/>
        <v/>
      </c>
      <c r="O198" s="17" t="str">
        <f t="shared" si="13"/>
        <v/>
      </c>
      <c r="P198" s="17" t="str">
        <f t="shared" si="14"/>
        <v/>
      </c>
      <c r="Q198" s="18" t="str">
        <f t="shared" si="16"/>
        <v/>
      </c>
      <c r="R198" s="18" t="e">
        <f t="shared" si="17"/>
        <v>#DIV/0!</v>
      </c>
      <c r="S198" s="37" t="e">
        <f>(S197-SUM(F192:F198))/(SUM(F192:F198))</f>
        <v>#DIV/0!</v>
      </c>
      <c r="T198" s="47" t="e">
        <f>SUM(M192:M198)/SUM(I192:I198)</f>
        <v>#DIV/0!</v>
      </c>
      <c r="U198" s="1739"/>
    </row>
    <row r="199" spans="1:25" ht="17" customHeight="1" thickTop="1">
      <c r="A199" s="10" t="s">
        <v>9</v>
      </c>
      <c r="B199" s="905">
        <v>45851</v>
      </c>
      <c r="C199" s="76">
        <f>IF(G199=0,0,CHAMNORD!C199+AIX!C199+BELLEY!C199+STALBAN!C199+ABRETS!C199+PONT!C199+FRANCIN!C199+VIVIERS!C199)</f>
        <v>0</v>
      </c>
      <c r="D199" s="76">
        <f>IF(H199=0,0,CHAMNORD!D199+AIX!D199+BELLEY!D199+STALBAN!D199+ABRETS!D199+PONT!D199+FRANCIN!D199+VIVIERS!D199)</f>
        <v>0</v>
      </c>
      <c r="E199" s="76">
        <f>IF(I199=0,0,CHAMNORD!E199+AIX!E199+BELLEY!E199+STALBAN!E199+ABRETS!E199+PONT!E199+FRANCIN!E199+VIVIERS!E199)</f>
        <v>0</v>
      </c>
      <c r="F199" s="20">
        <f>IF(J199=0,0,CHAMNORD!F199+AIX!F199+BELLEY!F199+STALBAN!F199+ABRETS!F199+PONT!F199+FRANCIN!F199+VIVIERS!F199)</f>
        <v>0</v>
      </c>
      <c r="G199" s="40">
        <f>IF(I199=0,0,CHAMNORD!G199+AIX!G199+BELLEY!G199+STALBAN!G199+ABRETS!G199+PONT!G199+FRANCIN!G199+VIVIERS!G199)</f>
        <v>0</v>
      </c>
      <c r="H199" s="42">
        <f>CHAMNORD!H199+AIX!H199+BELLEY!H199+STALBAN!H199+ABRETS!H199+PONT!H199+FRANCIN!H199+VIVIERS!H199</f>
        <v>0</v>
      </c>
      <c r="I199" s="13">
        <f>CHAMNORD!I199+AIX!I199+BELLEY!I199+STALBAN!I199+ABRETS!I199+PONT!I199+FRANCIN!I199+VIVIERS!I199</f>
        <v>0</v>
      </c>
      <c r="J199" s="14">
        <f>CHAMNORD!J199+AIX!J199+BELLEY!J199+STALBAN!J199+ABRETS!J199+PONT!J199+FRANCIN!J199+VIVIERS!J199</f>
        <v>0</v>
      </c>
      <c r="K199" s="15">
        <f>CHAMNORD!K199+AIX!K199+BELLEY!K199+STALBAN!K199+ABRETS!K199+PONT!K199+FRANCIN!K199+VIVIERS!K199</f>
        <v>0</v>
      </c>
      <c r="L199" s="15">
        <f>CHAMNORD!L199+AIX!L199+BELLEY!L199+STALBAN!L199+ABRETS!L199+PONT!L199+FRANCIN!L199+VIVIERS!L199</f>
        <v>0</v>
      </c>
      <c r="M199" s="15">
        <f>CHAMNORD!M199+AIX!M199+BELLEY!M199+STALBAN!M199+ABRETS!M199+PONT!M199+FRANCIN!M199+VIVIERS!M199</f>
        <v>0</v>
      </c>
      <c r="N199" s="16" t="str">
        <f t="shared" si="15"/>
        <v/>
      </c>
      <c r="O199" s="17" t="str">
        <f t="shared" ref="O199:O262" si="18">IF(I199=0,"",(I199-E199)/E199)</f>
        <v/>
      </c>
      <c r="P199" s="17" t="str">
        <f t="shared" ref="P199:P262" si="19">IF(J199=0,"",(J199-F199)/F199)</f>
        <v/>
      </c>
      <c r="Q199" s="18" t="str">
        <f t="shared" si="16"/>
        <v/>
      </c>
      <c r="R199" s="18" t="e">
        <f t="shared" si="17"/>
        <v>#DIV/0!</v>
      </c>
      <c r="S199" s="33" t="s">
        <v>39</v>
      </c>
      <c r="T199" s="31" t="s">
        <v>42</v>
      </c>
      <c r="U199" s="1737" t="s">
        <v>111</v>
      </c>
    </row>
    <row r="200" spans="1:25">
      <c r="A200" s="10" t="s">
        <v>11</v>
      </c>
      <c r="B200" s="905">
        <v>45852</v>
      </c>
      <c r="C200" s="76">
        <f>IF(G200=0,0,CHAMNORD!C200+AIX!C200+BELLEY!C200+STALBAN!C200+ABRETS!C200+PONT!C200+FRANCIN!C200+VIVIERS!C200)</f>
        <v>0</v>
      </c>
      <c r="D200" s="76">
        <f>IF(H200=0,0,CHAMNORD!D200+AIX!D200+BELLEY!D200+STALBAN!D200+ABRETS!D200+PONT!D200+FRANCIN!D200+VIVIERS!D200)</f>
        <v>0</v>
      </c>
      <c r="E200" s="76">
        <f>IF(I200=0,0,CHAMNORD!E200+AIX!E200+BELLEY!E200+STALBAN!E200+ABRETS!E200+PONT!E200+FRANCIN!E200+VIVIERS!E200)</f>
        <v>0</v>
      </c>
      <c r="F200" s="20">
        <f>IF(J200=0,0,CHAMNORD!F200+AIX!F200+BELLEY!F200+STALBAN!F200+ABRETS!F200+PONT!F200+FRANCIN!F200+VIVIERS!F200)</f>
        <v>0</v>
      </c>
      <c r="G200" s="40">
        <f>IF(I200=0,0,CHAMNORD!G200+AIX!G200+BELLEY!G200+STALBAN!G200+ABRETS!G200+PONT!G200+FRANCIN!G200+VIVIERS!G200)</f>
        <v>0</v>
      </c>
      <c r="H200" s="42">
        <f>CHAMNORD!H200+AIX!H200+BELLEY!H200+STALBAN!H200+ABRETS!H200+PONT!H200+FRANCIN!H200+VIVIERS!H200</f>
        <v>0</v>
      </c>
      <c r="I200" s="13">
        <f>CHAMNORD!I200+AIX!I200+BELLEY!I200+STALBAN!I200+ABRETS!I200+PONT!I200+FRANCIN!I200+VIVIERS!I200</f>
        <v>0</v>
      </c>
      <c r="J200" s="14">
        <f>CHAMNORD!J200+AIX!J200+BELLEY!J200+STALBAN!J200+ABRETS!J200+PONT!J200+FRANCIN!J200+VIVIERS!J200</f>
        <v>0</v>
      </c>
      <c r="K200" s="15">
        <f>CHAMNORD!K200+AIX!K200+BELLEY!K200+STALBAN!K200+ABRETS!K200+PONT!K200+FRANCIN!K200+VIVIERS!K200</f>
        <v>0</v>
      </c>
      <c r="L200" s="15">
        <f>CHAMNORD!L200+AIX!L200+BELLEY!L200+STALBAN!L200+ABRETS!L200+PONT!L200+FRANCIN!L200+VIVIERS!L200</f>
        <v>0</v>
      </c>
      <c r="M200" s="15">
        <f>CHAMNORD!M200+AIX!M200+BELLEY!M200+STALBAN!M200+ABRETS!M200+PONT!M200+FRANCIN!M200+VIVIERS!M200</f>
        <v>0</v>
      </c>
      <c r="N200" s="16" t="str">
        <f t="shared" si="15"/>
        <v/>
      </c>
      <c r="O200" s="17" t="str">
        <f t="shared" si="18"/>
        <v/>
      </c>
      <c r="P200" s="17" t="str">
        <f t="shared" si="19"/>
        <v/>
      </c>
      <c r="Q200" s="18" t="str">
        <f t="shared" si="16"/>
        <v/>
      </c>
      <c r="R200" s="18" t="e">
        <f t="shared" si="17"/>
        <v>#DIV/0!</v>
      </c>
      <c r="S200" s="34">
        <f>SUM(I199:I205)</f>
        <v>0</v>
      </c>
      <c r="T200" s="45" t="s">
        <v>41</v>
      </c>
      <c r="U200" s="1738"/>
      <c r="W200" s="202">
        <f>+S200</f>
        <v>0</v>
      </c>
      <c r="X200" s="202">
        <f>SUM(CHAMNORD!E199:E205)+SUM(AIX!E199:E205)+SUM(BELLEY!E199:E205)+SUM(STALBAN!E199:E205)+SUM(ABRETS!E199:E205)+SUM(PONT!E199:E205)+SUM(FRANCIN!E199:E205)+SUM(VIVIERS!E199:E205)</f>
        <v>0</v>
      </c>
      <c r="Y200" s="1051">
        <f>+W200-X200</f>
        <v>0</v>
      </c>
    </row>
    <row r="201" spans="1:25">
      <c r="A201" s="10" t="s">
        <v>12</v>
      </c>
      <c r="B201" s="905">
        <v>45853</v>
      </c>
      <c r="C201" s="76">
        <f>IF(G201=0,0,CHAMNORD!C201+AIX!C201+BELLEY!C201+STALBAN!C201+ABRETS!C201+PONT!C201+FRANCIN!C201+VIVIERS!C201)</f>
        <v>0</v>
      </c>
      <c r="D201" s="76">
        <f>IF(H201=0,0,CHAMNORD!D201+AIX!D201+BELLEY!D201+STALBAN!D201+ABRETS!D201+PONT!D201+FRANCIN!D201+VIVIERS!D201)</f>
        <v>0</v>
      </c>
      <c r="E201" s="76">
        <f>IF(I201=0,0,CHAMNORD!E201+AIX!E201+BELLEY!E201+STALBAN!E201+ABRETS!E201+PONT!E201+FRANCIN!E201+VIVIERS!E201)</f>
        <v>0</v>
      </c>
      <c r="F201" s="20">
        <f>IF(J201=0,0,CHAMNORD!F201+AIX!F201+BELLEY!F201+STALBAN!F201+ABRETS!F201+PONT!F201+FRANCIN!F201+VIVIERS!F201)</f>
        <v>0</v>
      </c>
      <c r="G201" s="40">
        <f>IF(I201=0,0,CHAMNORD!G201+AIX!G201+BELLEY!G201+STALBAN!G201+ABRETS!G201+PONT!G201+FRANCIN!G201+VIVIERS!G201)</f>
        <v>0</v>
      </c>
      <c r="H201" s="42">
        <f>CHAMNORD!H201+AIX!H201+BELLEY!H201+STALBAN!H201+ABRETS!H201+PONT!H201+FRANCIN!H201+VIVIERS!H201</f>
        <v>0</v>
      </c>
      <c r="I201" s="13">
        <f>CHAMNORD!I201+AIX!I201+BELLEY!I201+STALBAN!I201+ABRETS!I201+PONT!I201+FRANCIN!I201+VIVIERS!I201</f>
        <v>0</v>
      </c>
      <c r="J201" s="14">
        <f>CHAMNORD!J201+AIX!J201+BELLEY!J201+STALBAN!J201+ABRETS!J201+PONT!J201+FRANCIN!J201+VIVIERS!J201</f>
        <v>0</v>
      </c>
      <c r="K201" s="15">
        <f>CHAMNORD!K201+AIX!K201+BELLEY!K201+STALBAN!K201+ABRETS!K201+PONT!K201+FRANCIN!K201+VIVIERS!K201</f>
        <v>0</v>
      </c>
      <c r="L201" s="15">
        <f>CHAMNORD!L201+AIX!L201+BELLEY!L201+STALBAN!L201+ABRETS!L201+PONT!L201+FRANCIN!L201+VIVIERS!L201</f>
        <v>0</v>
      </c>
      <c r="M201" s="15">
        <f>CHAMNORD!M201+AIX!M201+BELLEY!M201+STALBAN!M201+ABRETS!M201+PONT!M201+FRANCIN!M201+VIVIERS!M201</f>
        <v>0</v>
      </c>
      <c r="N201" s="16" t="str">
        <f t="shared" si="15"/>
        <v/>
      </c>
      <c r="O201" s="17" t="str">
        <f t="shared" si="18"/>
        <v/>
      </c>
      <c r="P201" s="17" t="str">
        <f t="shared" si="19"/>
        <v/>
      </c>
      <c r="Q201" s="18" t="str">
        <f t="shared" si="16"/>
        <v/>
      </c>
      <c r="R201" s="18" t="e">
        <f t="shared" si="17"/>
        <v>#DIV/0!</v>
      </c>
      <c r="S201" s="35" t="e">
        <f>(S200-SUM(E199:E205))/(SUM(E199:E205))</f>
        <v>#DIV/0!</v>
      </c>
      <c r="T201" s="48" t="e">
        <f>SUM(I199:I205)/SUM(K199:K205)</f>
        <v>#DIV/0!</v>
      </c>
      <c r="U201" s="1738"/>
    </row>
    <row r="202" spans="1:25">
      <c r="A202" s="10" t="s">
        <v>13</v>
      </c>
      <c r="B202" s="905">
        <v>45854</v>
      </c>
      <c r="C202" s="76">
        <f>IF(G202=0,0,CHAMNORD!C202+AIX!C202+BELLEY!C202+STALBAN!C202+ABRETS!C202+PONT!C202+FRANCIN!C202+VIVIERS!C202)</f>
        <v>0</v>
      </c>
      <c r="D202" s="76">
        <f>IF(H202=0,0,CHAMNORD!D202+AIX!D202+BELLEY!D202+STALBAN!D202+ABRETS!D202+PONT!D202+FRANCIN!D202+VIVIERS!D202)</f>
        <v>0</v>
      </c>
      <c r="E202" s="76">
        <f>IF(I202=0,0,CHAMNORD!E202+AIX!E202+BELLEY!E202+STALBAN!E202+ABRETS!E202+PONT!E202+FRANCIN!E202+VIVIERS!E202)</f>
        <v>0</v>
      </c>
      <c r="F202" s="20">
        <f>IF(J202=0,0,CHAMNORD!F202+AIX!F202+BELLEY!F202+STALBAN!F202+ABRETS!F202+PONT!F202+FRANCIN!F202+VIVIERS!F202)</f>
        <v>0</v>
      </c>
      <c r="G202" s="40">
        <f>IF(I202=0,0,CHAMNORD!G202+AIX!G202+BELLEY!G202+STALBAN!G202+ABRETS!G202+PONT!G202+FRANCIN!G202+VIVIERS!G202)</f>
        <v>0</v>
      </c>
      <c r="H202" s="42">
        <f>CHAMNORD!H202+AIX!H202+BELLEY!H202+STALBAN!H202+ABRETS!H202+PONT!H202+FRANCIN!H202+VIVIERS!H202</f>
        <v>0</v>
      </c>
      <c r="I202" s="13">
        <f>CHAMNORD!I202+AIX!I202+BELLEY!I202+STALBAN!I202+ABRETS!I202+PONT!I202+FRANCIN!I202+VIVIERS!I202</f>
        <v>0</v>
      </c>
      <c r="J202" s="14">
        <f>CHAMNORD!J202+AIX!J202+BELLEY!J202+STALBAN!J202+ABRETS!J202+PONT!J202+FRANCIN!J202+VIVIERS!J202</f>
        <v>0</v>
      </c>
      <c r="K202" s="15">
        <f>CHAMNORD!K202+AIX!K202+BELLEY!K202+STALBAN!K202+ABRETS!K202+PONT!K202+FRANCIN!K202+VIVIERS!K202</f>
        <v>0</v>
      </c>
      <c r="L202" s="15">
        <f>CHAMNORD!L202+AIX!L202+BELLEY!L202+STALBAN!L202+ABRETS!L202+PONT!L202+FRANCIN!L202+VIVIERS!L202</f>
        <v>0</v>
      </c>
      <c r="M202" s="15">
        <f>CHAMNORD!M202+AIX!M202+BELLEY!M202+STALBAN!M202+ABRETS!M202+PONT!M202+FRANCIN!M202+VIVIERS!M202</f>
        <v>0</v>
      </c>
      <c r="N202" s="16" t="str">
        <f t="shared" si="15"/>
        <v/>
      </c>
      <c r="O202" s="17" t="str">
        <f t="shared" si="18"/>
        <v/>
      </c>
      <c r="P202" s="17" t="str">
        <f t="shared" si="19"/>
        <v/>
      </c>
      <c r="Q202" s="18" t="str">
        <f t="shared" si="16"/>
        <v/>
      </c>
      <c r="R202" s="18" t="e">
        <f t="shared" si="17"/>
        <v>#DIV/0!</v>
      </c>
      <c r="S202" s="34"/>
      <c r="T202" s="29" t="s">
        <v>8</v>
      </c>
      <c r="U202" s="1738"/>
    </row>
    <row r="203" spans="1:25">
      <c r="A203" s="10" t="s">
        <v>14</v>
      </c>
      <c r="B203" s="905">
        <v>45855</v>
      </c>
      <c r="C203" s="76">
        <f>IF(G203=0,0,CHAMNORD!C203+AIX!C203+BELLEY!C203+STALBAN!C203+ABRETS!C203+PONT!C203+FRANCIN!C203+VIVIERS!C203)</f>
        <v>0</v>
      </c>
      <c r="D203" s="76">
        <f>IF(H203=0,0,CHAMNORD!D203+AIX!D203+BELLEY!D203+STALBAN!D203+ABRETS!D203+PONT!D203+FRANCIN!D203+VIVIERS!D203)</f>
        <v>0</v>
      </c>
      <c r="E203" s="76">
        <f>IF(I203=0,0,CHAMNORD!E203+AIX!E203+BELLEY!E203+STALBAN!E203+ABRETS!E203+PONT!E203+FRANCIN!E203+VIVIERS!E203)</f>
        <v>0</v>
      </c>
      <c r="F203" s="20">
        <f>IF(J203=0,0,CHAMNORD!F203+AIX!F203+BELLEY!F203+STALBAN!F203+ABRETS!F203+PONT!F203+FRANCIN!F203+VIVIERS!F203)</f>
        <v>0</v>
      </c>
      <c r="G203" s="40">
        <f>IF(I203=0,0,CHAMNORD!G203+AIX!G203+BELLEY!G203+STALBAN!G203+ABRETS!G203+PONT!G203+FRANCIN!G203+VIVIERS!G203)</f>
        <v>0</v>
      </c>
      <c r="H203" s="42">
        <f>CHAMNORD!H203+AIX!H203+BELLEY!H203+STALBAN!H203+ABRETS!H203+PONT!H203+FRANCIN!H203+VIVIERS!H203</f>
        <v>0</v>
      </c>
      <c r="I203" s="13">
        <f>CHAMNORD!I203+AIX!I203+BELLEY!I203+STALBAN!I203+ABRETS!I203+PONT!I203+FRANCIN!I203+VIVIERS!I203</f>
        <v>0</v>
      </c>
      <c r="J203" s="14">
        <f>CHAMNORD!J203+AIX!J203+BELLEY!J203+STALBAN!J203+ABRETS!J203+PONT!J203+FRANCIN!J203+VIVIERS!J203</f>
        <v>0</v>
      </c>
      <c r="K203" s="15">
        <f>CHAMNORD!K203+AIX!K203+BELLEY!K203+STALBAN!K203+ABRETS!K203+PONT!K203+FRANCIN!K203+VIVIERS!K203</f>
        <v>0</v>
      </c>
      <c r="L203" s="15">
        <f>CHAMNORD!L203+AIX!L203+BELLEY!L203+STALBAN!L203+ABRETS!L203+PONT!L203+FRANCIN!L203+VIVIERS!L203</f>
        <v>0</v>
      </c>
      <c r="M203" s="15">
        <f>CHAMNORD!M203+AIX!M203+BELLEY!M203+STALBAN!M203+ABRETS!M203+PONT!M203+FRANCIN!M203+VIVIERS!M203</f>
        <v>0</v>
      </c>
      <c r="N203" s="16" t="str">
        <f t="shared" si="15"/>
        <v/>
      </c>
      <c r="O203" s="17" t="str">
        <f t="shared" si="18"/>
        <v/>
      </c>
      <c r="P203" s="17" t="str">
        <f t="shared" si="19"/>
        <v/>
      </c>
      <c r="Q203" s="18" t="str">
        <f t="shared" si="16"/>
        <v/>
      </c>
      <c r="R203" s="18" t="e">
        <f t="shared" si="17"/>
        <v>#DIV/0!</v>
      </c>
      <c r="S203" s="36" t="s">
        <v>40</v>
      </c>
      <c r="T203" s="48" t="e">
        <f>SUM(I199:I205)/SUM(L199:L205)</f>
        <v>#DIV/0!</v>
      </c>
      <c r="U203" s="1738"/>
    </row>
    <row r="204" spans="1:25">
      <c r="A204" s="10" t="s">
        <v>15</v>
      </c>
      <c r="B204" s="905">
        <v>45856</v>
      </c>
      <c r="C204" s="76">
        <f>IF(G204=0,0,CHAMNORD!C204+AIX!C204+BELLEY!C204+STALBAN!C204+ABRETS!C204+PONT!C204+FRANCIN!C204+VIVIERS!C204)</f>
        <v>0</v>
      </c>
      <c r="D204" s="76">
        <f>IF(H204=0,0,CHAMNORD!D204+AIX!D204+BELLEY!D204+STALBAN!D204+ABRETS!D204+PONT!D204+FRANCIN!D204+VIVIERS!D204)</f>
        <v>0</v>
      </c>
      <c r="E204" s="76">
        <f>IF(I204=0,0,CHAMNORD!E204+AIX!E204+BELLEY!E204+STALBAN!E204+ABRETS!E204+PONT!E204+FRANCIN!E204+VIVIERS!E204)</f>
        <v>0</v>
      </c>
      <c r="F204" s="20">
        <f>IF(J204=0,0,CHAMNORD!F204+AIX!F204+BELLEY!F204+STALBAN!F204+ABRETS!F204+PONT!F204+FRANCIN!F204+VIVIERS!F204)</f>
        <v>0</v>
      </c>
      <c r="G204" s="40">
        <f>IF(I204=0,0,CHAMNORD!G204+AIX!G204+BELLEY!G204+STALBAN!G204+ABRETS!G204+PONT!G204+FRANCIN!G204+VIVIERS!G204)</f>
        <v>0</v>
      </c>
      <c r="H204" s="42">
        <f>CHAMNORD!H204+AIX!H204+BELLEY!H204+STALBAN!H204+ABRETS!H204+PONT!H204+FRANCIN!H204+VIVIERS!H204</f>
        <v>0</v>
      </c>
      <c r="I204" s="13">
        <f>CHAMNORD!I204+AIX!I204+BELLEY!I204+STALBAN!I204+ABRETS!I204+PONT!I204+FRANCIN!I204+VIVIERS!I204</f>
        <v>0</v>
      </c>
      <c r="J204" s="14">
        <f>CHAMNORD!J204+AIX!J204+BELLEY!J204+STALBAN!J204+ABRETS!J204+PONT!J204+FRANCIN!J204+VIVIERS!J204</f>
        <v>0</v>
      </c>
      <c r="K204" s="15">
        <f>CHAMNORD!K204+AIX!K204+BELLEY!K204+STALBAN!K204+ABRETS!K204+PONT!K204+FRANCIN!K204+VIVIERS!K204</f>
        <v>0</v>
      </c>
      <c r="L204" s="15">
        <f>CHAMNORD!L204+AIX!L204+BELLEY!L204+STALBAN!L204+ABRETS!L204+PONT!L204+FRANCIN!L204+VIVIERS!L204</f>
        <v>0</v>
      </c>
      <c r="M204" s="15">
        <f>CHAMNORD!M204+AIX!M204+BELLEY!M204+STALBAN!M204+ABRETS!M204+PONT!M204+FRANCIN!M204+VIVIERS!M204</f>
        <v>0</v>
      </c>
      <c r="N204" s="16" t="str">
        <f t="shared" si="15"/>
        <v/>
      </c>
      <c r="O204" s="17" t="str">
        <f t="shared" si="18"/>
        <v/>
      </c>
      <c r="P204" s="17" t="str">
        <f t="shared" si="19"/>
        <v/>
      </c>
      <c r="Q204" s="18" t="str">
        <f t="shared" si="16"/>
        <v/>
      </c>
      <c r="R204" s="18" t="e">
        <f t="shared" si="17"/>
        <v>#DIV/0!</v>
      </c>
      <c r="S204" s="36">
        <f>SUM(J199:J205)</f>
        <v>0</v>
      </c>
      <c r="T204" s="30" t="s">
        <v>3</v>
      </c>
      <c r="U204" s="1738"/>
    </row>
    <row r="205" spans="1:25" ht="18" thickBot="1">
      <c r="A205" s="10" t="s">
        <v>16</v>
      </c>
      <c r="B205" s="905">
        <v>45857</v>
      </c>
      <c r="C205" s="76">
        <f>IF(G205=0,0,CHAMNORD!C205+AIX!C205+BELLEY!C205+STALBAN!C205+ABRETS!C205+PONT!C205+FRANCIN!C205+VIVIERS!C205)</f>
        <v>0</v>
      </c>
      <c r="D205" s="76">
        <f>IF(H205=0,0,CHAMNORD!D205+AIX!D205+BELLEY!D205+STALBAN!D205+ABRETS!D205+PONT!D205+FRANCIN!D205+VIVIERS!D205)</f>
        <v>0</v>
      </c>
      <c r="E205" s="76">
        <f>IF(I205=0,0,CHAMNORD!E205+AIX!E205+BELLEY!E205+STALBAN!E205+ABRETS!E205+PONT!E205+FRANCIN!E205+VIVIERS!E205)</f>
        <v>0</v>
      </c>
      <c r="F205" s="20">
        <f>IF(J205=0,0,CHAMNORD!F205+AIX!F205+BELLEY!F205+STALBAN!F205+ABRETS!F205+PONT!F205+FRANCIN!F205+VIVIERS!F205)</f>
        <v>0</v>
      </c>
      <c r="G205" s="40">
        <f>IF(I205=0,0,CHAMNORD!G205+AIX!G205+BELLEY!G205+STALBAN!G205+ABRETS!G205+PONT!G205+FRANCIN!G205+VIVIERS!G205)</f>
        <v>0</v>
      </c>
      <c r="H205" s="42">
        <f>CHAMNORD!H205+AIX!H205+BELLEY!H205+STALBAN!H205+ABRETS!H205+PONT!H205+FRANCIN!H205+VIVIERS!H205</f>
        <v>0</v>
      </c>
      <c r="I205" s="13">
        <f>CHAMNORD!I205+AIX!I205+BELLEY!I205+STALBAN!I205+ABRETS!I205+PONT!I205+FRANCIN!I205+VIVIERS!I205</f>
        <v>0</v>
      </c>
      <c r="J205" s="14">
        <f>CHAMNORD!J205+AIX!J205+BELLEY!J205+STALBAN!J205+ABRETS!J205+PONT!J205+FRANCIN!J205+VIVIERS!J205</f>
        <v>0</v>
      </c>
      <c r="K205" s="15">
        <f>CHAMNORD!K205+AIX!K205+BELLEY!K205+STALBAN!K205+ABRETS!K205+PONT!K205+FRANCIN!K205+VIVIERS!K205</f>
        <v>0</v>
      </c>
      <c r="L205" s="15">
        <f>CHAMNORD!L205+AIX!L205+BELLEY!L205+STALBAN!L205+ABRETS!L205+PONT!L205+FRANCIN!L205+VIVIERS!L205</f>
        <v>0</v>
      </c>
      <c r="M205" s="15">
        <f>CHAMNORD!M205+AIX!M205+BELLEY!M205+STALBAN!M205+ABRETS!M205+PONT!M205+FRANCIN!M205+VIVIERS!M205</f>
        <v>0</v>
      </c>
      <c r="N205" s="16" t="str">
        <f t="shared" si="15"/>
        <v/>
      </c>
      <c r="O205" s="17" t="str">
        <f t="shared" si="18"/>
        <v/>
      </c>
      <c r="P205" s="17" t="str">
        <f t="shared" si="19"/>
        <v/>
      </c>
      <c r="Q205" s="18" t="str">
        <f t="shared" si="16"/>
        <v/>
      </c>
      <c r="R205" s="18" t="e">
        <f t="shared" si="17"/>
        <v>#DIV/0!</v>
      </c>
      <c r="S205" s="37" t="e">
        <f>(S204-SUM(F199:F205))/(SUM(F199:F205))</f>
        <v>#DIV/0!</v>
      </c>
      <c r="T205" s="47" t="e">
        <f>SUM(M199:M205)/SUM(I199:I205)</f>
        <v>#DIV/0!</v>
      </c>
      <c r="U205" s="1739"/>
    </row>
    <row r="206" spans="1:25" ht="17" customHeight="1" thickTop="1">
      <c r="A206" s="10" t="s">
        <v>9</v>
      </c>
      <c r="B206" s="905">
        <v>45858</v>
      </c>
      <c r="C206" s="76">
        <f>IF(G206=0,0,CHAMNORD!C206+AIX!C206+BELLEY!C206+STALBAN!C206+ABRETS!C206+PONT!C206+FRANCIN!C206+VIVIERS!C206)</f>
        <v>0</v>
      </c>
      <c r="D206" s="76">
        <f>IF(H206=0,0,CHAMNORD!D206+AIX!D206+BELLEY!D206+STALBAN!D206+ABRETS!D206+PONT!D206+FRANCIN!D206+VIVIERS!D206)</f>
        <v>0</v>
      </c>
      <c r="E206" s="76">
        <f>IF(I206=0,0,CHAMNORD!E206+AIX!E206+BELLEY!E206+STALBAN!E206+ABRETS!E206+PONT!E206+FRANCIN!E206+VIVIERS!E206)</f>
        <v>0</v>
      </c>
      <c r="F206" s="20">
        <f>IF(J206=0,0,CHAMNORD!F206+AIX!F206+BELLEY!F206+STALBAN!F206+ABRETS!F206+PONT!F206+FRANCIN!F206+VIVIERS!F206)</f>
        <v>0</v>
      </c>
      <c r="G206" s="40">
        <f>IF(I206=0,0,CHAMNORD!G206+AIX!G206+BELLEY!G206+STALBAN!G206+ABRETS!G206+PONT!G206+FRANCIN!G206+VIVIERS!G206)</f>
        <v>0</v>
      </c>
      <c r="H206" s="42">
        <f>CHAMNORD!H206+AIX!H206+BELLEY!H206+STALBAN!H206+ABRETS!H206+PONT!H206+FRANCIN!H206+VIVIERS!H206</f>
        <v>0</v>
      </c>
      <c r="I206" s="13">
        <f>CHAMNORD!I206+AIX!I206+BELLEY!I206+STALBAN!I206+ABRETS!I206+PONT!I206+FRANCIN!I206+VIVIERS!I206</f>
        <v>0</v>
      </c>
      <c r="J206" s="14">
        <f>CHAMNORD!J206+AIX!J206+BELLEY!J206+STALBAN!J206+ABRETS!J206+PONT!J206+FRANCIN!J206+VIVIERS!J206</f>
        <v>0</v>
      </c>
      <c r="K206" s="15">
        <f>CHAMNORD!K206+AIX!K206+BELLEY!K206+STALBAN!K206+ABRETS!K206+PONT!K206+FRANCIN!K206+VIVIERS!K206</f>
        <v>0</v>
      </c>
      <c r="L206" s="15">
        <f>CHAMNORD!L206+AIX!L206+BELLEY!L206+STALBAN!L206+ABRETS!L206+PONT!L206+FRANCIN!L206+VIVIERS!L206</f>
        <v>0</v>
      </c>
      <c r="M206" s="15">
        <f>CHAMNORD!M206+AIX!M206+BELLEY!M206+STALBAN!M206+ABRETS!M206+PONT!M206+FRANCIN!M206+VIVIERS!M206</f>
        <v>0</v>
      </c>
      <c r="N206" s="16" t="str">
        <f t="shared" si="15"/>
        <v/>
      </c>
      <c r="O206" s="17" t="str">
        <f t="shared" si="18"/>
        <v/>
      </c>
      <c r="P206" s="17" t="str">
        <f t="shared" si="19"/>
        <v/>
      </c>
      <c r="Q206" s="18" t="str">
        <f t="shared" si="16"/>
        <v/>
      </c>
      <c r="R206" s="18" t="e">
        <f t="shared" si="17"/>
        <v>#DIV/0!</v>
      </c>
      <c r="S206" s="33" t="s">
        <v>39</v>
      </c>
      <c r="T206" s="31" t="s">
        <v>42</v>
      </c>
      <c r="U206" s="1737" t="s">
        <v>112</v>
      </c>
    </row>
    <row r="207" spans="1:25">
      <c r="A207" s="10" t="s">
        <v>11</v>
      </c>
      <c r="B207" s="905">
        <v>45859</v>
      </c>
      <c r="C207" s="76">
        <f>IF(G207=0,0,CHAMNORD!C207+AIX!C207+BELLEY!C207+STALBAN!C207+ABRETS!C207+PONT!C207+FRANCIN!C207+VIVIERS!C207)</f>
        <v>0</v>
      </c>
      <c r="D207" s="76">
        <f>IF(H207=0,0,CHAMNORD!D207+AIX!D207+BELLEY!D207+STALBAN!D207+ABRETS!D207+PONT!D207+FRANCIN!D207+VIVIERS!D207)</f>
        <v>0</v>
      </c>
      <c r="E207" s="76">
        <f>IF(I207=0,0,CHAMNORD!E207+AIX!E207+BELLEY!E207+STALBAN!E207+ABRETS!E207+PONT!E207+FRANCIN!E207+VIVIERS!E207)</f>
        <v>0</v>
      </c>
      <c r="F207" s="20">
        <f>IF(J207=0,0,CHAMNORD!F207+AIX!F207+BELLEY!F207+STALBAN!F207+ABRETS!F207+PONT!F207+FRANCIN!F207+VIVIERS!F207)</f>
        <v>0</v>
      </c>
      <c r="G207" s="40">
        <f>IF(I207=0,0,CHAMNORD!G207+AIX!G207+BELLEY!G207+STALBAN!G207+ABRETS!G207+PONT!G207+FRANCIN!G207+VIVIERS!G207)</f>
        <v>0</v>
      </c>
      <c r="H207" s="42">
        <f>CHAMNORD!H207+AIX!H207+BELLEY!H207+STALBAN!H207+ABRETS!H207+PONT!H207+FRANCIN!H207+VIVIERS!H207</f>
        <v>0</v>
      </c>
      <c r="I207" s="13">
        <f>CHAMNORD!I207+AIX!I207+BELLEY!I207+STALBAN!I207+ABRETS!I207+PONT!I207+FRANCIN!I207+VIVIERS!I207</f>
        <v>0</v>
      </c>
      <c r="J207" s="14">
        <f>CHAMNORD!J207+AIX!J207+BELLEY!J207+STALBAN!J207+ABRETS!J207+PONT!J207+FRANCIN!J207+VIVIERS!J207</f>
        <v>0</v>
      </c>
      <c r="K207" s="15">
        <f>CHAMNORD!K207+AIX!K207+BELLEY!K207+STALBAN!K207+ABRETS!K207+PONT!K207+FRANCIN!K207+VIVIERS!K207</f>
        <v>0</v>
      </c>
      <c r="L207" s="15">
        <f>CHAMNORD!L207+AIX!L207+BELLEY!L207+STALBAN!L207+ABRETS!L207+PONT!L207+FRANCIN!L207+VIVIERS!L207</f>
        <v>0</v>
      </c>
      <c r="M207" s="15">
        <f>CHAMNORD!M207+AIX!M207+BELLEY!M207+STALBAN!M207+ABRETS!M207+PONT!M207+FRANCIN!M207+VIVIERS!M207</f>
        <v>0</v>
      </c>
      <c r="N207" s="16" t="str">
        <f t="shared" si="15"/>
        <v/>
      </c>
      <c r="O207" s="17" t="str">
        <f t="shared" si="18"/>
        <v/>
      </c>
      <c r="P207" s="17" t="str">
        <f t="shared" si="19"/>
        <v/>
      </c>
      <c r="Q207" s="18" t="str">
        <f t="shared" si="16"/>
        <v/>
      </c>
      <c r="R207" s="18" t="e">
        <f t="shared" si="17"/>
        <v>#DIV/0!</v>
      </c>
      <c r="S207" s="34">
        <f>SUM(I206:I212)</f>
        <v>0</v>
      </c>
      <c r="T207" s="45" t="s">
        <v>41</v>
      </c>
      <c r="U207" s="1738"/>
      <c r="W207" s="202">
        <f>+S207</f>
        <v>0</v>
      </c>
      <c r="X207" s="202">
        <f>SUM(CHAMNORD!E206:E212)+SUM(AIX!E206:E212)+SUM(BELLEY!E206:E212)+SUM(STALBAN!E206:E212)+SUM(ABRETS!E206:E212)+SUM(PONT!E206:E212)+SUM(FRANCIN!E206:E212)+SUM(VIVIERS!E206:E212)</f>
        <v>0</v>
      </c>
      <c r="Y207" s="1051">
        <f>+W207-X207</f>
        <v>0</v>
      </c>
    </row>
    <row r="208" spans="1:25">
      <c r="A208" s="10" t="s">
        <v>12</v>
      </c>
      <c r="B208" s="905">
        <v>45860</v>
      </c>
      <c r="C208" s="76">
        <f>IF(G208=0,0,CHAMNORD!C208+AIX!C208+BELLEY!C208+STALBAN!C208+ABRETS!C208+PONT!C208+FRANCIN!C208+VIVIERS!C208)</f>
        <v>0</v>
      </c>
      <c r="D208" s="76">
        <f>IF(H208=0,0,CHAMNORD!D208+AIX!D208+BELLEY!D208+STALBAN!D208+ABRETS!D208+PONT!D208+FRANCIN!D208+VIVIERS!D208)</f>
        <v>0</v>
      </c>
      <c r="E208" s="76">
        <f>IF(I208=0,0,CHAMNORD!E208+AIX!E208+BELLEY!E208+STALBAN!E208+ABRETS!E208+PONT!E208+FRANCIN!E208+VIVIERS!E208)</f>
        <v>0</v>
      </c>
      <c r="F208" s="20">
        <f>IF(J208=0,0,CHAMNORD!F208+AIX!F208+BELLEY!F208+STALBAN!F208+ABRETS!F208+PONT!F208+FRANCIN!F208+VIVIERS!F208)</f>
        <v>0</v>
      </c>
      <c r="G208" s="40">
        <f>IF(I208=0,0,CHAMNORD!G208+AIX!G208+BELLEY!G208+STALBAN!G208+ABRETS!G208+PONT!G208+FRANCIN!G208+VIVIERS!G208)</f>
        <v>0</v>
      </c>
      <c r="H208" s="42">
        <f>CHAMNORD!H208+AIX!H208+BELLEY!H208+STALBAN!H208+ABRETS!H208+PONT!H208+FRANCIN!H208+VIVIERS!H208</f>
        <v>0</v>
      </c>
      <c r="I208" s="13">
        <f>CHAMNORD!I208+AIX!I208+BELLEY!I208+STALBAN!I208+ABRETS!I208+PONT!I208+FRANCIN!I208+VIVIERS!I208</f>
        <v>0</v>
      </c>
      <c r="J208" s="14">
        <f>CHAMNORD!J208+AIX!J208+BELLEY!J208+STALBAN!J208+ABRETS!J208+PONT!J208+FRANCIN!J208+VIVIERS!J208</f>
        <v>0</v>
      </c>
      <c r="K208" s="15">
        <f>CHAMNORD!K208+AIX!K208+BELLEY!K208+STALBAN!K208+ABRETS!K208+PONT!K208+FRANCIN!K208+VIVIERS!K208</f>
        <v>0</v>
      </c>
      <c r="L208" s="15">
        <f>CHAMNORD!L208+AIX!L208+BELLEY!L208+STALBAN!L208+ABRETS!L208+PONT!L208+FRANCIN!L208+VIVIERS!L208</f>
        <v>0</v>
      </c>
      <c r="M208" s="15">
        <f>CHAMNORD!M208+AIX!M208+BELLEY!M208+STALBAN!M208+ABRETS!M208+PONT!M208+FRANCIN!M208+VIVIERS!M208</f>
        <v>0</v>
      </c>
      <c r="N208" s="16" t="str">
        <f t="shared" si="15"/>
        <v/>
      </c>
      <c r="O208" s="17" t="str">
        <f t="shared" si="18"/>
        <v/>
      </c>
      <c r="P208" s="17" t="str">
        <f t="shared" si="19"/>
        <v/>
      </c>
      <c r="Q208" s="18" t="str">
        <f t="shared" si="16"/>
        <v/>
      </c>
      <c r="R208" s="18" t="e">
        <f t="shared" si="17"/>
        <v>#DIV/0!</v>
      </c>
      <c r="S208" s="35" t="e">
        <f>(S207-SUM(E206:E212))/(SUM(E206:E212))</f>
        <v>#DIV/0!</v>
      </c>
      <c r="T208" s="48" t="e">
        <f>SUM(I206:I212)/SUM(K206:K212)</f>
        <v>#DIV/0!</v>
      </c>
      <c r="U208" s="1738"/>
    </row>
    <row r="209" spans="1:25">
      <c r="A209" s="10" t="s">
        <v>13</v>
      </c>
      <c r="B209" s="905">
        <v>45861</v>
      </c>
      <c r="C209" s="76">
        <f>IF(G209=0,0,CHAMNORD!C209+AIX!C209+BELLEY!C209+STALBAN!C209+ABRETS!C209+PONT!C209+FRANCIN!C209+VIVIERS!C209)</f>
        <v>0</v>
      </c>
      <c r="D209" s="76">
        <f>IF(H209=0,0,CHAMNORD!D209+AIX!D209+BELLEY!D209+STALBAN!D209+ABRETS!D209+PONT!D209+FRANCIN!D209+VIVIERS!D209)</f>
        <v>0</v>
      </c>
      <c r="E209" s="76">
        <f>IF(I209=0,0,CHAMNORD!E209+AIX!E209+BELLEY!E209+STALBAN!E209+ABRETS!E209+PONT!E209+FRANCIN!E209+VIVIERS!E209)</f>
        <v>0</v>
      </c>
      <c r="F209" s="20">
        <f>IF(J209=0,0,CHAMNORD!F209+AIX!F209+BELLEY!F209+STALBAN!F209+ABRETS!F209+PONT!F209+FRANCIN!F209+VIVIERS!F209)</f>
        <v>0</v>
      </c>
      <c r="G209" s="40">
        <f>IF(I209=0,0,CHAMNORD!G209+AIX!G209+BELLEY!G209+STALBAN!G209+ABRETS!G209+PONT!G209+FRANCIN!G209+VIVIERS!G209)</f>
        <v>0</v>
      </c>
      <c r="H209" s="42">
        <f>CHAMNORD!H209+AIX!H209+BELLEY!H209+STALBAN!H209+ABRETS!H209+PONT!H209+FRANCIN!H209+VIVIERS!H209</f>
        <v>0</v>
      </c>
      <c r="I209" s="13">
        <f>CHAMNORD!I209+AIX!I209+BELLEY!I209+STALBAN!I209+ABRETS!I209+PONT!I209+FRANCIN!I209+VIVIERS!I209</f>
        <v>0</v>
      </c>
      <c r="J209" s="14">
        <f>CHAMNORD!J209+AIX!J209+BELLEY!J209+STALBAN!J209+ABRETS!J209+PONT!J209+FRANCIN!J209+VIVIERS!J209</f>
        <v>0</v>
      </c>
      <c r="K209" s="15">
        <f>CHAMNORD!K209+AIX!K209+BELLEY!K209+STALBAN!K209+ABRETS!K209+PONT!K209+FRANCIN!K209+VIVIERS!K209</f>
        <v>0</v>
      </c>
      <c r="L209" s="15">
        <f>CHAMNORD!L209+AIX!L209+BELLEY!L209+STALBAN!L209+ABRETS!L209+PONT!L209+FRANCIN!L209+VIVIERS!L209</f>
        <v>0</v>
      </c>
      <c r="M209" s="15">
        <f>CHAMNORD!M209+AIX!M209+BELLEY!M209+STALBAN!M209+ABRETS!M209+PONT!M209+FRANCIN!M209+VIVIERS!M209</f>
        <v>0</v>
      </c>
      <c r="N209" s="16" t="str">
        <f t="shared" si="15"/>
        <v/>
      </c>
      <c r="O209" s="17" t="str">
        <f t="shared" si="18"/>
        <v/>
      </c>
      <c r="P209" s="17" t="str">
        <f t="shared" si="19"/>
        <v/>
      </c>
      <c r="Q209" s="18" t="str">
        <f t="shared" si="16"/>
        <v/>
      </c>
      <c r="R209" s="18" t="e">
        <f t="shared" si="17"/>
        <v>#DIV/0!</v>
      </c>
      <c r="S209" s="34"/>
      <c r="T209" s="29" t="s">
        <v>8</v>
      </c>
      <c r="U209" s="1738"/>
    </row>
    <row r="210" spans="1:25">
      <c r="A210" s="10" t="s">
        <v>14</v>
      </c>
      <c r="B210" s="905">
        <v>45862</v>
      </c>
      <c r="C210" s="76">
        <f>IF(G210=0,0,CHAMNORD!C210+AIX!C210+BELLEY!C210+STALBAN!C210+ABRETS!C210+PONT!C210+FRANCIN!C210+VIVIERS!C210)</f>
        <v>0</v>
      </c>
      <c r="D210" s="76">
        <f>IF(H210=0,0,CHAMNORD!D210+AIX!D210+BELLEY!D210+STALBAN!D210+ABRETS!D210+PONT!D210+FRANCIN!D210+VIVIERS!D210)</f>
        <v>0</v>
      </c>
      <c r="E210" s="76">
        <f>IF(I210=0,0,CHAMNORD!E210+AIX!E210+BELLEY!E210+STALBAN!E210+ABRETS!E210+PONT!E210+FRANCIN!E210+VIVIERS!E210)</f>
        <v>0</v>
      </c>
      <c r="F210" s="20">
        <f>IF(J210=0,0,CHAMNORD!F210+AIX!F210+BELLEY!F210+STALBAN!F210+ABRETS!F210+PONT!F210+FRANCIN!F210+VIVIERS!F210)</f>
        <v>0</v>
      </c>
      <c r="G210" s="40">
        <f>IF(I210=0,0,CHAMNORD!G210+AIX!G210+BELLEY!G210+STALBAN!G210+ABRETS!G210+PONT!G210+FRANCIN!G210+VIVIERS!G210)</f>
        <v>0</v>
      </c>
      <c r="H210" s="42">
        <f>CHAMNORD!H210+AIX!H210+BELLEY!H210+STALBAN!H210+ABRETS!H210+PONT!H210+FRANCIN!H210+VIVIERS!H210</f>
        <v>0</v>
      </c>
      <c r="I210" s="13">
        <f>CHAMNORD!I210+AIX!I210+BELLEY!I210+STALBAN!I210+ABRETS!I210+PONT!I210+FRANCIN!I210+VIVIERS!I210</f>
        <v>0</v>
      </c>
      <c r="J210" s="14">
        <f>CHAMNORD!J210+AIX!J210+BELLEY!J210+STALBAN!J210+ABRETS!J210+PONT!J210+FRANCIN!J210+VIVIERS!J210</f>
        <v>0</v>
      </c>
      <c r="K210" s="15">
        <f>CHAMNORD!K210+AIX!K210+BELLEY!K210+STALBAN!K210+ABRETS!K210+PONT!K210+FRANCIN!K210+VIVIERS!K210</f>
        <v>0</v>
      </c>
      <c r="L210" s="15">
        <f>CHAMNORD!L210+AIX!L210+BELLEY!L210+STALBAN!L210+ABRETS!L210+PONT!L210+FRANCIN!L210+VIVIERS!L210</f>
        <v>0</v>
      </c>
      <c r="M210" s="15">
        <f>CHAMNORD!M210+AIX!M210+BELLEY!M210+STALBAN!M210+ABRETS!M210+PONT!M210+FRANCIN!M210+VIVIERS!M210</f>
        <v>0</v>
      </c>
      <c r="N210" s="16" t="str">
        <f t="shared" si="15"/>
        <v/>
      </c>
      <c r="O210" s="17" t="str">
        <f t="shared" si="18"/>
        <v/>
      </c>
      <c r="P210" s="17" t="str">
        <f t="shared" si="19"/>
        <v/>
      </c>
      <c r="Q210" s="18" t="str">
        <f t="shared" si="16"/>
        <v/>
      </c>
      <c r="R210" s="18" t="e">
        <f t="shared" si="17"/>
        <v>#DIV/0!</v>
      </c>
      <c r="S210" s="36" t="s">
        <v>40</v>
      </c>
      <c r="T210" s="48" t="e">
        <f>SUM(I206:I212)/SUM(L206:L212)</f>
        <v>#DIV/0!</v>
      </c>
      <c r="U210" s="1738"/>
    </row>
    <row r="211" spans="1:25">
      <c r="A211" s="10" t="s">
        <v>15</v>
      </c>
      <c r="B211" s="905">
        <v>45863</v>
      </c>
      <c r="C211" s="76">
        <f>IF(G211=0,0,CHAMNORD!C211+AIX!C211+BELLEY!C211+STALBAN!C211+ABRETS!C211+PONT!C211+FRANCIN!C211+VIVIERS!C211)</f>
        <v>0</v>
      </c>
      <c r="D211" s="76">
        <f>IF(H211=0,0,CHAMNORD!D211+AIX!D211+BELLEY!D211+STALBAN!D211+ABRETS!D211+PONT!D211+FRANCIN!D211+VIVIERS!D211)</f>
        <v>0</v>
      </c>
      <c r="E211" s="76">
        <f>IF(I211=0,0,CHAMNORD!E211+AIX!E211+BELLEY!E211+STALBAN!E211+ABRETS!E211+PONT!E211+FRANCIN!E211+VIVIERS!E211)</f>
        <v>0</v>
      </c>
      <c r="F211" s="20">
        <f>IF(J211=0,0,CHAMNORD!F211+AIX!F211+BELLEY!F211+STALBAN!F211+ABRETS!F211+PONT!F211+FRANCIN!F211+VIVIERS!F211)</f>
        <v>0</v>
      </c>
      <c r="G211" s="40">
        <f>IF(I211=0,0,CHAMNORD!G211+AIX!G211+BELLEY!G211+STALBAN!G211+ABRETS!G211+PONT!G211+FRANCIN!G211+VIVIERS!G211)</f>
        <v>0</v>
      </c>
      <c r="H211" s="42">
        <f>CHAMNORD!H211+AIX!H211+BELLEY!H211+STALBAN!H211+ABRETS!H211+PONT!H211+FRANCIN!H211+VIVIERS!H211</f>
        <v>0</v>
      </c>
      <c r="I211" s="13">
        <f>CHAMNORD!I211+AIX!I211+BELLEY!I211+STALBAN!I211+ABRETS!I211+PONT!I211+FRANCIN!I211+VIVIERS!I211</f>
        <v>0</v>
      </c>
      <c r="J211" s="14">
        <f>CHAMNORD!J211+AIX!J211+BELLEY!J211+STALBAN!J211+ABRETS!J211+PONT!J211+FRANCIN!J211+VIVIERS!J211</f>
        <v>0</v>
      </c>
      <c r="K211" s="15">
        <f>CHAMNORD!K211+AIX!K211+BELLEY!K211+STALBAN!K211+ABRETS!K211+PONT!K211+FRANCIN!K211+VIVIERS!K211</f>
        <v>0</v>
      </c>
      <c r="L211" s="15">
        <f>CHAMNORD!L211+AIX!L211+BELLEY!L211+STALBAN!L211+ABRETS!L211+PONT!L211+FRANCIN!L211+VIVIERS!L211</f>
        <v>0</v>
      </c>
      <c r="M211" s="15">
        <f>CHAMNORD!M211+AIX!M211+BELLEY!M211+STALBAN!M211+ABRETS!M211+PONT!M211+FRANCIN!M211+VIVIERS!M211</f>
        <v>0</v>
      </c>
      <c r="N211" s="16" t="str">
        <f t="shared" si="15"/>
        <v/>
      </c>
      <c r="O211" s="17" t="str">
        <f t="shared" si="18"/>
        <v/>
      </c>
      <c r="P211" s="17" t="str">
        <f t="shared" si="19"/>
        <v/>
      </c>
      <c r="Q211" s="18" t="str">
        <f t="shared" si="16"/>
        <v/>
      </c>
      <c r="R211" s="18" t="e">
        <f t="shared" si="17"/>
        <v>#DIV/0!</v>
      </c>
      <c r="S211" s="36">
        <f>SUM(J206:J212)</f>
        <v>0</v>
      </c>
      <c r="T211" s="30" t="s">
        <v>3</v>
      </c>
      <c r="U211" s="1738"/>
    </row>
    <row r="212" spans="1:25" ht="18" thickBot="1">
      <c r="A212" s="10" t="s">
        <v>16</v>
      </c>
      <c r="B212" s="905">
        <v>45864</v>
      </c>
      <c r="C212" s="76">
        <f>IF(G212=0,0,CHAMNORD!C212+AIX!C212+BELLEY!C212+STALBAN!C212+ABRETS!C212+PONT!C212+FRANCIN!C212+VIVIERS!C212)</f>
        <v>0</v>
      </c>
      <c r="D212" s="76">
        <f>IF(H212=0,0,CHAMNORD!D212+AIX!D212+BELLEY!D212+STALBAN!D212+ABRETS!D212+PONT!D212+FRANCIN!D212+VIVIERS!D212)</f>
        <v>0</v>
      </c>
      <c r="E212" s="76">
        <f>IF(I212=0,0,CHAMNORD!E212+AIX!E212+BELLEY!E212+STALBAN!E212+ABRETS!E212+PONT!E212+FRANCIN!E212+VIVIERS!E212)</f>
        <v>0</v>
      </c>
      <c r="F212" s="20">
        <f>IF(J212=0,0,CHAMNORD!F212+AIX!F212+BELLEY!F212+STALBAN!F212+ABRETS!F212+PONT!F212+FRANCIN!F212+VIVIERS!F212)</f>
        <v>0</v>
      </c>
      <c r="G212" s="40">
        <f>IF(I212=0,0,CHAMNORD!G212+AIX!G212+BELLEY!G212+STALBAN!G212+ABRETS!G212+PONT!G212+FRANCIN!G212+VIVIERS!G212)</f>
        <v>0</v>
      </c>
      <c r="H212" s="42">
        <f>CHAMNORD!H212+AIX!H212+BELLEY!H212+STALBAN!H212+ABRETS!H212+PONT!H212+FRANCIN!H212+VIVIERS!H212</f>
        <v>0</v>
      </c>
      <c r="I212" s="13">
        <f>CHAMNORD!I212+AIX!I212+BELLEY!I212+STALBAN!I212+ABRETS!I212+PONT!I212+FRANCIN!I212+VIVIERS!I212</f>
        <v>0</v>
      </c>
      <c r="J212" s="14">
        <f>CHAMNORD!J212+AIX!J212+BELLEY!J212+STALBAN!J212+ABRETS!J212+PONT!J212+FRANCIN!J212+VIVIERS!J212</f>
        <v>0</v>
      </c>
      <c r="K212" s="15">
        <f>CHAMNORD!K212+AIX!K212+BELLEY!K212+STALBAN!K212+ABRETS!K212+PONT!K212+FRANCIN!K212+VIVIERS!K212</f>
        <v>0</v>
      </c>
      <c r="L212" s="15">
        <f>CHAMNORD!L212+AIX!L212+BELLEY!L212+STALBAN!L212+ABRETS!L212+PONT!L212+FRANCIN!L212+VIVIERS!L212</f>
        <v>0</v>
      </c>
      <c r="M212" s="15">
        <f>CHAMNORD!M212+AIX!M212+BELLEY!M212+STALBAN!M212+ABRETS!M212+PONT!M212+FRANCIN!M212+VIVIERS!M212</f>
        <v>0</v>
      </c>
      <c r="N212" s="16" t="str">
        <f t="shared" si="15"/>
        <v/>
      </c>
      <c r="O212" s="17" t="str">
        <f t="shared" si="18"/>
        <v/>
      </c>
      <c r="P212" s="17" t="str">
        <f t="shared" si="19"/>
        <v/>
      </c>
      <c r="Q212" s="18" t="str">
        <f t="shared" si="16"/>
        <v/>
      </c>
      <c r="R212" s="18" t="e">
        <f t="shared" si="17"/>
        <v>#DIV/0!</v>
      </c>
      <c r="S212" s="37" t="e">
        <f>(S211-SUM(F206:F212))/(SUM(F206:F212))</f>
        <v>#DIV/0!</v>
      </c>
      <c r="T212" s="47" t="e">
        <f>SUM(M206:M212)/SUM(I206:I212)</f>
        <v>#DIV/0!</v>
      </c>
      <c r="U212" s="1739"/>
    </row>
    <row r="213" spans="1:25" ht="17" customHeight="1" thickTop="1">
      <c r="A213" s="10" t="s">
        <v>9</v>
      </c>
      <c r="B213" s="905">
        <v>45865</v>
      </c>
      <c r="C213" s="76">
        <f>IF(G213=0,0,CHAMNORD!C213+AIX!C213+BELLEY!C213+STALBAN!C213+ABRETS!C213+PONT!C213+FRANCIN!C213+VIVIERS!C213)</f>
        <v>0</v>
      </c>
      <c r="D213" s="76">
        <f>IF(H213=0,0,CHAMNORD!D213+AIX!D213+BELLEY!D213+STALBAN!D213+ABRETS!D213+PONT!D213+FRANCIN!D213+VIVIERS!D213)</f>
        <v>0</v>
      </c>
      <c r="E213" s="76">
        <f>IF(I213=0,0,CHAMNORD!E213+AIX!E213+BELLEY!E213+STALBAN!E213+ABRETS!E213+PONT!E213+FRANCIN!E213+VIVIERS!E213)</f>
        <v>0</v>
      </c>
      <c r="F213" s="20">
        <f>IF(J213=0,0,CHAMNORD!F213+AIX!F213+BELLEY!F213+STALBAN!F213+ABRETS!F213+PONT!F213+FRANCIN!F213+VIVIERS!F213)</f>
        <v>0</v>
      </c>
      <c r="G213" s="40">
        <f>IF(I213=0,0,CHAMNORD!G213+AIX!G213+BELLEY!G213+STALBAN!G213+ABRETS!G213+PONT!G213+FRANCIN!G213+VIVIERS!G213)</f>
        <v>0</v>
      </c>
      <c r="H213" s="42">
        <f>CHAMNORD!H213+AIX!H213+BELLEY!H213+STALBAN!H213+ABRETS!H213+PONT!H213+FRANCIN!H213+VIVIERS!H213</f>
        <v>0</v>
      </c>
      <c r="I213" s="13">
        <f>CHAMNORD!I213+AIX!I213+BELLEY!I213+STALBAN!I213+ABRETS!I213+PONT!I213+FRANCIN!I213+VIVIERS!I213</f>
        <v>0</v>
      </c>
      <c r="J213" s="14">
        <f>CHAMNORD!J213+AIX!J213+BELLEY!J213+STALBAN!J213+ABRETS!J213+PONT!J213+FRANCIN!J213+VIVIERS!J213</f>
        <v>0</v>
      </c>
      <c r="K213" s="15">
        <f>CHAMNORD!K213+AIX!K213+BELLEY!K213+STALBAN!K213+ABRETS!K213+PONT!K213+FRANCIN!K213+VIVIERS!K213</f>
        <v>0</v>
      </c>
      <c r="L213" s="15">
        <f>CHAMNORD!L213+AIX!L213+BELLEY!L213+STALBAN!L213+ABRETS!L213+PONT!L213+FRANCIN!L213+VIVIERS!L213</f>
        <v>0</v>
      </c>
      <c r="M213" s="15">
        <f>CHAMNORD!M213+AIX!M213+BELLEY!M213+STALBAN!M213+ABRETS!M213+PONT!M213+FRANCIN!M213+VIVIERS!M213</f>
        <v>0</v>
      </c>
      <c r="N213" s="16" t="str">
        <f t="shared" si="15"/>
        <v/>
      </c>
      <c r="O213" s="17" t="str">
        <f t="shared" si="18"/>
        <v/>
      </c>
      <c r="P213" s="17" t="str">
        <f t="shared" si="19"/>
        <v/>
      </c>
      <c r="Q213" s="18" t="str">
        <f t="shared" si="16"/>
        <v/>
      </c>
      <c r="R213" s="18" t="e">
        <f t="shared" si="17"/>
        <v>#DIV/0!</v>
      </c>
      <c r="S213" s="33" t="s">
        <v>39</v>
      </c>
      <c r="T213" s="31" t="s">
        <v>42</v>
      </c>
      <c r="U213" s="1737" t="s">
        <v>113</v>
      </c>
    </row>
    <row r="214" spans="1:25">
      <c r="A214" s="10" t="s">
        <v>11</v>
      </c>
      <c r="B214" s="905">
        <v>45866</v>
      </c>
      <c r="C214" s="76">
        <f>IF(G214=0,0,CHAMNORD!C214+AIX!C214+BELLEY!C214+STALBAN!C214+ABRETS!C214+PONT!C214+FRANCIN!C214+VIVIERS!C214)</f>
        <v>0</v>
      </c>
      <c r="D214" s="76">
        <f>IF(H214=0,0,CHAMNORD!D214+AIX!D214+BELLEY!D214+STALBAN!D214+ABRETS!D214+PONT!D214+FRANCIN!D214+VIVIERS!D214)</f>
        <v>0</v>
      </c>
      <c r="E214" s="76">
        <f>IF(I214=0,0,CHAMNORD!E214+AIX!E214+BELLEY!E214+STALBAN!E214+ABRETS!E214+PONT!E214+FRANCIN!E214+VIVIERS!E214)</f>
        <v>0</v>
      </c>
      <c r="F214" s="20">
        <f>IF(J214=0,0,CHAMNORD!F214+AIX!F214+BELLEY!F214+STALBAN!F214+ABRETS!F214+PONT!F214+FRANCIN!F214+VIVIERS!F214)</f>
        <v>0</v>
      </c>
      <c r="G214" s="40">
        <f>IF(I214=0,0,CHAMNORD!G214+AIX!G214+BELLEY!G214+STALBAN!G214+ABRETS!G214+PONT!G214+FRANCIN!G214+VIVIERS!G214)</f>
        <v>0</v>
      </c>
      <c r="H214" s="42">
        <f>CHAMNORD!H214+AIX!H214+BELLEY!H214+STALBAN!H214+ABRETS!H214+PONT!H214+FRANCIN!H214+VIVIERS!H214</f>
        <v>0</v>
      </c>
      <c r="I214" s="13">
        <f>CHAMNORD!I214+AIX!I214+BELLEY!I214+STALBAN!I214+ABRETS!I214+PONT!I214+FRANCIN!I214+VIVIERS!I214</f>
        <v>0</v>
      </c>
      <c r="J214" s="14">
        <f>CHAMNORD!J214+AIX!J214+BELLEY!J214+STALBAN!J214+ABRETS!J214+PONT!J214+FRANCIN!J214+VIVIERS!J214</f>
        <v>0</v>
      </c>
      <c r="K214" s="15">
        <f>CHAMNORD!K214+AIX!K214+BELLEY!K214+STALBAN!K214+ABRETS!K214+PONT!K214+FRANCIN!K214+VIVIERS!K214</f>
        <v>0</v>
      </c>
      <c r="L214" s="15">
        <f>CHAMNORD!L214+AIX!L214+BELLEY!L214+STALBAN!L214+ABRETS!L214+PONT!L214+FRANCIN!L214+VIVIERS!L214</f>
        <v>0</v>
      </c>
      <c r="M214" s="15">
        <f>CHAMNORD!M214+AIX!M214+BELLEY!M214+STALBAN!M214+ABRETS!M214+PONT!M214+FRANCIN!M214+VIVIERS!M214</f>
        <v>0</v>
      </c>
      <c r="N214" s="16" t="str">
        <f t="shared" si="15"/>
        <v/>
      </c>
      <c r="O214" s="17" t="str">
        <f t="shared" si="18"/>
        <v/>
      </c>
      <c r="P214" s="17" t="str">
        <f t="shared" si="19"/>
        <v/>
      </c>
      <c r="Q214" s="18" t="str">
        <f t="shared" si="16"/>
        <v/>
      </c>
      <c r="R214" s="18" t="e">
        <f t="shared" si="17"/>
        <v>#DIV/0!</v>
      </c>
      <c r="S214" s="34">
        <f>SUM(I213:I219)</f>
        <v>0</v>
      </c>
      <c r="T214" s="45" t="s">
        <v>41</v>
      </c>
      <c r="U214" s="1738"/>
      <c r="W214" s="202">
        <f>+S214</f>
        <v>0</v>
      </c>
      <c r="X214" s="202">
        <f>SUM(CHAMNORD!E213:E219)+SUM(AIX!E213:E219)+SUM(BELLEY!E213:E219)+SUM(STALBAN!E213:E219)+SUM(ABRETS!E213:E219)+SUM(PONT!E213:E219)+SUM(FRANCIN!E213:E219)+SUM(VIVIERS!E213:E219)</f>
        <v>0</v>
      </c>
      <c r="Y214" s="1051">
        <f>+W214-X214</f>
        <v>0</v>
      </c>
    </row>
    <row r="215" spans="1:25">
      <c r="A215" s="10" t="s">
        <v>12</v>
      </c>
      <c r="B215" s="905">
        <v>45867</v>
      </c>
      <c r="C215" s="76">
        <f>IF(G215=0,0,CHAMNORD!C215+AIX!C215+BELLEY!C215+STALBAN!C215+ABRETS!C215+PONT!C215+FRANCIN!C215+VIVIERS!C215)</f>
        <v>0</v>
      </c>
      <c r="D215" s="76">
        <f>IF(H215=0,0,CHAMNORD!D215+AIX!D215+BELLEY!D215+STALBAN!D215+ABRETS!D215+PONT!D215+FRANCIN!D215+VIVIERS!D215)</f>
        <v>0</v>
      </c>
      <c r="E215" s="76">
        <f>IF(I215=0,0,CHAMNORD!E215+AIX!E215+BELLEY!E215+STALBAN!E215+ABRETS!E215+PONT!E215+FRANCIN!E215+VIVIERS!E215)</f>
        <v>0</v>
      </c>
      <c r="F215" s="20">
        <f>IF(J215=0,0,CHAMNORD!F215+AIX!F215+BELLEY!F215+STALBAN!F215+ABRETS!F215+PONT!F215+FRANCIN!F215+VIVIERS!F215)</f>
        <v>0</v>
      </c>
      <c r="G215" s="40">
        <f>IF(I215=0,0,CHAMNORD!G215+AIX!G215+BELLEY!G215+STALBAN!G215+ABRETS!G215+PONT!G215+FRANCIN!G215+VIVIERS!G215)</f>
        <v>0</v>
      </c>
      <c r="H215" s="42">
        <f>CHAMNORD!H215+AIX!H215+BELLEY!H215+STALBAN!H215+ABRETS!H215+PONT!H215+FRANCIN!H215+VIVIERS!H215</f>
        <v>0</v>
      </c>
      <c r="I215" s="13">
        <f>CHAMNORD!I215+AIX!I215+BELLEY!I215+STALBAN!I215+ABRETS!I215+PONT!I215+FRANCIN!I215+VIVIERS!I215</f>
        <v>0</v>
      </c>
      <c r="J215" s="14">
        <f>CHAMNORD!J215+AIX!J215+BELLEY!J215+STALBAN!J215+ABRETS!J215+PONT!J215+FRANCIN!J215+VIVIERS!J215</f>
        <v>0</v>
      </c>
      <c r="K215" s="15">
        <f>CHAMNORD!K215+AIX!K215+BELLEY!K215+STALBAN!K215+ABRETS!K215+PONT!K215+FRANCIN!K215+VIVIERS!K215</f>
        <v>0</v>
      </c>
      <c r="L215" s="15">
        <f>CHAMNORD!L215+AIX!L215+BELLEY!L215+STALBAN!L215+ABRETS!L215+PONT!L215+FRANCIN!L215+VIVIERS!L215</f>
        <v>0</v>
      </c>
      <c r="M215" s="15">
        <f>CHAMNORD!M215+AIX!M215+BELLEY!M215+STALBAN!M215+ABRETS!M215+PONT!M215+FRANCIN!M215+VIVIERS!M215</f>
        <v>0</v>
      </c>
      <c r="N215" s="16" t="str">
        <f t="shared" si="15"/>
        <v/>
      </c>
      <c r="O215" s="17" t="str">
        <f t="shared" si="18"/>
        <v/>
      </c>
      <c r="P215" s="17" t="str">
        <f t="shared" si="19"/>
        <v/>
      </c>
      <c r="Q215" s="18" t="str">
        <f t="shared" si="16"/>
        <v/>
      </c>
      <c r="R215" s="18" t="e">
        <f t="shared" si="17"/>
        <v>#DIV/0!</v>
      </c>
      <c r="S215" s="35" t="e">
        <f>(S214-SUM(E213:E219))/(SUM(E213:E219))</f>
        <v>#DIV/0!</v>
      </c>
      <c r="T215" s="48" t="e">
        <f>SUM(I213:I219)/SUM(K213:K219)</f>
        <v>#DIV/0!</v>
      </c>
      <c r="U215" s="1738"/>
    </row>
    <row r="216" spans="1:25">
      <c r="A216" s="10" t="s">
        <v>13</v>
      </c>
      <c r="B216" s="905">
        <v>45868</v>
      </c>
      <c r="C216" s="76">
        <f>IF(G216=0,0,CHAMNORD!C216+AIX!C216+BELLEY!C216+STALBAN!C216+ABRETS!C216+PONT!C216+FRANCIN!C216+VIVIERS!C216)</f>
        <v>0</v>
      </c>
      <c r="D216" s="76">
        <f>IF(H216=0,0,CHAMNORD!D216+AIX!D216+BELLEY!D216+STALBAN!D216+ABRETS!D216+PONT!D216+FRANCIN!D216+VIVIERS!D216)</f>
        <v>0</v>
      </c>
      <c r="E216" s="76">
        <f>IF(I216=0,0,CHAMNORD!E216+AIX!E216+BELLEY!E216+STALBAN!E216+ABRETS!E216+PONT!E216+FRANCIN!E216+VIVIERS!E216)</f>
        <v>0</v>
      </c>
      <c r="F216" s="20">
        <f>IF(J216=0,0,CHAMNORD!F216+AIX!F216+BELLEY!F216+STALBAN!F216+ABRETS!F216+PONT!F216+FRANCIN!F216+VIVIERS!F216)</f>
        <v>0</v>
      </c>
      <c r="G216" s="40">
        <f>IF(I216=0,0,CHAMNORD!G216+AIX!G216+BELLEY!G216+STALBAN!G216+ABRETS!G216+PONT!G216+FRANCIN!G216+VIVIERS!G216)</f>
        <v>0</v>
      </c>
      <c r="H216" s="42">
        <f>CHAMNORD!H216+AIX!H216+BELLEY!H216+STALBAN!H216+ABRETS!H216+PONT!H216+FRANCIN!H216+VIVIERS!H216</f>
        <v>0</v>
      </c>
      <c r="I216" s="13">
        <f>CHAMNORD!I216+AIX!I216+BELLEY!I216+STALBAN!I216+ABRETS!I216+PONT!I216+FRANCIN!I216+VIVIERS!I216</f>
        <v>0</v>
      </c>
      <c r="J216" s="14">
        <f>CHAMNORD!J216+AIX!J216+BELLEY!J216+STALBAN!J216+ABRETS!J216+PONT!J216+FRANCIN!J216+VIVIERS!J216</f>
        <v>0</v>
      </c>
      <c r="K216" s="15">
        <f>CHAMNORD!K216+AIX!K216+BELLEY!K216+STALBAN!K216+ABRETS!K216+PONT!K216+FRANCIN!K216+VIVIERS!K216</f>
        <v>0</v>
      </c>
      <c r="L216" s="15">
        <f>CHAMNORD!L216+AIX!L216+BELLEY!L216+STALBAN!L216+ABRETS!L216+PONT!L216+FRANCIN!L216+VIVIERS!L216</f>
        <v>0</v>
      </c>
      <c r="M216" s="15">
        <f>CHAMNORD!M216+AIX!M216+BELLEY!M216+STALBAN!M216+ABRETS!M216+PONT!M216+FRANCIN!M216+VIVIERS!M216</f>
        <v>0</v>
      </c>
      <c r="N216" s="16" t="str">
        <f t="shared" si="15"/>
        <v/>
      </c>
      <c r="O216" s="17" t="str">
        <f t="shared" si="18"/>
        <v/>
      </c>
      <c r="P216" s="17" t="str">
        <f t="shared" si="19"/>
        <v/>
      </c>
      <c r="Q216" s="18" t="str">
        <f t="shared" si="16"/>
        <v/>
      </c>
      <c r="R216" s="18" t="e">
        <f t="shared" si="17"/>
        <v>#DIV/0!</v>
      </c>
      <c r="S216" s="34"/>
      <c r="T216" s="29" t="s">
        <v>8</v>
      </c>
      <c r="U216" s="1738"/>
    </row>
    <row r="217" spans="1:25">
      <c r="A217" s="10" t="s">
        <v>14</v>
      </c>
      <c r="B217" s="905">
        <v>45869</v>
      </c>
      <c r="C217" s="76">
        <f>IF(G217=0,0,CHAMNORD!C217+AIX!C217+BELLEY!C217+STALBAN!C217+ABRETS!C217+PONT!C217+FRANCIN!C217+VIVIERS!C217)</f>
        <v>0</v>
      </c>
      <c r="D217" s="76">
        <f>IF(H217=0,0,CHAMNORD!D217+AIX!D217+BELLEY!D217+STALBAN!D217+ABRETS!D217+PONT!D217+FRANCIN!D217+VIVIERS!D217)</f>
        <v>0</v>
      </c>
      <c r="E217" s="76">
        <f>IF(I217=0,0,CHAMNORD!E217+AIX!E217+BELLEY!E217+STALBAN!E217+ABRETS!E217+PONT!E217+FRANCIN!E217+VIVIERS!E217)</f>
        <v>0</v>
      </c>
      <c r="F217" s="20">
        <f>IF(J217=0,0,CHAMNORD!F217+AIX!F217+BELLEY!F217+STALBAN!F217+ABRETS!F217+PONT!F217+FRANCIN!F217+VIVIERS!F217)</f>
        <v>0</v>
      </c>
      <c r="G217" s="40">
        <f>IF(I217=0,0,CHAMNORD!G217+AIX!G217+BELLEY!G217+STALBAN!G217+ABRETS!G217+PONT!G217+FRANCIN!G217+VIVIERS!G217)</f>
        <v>0</v>
      </c>
      <c r="H217" s="42">
        <f>CHAMNORD!H217+AIX!H217+BELLEY!H217+STALBAN!H217+ABRETS!H217+PONT!H217+FRANCIN!H217+VIVIERS!H217</f>
        <v>0</v>
      </c>
      <c r="I217" s="13">
        <f>CHAMNORD!I217+AIX!I217+BELLEY!I217+STALBAN!I217+ABRETS!I217+PONT!I217+FRANCIN!I217+VIVIERS!I217</f>
        <v>0</v>
      </c>
      <c r="J217" s="14">
        <f>CHAMNORD!J217+AIX!J217+BELLEY!J217+STALBAN!J217+ABRETS!J217+PONT!J217+FRANCIN!J217+VIVIERS!J217</f>
        <v>0</v>
      </c>
      <c r="K217" s="15">
        <f>CHAMNORD!K217+AIX!K217+BELLEY!K217+STALBAN!K217+ABRETS!K217+PONT!K217+FRANCIN!K217+VIVIERS!K217</f>
        <v>0</v>
      </c>
      <c r="L217" s="15">
        <f>CHAMNORD!L217+AIX!L217+BELLEY!L217+STALBAN!L217+ABRETS!L217+PONT!L217+FRANCIN!L217+VIVIERS!L217</f>
        <v>0</v>
      </c>
      <c r="M217" s="15">
        <f>CHAMNORD!M217+AIX!M217+BELLEY!M217+STALBAN!M217+ABRETS!M217+PONT!M217+FRANCIN!M217+VIVIERS!M217</f>
        <v>0</v>
      </c>
      <c r="N217" s="16" t="str">
        <f t="shared" si="15"/>
        <v/>
      </c>
      <c r="O217" s="17" t="str">
        <f t="shared" si="18"/>
        <v/>
      </c>
      <c r="P217" s="17" t="str">
        <f t="shared" si="19"/>
        <v/>
      </c>
      <c r="Q217" s="18" t="str">
        <f t="shared" si="16"/>
        <v/>
      </c>
      <c r="R217" s="18" t="e">
        <f t="shared" si="17"/>
        <v>#DIV/0!</v>
      </c>
      <c r="S217" s="36" t="s">
        <v>40</v>
      </c>
      <c r="T217" s="48" t="e">
        <f>SUM(I213:I219)/SUM(L213:L219)</f>
        <v>#DIV/0!</v>
      </c>
      <c r="U217" s="1738"/>
    </row>
    <row r="218" spans="1:25">
      <c r="A218" s="10" t="s">
        <v>15</v>
      </c>
      <c r="B218" s="905">
        <v>45870</v>
      </c>
      <c r="C218" s="76">
        <f>IF(G218=0,0,CHAMNORD!C218+AIX!C218+BELLEY!C218+STALBAN!C218+ABRETS!C218+PONT!C218+FRANCIN!C218+VIVIERS!C218)</f>
        <v>0</v>
      </c>
      <c r="D218" s="76">
        <f>IF(H218=0,0,CHAMNORD!D218+AIX!D218+BELLEY!D218+STALBAN!D218+ABRETS!D218+PONT!D218+FRANCIN!D218+VIVIERS!D218)</f>
        <v>0</v>
      </c>
      <c r="E218" s="76">
        <f>IF(I218=0,0,CHAMNORD!E218+AIX!E218+BELLEY!E218+STALBAN!E218+ABRETS!E218+PONT!E218+FRANCIN!E218+VIVIERS!E218)</f>
        <v>0</v>
      </c>
      <c r="F218" s="20">
        <f>IF(J218=0,0,CHAMNORD!F218+AIX!F218+BELLEY!F218+STALBAN!F218+ABRETS!F218+PONT!F218+FRANCIN!F218+VIVIERS!F218)</f>
        <v>0</v>
      </c>
      <c r="G218" s="40">
        <f>IF(I218=0,0,CHAMNORD!G218+AIX!G218+BELLEY!G218+STALBAN!G218+ABRETS!G218+PONT!G218+FRANCIN!G218+VIVIERS!G218)</f>
        <v>0</v>
      </c>
      <c r="H218" s="42">
        <f>CHAMNORD!H218+AIX!H218+BELLEY!H218+STALBAN!H218+ABRETS!H218+PONT!H218+FRANCIN!H218+VIVIERS!H218</f>
        <v>0</v>
      </c>
      <c r="I218" s="13">
        <f>CHAMNORD!I218+AIX!I218+BELLEY!I218+STALBAN!I218+ABRETS!I218+PONT!I218+FRANCIN!I218+VIVIERS!I218</f>
        <v>0</v>
      </c>
      <c r="J218" s="14">
        <f>CHAMNORD!J218+AIX!J218+BELLEY!J218+STALBAN!J218+ABRETS!J218+PONT!J218+FRANCIN!J218+VIVIERS!J218</f>
        <v>0</v>
      </c>
      <c r="K218" s="15">
        <f>CHAMNORD!K218+AIX!K218+BELLEY!K218+STALBAN!K218+ABRETS!K218+PONT!K218+FRANCIN!K218+VIVIERS!K218</f>
        <v>0</v>
      </c>
      <c r="L218" s="15">
        <f>CHAMNORD!L218+AIX!L218+BELLEY!L218+STALBAN!L218+ABRETS!L218+PONT!L218+FRANCIN!L218+VIVIERS!L218</f>
        <v>0</v>
      </c>
      <c r="M218" s="15">
        <f>CHAMNORD!M218+AIX!M218+BELLEY!M218+STALBAN!M218+ABRETS!M218+PONT!M218+FRANCIN!M218+VIVIERS!M218</f>
        <v>0</v>
      </c>
      <c r="N218" s="16" t="str">
        <f t="shared" si="15"/>
        <v/>
      </c>
      <c r="O218" s="17" t="str">
        <f t="shared" si="18"/>
        <v/>
      </c>
      <c r="P218" s="17" t="str">
        <f t="shared" si="19"/>
        <v/>
      </c>
      <c r="Q218" s="18" t="str">
        <f t="shared" si="16"/>
        <v/>
      </c>
      <c r="R218" s="18" t="e">
        <f t="shared" si="17"/>
        <v>#DIV/0!</v>
      </c>
      <c r="S218" s="36">
        <f>SUM(J213:J219)</f>
        <v>0</v>
      </c>
      <c r="T218" s="30" t="s">
        <v>3</v>
      </c>
      <c r="U218" s="1738"/>
    </row>
    <row r="219" spans="1:25" ht="18" thickBot="1">
      <c r="A219" s="10" t="s">
        <v>16</v>
      </c>
      <c r="B219" s="905">
        <v>45871</v>
      </c>
      <c r="C219" s="76">
        <f>IF(G219=0,0,CHAMNORD!C219+AIX!C219+BELLEY!C219+STALBAN!C219+ABRETS!C219+PONT!C219+FRANCIN!C219+VIVIERS!C219)</f>
        <v>0</v>
      </c>
      <c r="D219" s="76">
        <f>IF(H219=0,0,CHAMNORD!D219+AIX!D219+BELLEY!D219+STALBAN!D219+ABRETS!D219+PONT!D219+FRANCIN!D219+VIVIERS!D219)</f>
        <v>0</v>
      </c>
      <c r="E219" s="76">
        <f>IF(I219=0,0,CHAMNORD!E219+AIX!E219+BELLEY!E219+STALBAN!E219+ABRETS!E219+PONT!E219+FRANCIN!E219+VIVIERS!E219)</f>
        <v>0</v>
      </c>
      <c r="F219" s="20">
        <f>IF(J219=0,0,CHAMNORD!F219+AIX!F219+BELLEY!F219+STALBAN!F219+ABRETS!F219+PONT!F219+FRANCIN!F219+VIVIERS!F219)</f>
        <v>0</v>
      </c>
      <c r="G219" s="40">
        <f>IF(I219=0,0,CHAMNORD!G219+AIX!G219+BELLEY!G219+STALBAN!G219+ABRETS!G219+PONT!G219+FRANCIN!G219+VIVIERS!G219)</f>
        <v>0</v>
      </c>
      <c r="H219" s="42">
        <f>CHAMNORD!H219+AIX!H219+BELLEY!H219+STALBAN!H219+ABRETS!H219+PONT!H219+FRANCIN!H219+VIVIERS!H219</f>
        <v>0</v>
      </c>
      <c r="I219" s="13">
        <f>CHAMNORD!I219+AIX!I219+BELLEY!I219+STALBAN!I219+ABRETS!I219+PONT!I219+FRANCIN!I219+VIVIERS!I219</f>
        <v>0</v>
      </c>
      <c r="J219" s="14">
        <f>CHAMNORD!J219+AIX!J219+BELLEY!J219+STALBAN!J219+ABRETS!J219+PONT!J219+FRANCIN!J219+VIVIERS!J219</f>
        <v>0</v>
      </c>
      <c r="K219" s="15">
        <f>CHAMNORD!K219+AIX!K219+BELLEY!K219+STALBAN!K219+ABRETS!K219+PONT!K219+FRANCIN!K219+VIVIERS!K219</f>
        <v>0</v>
      </c>
      <c r="L219" s="15">
        <f>CHAMNORD!L219+AIX!L219+BELLEY!L219+STALBAN!L219+ABRETS!L219+PONT!L219+FRANCIN!L219+VIVIERS!L219</f>
        <v>0</v>
      </c>
      <c r="M219" s="15">
        <f>CHAMNORD!M219+AIX!M219+BELLEY!M219+STALBAN!M219+ABRETS!M219+PONT!M219+FRANCIN!M219+VIVIERS!M219</f>
        <v>0</v>
      </c>
      <c r="N219" s="16" t="str">
        <f t="shared" si="15"/>
        <v/>
      </c>
      <c r="O219" s="17" t="str">
        <f t="shared" si="18"/>
        <v/>
      </c>
      <c r="P219" s="17" t="str">
        <f t="shared" si="19"/>
        <v/>
      </c>
      <c r="Q219" s="18" t="str">
        <f t="shared" si="16"/>
        <v/>
      </c>
      <c r="R219" s="18" t="e">
        <f t="shared" si="17"/>
        <v>#DIV/0!</v>
      </c>
      <c r="S219" s="37" t="e">
        <f>(S218-SUM(F213:F219))/(SUM(F213:F219))</f>
        <v>#DIV/0!</v>
      </c>
      <c r="T219" s="47" t="e">
        <f>SUM(M213:M219)/SUM(I213:I219)</f>
        <v>#DIV/0!</v>
      </c>
      <c r="U219" s="1739"/>
    </row>
    <row r="220" spans="1:25" ht="17" customHeight="1" thickTop="1">
      <c r="A220" s="10" t="s">
        <v>9</v>
      </c>
      <c r="B220" s="905">
        <v>45872</v>
      </c>
      <c r="C220" s="76">
        <f>IF(G220=0,0,CHAMNORD!C220+AIX!C220+BELLEY!C220+STALBAN!C220+ABRETS!C220+PONT!C220+FRANCIN!C220+VIVIERS!C220)</f>
        <v>0</v>
      </c>
      <c r="D220" s="76">
        <f>IF(H220=0,0,CHAMNORD!D220+AIX!D220+BELLEY!D220+STALBAN!D220+ABRETS!D220+PONT!D220+FRANCIN!D220+VIVIERS!D220)</f>
        <v>0</v>
      </c>
      <c r="E220" s="76">
        <f>IF(I220=0,0,CHAMNORD!E220+AIX!E220+BELLEY!E220+STALBAN!E220+ABRETS!E220+PONT!E220+FRANCIN!E220+VIVIERS!E220)</f>
        <v>0</v>
      </c>
      <c r="F220" s="20">
        <f>IF(J220=0,0,CHAMNORD!F220+AIX!F220+BELLEY!F220+STALBAN!F220+ABRETS!F220+PONT!F220+FRANCIN!F220+VIVIERS!F220)</f>
        <v>0</v>
      </c>
      <c r="G220" s="40">
        <f>IF(I220=0,0,CHAMNORD!G220+AIX!G220+BELLEY!G220+STALBAN!G220+ABRETS!G220+PONT!G220+FRANCIN!G220+VIVIERS!G220)</f>
        <v>0</v>
      </c>
      <c r="H220" s="42">
        <f>CHAMNORD!H220+AIX!H220+BELLEY!H220+STALBAN!H220+ABRETS!H220+PONT!H220+FRANCIN!H220+VIVIERS!H220</f>
        <v>0</v>
      </c>
      <c r="I220" s="13">
        <f>CHAMNORD!I220+AIX!I220+BELLEY!I220+STALBAN!I220+ABRETS!I220+PONT!I220+FRANCIN!I220+VIVIERS!I220</f>
        <v>0</v>
      </c>
      <c r="J220" s="14">
        <f>CHAMNORD!J220+AIX!J220+BELLEY!J220+STALBAN!J220+ABRETS!J220+PONT!J220+FRANCIN!J220+VIVIERS!J220</f>
        <v>0</v>
      </c>
      <c r="K220" s="15">
        <f>CHAMNORD!K220+AIX!K220+BELLEY!K220+STALBAN!K220+ABRETS!K220+PONT!K220+FRANCIN!K220+VIVIERS!K220</f>
        <v>0</v>
      </c>
      <c r="L220" s="15">
        <f>CHAMNORD!L220+AIX!L220+BELLEY!L220+STALBAN!L220+ABRETS!L220+PONT!L220+FRANCIN!L220+VIVIERS!L220</f>
        <v>0</v>
      </c>
      <c r="M220" s="15">
        <f>CHAMNORD!M220+AIX!M220+BELLEY!M220+STALBAN!M220+ABRETS!M220+PONT!M220+FRANCIN!M220+VIVIERS!M220</f>
        <v>0</v>
      </c>
      <c r="N220" s="16" t="str">
        <f t="shared" si="15"/>
        <v/>
      </c>
      <c r="O220" s="17" t="str">
        <f t="shared" si="18"/>
        <v/>
      </c>
      <c r="P220" s="17" t="str">
        <f t="shared" si="19"/>
        <v/>
      </c>
      <c r="Q220" s="18" t="str">
        <f t="shared" si="16"/>
        <v/>
      </c>
      <c r="R220" s="18" t="e">
        <f t="shared" si="17"/>
        <v>#DIV/0!</v>
      </c>
      <c r="S220" s="33" t="s">
        <v>39</v>
      </c>
      <c r="T220" s="31" t="s">
        <v>42</v>
      </c>
      <c r="U220" s="1737" t="s">
        <v>114</v>
      </c>
    </row>
    <row r="221" spans="1:25">
      <c r="A221" s="10" t="s">
        <v>11</v>
      </c>
      <c r="B221" s="905">
        <v>45873</v>
      </c>
      <c r="C221" s="76">
        <f>IF(G221=0,0,CHAMNORD!C221+AIX!C221+BELLEY!C221+STALBAN!C221+ABRETS!C221+PONT!C221+FRANCIN!C221+VIVIERS!C221)</f>
        <v>0</v>
      </c>
      <c r="D221" s="76">
        <f>IF(H221=0,0,CHAMNORD!D221+AIX!D221+BELLEY!D221+STALBAN!D221+ABRETS!D221+PONT!D221+FRANCIN!D221+VIVIERS!D221)</f>
        <v>0</v>
      </c>
      <c r="E221" s="76">
        <f>IF(I221=0,0,CHAMNORD!E221+AIX!E221+BELLEY!E221+STALBAN!E221+ABRETS!E221+PONT!E221+FRANCIN!E221+VIVIERS!E221)</f>
        <v>0</v>
      </c>
      <c r="F221" s="20">
        <f>IF(J221=0,0,CHAMNORD!F221+AIX!F221+BELLEY!F221+STALBAN!F221+ABRETS!F221+PONT!F221+FRANCIN!F221+VIVIERS!F221)</f>
        <v>0</v>
      </c>
      <c r="G221" s="40">
        <f>IF(I221=0,0,CHAMNORD!G221+AIX!G221+BELLEY!G221+STALBAN!G221+ABRETS!G221+PONT!G221+FRANCIN!G221+VIVIERS!G221)</f>
        <v>0</v>
      </c>
      <c r="H221" s="42">
        <f>CHAMNORD!H221+AIX!H221+BELLEY!H221+STALBAN!H221+ABRETS!H221+PONT!H221+FRANCIN!H221+VIVIERS!H221</f>
        <v>0</v>
      </c>
      <c r="I221" s="13">
        <f>CHAMNORD!I221+AIX!I221+BELLEY!I221+STALBAN!I221+ABRETS!I221+PONT!I221+FRANCIN!I221+VIVIERS!I221</f>
        <v>0</v>
      </c>
      <c r="J221" s="14">
        <f>CHAMNORD!J221+AIX!J221+BELLEY!J221+STALBAN!J221+ABRETS!J221+PONT!J221+FRANCIN!J221+VIVIERS!J221</f>
        <v>0</v>
      </c>
      <c r="K221" s="15">
        <f>CHAMNORD!K221+AIX!K221+BELLEY!K221+STALBAN!K221+ABRETS!K221+PONT!K221+FRANCIN!K221+VIVIERS!K221</f>
        <v>0</v>
      </c>
      <c r="L221" s="15">
        <f>CHAMNORD!L221+AIX!L221+BELLEY!L221+STALBAN!L221+ABRETS!L221+PONT!L221+FRANCIN!L221+VIVIERS!L221</f>
        <v>0</v>
      </c>
      <c r="M221" s="15">
        <f>CHAMNORD!M221+AIX!M221+BELLEY!M221+STALBAN!M221+ABRETS!M221+PONT!M221+FRANCIN!M221+VIVIERS!M221</f>
        <v>0</v>
      </c>
      <c r="N221" s="16" t="str">
        <f t="shared" si="15"/>
        <v/>
      </c>
      <c r="O221" s="17" t="str">
        <f t="shared" si="18"/>
        <v/>
      </c>
      <c r="P221" s="17" t="str">
        <f t="shared" si="19"/>
        <v/>
      </c>
      <c r="Q221" s="18" t="str">
        <f t="shared" si="16"/>
        <v/>
      </c>
      <c r="R221" s="18" t="e">
        <f t="shared" si="17"/>
        <v>#DIV/0!</v>
      </c>
      <c r="S221" s="34">
        <f>SUM(I220:I226)</f>
        <v>0</v>
      </c>
      <c r="T221" s="45" t="s">
        <v>41</v>
      </c>
      <c r="U221" s="1738"/>
      <c r="W221" s="202">
        <f>+S221</f>
        <v>0</v>
      </c>
      <c r="X221" s="202">
        <f>SUM(CHAMNORD!E220:E226)+SUM(AIX!E220:E226)+SUM(BELLEY!E220:E226)+SUM(STALBAN!E220:E226)+SUM(ABRETS!E220:E226)+SUM(PONT!E220:E226)+SUM(FRANCIN!E220:E226)+SUM(VIVIERS!E220:E226)</f>
        <v>0</v>
      </c>
      <c r="Y221" s="1051">
        <f>+W221-X221</f>
        <v>0</v>
      </c>
    </row>
    <row r="222" spans="1:25">
      <c r="A222" s="10" t="s">
        <v>12</v>
      </c>
      <c r="B222" s="905">
        <v>45874</v>
      </c>
      <c r="C222" s="76">
        <f>IF(G222=0,0,CHAMNORD!C222+AIX!C222+BELLEY!C222+STALBAN!C222+ABRETS!C222+PONT!C222+FRANCIN!C222+VIVIERS!C222)</f>
        <v>0</v>
      </c>
      <c r="D222" s="76">
        <f>IF(H222=0,0,CHAMNORD!D222+AIX!D222+BELLEY!D222+STALBAN!D222+ABRETS!D222+PONT!D222+FRANCIN!D222+VIVIERS!D222)</f>
        <v>0</v>
      </c>
      <c r="E222" s="76">
        <f>IF(I222=0,0,CHAMNORD!E222+AIX!E222+BELLEY!E222+STALBAN!E222+ABRETS!E222+PONT!E222+FRANCIN!E222+VIVIERS!E222)</f>
        <v>0</v>
      </c>
      <c r="F222" s="20">
        <f>IF(J222=0,0,CHAMNORD!F222+AIX!F222+BELLEY!F222+STALBAN!F222+ABRETS!F222+PONT!F222+FRANCIN!F222+VIVIERS!F222)</f>
        <v>0</v>
      </c>
      <c r="G222" s="40">
        <f>IF(I222=0,0,CHAMNORD!G222+AIX!G222+BELLEY!G222+STALBAN!G222+ABRETS!G222+PONT!G222+FRANCIN!G222+VIVIERS!G222)</f>
        <v>0</v>
      </c>
      <c r="H222" s="42">
        <f>CHAMNORD!H222+AIX!H222+BELLEY!H222+STALBAN!H222+ABRETS!H222+PONT!H222+FRANCIN!H222+VIVIERS!H222</f>
        <v>0</v>
      </c>
      <c r="I222" s="13">
        <f>CHAMNORD!I222+AIX!I222+BELLEY!I222+STALBAN!I222+ABRETS!I222+PONT!I222+FRANCIN!I222+VIVIERS!I222</f>
        <v>0</v>
      </c>
      <c r="J222" s="14">
        <f>CHAMNORD!J222+AIX!J222+BELLEY!J222+STALBAN!J222+ABRETS!J222+PONT!J222+FRANCIN!J222+VIVIERS!J222</f>
        <v>0</v>
      </c>
      <c r="K222" s="15">
        <f>CHAMNORD!K222+AIX!K222+BELLEY!K222+STALBAN!K222+ABRETS!K222+PONT!K222+FRANCIN!K222+VIVIERS!K222</f>
        <v>0</v>
      </c>
      <c r="L222" s="15">
        <f>CHAMNORD!L222+AIX!L222+BELLEY!L222+STALBAN!L222+ABRETS!L222+PONT!L222+FRANCIN!L222+VIVIERS!L222</f>
        <v>0</v>
      </c>
      <c r="M222" s="15">
        <f>CHAMNORD!M222+AIX!M222+BELLEY!M222+STALBAN!M222+ABRETS!M222+PONT!M222+FRANCIN!M222+VIVIERS!M222</f>
        <v>0</v>
      </c>
      <c r="N222" s="16" t="str">
        <f t="shared" si="15"/>
        <v/>
      </c>
      <c r="O222" s="17" t="str">
        <f t="shared" si="18"/>
        <v/>
      </c>
      <c r="P222" s="17" t="str">
        <f t="shared" si="19"/>
        <v/>
      </c>
      <c r="Q222" s="18" t="str">
        <f t="shared" si="16"/>
        <v/>
      </c>
      <c r="R222" s="18" t="e">
        <f t="shared" si="17"/>
        <v>#DIV/0!</v>
      </c>
      <c r="S222" s="35" t="e">
        <f>(S221-SUM(E220:E226))/(SUM(E220:E226))</f>
        <v>#DIV/0!</v>
      </c>
      <c r="T222" s="48" t="e">
        <f>SUM(I220:I226)/SUM(K220:K226)</f>
        <v>#DIV/0!</v>
      </c>
      <c r="U222" s="1738"/>
    </row>
    <row r="223" spans="1:25">
      <c r="A223" s="10" t="s">
        <v>13</v>
      </c>
      <c r="B223" s="905">
        <v>45875</v>
      </c>
      <c r="C223" s="76">
        <f>IF(G223=0,0,CHAMNORD!C223+AIX!C223+BELLEY!C223+STALBAN!C223+ABRETS!C223+PONT!C223+FRANCIN!C223+VIVIERS!C223)</f>
        <v>0</v>
      </c>
      <c r="D223" s="76">
        <f>IF(H223=0,0,CHAMNORD!D223+AIX!D223+BELLEY!D223+STALBAN!D223+ABRETS!D223+PONT!D223+FRANCIN!D223+VIVIERS!D223)</f>
        <v>0</v>
      </c>
      <c r="E223" s="76">
        <f>IF(I223=0,0,CHAMNORD!E223+AIX!E223+BELLEY!E223+STALBAN!E223+ABRETS!E223+PONT!E223+FRANCIN!E223+VIVIERS!E223)</f>
        <v>0</v>
      </c>
      <c r="F223" s="20">
        <f>IF(J223=0,0,CHAMNORD!F223+AIX!F223+BELLEY!F223+STALBAN!F223+ABRETS!F223+PONT!F223+FRANCIN!F223+VIVIERS!F223)</f>
        <v>0</v>
      </c>
      <c r="G223" s="40">
        <f>IF(I223=0,0,CHAMNORD!G223+AIX!G223+BELLEY!G223+STALBAN!G223+ABRETS!G223+PONT!G223+FRANCIN!G223+VIVIERS!G223)</f>
        <v>0</v>
      </c>
      <c r="H223" s="42">
        <f>CHAMNORD!H223+AIX!H223+BELLEY!H223+STALBAN!H223+ABRETS!H223+PONT!H223+FRANCIN!H223+VIVIERS!H223</f>
        <v>0</v>
      </c>
      <c r="I223" s="13">
        <f>CHAMNORD!I223+AIX!I223+BELLEY!I223+STALBAN!I223+ABRETS!I223+PONT!I223+FRANCIN!I223+VIVIERS!I223</f>
        <v>0</v>
      </c>
      <c r="J223" s="14">
        <f>CHAMNORD!J223+AIX!J223+BELLEY!J223+STALBAN!J223+ABRETS!J223+PONT!J223+FRANCIN!J223+VIVIERS!J223</f>
        <v>0</v>
      </c>
      <c r="K223" s="15">
        <f>CHAMNORD!K223+AIX!K223+BELLEY!K223+STALBAN!K223+ABRETS!K223+PONT!K223+FRANCIN!K223+VIVIERS!K223</f>
        <v>0</v>
      </c>
      <c r="L223" s="15">
        <f>CHAMNORD!L223+AIX!L223+BELLEY!L223+STALBAN!L223+ABRETS!L223+PONT!L223+FRANCIN!L223+VIVIERS!L223</f>
        <v>0</v>
      </c>
      <c r="M223" s="15">
        <f>CHAMNORD!M223+AIX!M223+BELLEY!M223+STALBAN!M223+ABRETS!M223+PONT!M223+FRANCIN!M223+VIVIERS!M223</f>
        <v>0</v>
      </c>
      <c r="N223" s="16" t="str">
        <f t="shared" si="15"/>
        <v/>
      </c>
      <c r="O223" s="17" t="str">
        <f t="shared" si="18"/>
        <v/>
      </c>
      <c r="P223" s="17" t="str">
        <f t="shared" si="19"/>
        <v/>
      </c>
      <c r="Q223" s="18" t="str">
        <f t="shared" si="16"/>
        <v/>
      </c>
      <c r="R223" s="18" t="e">
        <f t="shared" si="17"/>
        <v>#DIV/0!</v>
      </c>
      <c r="S223" s="34"/>
      <c r="T223" s="29" t="s">
        <v>8</v>
      </c>
      <c r="U223" s="1738"/>
    </row>
    <row r="224" spans="1:25">
      <c r="A224" s="10" t="s">
        <v>14</v>
      </c>
      <c r="B224" s="905">
        <v>45876</v>
      </c>
      <c r="C224" s="76">
        <f>IF(G224=0,0,CHAMNORD!C224+AIX!C224+BELLEY!C224+STALBAN!C224+ABRETS!C224+PONT!C224+FRANCIN!C224+VIVIERS!C224)</f>
        <v>0</v>
      </c>
      <c r="D224" s="76">
        <f>IF(H224=0,0,CHAMNORD!D224+AIX!D224+BELLEY!D224+STALBAN!D224+ABRETS!D224+PONT!D224+FRANCIN!D224+VIVIERS!D224)</f>
        <v>0</v>
      </c>
      <c r="E224" s="76">
        <f>IF(I224=0,0,CHAMNORD!E224+AIX!E224+BELLEY!E224+STALBAN!E224+ABRETS!E224+PONT!E224+FRANCIN!E224+VIVIERS!E224)</f>
        <v>0</v>
      </c>
      <c r="F224" s="20">
        <f>IF(J224=0,0,CHAMNORD!F224+AIX!F224+BELLEY!F224+STALBAN!F224+ABRETS!F224+PONT!F224+FRANCIN!F224+VIVIERS!F224)</f>
        <v>0</v>
      </c>
      <c r="G224" s="40">
        <f>IF(I224=0,0,CHAMNORD!G224+AIX!G224+BELLEY!G224+STALBAN!G224+ABRETS!G224+PONT!G224+FRANCIN!G224+VIVIERS!G224)</f>
        <v>0</v>
      </c>
      <c r="H224" s="42">
        <f>CHAMNORD!H224+AIX!H224+BELLEY!H224+STALBAN!H224+ABRETS!H224+PONT!H224+FRANCIN!H224+VIVIERS!H224</f>
        <v>0</v>
      </c>
      <c r="I224" s="13">
        <f>CHAMNORD!I224+AIX!I224+BELLEY!I224+STALBAN!I224+ABRETS!I224+PONT!I224+FRANCIN!I224+VIVIERS!I224</f>
        <v>0</v>
      </c>
      <c r="J224" s="14">
        <f>CHAMNORD!J224+AIX!J224+BELLEY!J224+STALBAN!J224+ABRETS!J224+PONT!J224+FRANCIN!J224+VIVIERS!J224</f>
        <v>0</v>
      </c>
      <c r="K224" s="15">
        <f>CHAMNORD!K224+AIX!K224+BELLEY!K224+STALBAN!K224+ABRETS!K224+PONT!K224+FRANCIN!K224+VIVIERS!K224</f>
        <v>0</v>
      </c>
      <c r="L224" s="15">
        <f>CHAMNORD!L224+AIX!L224+BELLEY!L224+STALBAN!L224+ABRETS!L224+PONT!L224+FRANCIN!L224+VIVIERS!L224</f>
        <v>0</v>
      </c>
      <c r="M224" s="15">
        <f>CHAMNORD!M224+AIX!M224+BELLEY!M224+STALBAN!M224+ABRETS!M224+PONT!M224+FRANCIN!M224+VIVIERS!M224</f>
        <v>0</v>
      </c>
      <c r="N224" s="16" t="str">
        <f t="shared" si="15"/>
        <v/>
      </c>
      <c r="O224" s="17" t="str">
        <f t="shared" si="18"/>
        <v/>
      </c>
      <c r="P224" s="17" t="str">
        <f t="shared" si="19"/>
        <v/>
      </c>
      <c r="Q224" s="18" t="str">
        <f t="shared" si="16"/>
        <v/>
      </c>
      <c r="R224" s="18" t="e">
        <f t="shared" si="17"/>
        <v>#DIV/0!</v>
      </c>
      <c r="S224" s="36" t="s">
        <v>40</v>
      </c>
      <c r="T224" s="48" t="e">
        <f>SUM(I220:I226)/SUM(L220:L226)</f>
        <v>#DIV/0!</v>
      </c>
      <c r="U224" s="1738"/>
    </row>
    <row r="225" spans="1:25">
      <c r="A225" s="10" t="s">
        <v>15</v>
      </c>
      <c r="B225" s="905">
        <v>45877</v>
      </c>
      <c r="C225" s="76">
        <f>IF(G225=0,0,CHAMNORD!C225+AIX!C225+BELLEY!C225+STALBAN!C225+ABRETS!C225+PONT!C225+FRANCIN!C225+VIVIERS!C225)</f>
        <v>0</v>
      </c>
      <c r="D225" s="76">
        <f>IF(H225=0,0,CHAMNORD!D225+AIX!D225+BELLEY!D225+STALBAN!D225+ABRETS!D225+PONT!D225+FRANCIN!D225+VIVIERS!D225)</f>
        <v>0</v>
      </c>
      <c r="E225" s="76">
        <f>IF(I225=0,0,CHAMNORD!E225+AIX!E225+BELLEY!E225+STALBAN!E225+ABRETS!E225+PONT!E225+FRANCIN!E225+VIVIERS!E225)</f>
        <v>0</v>
      </c>
      <c r="F225" s="20">
        <f>IF(J225=0,0,CHAMNORD!F225+AIX!F225+BELLEY!F225+STALBAN!F225+ABRETS!F225+PONT!F225+FRANCIN!F225+VIVIERS!F225)</f>
        <v>0</v>
      </c>
      <c r="G225" s="40">
        <f>IF(I225=0,0,CHAMNORD!G225+AIX!G225+BELLEY!G225+STALBAN!G225+ABRETS!G225+PONT!G225+FRANCIN!G225+VIVIERS!G225)</f>
        <v>0</v>
      </c>
      <c r="H225" s="42">
        <f>CHAMNORD!H225+AIX!H225+BELLEY!H225+STALBAN!H225+ABRETS!H225+PONT!H225+FRANCIN!H225+VIVIERS!H225</f>
        <v>0</v>
      </c>
      <c r="I225" s="13">
        <f>CHAMNORD!I225+AIX!I225+BELLEY!I225+STALBAN!I225+ABRETS!I225+PONT!I225+FRANCIN!I225+VIVIERS!I225</f>
        <v>0</v>
      </c>
      <c r="J225" s="14">
        <f>CHAMNORD!J225+AIX!J225+BELLEY!J225+STALBAN!J225+ABRETS!J225+PONT!J225+FRANCIN!J225+VIVIERS!J225</f>
        <v>0</v>
      </c>
      <c r="K225" s="15">
        <f>CHAMNORD!K225+AIX!K225+BELLEY!K225+STALBAN!K225+ABRETS!K225+PONT!K225+FRANCIN!K225+VIVIERS!K225</f>
        <v>0</v>
      </c>
      <c r="L225" s="15">
        <f>CHAMNORD!L225+AIX!L225+BELLEY!L225+STALBAN!L225+ABRETS!L225+PONT!L225+FRANCIN!L225+VIVIERS!L225</f>
        <v>0</v>
      </c>
      <c r="M225" s="15">
        <f>CHAMNORD!M225+AIX!M225+BELLEY!M225+STALBAN!M225+ABRETS!M225+PONT!M225+FRANCIN!M225+VIVIERS!M225</f>
        <v>0</v>
      </c>
      <c r="N225" s="16" t="str">
        <f t="shared" si="15"/>
        <v/>
      </c>
      <c r="O225" s="17" t="str">
        <f t="shared" si="18"/>
        <v/>
      </c>
      <c r="P225" s="17" t="str">
        <f t="shared" si="19"/>
        <v/>
      </c>
      <c r="Q225" s="18" t="str">
        <f t="shared" si="16"/>
        <v/>
      </c>
      <c r="R225" s="18" t="e">
        <f t="shared" si="17"/>
        <v>#DIV/0!</v>
      </c>
      <c r="S225" s="36">
        <f>SUM(J220:J226)</f>
        <v>0</v>
      </c>
      <c r="T225" s="30" t="s">
        <v>3</v>
      </c>
      <c r="U225" s="1738"/>
    </row>
    <row r="226" spans="1:25" ht="18" thickBot="1">
      <c r="A226" s="10" t="s">
        <v>16</v>
      </c>
      <c r="B226" s="905">
        <v>45878</v>
      </c>
      <c r="C226" s="76">
        <f>IF(G226=0,0,CHAMNORD!C226+AIX!C226+BELLEY!C226+STALBAN!C226+ABRETS!C226+PONT!C226+FRANCIN!C226+VIVIERS!C226)</f>
        <v>0</v>
      </c>
      <c r="D226" s="76">
        <f>IF(H226=0,0,CHAMNORD!D226+AIX!D226+BELLEY!D226+STALBAN!D226+ABRETS!D226+PONT!D226+FRANCIN!D226+VIVIERS!D226)</f>
        <v>0</v>
      </c>
      <c r="E226" s="76">
        <f>IF(I226=0,0,CHAMNORD!E226+AIX!E226+BELLEY!E226+STALBAN!E226+ABRETS!E226+PONT!E226+FRANCIN!E226+VIVIERS!E226)</f>
        <v>0</v>
      </c>
      <c r="F226" s="20">
        <f>IF(J226=0,0,CHAMNORD!F226+AIX!F226+BELLEY!F226+STALBAN!F226+ABRETS!F226+PONT!F226+FRANCIN!F226+VIVIERS!F226)</f>
        <v>0</v>
      </c>
      <c r="G226" s="40">
        <f>IF(I226=0,0,CHAMNORD!G226+AIX!G226+BELLEY!G226+STALBAN!G226+ABRETS!G226+PONT!G226+FRANCIN!G226+VIVIERS!G226)</f>
        <v>0</v>
      </c>
      <c r="H226" s="42">
        <f>CHAMNORD!H226+AIX!H226+BELLEY!H226+STALBAN!H226+ABRETS!H226+PONT!H226+FRANCIN!H226+VIVIERS!H226</f>
        <v>0</v>
      </c>
      <c r="I226" s="13">
        <f>CHAMNORD!I226+AIX!I226+BELLEY!I226+STALBAN!I226+ABRETS!I226+PONT!I226+FRANCIN!I226+VIVIERS!I226</f>
        <v>0</v>
      </c>
      <c r="J226" s="14">
        <f>CHAMNORD!J226+AIX!J226+BELLEY!J226+STALBAN!J226+ABRETS!J226+PONT!J226+FRANCIN!J226+VIVIERS!J226</f>
        <v>0</v>
      </c>
      <c r="K226" s="15">
        <f>CHAMNORD!K226+AIX!K226+BELLEY!K226+STALBAN!K226+ABRETS!K226+PONT!K226+FRANCIN!K226+VIVIERS!K226</f>
        <v>0</v>
      </c>
      <c r="L226" s="15">
        <f>CHAMNORD!L226+AIX!L226+BELLEY!L226+STALBAN!L226+ABRETS!L226+PONT!L226+FRANCIN!L226+VIVIERS!L226</f>
        <v>0</v>
      </c>
      <c r="M226" s="15">
        <f>CHAMNORD!M226+AIX!M226+BELLEY!M226+STALBAN!M226+ABRETS!M226+PONT!M226+FRANCIN!M226+VIVIERS!M226</f>
        <v>0</v>
      </c>
      <c r="N226" s="16" t="str">
        <f t="shared" si="15"/>
        <v/>
      </c>
      <c r="O226" s="17" t="str">
        <f t="shared" si="18"/>
        <v/>
      </c>
      <c r="P226" s="17" t="str">
        <f t="shared" si="19"/>
        <v/>
      </c>
      <c r="Q226" s="18" t="str">
        <f t="shared" si="16"/>
        <v/>
      </c>
      <c r="R226" s="18" t="e">
        <f t="shared" si="17"/>
        <v>#DIV/0!</v>
      </c>
      <c r="S226" s="37" t="e">
        <f>(S225-SUM(F220:F226))/(SUM(F220:F226))</f>
        <v>#DIV/0!</v>
      </c>
      <c r="T226" s="47" t="e">
        <f>SUM(M220:M226)/SUM(I220:I226)</f>
        <v>#DIV/0!</v>
      </c>
      <c r="U226" s="1739"/>
    </row>
    <row r="227" spans="1:25" ht="17" customHeight="1" thickTop="1">
      <c r="A227" s="10" t="s">
        <v>9</v>
      </c>
      <c r="B227" s="905">
        <v>45879</v>
      </c>
      <c r="C227" s="76">
        <f>IF(G227=0,0,CHAMNORD!C227+AIX!C227+BELLEY!C227+STALBAN!C227+ABRETS!C227+PONT!C227+FRANCIN!C227+VIVIERS!C227)</f>
        <v>0</v>
      </c>
      <c r="D227" s="76">
        <f>IF(H227=0,0,CHAMNORD!D227+AIX!D227+BELLEY!D227+STALBAN!D227+ABRETS!D227+PONT!D227+FRANCIN!D227+VIVIERS!D227)</f>
        <v>0</v>
      </c>
      <c r="E227" s="76">
        <f>IF(I227=0,0,CHAMNORD!E227+AIX!E227+BELLEY!E227+STALBAN!E227+ABRETS!E227+PONT!E227+FRANCIN!E227+VIVIERS!E227)</f>
        <v>0</v>
      </c>
      <c r="F227" s="20">
        <f>IF(J227=0,0,CHAMNORD!F227+AIX!F227+BELLEY!F227+STALBAN!F227+ABRETS!F227+PONT!F227+FRANCIN!F227+VIVIERS!F227)</f>
        <v>0</v>
      </c>
      <c r="G227" s="40">
        <f>IF(I227=0,0,CHAMNORD!G227+AIX!G227+BELLEY!G227+STALBAN!G227+ABRETS!G227+PONT!G227+FRANCIN!G227+VIVIERS!G227)</f>
        <v>0</v>
      </c>
      <c r="H227" s="42">
        <f>CHAMNORD!H227+AIX!H227+BELLEY!H227+STALBAN!H227+ABRETS!H227+PONT!H227+FRANCIN!H227+VIVIERS!H227</f>
        <v>0</v>
      </c>
      <c r="I227" s="13">
        <f>CHAMNORD!I227+AIX!I227+BELLEY!I227+STALBAN!I227+ABRETS!I227+PONT!I227+FRANCIN!I227+VIVIERS!I227</f>
        <v>0</v>
      </c>
      <c r="J227" s="14">
        <f>CHAMNORD!J227+AIX!J227+BELLEY!J227+STALBAN!J227+ABRETS!J227+PONT!J227+FRANCIN!J227+VIVIERS!J227</f>
        <v>0</v>
      </c>
      <c r="K227" s="15">
        <f>CHAMNORD!K227+AIX!K227+BELLEY!K227+STALBAN!K227+ABRETS!K227+PONT!K227+FRANCIN!K227+VIVIERS!K227</f>
        <v>0</v>
      </c>
      <c r="L227" s="15">
        <f>CHAMNORD!L227+AIX!L227+BELLEY!L227+STALBAN!L227+ABRETS!L227+PONT!L227+FRANCIN!L227+VIVIERS!L227</f>
        <v>0</v>
      </c>
      <c r="M227" s="15">
        <f>CHAMNORD!M227+AIX!M227+BELLEY!M227+STALBAN!M227+ABRETS!M227+PONT!M227+FRANCIN!M227+VIVIERS!M227</f>
        <v>0</v>
      </c>
      <c r="N227" s="16" t="str">
        <f t="shared" si="15"/>
        <v/>
      </c>
      <c r="O227" s="17" t="str">
        <f t="shared" si="18"/>
        <v/>
      </c>
      <c r="P227" s="17" t="str">
        <f t="shared" si="19"/>
        <v/>
      </c>
      <c r="Q227" s="18" t="str">
        <f t="shared" si="16"/>
        <v/>
      </c>
      <c r="R227" s="18" t="e">
        <f t="shared" si="17"/>
        <v>#DIV/0!</v>
      </c>
      <c r="S227" s="33" t="s">
        <v>39</v>
      </c>
      <c r="T227" s="31" t="s">
        <v>42</v>
      </c>
      <c r="U227" s="1737" t="s">
        <v>115</v>
      </c>
    </row>
    <row r="228" spans="1:25">
      <c r="A228" s="10" t="s">
        <v>11</v>
      </c>
      <c r="B228" s="905">
        <v>45880</v>
      </c>
      <c r="C228" s="76">
        <f>IF(G228=0,0,CHAMNORD!C228+AIX!C228+BELLEY!C228+STALBAN!C228+ABRETS!C228+PONT!C228+FRANCIN!C228+VIVIERS!C228)</f>
        <v>0</v>
      </c>
      <c r="D228" s="76">
        <f>IF(H228=0,0,CHAMNORD!D228+AIX!D228+BELLEY!D228+STALBAN!D228+ABRETS!D228+PONT!D228+FRANCIN!D228+VIVIERS!D228)</f>
        <v>0</v>
      </c>
      <c r="E228" s="76">
        <f>IF(I228=0,0,CHAMNORD!E228+AIX!E228+BELLEY!E228+STALBAN!E228+ABRETS!E228+PONT!E228+FRANCIN!E228+VIVIERS!E228)</f>
        <v>0</v>
      </c>
      <c r="F228" s="20">
        <f>IF(J228=0,0,CHAMNORD!F228+AIX!F228+BELLEY!F228+STALBAN!F228+ABRETS!F228+PONT!F228+FRANCIN!F228+VIVIERS!F228)</f>
        <v>0</v>
      </c>
      <c r="G228" s="40">
        <f>IF(I228=0,0,CHAMNORD!G228+AIX!G228+BELLEY!G228+STALBAN!G228+ABRETS!G228+PONT!G228+FRANCIN!G228+VIVIERS!G228)</f>
        <v>0</v>
      </c>
      <c r="H228" s="42">
        <f>CHAMNORD!H228+AIX!H228+BELLEY!H228+STALBAN!H228+ABRETS!H228+PONT!H228+FRANCIN!H228+VIVIERS!H228</f>
        <v>0</v>
      </c>
      <c r="I228" s="13">
        <f>CHAMNORD!I228+AIX!I228+BELLEY!I228+STALBAN!I228+ABRETS!I228+PONT!I228+FRANCIN!I228+VIVIERS!I228</f>
        <v>0</v>
      </c>
      <c r="J228" s="14">
        <f>CHAMNORD!J228+AIX!J228+BELLEY!J228+STALBAN!J228+ABRETS!J228+PONT!J228+FRANCIN!J228+VIVIERS!J228</f>
        <v>0</v>
      </c>
      <c r="K228" s="15">
        <f>CHAMNORD!K228+AIX!K228+BELLEY!K228+STALBAN!K228+ABRETS!K228+PONT!K228+FRANCIN!K228+VIVIERS!K228</f>
        <v>0</v>
      </c>
      <c r="L228" s="15">
        <f>CHAMNORD!L228+AIX!L228+BELLEY!L228+STALBAN!L228+ABRETS!L228+PONT!L228+FRANCIN!L228+VIVIERS!L228</f>
        <v>0</v>
      </c>
      <c r="M228" s="15">
        <f>CHAMNORD!M228+AIX!M228+BELLEY!M228+STALBAN!M228+ABRETS!M228+PONT!M228+FRANCIN!M228+VIVIERS!M228</f>
        <v>0</v>
      </c>
      <c r="N228" s="16" t="str">
        <f t="shared" si="15"/>
        <v/>
      </c>
      <c r="O228" s="17" t="str">
        <f t="shared" si="18"/>
        <v/>
      </c>
      <c r="P228" s="17" t="str">
        <f t="shared" si="19"/>
        <v/>
      </c>
      <c r="Q228" s="18" t="str">
        <f t="shared" si="16"/>
        <v/>
      </c>
      <c r="R228" s="18" t="e">
        <f t="shared" si="17"/>
        <v>#DIV/0!</v>
      </c>
      <c r="S228" s="34">
        <f>SUM(I227:I233)</f>
        <v>0</v>
      </c>
      <c r="T228" s="45" t="s">
        <v>41</v>
      </c>
      <c r="U228" s="1738"/>
      <c r="W228" s="202">
        <f>+S228</f>
        <v>0</v>
      </c>
      <c r="X228" s="202">
        <f>SUM(CHAMNORD!E227:E233)+SUM(AIX!E227:E233)+SUM(BELLEY!E227:E233)+SUM(STALBAN!E227:E233)+SUM(ABRETS!E227:E233)+SUM(PONT!E227:E233)+SUM(FRANCIN!E227:E233)+SUM(VIVIERS!E227:E233)</f>
        <v>0</v>
      </c>
      <c r="Y228" s="1051">
        <f>+W228-X228</f>
        <v>0</v>
      </c>
    </row>
    <row r="229" spans="1:25">
      <c r="A229" s="10" t="s">
        <v>12</v>
      </c>
      <c r="B229" s="905">
        <v>45881</v>
      </c>
      <c r="C229" s="76">
        <f>IF(G229=0,0,CHAMNORD!C229+AIX!C229+BELLEY!C229+STALBAN!C229+ABRETS!C229+PONT!C229+FRANCIN!C229+VIVIERS!C229)</f>
        <v>0</v>
      </c>
      <c r="D229" s="76">
        <f>IF(H229=0,0,CHAMNORD!D229+AIX!D229+BELLEY!D229+STALBAN!D229+ABRETS!D229+PONT!D229+FRANCIN!D229+VIVIERS!D229)</f>
        <v>0</v>
      </c>
      <c r="E229" s="76">
        <f>IF(I229=0,0,CHAMNORD!E229+AIX!E229+BELLEY!E229+STALBAN!E229+ABRETS!E229+PONT!E229+FRANCIN!E229+VIVIERS!E229)</f>
        <v>0</v>
      </c>
      <c r="F229" s="20">
        <f>IF(J229=0,0,CHAMNORD!F229+AIX!F229+BELLEY!F229+STALBAN!F229+ABRETS!F229+PONT!F229+FRANCIN!F229+VIVIERS!F229)</f>
        <v>0</v>
      </c>
      <c r="G229" s="40">
        <f>IF(I229=0,0,CHAMNORD!G229+AIX!G229+BELLEY!G229+STALBAN!G229+ABRETS!G229+PONT!G229+FRANCIN!G229+VIVIERS!G229)</f>
        <v>0</v>
      </c>
      <c r="H229" s="42">
        <f>CHAMNORD!H229+AIX!H229+BELLEY!H229+STALBAN!H229+ABRETS!H229+PONT!H229+FRANCIN!H229+VIVIERS!H229</f>
        <v>0</v>
      </c>
      <c r="I229" s="13">
        <f>CHAMNORD!I229+AIX!I229+BELLEY!I229+STALBAN!I229+ABRETS!I229+PONT!I229+FRANCIN!I229+VIVIERS!I229</f>
        <v>0</v>
      </c>
      <c r="J229" s="14">
        <f>CHAMNORD!J229+AIX!J229+BELLEY!J229+STALBAN!J229+ABRETS!J229+PONT!J229+FRANCIN!J229+VIVIERS!J229</f>
        <v>0</v>
      </c>
      <c r="K229" s="15">
        <f>CHAMNORD!K229+AIX!K229+BELLEY!K229+STALBAN!K229+ABRETS!K229+PONT!K229+FRANCIN!K229+VIVIERS!K229</f>
        <v>0</v>
      </c>
      <c r="L229" s="15">
        <f>CHAMNORD!L229+AIX!L229+BELLEY!L229+STALBAN!L229+ABRETS!L229+PONT!L229+FRANCIN!L229+VIVIERS!L229</f>
        <v>0</v>
      </c>
      <c r="M229" s="15">
        <f>CHAMNORD!M229+AIX!M229+BELLEY!M229+STALBAN!M229+ABRETS!M229+PONT!M229+FRANCIN!M229+VIVIERS!M229</f>
        <v>0</v>
      </c>
      <c r="N229" s="16" t="str">
        <f t="shared" si="15"/>
        <v/>
      </c>
      <c r="O229" s="17" t="str">
        <f t="shared" si="18"/>
        <v/>
      </c>
      <c r="P229" s="17" t="str">
        <f t="shared" si="19"/>
        <v/>
      </c>
      <c r="Q229" s="18" t="str">
        <f t="shared" si="16"/>
        <v/>
      </c>
      <c r="R229" s="18" t="e">
        <f t="shared" si="17"/>
        <v>#DIV/0!</v>
      </c>
      <c r="S229" s="35" t="e">
        <f>(S228-SUM(E227:E233))/(SUM(E227:E233))</f>
        <v>#DIV/0!</v>
      </c>
      <c r="T229" s="48" t="e">
        <f>SUM(I227:I233)/SUM(K227:K233)</f>
        <v>#DIV/0!</v>
      </c>
      <c r="U229" s="1738"/>
    </row>
    <row r="230" spans="1:25">
      <c r="A230" s="10" t="s">
        <v>13</v>
      </c>
      <c r="B230" s="905">
        <v>45882</v>
      </c>
      <c r="C230" s="76">
        <f>IF(G230=0,0,CHAMNORD!C230+AIX!C230+BELLEY!C230+STALBAN!C230+ABRETS!C230+PONT!C230+FRANCIN!C230+VIVIERS!C230)</f>
        <v>0</v>
      </c>
      <c r="D230" s="76">
        <f>IF(H230=0,0,CHAMNORD!D230+AIX!D230+BELLEY!D230+STALBAN!D230+ABRETS!D230+PONT!D230+FRANCIN!D230+VIVIERS!D230)</f>
        <v>0</v>
      </c>
      <c r="E230" s="76">
        <f>IF(I230=0,0,CHAMNORD!E230+AIX!E230+BELLEY!E230+STALBAN!E230+ABRETS!E230+PONT!E230+FRANCIN!E230+VIVIERS!E230)</f>
        <v>0</v>
      </c>
      <c r="F230" s="20">
        <f>IF(J230=0,0,CHAMNORD!F230+AIX!F230+BELLEY!F230+STALBAN!F230+ABRETS!F230+PONT!F230+FRANCIN!F230+VIVIERS!F230)</f>
        <v>0</v>
      </c>
      <c r="G230" s="40">
        <f>IF(I230=0,0,CHAMNORD!G230+AIX!G230+BELLEY!G230+STALBAN!G230+ABRETS!G230+PONT!G230+FRANCIN!G230+VIVIERS!G230)</f>
        <v>0</v>
      </c>
      <c r="H230" s="42">
        <f>CHAMNORD!H230+AIX!H230+BELLEY!H230+STALBAN!H230+ABRETS!H230+PONT!H230+FRANCIN!H230+VIVIERS!H230</f>
        <v>0</v>
      </c>
      <c r="I230" s="13">
        <f>CHAMNORD!I230+AIX!I230+BELLEY!I230+STALBAN!I230+ABRETS!I230+PONT!I230+FRANCIN!I230+VIVIERS!I230</f>
        <v>0</v>
      </c>
      <c r="J230" s="14">
        <f>CHAMNORD!J230+AIX!J230+BELLEY!J230+STALBAN!J230+ABRETS!J230+PONT!J230+FRANCIN!J230+VIVIERS!J230</f>
        <v>0</v>
      </c>
      <c r="K230" s="15">
        <f>CHAMNORD!K230+AIX!K230+BELLEY!K230+STALBAN!K230+ABRETS!K230+PONT!K230+FRANCIN!K230+VIVIERS!K230</f>
        <v>0</v>
      </c>
      <c r="L230" s="15">
        <f>CHAMNORD!L230+AIX!L230+BELLEY!L230+STALBAN!L230+ABRETS!L230+PONT!L230+FRANCIN!L230+VIVIERS!L230</f>
        <v>0</v>
      </c>
      <c r="M230" s="15">
        <f>CHAMNORD!M230+AIX!M230+BELLEY!M230+STALBAN!M230+ABRETS!M230+PONT!M230+FRANCIN!M230+VIVIERS!M230</f>
        <v>0</v>
      </c>
      <c r="N230" s="16" t="str">
        <f t="shared" si="15"/>
        <v/>
      </c>
      <c r="O230" s="17" t="str">
        <f t="shared" si="18"/>
        <v/>
      </c>
      <c r="P230" s="17" t="str">
        <f t="shared" si="19"/>
        <v/>
      </c>
      <c r="Q230" s="18" t="str">
        <f t="shared" si="16"/>
        <v/>
      </c>
      <c r="R230" s="18" t="e">
        <f t="shared" si="17"/>
        <v>#DIV/0!</v>
      </c>
      <c r="S230" s="34"/>
      <c r="T230" s="29" t="s">
        <v>8</v>
      </c>
      <c r="U230" s="1738"/>
    </row>
    <row r="231" spans="1:25">
      <c r="A231" s="10" t="s">
        <v>14</v>
      </c>
      <c r="B231" s="905">
        <v>45883</v>
      </c>
      <c r="C231" s="76">
        <f>IF(G231=0,0,CHAMNORD!C231+AIX!C231+BELLEY!C231+STALBAN!C231+ABRETS!C231+PONT!C231+FRANCIN!C231+VIVIERS!C231)</f>
        <v>0</v>
      </c>
      <c r="D231" s="76">
        <f>IF(H231=0,0,CHAMNORD!D231+AIX!D231+BELLEY!D231+STALBAN!D231+ABRETS!D231+PONT!D231+FRANCIN!D231+VIVIERS!D231)</f>
        <v>0</v>
      </c>
      <c r="E231" s="76">
        <f>IF(I231=0,0,CHAMNORD!E231+AIX!E231+BELLEY!E231+STALBAN!E231+ABRETS!E231+PONT!E231+FRANCIN!E231+VIVIERS!E231)</f>
        <v>0</v>
      </c>
      <c r="F231" s="20">
        <f>IF(J231=0,0,CHAMNORD!F231+AIX!F231+BELLEY!F231+STALBAN!F231+ABRETS!F231+PONT!F231+FRANCIN!F231+VIVIERS!F231)</f>
        <v>0</v>
      </c>
      <c r="G231" s="40">
        <f>IF(I231=0,0,CHAMNORD!G231+AIX!G231+BELLEY!G231+STALBAN!G231+ABRETS!G231+PONT!G231+FRANCIN!G231+VIVIERS!G231)</f>
        <v>0</v>
      </c>
      <c r="H231" s="42">
        <f>CHAMNORD!H231+AIX!H231+BELLEY!H231+STALBAN!H231+ABRETS!H231+PONT!H231+FRANCIN!H231+VIVIERS!H231</f>
        <v>0</v>
      </c>
      <c r="I231" s="13">
        <f>CHAMNORD!I231+AIX!I231+BELLEY!I231+STALBAN!I231+ABRETS!I231+PONT!I231+FRANCIN!I231+VIVIERS!I231</f>
        <v>0</v>
      </c>
      <c r="J231" s="14">
        <f>CHAMNORD!J231+AIX!J231+BELLEY!J231+STALBAN!J231+ABRETS!J231+PONT!J231+FRANCIN!J231+VIVIERS!J231</f>
        <v>0</v>
      </c>
      <c r="K231" s="15">
        <f>CHAMNORD!K231+AIX!K231+BELLEY!K231+STALBAN!K231+ABRETS!K231+PONT!K231+FRANCIN!K231+VIVIERS!K231</f>
        <v>0</v>
      </c>
      <c r="L231" s="15">
        <f>CHAMNORD!L231+AIX!L231+BELLEY!L231+STALBAN!L231+ABRETS!L231+PONT!L231+FRANCIN!L231+VIVIERS!L231</f>
        <v>0</v>
      </c>
      <c r="M231" s="15">
        <f>CHAMNORD!M231+AIX!M231+BELLEY!M231+STALBAN!M231+ABRETS!M231+PONT!M231+FRANCIN!M231+VIVIERS!M231</f>
        <v>0</v>
      </c>
      <c r="N231" s="16" t="str">
        <f t="shared" si="15"/>
        <v/>
      </c>
      <c r="O231" s="17" t="str">
        <f t="shared" si="18"/>
        <v/>
      </c>
      <c r="P231" s="17" t="str">
        <f t="shared" si="19"/>
        <v/>
      </c>
      <c r="Q231" s="18" t="str">
        <f t="shared" si="16"/>
        <v/>
      </c>
      <c r="R231" s="18" t="e">
        <f t="shared" si="17"/>
        <v>#DIV/0!</v>
      </c>
      <c r="S231" s="36" t="s">
        <v>40</v>
      </c>
      <c r="T231" s="48" t="e">
        <f>SUM(I227:I233)/SUM(L227:L233)</f>
        <v>#DIV/0!</v>
      </c>
      <c r="U231" s="1738"/>
    </row>
    <row r="232" spans="1:25">
      <c r="A232" s="10" t="s">
        <v>15</v>
      </c>
      <c r="B232" s="905">
        <v>45884</v>
      </c>
      <c r="C232" s="76">
        <f>IF(G232=0,0,CHAMNORD!C232+AIX!C232+BELLEY!C232+STALBAN!C232+ABRETS!C232+PONT!C232+FRANCIN!C232+VIVIERS!C232)</f>
        <v>0</v>
      </c>
      <c r="D232" s="76">
        <f>IF(H232=0,0,CHAMNORD!D232+AIX!D232+BELLEY!D232+STALBAN!D232+ABRETS!D232+PONT!D232+FRANCIN!D232+VIVIERS!D232)</f>
        <v>0</v>
      </c>
      <c r="E232" s="76">
        <f>IF(I232=0,0,CHAMNORD!E232+AIX!E232+BELLEY!E232+STALBAN!E232+ABRETS!E232+PONT!E232+FRANCIN!E232+VIVIERS!E232)</f>
        <v>0</v>
      </c>
      <c r="F232" s="20">
        <f>IF(J232=0,0,CHAMNORD!F232+AIX!F232+BELLEY!F232+STALBAN!F232+ABRETS!F232+PONT!F232+FRANCIN!F232+VIVIERS!F232)</f>
        <v>0</v>
      </c>
      <c r="G232" s="40">
        <f>IF(I232=0,0,CHAMNORD!G232+AIX!G232+BELLEY!G232+STALBAN!G232+ABRETS!G232+PONT!G232+FRANCIN!G232+VIVIERS!G232)</f>
        <v>0</v>
      </c>
      <c r="H232" s="42">
        <f>CHAMNORD!H232+AIX!H232+BELLEY!H232+STALBAN!H232+ABRETS!H232+PONT!H232+FRANCIN!H232+VIVIERS!H232</f>
        <v>0</v>
      </c>
      <c r="I232" s="13">
        <f>CHAMNORD!I232+AIX!I232+BELLEY!I232+STALBAN!I232+ABRETS!I232+PONT!I232+FRANCIN!I232+VIVIERS!I232</f>
        <v>0</v>
      </c>
      <c r="J232" s="14">
        <f>CHAMNORD!J232+AIX!J232+BELLEY!J232+STALBAN!J232+ABRETS!J232+PONT!J232+FRANCIN!J232+VIVIERS!J232</f>
        <v>0</v>
      </c>
      <c r="K232" s="15">
        <f>CHAMNORD!K232+AIX!K232+BELLEY!K232+STALBAN!K232+ABRETS!K232+PONT!K232+FRANCIN!K232+VIVIERS!K232</f>
        <v>0</v>
      </c>
      <c r="L232" s="15">
        <f>CHAMNORD!L232+AIX!L232+BELLEY!L232+STALBAN!L232+ABRETS!L232+PONT!L232+FRANCIN!L232+VIVIERS!L232</f>
        <v>0</v>
      </c>
      <c r="M232" s="15">
        <f>CHAMNORD!M232+AIX!M232+BELLEY!M232+STALBAN!M232+ABRETS!M232+PONT!M232+FRANCIN!M232+VIVIERS!M232</f>
        <v>0</v>
      </c>
      <c r="N232" s="16" t="str">
        <f t="shared" si="15"/>
        <v/>
      </c>
      <c r="O232" s="17" t="str">
        <f t="shared" si="18"/>
        <v/>
      </c>
      <c r="P232" s="17" t="str">
        <f t="shared" si="19"/>
        <v/>
      </c>
      <c r="Q232" s="18" t="str">
        <f t="shared" si="16"/>
        <v/>
      </c>
      <c r="R232" s="18" t="e">
        <f t="shared" si="17"/>
        <v>#DIV/0!</v>
      </c>
      <c r="S232" s="36">
        <f>SUM(J227:J233)</f>
        <v>0</v>
      </c>
      <c r="T232" s="30" t="s">
        <v>3</v>
      </c>
      <c r="U232" s="1738"/>
    </row>
    <row r="233" spans="1:25" ht="18" thickBot="1">
      <c r="A233" s="10" t="s">
        <v>16</v>
      </c>
      <c r="B233" s="905">
        <v>45885</v>
      </c>
      <c r="C233" s="76">
        <f>IF(G233=0,0,CHAMNORD!C233+AIX!C233+BELLEY!C233+STALBAN!C233+ABRETS!C233+PONT!C233+FRANCIN!C233+VIVIERS!C233)</f>
        <v>0</v>
      </c>
      <c r="D233" s="76">
        <f>IF(H233=0,0,CHAMNORD!D233+AIX!D233+BELLEY!D233+STALBAN!D233+ABRETS!D233+PONT!D233+FRANCIN!D233+VIVIERS!D233)</f>
        <v>0</v>
      </c>
      <c r="E233" s="76">
        <f>IF(I233=0,0,CHAMNORD!E233+AIX!E233+BELLEY!E233+STALBAN!E233+ABRETS!E233+PONT!E233+FRANCIN!E233+VIVIERS!E233)</f>
        <v>0</v>
      </c>
      <c r="F233" s="20">
        <f>IF(J233=0,0,CHAMNORD!F233+AIX!F233+BELLEY!F233+STALBAN!F233+ABRETS!F233+PONT!F233+FRANCIN!F233+VIVIERS!F233)</f>
        <v>0</v>
      </c>
      <c r="G233" s="40">
        <f>IF(I233=0,0,CHAMNORD!G233+AIX!G233+BELLEY!G233+STALBAN!G233+ABRETS!G233+PONT!G233+FRANCIN!G233+VIVIERS!G233)</f>
        <v>0</v>
      </c>
      <c r="H233" s="42">
        <f>CHAMNORD!H233+AIX!H233+BELLEY!H233+STALBAN!H233+ABRETS!H233+PONT!H233+FRANCIN!H233+VIVIERS!H233</f>
        <v>0</v>
      </c>
      <c r="I233" s="13">
        <f>CHAMNORD!I233+AIX!I233+BELLEY!I233+STALBAN!I233+ABRETS!I233+PONT!I233+FRANCIN!I233+VIVIERS!I233</f>
        <v>0</v>
      </c>
      <c r="J233" s="14">
        <f>CHAMNORD!J233+AIX!J233+BELLEY!J233+STALBAN!J233+ABRETS!J233+PONT!J233+FRANCIN!J233+VIVIERS!J233</f>
        <v>0</v>
      </c>
      <c r="K233" s="15">
        <f>CHAMNORD!K233+AIX!K233+BELLEY!K233+STALBAN!K233+ABRETS!K233+PONT!K233+FRANCIN!K233+VIVIERS!K233</f>
        <v>0</v>
      </c>
      <c r="L233" s="15">
        <f>CHAMNORD!L233+AIX!L233+BELLEY!L233+STALBAN!L233+ABRETS!L233+PONT!L233+FRANCIN!L233+VIVIERS!L233</f>
        <v>0</v>
      </c>
      <c r="M233" s="15">
        <f>CHAMNORD!M233+AIX!M233+BELLEY!M233+STALBAN!M233+ABRETS!M233+PONT!M233+FRANCIN!M233+VIVIERS!M233</f>
        <v>0</v>
      </c>
      <c r="N233" s="16" t="str">
        <f t="shared" si="15"/>
        <v/>
      </c>
      <c r="O233" s="17" t="str">
        <f t="shared" si="18"/>
        <v/>
      </c>
      <c r="P233" s="17" t="str">
        <f t="shared" si="19"/>
        <v/>
      </c>
      <c r="Q233" s="18" t="str">
        <f t="shared" si="16"/>
        <v/>
      </c>
      <c r="R233" s="18" t="e">
        <f t="shared" si="17"/>
        <v>#DIV/0!</v>
      </c>
      <c r="S233" s="37" t="e">
        <f>(S232-SUM(F227:F233))/(SUM(F227:F233))</f>
        <v>#DIV/0!</v>
      </c>
      <c r="T233" s="47" t="e">
        <f>SUM(M227:M233)/SUM(I227:I233)</f>
        <v>#DIV/0!</v>
      </c>
      <c r="U233" s="1739"/>
    </row>
    <row r="234" spans="1:25" ht="17" customHeight="1" thickTop="1">
      <c r="A234" s="10" t="s">
        <v>9</v>
      </c>
      <c r="B234" s="905">
        <v>45886</v>
      </c>
      <c r="C234" s="76">
        <f>IF(G234=0,0,CHAMNORD!C234+AIX!C234+BELLEY!C234+STALBAN!C234+ABRETS!C234+PONT!C234+FRANCIN!C234+VIVIERS!C234)</f>
        <v>0</v>
      </c>
      <c r="D234" s="76">
        <f>IF(H234=0,0,CHAMNORD!D234+AIX!D234+BELLEY!D234+STALBAN!D234+ABRETS!D234+PONT!D234+FRANCIN!D234+VIVIERS!D234)</f>
        <v>0</v>
      </c>
      <c r="E234" s="76">
        <f>IF(I234=0,0,CHAMNORD!E234+AIX!E234+BELLEY!E234+STALBAN!E234+ABRETS!E234+PONT!E234+FRANCIN!E234+VIVIERS!E234)</f>
        <v>0</v>
      </c>
      <c r="F234" s="20">
        <f>IF(J234=0,0,CHAMNORD!F234+AIX!F234+BELLEY!F234+STALBAN!F234+ABRETS!F234+PONT!F234+FRANCIN!F234+VIVIERS!F234)</f>
        <v>0</v>
      </c>
      <c r="G234" s="40">
        <f>IF(I234=0,0,CHAMNORD!G234+AIX!G234+BELLEY!G234+STALBAN!G234+ABRETS!G234+PONT!G234+FRANCIN!G234+VIVIERS!G234)</f>
        <v>0</v>
      </c>
      <c r="H234" s="42">
        <f>CHAMNORD!H234+AIX!H234+BELLEY!H234+STALBAN!H234+ABRETS!H234+PONT!H234+FRANCIN!H234+VIVIERS!H234</f>
        <v>0</v>
      </c>
      <c r="I234" s="13">
        <f>CHAMNORD!I234+AIX!I234+BELLEY!I234+STALBAN!I234+ABRETS!I234+PONT!I234+FRANCIN!I234+VIVIERS!I234</f>
        <v>0</v>
      </c>
      <c r="J234" s="14">
        <f>CHAMNORD!J234+AIX!J234+BELLEY!J234+STALBAN!J234+ABRETS!J234+PONT!J234+FRANCIN!J234+VIVIERS!J234</f>
        <v>0</v>
      </c>
      <c r="K234" s="15">
        <f>CHAMNORD!K234+AIX!K234+BELLEY!K234+STALBAN!K234+ABRETS!K234+PONT!K234+FRANCIN!K234+VIVIERS!K234</f>
        <v>0</v>
      </c>
      <c r="L234" s="15">
        <f>CHAMNORD!L234+AIX!L234+BELLEY!L234+STALBAN!L234+ABRETS!L234+PONT!L234+FRANCIN!L234+VIVIERS!L234</f>
        <v>0</v>
      </c>
      <c r="M234" s="15">
        <f>CHAMNORD!M234+AIX!M234+BELLEY!M234+STALBAN!M234+ABRETS!M234+PONT!M234+FRANCIN!M234+VIVIERS!M234</f>
        <v>0</v>
      </c>
      <c r="N234" s="16" t="str">
        <f t="shared" si="15"/>
        <v/>
      </c>
      <c r="O234" s="17" t="str">
        <f t="shared" si="18"/>
        <v/>
      </c>
      <c r="P234" s="17" t="str">
        <f t="shared" si="19"/>
        <v/>
      </c>
      <c r="Q234" s="18" t="str">
        <f t="shared" si="16"/>
        <v/>
      </c>
      <c r="R234" s="18" t="e">
        <f t="shared" si="17"/>
        <v>#DIV/0!</v>
      </c>
      <c r="S234" s="33" t="s">
        <v>39</v>
      </c>
      <c r="T234" s="31" t="s">
        <v>42</v>
      </c>
      <c r="U234" s="1737" t="s">
        <v>116</v>
      </c>
    </row>
    <row r="235" spans="1:25">
      <c r="A235" s="10" t="s">
        <v>11</v>
      </c>
      <c r="B235" s="905">
        <v>45887</v>
      </c>
      <c r="C235" s="76">
        <f>IF(G235=0,0,CHAMNORD!C235+AIX!C235+BELLEY!C235+STALBAN!C235+ABRETS!C235+PONT!C235+FRANCIN!C235+VIVIERS!C235)</f>
        <v>0</v>
      </c>
      <c r="D235" s="76">
        <f>IF(H235=0,0,CHAMNORD!D235+AIX!D235+BELLEY!D235+STALBAN!D235+ABRETS!D235+PONT!D235+FRANCIN!D235+VIVIERS!D235)</f>
        <v>0</v>
      </c>
      <c r="E235" s="76">
        <f>IF(I235=0,0,CHAMNORD!E235+AIX!E235+BELLEY!E235+STALBAN!E235+ABRETS!E235+PONT!E235+FRANCIN!E235+VIVIERS!E235)</f>
        <v>0</v>
      </c>
      <c r="F235" s="20">
        <f>IF(J235=0,0,CHAMNORD!F235+AIX!F235+BELLEY!F235+STALBAN!F235+ABRETS!F235+PONT!F235+FRANCIN!F235+VIVIERS!F235)</f>
        <v>0</v>
      </c>
      <c r="G235" s="40">
        <f>IF(I235=0,0,CHAMNORD!G235+AIX!G235+BELLEY!G235+STALBAN!G235+ABRETS!G235+PONT!G235+FRANCIN!G235+VIVIERS!G235)</f>
        <v>0</v>
      </c>
      <c r="H235" s="42">
        <f>CHAMNORD!H235+AIX!H235+BELLEY!H235+STALBAN!H235+ABRETS!H235+PONT!H235+FRANCIN!H235+VIVIERS!H235</f>
        <v>0</v>
      </c>
      <c r="I235" s="13">
        <f>CHAMNORD!I235+AIX!I235+BELLEY!I235+STALBAN!I235+ABRETS!I235+PONT!I235+FRANCIN!I235+VIVIERS!I235</f>
        <v>0</v>
      </c>
      <c r="J235" s="14">
        <f>CHAMNORD!J235+AIX!J235+BELLEY!J235+STALBAN!J235+ABRETS!J235+PONT!J235+FRANCIN!J235+VIVIERS!J235</f>
        <v>0</v>
      </c>
      <c r="K235" s="15">
        <f>CHAMNORD!K235+AIX!K235+BELLEY!K235+STALBAN!K235+ABRETS!K235+PONT!K235+FRANCIN!K235+VIVIERS!K235</f>
        <v>0</v>
      </c>
      <c r="L235" s="15">
        <f>CHAMNORD!L235+AIX!L235+BELLEY!L235+STALBAN!L235+ABRETS!L235+PONT!L235+FRANCIN!L235+VIVIERS!L235</f>
        <v>0</v>
      </c>
      <c r="M235" s="15">
        <f>CHAMNORD!M235+AIX!M235+BELLEY!M235+STALBAN!M235+ABRETS!M235+PONT!M235+FRANCIN!M235+VIVIERS!M235</f>
        <v>0</v>
      </c>
      <c r="N235" s="16" t="str">
        <f t="shared" si="15"/>
        <v/>
      </c>
      <c r="O235" s="17" t="str">
        <f t="shared" si="18"/>
        <v/>
      </c>
      <c r="P235" s="17" t="str">
        <f t="shared" si="19"/>
        <v/>
      </c>
      <c r="Q235" s="18" t="str">
        <f t="shared" si="16"/>
        <v/>
      </c>
      <c r="R235" s="18" t="e">
        <f t="shared" si="17"/>
        <v>#DIV/0!</v>
      </c>
      <c r="S235" s="34">
        <f>SUM(I234:I240)</f>
        <v>0</v>
      </c>
      <c r="T235" s="45" t="s">
        <v>41</v>
      </c>
      <c r="U235" s="1738"/>
      <c r="W235" s="202">
        <f>+S235</f>
        <v>0</v>
      </c>
      <c r="X235" s="202">
        <f>SUM(CHAMNORD!E234:E240)+SUM(AIX!E234:E240)+SUM(BELLEY!E234:E240)+SUM(STALBAN!E234:E240)+SUM(ABRETS!E234:E240)+SUM(PONT!E234:E240)+SUM(FRANCIN!E234:E240)+SUM(VIVIERS!E234:E240)</f>
        <v>0</v>
      </c>
      <c r="Y235" s="1051">
        <f>+W235-X235</f>
        <v>0</v>
      </c>
    </row>
    <row r="236" spans="1:25">
      <c r="A236" s="10" t="s">
        <v>12</v>
      </c>
      <c r="B236" s="905">
        <v>45888</v>
      </c>
      <c r="C236" s="76">
        <f>IF(G236=0,0,CHAMNORD!C236+AIX!C236+BELLEY!C236+STALBAN!C236+ABRETS!C236+PONT!C236+FRANCIN!C236+VIVIERS!C236)</f>
        <v>0</v>
      </c>
      <c r="D236" s="76">
        <f>IF(H236=0,0,CHAMNORD!D236+AIX!D236+BELLEY!D236+STALBAN!D236+ABRETS!D236+PONT!D236+FRANCIN!D236+VIVIERS!D236)</f>
        <v>0</v>
      </c>
      <c r="E236" s="76">
        <f>IF(I236=0,0,CHAMNORD!E236+AIX!E236+BELLEY!E236+STALBAN!E236+ABRETS!E236+PONT!E236+FRANCIN!E236+VIVIERS!E236)</f>
        <v>0</v>
      </c>
      <c r="F236" s="20">
        <f>IF(J236=0,0,CHAMNORD!F236+AIX!F236+BELLEY!F236+STALBAN!F236+ABRETS!F236+PONT!F236+FRANCIN!F236+VIVIERS!F236)</f>
        <v>0</v>
      </c>
      <c r="G236" s="40">
        <f>IF(I236=0,0,CHAMNORD!G236+AIX!G236+BELLEY!G236+STALBAN!G236+ABRETS!G236+PONT!G236+FRANCIN!G236+VIVIERS!G236)</f>
        <v>0</v>
      </c>
      <c r="H236" s="42">
        <f>CHAMNORD!H236+AIX!H236+BELLEY!H236+STALBAN!H236+ABRETS!H236+PONT!H236+FRANCIN!H236+VIVIERS!H236</f>
        <v>0</v>
      </c>
      <c r="I236" s="13">
        <f>CHAMNORD!I236+AIX!I236+BELLEY!I236+STALBAN!I236+ABRETS!I236+PONT!I236+FRANCIN!I236+VIVIERS!I236</f>
        <v>0</v>
      </c>
      <c r="J236" s="14">
        <f>CHAMNORD!J236+AIX!J236+BELLEY!J236+STALBAN!J236+ABRETS!J236+PONT!J236+FRANCIN!J236+VIVIERS!J236</f>
        <v>0</v>
      </c>
      <c r="K236" s="15">
        <f>CHAMNORD!K236+AIX!K236+BELLEY!K236+STALBAN!K236+ABRETS!K236+PONT!K236+FRANCIN!K236+VIVIERS!K236</f>
        <v>0</v>
      </c>
      <c r="L236" s="15">
        <f>CHAMNORD!L236+AIX!L236+BELLEY!L236+STALBAN!L236+ABRETS!L236+PONT!L236+FRANCIN!L236+VIVIERS!L236</f>
        <v>0</v>
      </c>
      <c r="M236" s="15">
        <f>CHAMNORD!M236+AIX!M236+BELLEY!M236+STALBAN!M236+ABRETS!M236+PONT!M236+FRANCIN!M236+VIVIERS!M236</f>
        <v>0</v>
      </c>
      <c r="N236" s="16" t="str">
        <f t="shared" si="15"/>
        <v/>
      </c>
      <c r="O236" s="17" t="str">
        <f t="shared" si="18"/>
        <v/>
      </c>
      <c r="P236" s="17" t="str">
        <f t="shared" si="19"/>
        <v/>
      </c>
      <c r="Q236" s="18" t="str">
        <f t="shared" si="16"/>
        <v/>
      </c>
      <c r="R236" s="18" t="e">
        <f t="shared" si="17"/>
        <v>#DIV/0!</v>
      </c>
      <c r="S236" s="35" t="e">
        <f>(S235-SUM(E234:E240))/(SUM(E234:E240))</f>
        <v>#DIV/0!</v>
      </c>
      <c r="T236" s="48" t="e">
        <f>SUM(I234:I240)/SUM(K234:K240)</f>
        <v>#DIV/0!</v>
      </c>
      <c r="U236" s="1738"/>
    </row>
    <row r="237" spans="1:25">
      <c r="A237" s="10" t="s">
        <v>13</v>
      </c>
      <c r="B237" s="905">
        <v>45889</v>
      </c>
      <c r="C237" s="76">
        <f>IF(G237=0,0,CHAMNORD!C237+AIX!C237+BELLEY!C237+STALBAN!C237+ABRETS!C237+PONT!C237+FRANCIN!C237+VIVIERS!C237)</f>
        <v>0</v>
      </c>
      <c r="D237" s="76">
        <f>IF(H237=0,0,CHAMNORD!D237+AIX!D237+BELLEY!D237+STALBAN!D237+ABRETS!D237+PONT!D237+FRANCIN!D237+VIVIERS!D237)</f>
        <v>0</v>
      </c>
      <c r="E237" s="76">
        <f>IF(I237=0,0,CHAMNORD!E237+AIX!E237+BELLEY!E237+STALBAN!E237+ABRETS!E237+PONT!E237+FRANCIN!E237+VIVIERS!E237)</f>
        <v>0</v>
      </c>
      <c r="F237" s="20">
        <f>IF(J237=0,0,CHAMNORD!F237+AIX!F237+BELLEY!F237+STALBAN!F237+ABRETS!F237+PONT!F237+FRANCIN!F237+VIVIERS!F237)</f>
        <v>0</v>
      </c>
      <c r="G237" s="40">
        <f>IF(I237=0,0,CHAMNORD!G237+AIX!G237+BELLEY!G237+STALBAN!G237+ABRETS!G237+PONT!G237+FRANCIN!G237+VIVIERS!G237)</f>
        <v>0</v>
      </c>
      <c r="H237" s="42">
        <f>CHAMNORD!H237+AIX!H237+BELLEY!H237+STALBAN!H237+ABRETS!H237+PONT!H237+FRANCIN!H237+VIVIERS!H237</f>
        <v>0</v>
      </c>
      <c r="I237" s="13">
        <f>CHAMNORD!I237+AIX!I237+BELLEY!I237+STALBAN!I237+ABRETS!I237+PONT!I237+FRANCIN!I237+VIVIERS!I237</f>
        <v>0</v>
      </c>
      <c r="J237" s="14">
        <f>CHAMNORD!J237+AIX!J237+BELLEY!J237+STALBAN!J237+ABRETS!J237+PONT!J237+FRANCIN!J237+VIVIERS!J237</f>
        <v>0</v>
      </c>
      <c r="K237" s="15">
        <f>CHAMNORD!K237+AIX!K237+BELLEY!K237+STALBAN!K237+ABRETS!K237+PONT!K237+FRANCIN!K237+VIVIERS!K237</f>
        <v>0</v>
      </c>
      <c r="L237" s="15">
        <f>CHAMNORD!L237+AIX!L237+BELLEY!L237+STALBAN!L237+ABRETS!L237+PONT!L237+FRANCIN!L237+VIVIERS!L237</f>
        <v>0</v>
      </c>
      <c r="M237" s="15">
        <f>CHAMNORD!M237+AIX!M237+BELLEY!M237+STALBAN!M237+ABRETS!M237+PONT!M237+FRANCIN!M237+VIVIERS!M237</f>
        <v>0</v>
      </c>
      <c r="N237" s="16" t="str">
        <f t="shared" si="15"/>
        <v/>
      </c>
      <c r="O237" s="17" t="str">
        <f t="shared" si="18"/>
        <v/>
      </c>
      <c r="P237" s="17" t="str">
        <f t="shared" si="19"/>
        <v/>
      </c>
      <c r="Q237" s="18" t="str">
        <f t="shared" si="16"/>
        <v/>
      </c>
      <c r="R237" s="18" t="e">
        <f t="shared" si="17"/>
        <v>#DIV/0!</v>
      </c>
      <c r="S237" s="34"/>
      <c r="T237" s="29" t="s">
        <v>8</v>
      </c>
      <c r="U237" s="1738"/>
    </row>
    <row r="238" spans="1:25">
      <c r="A238" s="10" t="s">
        <v>14</v>
      </c>
      <c r="B238" s="905">
        <v>45890</v>
      </c>
      <c r="C238" s="76">
        <f>IF(G238=0,0,CHAMNORD!C238+AIX!C238+BELLEY!C238+STALBAN!C238+ABRETS!C238+PONT!C238+FRANCIN!C238+VIVIERS!C238)</f>
        <v>0</v>
      </c>
      <c r="D238" s="76">
        <f>IF(H238=0,0,CHAMNORD!D238+AIX!D238+BELLEY!D238+STALBAN!D238+ABRETS!D238+PONT!D238+FRANCIN!D238+VIVIERS!D238)</f>
        <v>0</v>
      </c>
      <c r="E238" s="76">
        <f>IF(I238=0,0,CHAMNORD!E238+AIX!E238+BELLEY!E238+STALBAN!E238+ABRETS!E238+PONT!E238+FRANCIN!E238+VIVIERS!E238)</f>
        <v>0</v>
      </c>
      <c r="F238" s="20">
        <f>IF(J238=0,0,CHAMNORD!F238+AIX!F238+BELLEY!F238+STALBAN!F238+ABRETS!F238+PONT!F238+FRANCIN!F238+VIVIERS!F238)</f>
        <v>0</v>
      </c>
      <c r="G238" s="40">
        <f>IF(I238=0,0,CHAMNORD!G238+AIX!G238+BELLEY!G238+STALBAN!G238+ABRETS!G238+PONT!G238+FRANCIN!G238+VIVIERS!G238)</f>
        <v>0</v>
      </c>
      <c r="H238" s="42">
        <f>CHAMNORD!H238+AIX!H238+BELLEY!H238+STALBAN!H238+ABRETS!H238+PONT!H238+FRANCIN!H238+VIVIERS!H238</f>
        <v>0</v>
      </c>
      <c r="I238" s="13">
        <f>CHAMNORD!I238+AIX!I238+BELLEY!I238+STALBAN!I238+ABRETS!I238+PONT!I238+FRANCIN!I238+VIVIERS!I238</f>
        <v>0</v>
      </c>
      <c r="J238" s="14">
        <f>CHAMNORD!J238+AIX!J238+BELLEY!J238+STALBAN!J238+ABRETS!J238+PONT!J238+FRANCIN!J238+VIVIERS!J238</f>
        <v>0</v>
      </c>
      <c r="K238" s="15">
        <f>CHAMNORD!K238+AIX!K238+BELLEY!K238+STALBAN!K238+ABRETS!K238+PONT!K238+FRANCIN!K238+VIVIERS!K238</f>
        <v>0</v>
      </c>
      <c r="L238" s="15">
        <f>CHAMNORD!L238+AIX!L238+BELLEY!L238+STALBAN!L238+ABRETS!L238+PONT!L238+FRANCIN!L238+VIVIERS!L238</f>
        <v>0</v>
      </c>
      <c r="M238" s="15">
        <f>CHAMNORD!M238+AIX!M238+BELLEY!M238+STALBAN!M238+ABRETS!M238+PONT!M238+FRANCIN!M238+VIVIERS!M238</f>
        <v>0</v>
      </c>
      <c r="N238" s="16" t="str">
        <f t="shared" si="15"/>
        <v/>
      </c>
      <c r="O238" s="17" t="str">
        <f t="shared" si="18"/>
        <v/>
      </c>
      <c r="P238" s="17" t="str">
        <f t="shared" si="19"/>
        <v/>
      </c>
      <c r="Q238" s="18" t="str">
        <f t="shared" si="16"/>
        <v/>
      </c>
      <c r="R238" s="18" t="e">
        <f t="shared" si="17"/>
        <v>#DIV/0!</v>
      </c>
      <c r="S238" s="36" t="s">
        <v>40</v>
      </c>
      <c r="T238" s="48" t="e">
        <f>SUM(I234:I240)/SUM(L234:L240)</f>
        <v>#DIV/0!</v>
      </c>
      <c r="U238" s="1738"/>
    </row>
    <row r="239" spans="1:25">
      <c r="A239" s="10" t="s">
        <v>15</v>
      </c>
      <c r="B239" s="905">
        <v>45891</v>
      </c>
      <c r="C239" s="76">
        <f>IF(G239=0,0,CHAMNORD!C239+AIX!C239+BELLEY!C239+STALBAN!C239+ABRETS!C239+PONT!C239+FRANCIN!C239+VIVIERS!C239)</f>
        <v>0</v>
      </c>
      <c r="D239" s="76">
        <f>IF(H239=0,0,CHAMNORD!D239+AIX!D239+BELLEY!D239+STALBAN!D239+ABRETS!D239+PONT!D239+FRANCIN!D239+VIVIERS!D239)</f>
        <v>0</v>
      </c>
      <c r="E239" s="76">
        <f>IF(I239=0,0,CHAMNORD!E239+AIX!E239+BELLEY!E239+STALBAN!E239+ABRETS!E239+PONT!E239+FRANCIN!E239+VIVIERS!E239)</f>
        <v>0</v>
      </c>
      <c r="F239" s="20">
        <f>IF(J239=0,0,CHAMNORD!F239+AIX!F239+BELLEY!F239+STALBAN!F239+ABRETS!F239+PONT!F239+FRANCIN!F239+VIVIERS!F239)</f>
        <v>0</v>
      </c>
      <c r="G239" s="40">
        <f>IF(I239=0,0,CHAMNORD!G239+AIX!G239+BELLEY!G239+STALBAN!G239+ABRETS!G239+PONT!G239+FRANCIN!G239+VIVIERS!G239)</f>
        <v>0</v>
      </c>
      <c r="H239" s="42">
        <f>CHAMNORD!H239+AIX!H239+BELLEY!H239+STALBAN!H239+ABRETS!H239+PONT!H239+FRANCIN!H239+VIVIERS!H239</f>
        <v>0</v>
      </c>
      <c r="I239" s="13">
        <f>CHAMNORD!I239+AIX!I239+BELLEY!I239+STALBAN!I239+ABRETS!I239+PONT!I239+FRANCIN!I239+VIVIERS!I239</f>
        <v>0</v>
      </c>
      <c r="J239" s="14">
        <f>CHAMNORD!J239+AIX!J239+BELLEY!J239+STALBAN!J239+ABRETS!J239+PONT!J239+FRANCIN!J239+VIVIERS!J239</f>
        <v>0</v>
      </c>
      <c r="K239" s="15">
        <f>CHAMNORD!K239+AIX!K239+BELLEY!K239+STALBAN!K239+ABRETS!K239+PONT!K239+FRANCIN!K239+VIVIERS!K239</f>
        <v>0</v>
      </c>
      <c r="L239" s="15">
        <f>CHAMNORD!L239+AIX!L239+BELLEY!L239+STALBAN!L239+ABRETS!L239+PONT!L239+FRANCIN!L239+VIVIERS!L239</f>
        <v>0</v>
      </c>
      <c r="M239" s="15">
        <f>CHAMNORD!M239+AIX!M239+BELLEY!M239+STALBAN!M239+ABRETS!M239+PONT!M239+FRANCIN!M239+VIVIERS!M239</f>
        <v>0</v>
      </c>
      <c r="N239" s="16" t="str">
        <f t="shared" si="15"/>
        <v/>
      </c>
      <c r="O239" s="17" t="str">
        <f t="shared" si="18"/>
        <v/>
      </c>
      <c r="P239" s="17" t="str">
        <f t="shared" si="19"/>
        <v/>
      </c>
      <c r="Q239" s="18" t="str">
        <f t="shared" si="16"/>
        <v/>
      </c>
      <c r="R239" s="18" t="e">
        <f t="shared" si="17"/>
        <v>#DIV/0!</v>
      </c>
      <c r="S239" s="36">
        <f>SUM(J234:J240)</f>
        <v>0</v>
      </c>
      <c r="T239" s="30" t="s">
        <v>3</v>
      </c>
      <c r="U239" s="1738"/>
    </row>
    <row r="240" spans="1:25" ht="18" thickBot="1">
      <c r="A240" s="10" t="s">
        <v>16</v>
      </c>
      <c r="B240" s="905">
        <v>45892</v>
      </c>
      <c r="C240" s="76">
        <f>IF(G240=0,0,CHAMNORD!C240+AIX!C240+BELLEY!C240+STALBAN!C240+ABRETS!C240+PONT!C240+FRANCIN!C240+VIVIERS!C240)</f>
        <v>0</v>
      </c>
      <c r="D240" s="76">
        <f>IF(H240=0,0,CHAMNORD!D240+AIX!D240+BELLEY!D240+STALBAN!D240+ABRETS!D240+PONT!D240+FRANCIN!D240+VIVIERS!D240)</f>
        <v>0</v>
      </c>
      <c r="E240" s="76">
        <f>IF(I240=0,0,CHAMNORD!E240+AIX!E240+BELLEY!E240+STALBAN!E240+ABRETS!E240+PONT!E240+FRANCIN!E240+VIVIERS!E240)</f>
        <v>0</v>
      </c>
      <c r="F240" s="20">
        <f>IF(J240=0,0,CHAMNORD!F240+AIX!F240+BELLEY!F240+STALBAN!F240+ABRETS!F240+PONT!F240+FRANCIN!F240+VIVIERS!F240)</f>
        <v>0</v>
      </c>
      <c r="G240" s="40">
        <f>IF(I240=0,0,CHAMNORD!G240+AIX!G240+BELLEY!G240+STALBAN!G240+ABRETS!G240+PONT!G240+FRANCIN!G240+VIVIERS!G240)</f>
        <v>0</v>
      </c>
      <c r="H240" s="42">
        <f>CHAMNORD!H240+AIX!H240+BELLEY!H240+STALBAN!H240+ABRETS!H240+PONT!H240+FRANCIN!H240+VIVIERS!H240</f>
        <v>0</v>
      </c>
      <c r="I240" s="13">
        <f>CHAMNORD!I240+AIX!I240+BELLEY!I240+STALBAN!I240+ABRETS!I240+PONT!I240+FRANCIN!I240+VIVIERS!I240</f>
        <v>0</v>
      </c>
      <c r="J240" s="14">
        <f>CHAMNORD!J240+AIX!J240+BELLEY!J240+STALBAN!J240+ABRETS!J240+PONT!J240+FRANCIN!J240+VIVIERS!J240</f>
        <v>0</v>
      </c>
      <c r="K240" s="15">
        <f>CHAMNORD!K240+AIX!K240+BELLEY!K240+STALBAN!K240+ABRETS!K240+PONT!K240+FRANCIN!K240+VIVIERS!K240</f>
        <v>0</v>
      </c>
      <c r="L240" s="15">
        <f>CHAMNORD!L240+AIX!L240+BELLEY!L240+STALBAN!L240+ABRETS!L240+PONT!L240+FRANCIN!L240+VIVIERS!L240</f>
        <v>0</v>
      </c>
      <c r="M240" s="15">
        <f>CHAMNORD!M240+AIX!M240+BELLEY!M240+STALBAN!M240+ABRETS!M240+PONT!M240+FRANCIN!M240+VIVIERS!M240</f>
        <v>0</v>
      </c>
      <c r="N240" s="16" t="str">
        <f t="shared" si="15"/>
        <v/>
      </c>
      <c r="O240" s="17" t="str">
        <f t="shared" si="18"/>
        <v/>
      </c>
      <c r="P240" s="17" t="str">
        <f t="shared" si="19"/>
        <v/>
      </c>
      <c r="Q240" s="18" t="str">
        <f t="shared" si="16"/>
        <v/>
      </c>
      <c r="R240" s="18" t="e">
        <f t="shared" si="17"/>
        <v>#DIV/0!</v>
      </c>
      <c r="S240" s="37" t="e">
        <f>(S239-SUM(F234:F240))/(SUM(F234:F240))</f>
        <v>#DIV/0!</v>
      </c>
      <c r="T240" s="47" t="e">
        <f>SUM(M234:M240)/SUM(I234:I240)</f>
        <v>#DIV/0!</v>
      </c>
      <c r="U240" s="1739"/>
    </row>
    <row r="241" spans="1:40" ht="17" customHeight="1" thickTop="1">
      <c r="A241" s="10" t="s">
        <v>9</v>
      </c>
      <c r="B241" s="905">
        <v>45893</v>
      </c>
      <c r="C241" s="76">
        <f>IF(G241=0,0,CHAMNORD!C241+AIX!C241+BELLEY!C241+STALBAN!C241+ABRETS!C241+PONT!C241+FRANCIN!C241+VIVIERS!C241)</f>
        <v>0</v>
      </c>
      <c r="D241" s="76">
        <f>IF(H241=0,0,CHAMNORD!D241+AIX!D241+BELLEY!D241+STALBAN!D241+ABRETS!D241+PONT!D241+FRANCIN!D241+VIVIERS!D241)</f>
        <v>0</v>
      </c>
      <c r="E241" s="76">
        <f>IF(I241=0,0,CHAMNORD!E241+AIX!E241+BELLEY!E241+STALBAN!E241+ABRETS!E241+PONT!E241+FRANCIN!E241+VIVIERS!E241)</f>
        <v>0</v>
      </c>
      <c r="F241" s="20">
        <f>IF(J241=0,0,CHAMNORD!F241+AIX!F241+BELLEY!F241+STALBAN!F241+ABRETS!F241+PONT!F241+FRANCIN!F241+VIVIERS!F241)</f>
        <v>0</v>
      </c>
      <c r="G241" s="40">
        <f>IF(I241=0,0,CHAMNORD!G241+AIX!G241+BELLEY!G241+STALBAN!G241+ABRETS!G241+PONT!G241+FRANCIN!G241+VIVIERS!G241)</f>
        <v>0</v>
      </c>
      <c r="H241" s="42">
        <f>CHAMNORD!H241+AIX!H241+BELLEY!H241+STALBAN!H241+ABRETS!H241+PONT!H241+FRANCIN!H241+VIVIERS!H241</f>
        <v>0</v>
      </c>
      <c r="I241" s="13">
        <f>CHAMNORD!I241+AIX!I241+BELLEY!I241+STALBAN!I241+ABRETS!I241+PONT!I241+FRANCIN!I241+VIVIERS!I241</f>
        <v>0</v>
      </c>
      <c r="J241" s="14">
        <f>CHAMNORD!J241+AIX!J241+BELLEY!J241+STALBAN!J241+ABRETS!J241+PONT!J241+FRANCIN!J241+VIVIERS!J241</f>
        <v>0</v>
      </c>
      <c r="K241" s="15">
        <f>CHAMNORD!K241+AIX!K241+BELLEY!K241+STALBAN!K241+ABRETS!K241+PONT!K241+FRANCIN!K241+VIVIERS!K241</f>
        <v>0</v>
      </c>
      <c r="L241" s="15">
        <f>CHAMNORD!L241+AIX!L241+BELLEY!L241+STALBAN!L241+ABRETS!L241+PONT!L241+FRANCIN!L241+VIVIERS!L241</f>
        <v>0</v>
      </c>
      <c r="M241" s="15">
        <f>CHAMNORD!M241+AIX!M241+BELLEY!M241+STALBAN!M241+ABRETS!M241+PONT!M241+FRANCIN!M241+VIVIERS!M241</f>
        <v>0</v>
      </c>
      <c r="N241" s="16" t="str">
        <f t="shared" si="15"/>
        <v/>
      </c>
      <c r="O241" s="17" t="str">
        <f t="shared" si="18"/>
        <v/>
      </c>
      <c r="P241" s="17" t="str">
        <f t="shared" si="19"/>
        <v/>
      </c>
      <c r="Q241" s="18" t="str">
        <f t="shared" si="16"/>
        <v/>
      </c>
      <c r="R241" s="18" t="e">
        <f t="shared" si="17"/>
        <v>#DIV/0!</v>
      </c>
      <c r="S241" s="33" t="s">
        <v>39</v>
      </c>
      <c r="T241" s="31" t="s">
        <v>42</v>
      </c>
      <c r="U241" s="1737" t="s">
        <v>117</v>
      </c>
    </row>
    <row r="242" spans="1:40">
      <c r="A242" s="10" t="s">
        <v>11</v>
      </c>
      <c r="B242" s="905">
        <v>45894</v>
      </c>
      <c r="C242" s="76">
        <f>IF(G242=0,0,CHAMNORD!C242+AIX!C242+BELLEY!C242+STALBAN!C242+ABRETS!C242+PONT!C242+FRANCIN!C242+VIVIERS!C242)</f>
        <v>0</v>
      </c>
      <c r="D242" s="76">
        <f>IF(H242=0,0,CHAMNORD!D242+AIX!D242+BELLEY!D242+STALBAN!D242+ABRETS!D242+PONT!D242+FRANCIN!D242+VIVIERS!D242)</f>
        <v>0</v>
      </c>
      <c r="E242" s="76">
        <f>IF(I242=0,0,CHAMNORD!E242+AIX!E242+BELLEY!E242+STALBAN!E242+ABRETS!E242+PONT!E242+FRANCIN!E242+VIVIERS!E242)</f>
        <v>0</v>
      </c>
      <c r="F242" s="20">
        <f>IF(J242=0,0,CHAMNORD!F242+AIX!F242+BELLEY!F242+STALBAN!F242+ABRETS!F242+PONT!F242+FRANCIN!F242+VIVIERS!F242)</f>
        <v>0</v>
      </c>
      <c r="G242" s="40">
        <f>IF(I242=0,0,CHAMNORD!G242+AIX!G242+BELLEY!G242+STALBAN!G242+ABRETS!G242+PONT!G242+FRANCIN!G242+VIVIERS!G242)</f>
        <v>0</v>
      </c>
      <c r="H242" s="42">
        <f>CHAMNORD!H242+AIX!H242+BELLEY!H242+STALBAN!H242+ABRETS!H242+PONT!H242+FRANCIN!H242+VIVIERS!H242</f>
        <v>0</v>
      </c>
      <c r="I242" s="13">
        <f>CHAMNORD!I242+AIX!I242+BELLEY!I242+STALBAN!I242+ABRETS!I242+PONT!I242+FRANCIN!I242+VIVIERS!I242</f>
        <v>0</v>
      </c>
      <c r="J242" s="14">
        <f>CHAMNORD!J242+AIX!J242+BELLEY!J242+STALBAN!J242+ABRETS!J242+PONT!J242+FRANCIN!J242+VIVIERS!J242</f>
        <v>0</v>
      </c>
      <c r="K242" s="15">
        <f>CHAMNORD!K242+AIX!K242+BELLEY!K242+STALBAN!K242+ABRETS!K242+PONT!K242+FRANCIN!K242+VIVIERS!K242</f>
        <v>0</v>
      </c>
      <c r="L242" s="15">
        <f>CHAMNORD!L242+AIX!L242+BELLEY!L242+STALBAN!L242+ABRETS!L242+PONT!L242+FRANCIN!L242+VIVIERS!L242</f>
        <v>0</v>
      </c>
      <c r="M242" s="15">
        <f>CHAMNORD!M242+AIX!M242+BELLEY!M242+STALBAN!M242+ABRETS!M242+PONT!M242+FRANCIN!M242+VIVIERS!M242</f>
        <v>0</v>
      </c>
      <c r="N242" s="16" t="str">
        <f t="shared" si="15"/>
        <v/>
      </c>
      <c r="O242" s="17" t="str">
        <f t="shared" si="18"/>
        <v/>
      </c>
      <c r="P242" s="17" t="str">
        <f t="shared" si="19"/>
        <v/>
      </c>
      <c r="Q242" s="18" t="str">
        <f t="shared" si="16"/>
        <v/>
      </c>
      <c r="R242" s="18" t="e">
        <f t="shared" si="17"/>
        <v>#DIV/0!</v>
      </c>
      <c r="S242" s="34">
        <f>SUM(I241:I247)</f>
        <v>0</v>
      </c>
      <c r="T242" s="45" t="s">
        <v>41</v>
      </c>
      <c r="U242" s="1738"/>
      <c r="W242" s="202">
        <f>+S242</f>
        <v>0</v>
      </c>
      <c r="X242" s="202">
        <f>SUM(CHAMNORD!E241:E247)+SUM(AIX!E241:E247)+SUM(BELLEY!E241:E247)+SUM(STALBAN!E241:E247)+SUM(ABRETS!E241:E247)+SUM(PONT!E241:E247)+SUM(FRANCIN!E241:E247)+SUM(VIVIERS!E241:E247)</f>
        <v>0</v>
      </c>
      <c r="Y242" s="1051">
        <f>+W242-X242</f>
        <v>0</v>
      </c>
    </row>
    <row r="243" spans="1:40">
      <c r="A243" s="10" t="s">
        <v>12</v>
      </c>
      <c r="B243" s="905">
        <v>45895</v>
      </c>
      <c r="C243" s="76">
        <f>IF(G243=0,0,CHAMNORD!C243+AIX!C243+BELLEY!C243+STALBAN!C243+ABRETS!C243+PONT!C243+FRANCIN!C243+VIVIERS!C243)</f>
        <v>0</v>
      </c>
      <c r="D243" s="76">
        <f>IF(H243=0,0,CHAMNORD!D243+AIX!D243+BELLEY!D243+STALBAN!D243+ABRETS!D243+PONT!D243+FRANCIN!D243+VIVIERS!D243)</f>
        <v>0</v>
      </c>
      <c r="E243" s="76">
        <f>IF(I243=0,0,CHAMNORD!E243+AIX!E243+BELLEY!E243+STALBAN!E243+ABRETS!E243+PONT!E243+FRANCIN!E243+VIVIERS!E243)</f>
        <v>0</v>
      </c>
      <c r="F243" s="20">
        <f>IF(J243=0,0,CHAMNORD!F243+AIX!F243+BELLEY!F243+STALBAN!F243+ABRETS!F243+PONT!F243+FRANCIN!F243+VIVIERS!F243)</f>
        <v>0</v>
      </c>
      <c r="G243" s="40">
        <f>IF(I243=0,0,CHAMNORD!G243+AIX!G243+BELLEY!G243+STALBAN!G243+ABRETS!G243+PONT!G243+FRANCIN!G243+VIVIERS!G243)</f>
        <v>0</v>
      </c>
      <c r="H243" s="42">
        <f>CHAMNORD!H243+AIX!H243+BELLEY!H243+STALBAN!H243+ABRETS!H243+PONT!H243+FRANCIN!H243+VIVIERS!H243</f>
        <v>0</v>
      </c>
      <c r="I243" s="13">
        <f>CHAMNORD!I243+AIX!I243+BELLEY!I243+STALBAN!I243+ABRETS!I243+PONT!I243+FRANCIN!I243+VIVIERS!I243</f>
        <v>0</v>
      </c>
      <c r="J243" s="14">
        <f>CHAMNORD!J243+AIX!J243+BELLEY!J243+STALBAN!J243+ABRETS!J243+PONT!J243+FRANCIN!J243+VIVIERS!J243</f>
        <v>0</v>
      </c>
      <c r="K243" s="15">
        <f>CHAMNORD!K243+AIX!K243+BELLEY!K243+STALBAN!K243+ABRETS!K243+PONT!K243+FRANCIN!K243+VIVIERS!K243</f>
        <v>0</v>
      </c>
      <c r="L243" s="15">
        <f>CHAMNORD!L243+AIX!L243+BELLEY!L243+STALBAN!L243+ABRETS!L243+PONT!L243+FRANCIN!L243+VIVIERS!L243</f>
        <v>0</v>
      </c>
      <c r="M243" s="15">
        <f>CHAMNORD!M243+AIX!M243+BELLEY!M243+STALBAN!M243+ABRETS!M243+PONT!M243+FRANCIN!M243+VIVIERS!M243</f>
        <v>0</v>
      </c>
      <c r="N243" s="16" t="str">
        <f t="shared" si="15"/>
        <v/>
      </c>
      <c r="O243" s="17" t="str">
        <f t="shared" si="18"/>
        <v/>
      </c>
      <c r="P243" s="17" t="str">
        <f t="shared" si="19"/>
        <v/>
      </c>
      <c r="Q243" s="18" t="str">
        <f t="shared" si="16"/>
        <v/>
      </c>
      <c r="R243" s="18" t="e">
        <f t="shared" si="17"/>
        <v>#DIV/0!</v>
      </c>
      <c r="S243" s="35" t="e">
        <f>(S242-SUM(E241:E247))/(SUM(E241:E247))</f>
        <v>#DIV/0!</v>
      </c>
      <c r="T243" s="48" t="e">
        <f>SUM(I241:I247)/SUM(K241:K247)</f>
        <v>#DIV/0!</v>
      </c>
      <c r="U243" s="1738"/>
    </row>
    <row r="244" spans="1:40">
      <c r="A244" s="10" t="s">
        <v>13</v>
      </c>
      <c r="B244" s="905">
        <v>45896</v>
      </c>
      <c r="C244" s="76">
        <f>IF(G244=0,0,CHAMNORD!C244+AIX!C244+BELLEY!C244+STALBAN!C244+ABRETS!C244+PONT!C244+FRANCIN!C244+VIVIERS!C244)</f>
        <v>0</v>
      </c>
      <c r="D244" s="76">
        <f>IF(H244=0,0,CHAMNORD!D244+AIX!D244+BELLEY!D244+STALBAN!D244+ABRETS!D244+PONT!D244+FRANCIN!D244+VIVIERS!D244)</f>
        <v>0</v>
      </c>
      <c r="E244" s="76">
        <f>IF(I244=0,0,CHAMNORD!E244+AIX!E244+BELLEY!E244+STALBAN!E244+ABRETS!E244+PONT!E244+FRANCIN!E244+VIVIERS!E244)</f>
        <v>0</v>
      </c>
      <c r="F244" s="20">
        <f>IF(J244=0,0,CHAMNORD!F244+AIX!F244+BELLEY!F244+STALBAN!F244+ABRETS!F244+PONT!F244+FRANCIN!F244+VIVIERS!F244)</f>
        <v>0</v>
      </c>
      <c r="G244" s="40">
        <f>IF(I244=0,0,CHAMNORD!G244+AIX!G244+BELLEY!G244+STALBAN!G244+ABRETS!G244+PONT!G244+FRANCIN!G244+VIVIERS!G244)</f>
        <v>0</v>
      </c>
      <c r="H244" s="42">
        <f>CHAMNORD!H244+AIX!H244+BELLEY!H244+STALBAN!H244+ABRETS!H244+PONT!H244+FRANCIN!H244+VIVIERS!H244</f>
        <v>0</v>
      </c>
      <c r="I244" s="13">
        <f>CHAMNORD!I244+AIX!I244+BELLEY!I244+STALBAN!I244+ABRETS!I244+PONT!I244+FRANCIN!I244+VIVIERS!I244</f>
        <v>0</v>
      </c>
      <c r="J244" s="14">
        <f>CHAMNORD!J244+AIX!J244+BELLEY!J244+STALBAN!J244+ABRETS!J244+PONT!J244+FRANCIN!J244+VIVIERS!J244</f>
        <v>0</v>
      </c>
      <c r="K244" s="15">
        <f>CHAMNORD!K244+AIX!K244+BELLEY!K244+STALBAN!K244+ABRETS!K244+PONT!K244+FRANCIN!K244+VIVIERS!K244</f>
        <v>0</v>
      </c>
      <c r="L244" s="15">
        <f>CHAMNORD!L244+AIX!L244+BELLEY!L244+STALBAN!L244+ABRETS!L244+PONT!L244+FRANCIN!L244+VIVIERS!L244</f>
        <v>0</v>
      </c>
      <c r="M244" s="15">
        <f>CHAMNORD!M244+AIX!M244+BELLEY!M244+STALBAN!M244+ABRETS!M244+PONT!M244+FRANCIN!M244+VIVIERS!M244</f>
        <v>0</v>
      </c>
      <c r="N244" s="16" t="str">
        <f t="shared" si="15"/>
        <v/>
      </c>
      <c r="O244" s="17" t="str">
        <f t="shared" si="18"/>
        <v/>
      </c>
      <c r="P244" s="17" t="str">
        <f t="shared" si="19"/>
        <v/>
      </c>
      <c r="Q244" s="18" t="str">
        <f t="shared" si="16"/>
        <v/>
      </c>
      <c r="R244" s="18" t="e">
        <f t="shared" si="17"/>
        <v>#DIV/0!</v>
      </c>
      <c r="S244" s="34"/>
      <c r="T244" s="29" t="s">
        <v>8</v>
      </c>
      <c r="U244" s="1738"/>
    </row>
    <row r="245" spans="1:40">
      <c r="A245" s="10" t="s">
        <v>14</v>
      </c>
      <c r="B245" s="905">
        <v>45897</v>
      </c>
      <c r="C245" s="76">
        <f>IF(G245=0,0,CHAMNORD!C245+AIX!C245+BELLEY!C245+STALBAN!C245+ABRETS!C245+PONT!C245+FRANCIN!C245+VIVIERS!C245)</f>
        <v>0</v>
      </c>
      <c r="D245" s="76">
        <f>IF(H245=0,0,CHAMNORD!D245+AIX!D245+BELLEY!D245+STALBAN!D245+ABRETS!D245+PONT!D245+FRANCIN!D245+VIVIERS!D245)</f>
        <v>0</v>
      </c>
      <c r="E245" s="76">
        <f>IF(I245=0,0,CHAMNORD!E245+AIX!E245+BELLEY!E245+STALBAN!E245+ABRETS!E245+PONT!E245+FRANCIN!E245+VIVIERS!E245)</f>
        <v>0</v>
      </c>
      <c r="F245" s="20">
        <f>IF(J245=0,0,CHAMNORD!F245+AIX!F245+BELLEY!F245+STALBAN!F245+ABRETS!F245+PONT!F245+FRANCIN!F245+VIVIERS!F245)</f>
        <v>0</v>
      </c>
      <c r="G245" s="40">
        <f>IF(I245=0,0,CHAMNORD!G245+AIX!G245+BELLEY!G245+STALBAN!G245+ABRETS!G245+PONT!G245+FRANCIN!G245+VIVIERS!G245)</f>
        <v>0</v>
      </c>
      <c r="H245" s="42">
        <f>CHAMNORD!H245+AIX!H245+BELLEY!H245+STALBAN!H245+ABRETS!H245+PONT!H245+FRANCIN!H245+VIVIERS!H245</f>
        <v>0</v>
      </c>
      <c r="I245" s="13">
        <f>CHAMNORD!I245+AIX!I245+BELLEY!I245+STALBAN!I245+ABRETS!I245+PONT!I245+FRANCIN!I245+VIVIERS!I245</f>
        <v>0</v>
      </c>
      <c r="J245" s="14">
        <f>CHAMNORD!J245+AIX!J245+BELLEY!J245+STALBAN!J245+ABRETS!J245+PONT!J245+FRANCIN!J245+VIVIERS!J245</f>
        <v>0</v>
      </c>
      <c r="K245" s="15">
        <f>CHAMNORD!K245+AIX!K245+BELLEY!K245+STALBAN!K245+ABRETS!K245+PONT!K245+FRANCIN!K245+VIVIERS!K245</f>
        <v>0</v>
      </c>
      <c r="L245" s="15">
        <f>CHAMNORD!L245+AIX!L245+BELLEY!L245+STALBAN!L245+ABRETS!L245+PONT!L245+FRANCIN!L245+VIVIERS!L245</f>
        <v>0</v>
      </c>
      <c r="M245" s="15">
        <f>CHAMNORD!M245+AIX!M245+BELLEY!M245+STALBAN!M245+ABRETS!M245+PONT!M245+FRANCIN!M245+VIVIERS!M245</f>
        <v>0</v>
      </c>
      <c r="N245" s="16" t="str">
        <f t="shared" si="15"/>
        <v/>
      </c>
      <c r="O245" s="17" t="str">
        <f t="shared" si="18"/>
        <v/>
      </c>
      <c r="P245" s="17" t="str">
        <f t="shared" si="19"/>
        <v/>
      </c>
      <c r="Q245" s="18" t="str">
        <f t="shared" si="16"/>
        <v/>
      </c>
      <c r="R245" s="18" t="e">
        <f t="shared" si="17"/>
        <v>#DIV/0!</v>
      </c>
      <c r="S245" s="36" t="s">
        <v>40</v>
      </c>
      <c r="T245" s="48" t="e">
        <f>SUM(I241:I247)/SUM(L241:L247)</f>
        <v>#DIV/0!</v>
      </c>
      <c r="U245" s="1738"/>
    </row>
    <row r="246" spans="1:40">
      <c r="A246" s="10" t="s">
        <v>15</v>
      </c>
      <c r="B246" s="905">
        <v>45898</v>
      </c>
      <c r="C246" s="76">
        <f>IF(G246=0,0,CHAMNORD!C246+AIX!C246+BELLEY!C246+STALBAN!C246+ABRETS!C246+PONT!C246+FRANCIN!C246+VIVIERS!C246)</f>
        <v>0</v>
      </c>
      <c r="D246" s="76">
        <f>IF(H246=0,0,CHAMNORD!D246+AIX!D246+BELLEY!D246+STALBAN!D246+ABRETS!D246+PONT!D246+FRANCIN!D246+VIVIERS!D246)</f>
        <v>0</v>
      </c>
      <c r="E246" s="76">
        <f>IF(I246=0,0,CHAMNORD!E246+AIX!E246+BELLEY!E246+STALBAN!E246+ABRETS!E246+PONT!E246+FRANCIN!E246+VIVIERS!E246)</f>
        <v>0</v>
      </c>
      <c r="F246" s="20">
        <f>IF(J246=0,0,CHAMNORD!F246+AIX!F246+BELLEY!F246+STALBAN!F246+ABRETS!F246+PONT!F246+FRANCIN!F246+VIVIERS!F246)</f>
        <v>0</v>
      </c>
      <c r="G246" s="40">
        <f>IF(I246=0,0,CHAMNORD!G246+AIX!G246+BELLEY!G246+STALBAN!G246+ABRETS!G246+PONT!G246+FRANCIN!G246+VIVIERS!G246)</f>
        <v>0</v>
      </c>
      <c r="H246" s="42">
        <f>CHAMNORD!H246+AIX!H246+BELLEY!H246+STALBAN!H246+ABRETS!H246+PONT!H246+FRANCIN!H246+VIVIERS!H246</f>
        <v>0</v>
      </c>
      <c r="I246" s="13">
        <f>CHAMNORD!I246+AIX!I246+BELLEY!I246+STALBAN!I246+ABRETS!I246+PONT!I246+FRANCIN!I246+VIVIERS!I246</f>
        <v>0</v>
      </c>
      <c r="J246" s="14">
        <f>CHAMNORD!J246+AIX!J246+BELLEY!J246+STALBAN!J246+ABRETS!J246+PONT!J246+FRANCIN!J246+VIVIERS!J246</f>
        <v>0</v>
      </c>
      <c r="K246" s="15">
        <f>CHAMNORD!K246+AIX!K246+BELLEY!K246+STALBAN!K246+ABRETS!K246+PONT!K246+FRANCIN!K246+VIVIERS!K246</f>
        <v>0</v>
      </c>
      <c r="L246" s="15">
        <f>CHAMNORD!L246+AIX!L246+BELLEY!L246+STALBAN!L246+ABRETS!L246+PONT!L246+FRANCIN!L246+VIVIERS!L246</f>
        <v>0</v>
      </c>
      <c r="M246" s="15">
        <f>CHAMNORD!M246+AIX!M246+BELLEY!M246+STALBAN!M246+ABRETS!M246+PONT!M246+FRANCIN!M246+VIVIERS!M246</f>
        <v>0</v>
      </c>
      <c r="N246" s="16" t="str">
        <f t="shared" si="15"/>
        <v/>
      </c>
      <c r="O246" s="17" t="str">
        <f t="shared" si="18"/>
        <v/>
      </c>
      <c r="P246" s="17" t="str">
        <f t="shared" si="19"/>
        <v/>
      </c>
      <c r="Q246" s="18" t="str">
        <f t="shared" si="16"/>
        <v/>
      </c>
      <c r="R246" s="18" t="e">
        <f t="shared" si="17"/>
        <v>#DIV/0!</v>
      </c>
      <c r="S246" s="36">
        <f>SUM(J241:J247)</f>
        <v>0</v>
      </c>
      <c r="T246" s="30" t="s">
        <v>3</v>
      </c>
      <c r="U246" s="1738"/>
    </row>
    <row r="247" spans="1:40" ht="18" thickBot="1">
      <c r="A247" s="10" t="s">
        <v>16</v>
      </c>
      <c r="B247" s="905">
        <v>45899</v>
      </c>
      <c r="C247" s="76">
        <f>IF(G247=0,0,CHAMNORD!C247+AIX!C247+BELLEY!C247+STALBAN!C247+ABRETS!C247+PONT!C247+FRANCIN!C247+VIVIERS!C247)</f>
        <v>0</v>
      </c>
      <c r="D247" s="76">
        <f>IF(H247=0,0,CHAMNORD!D247+AIX!D247+BELLEY!D247+STALBAN!D247+ABRETS!D247+PONT!D247+FRANCIN!D247+VIVIERS!D247)</f>
        <v>0</v>
      </c>
      <c r="E247" s="76">
        <f>IF(I247=0,0,CHAMNORD!E247+AIX!E247+BELLEY!E247+STALBAN!E247+ABRETS!E247+PONT!E247+FRANCIN!E247+VIVIERS!E247)</f>
        <v>0</v>
      </c>
      <c r="F247" s="20">
        <f>IF(J247=0,0,CHAMNORD!F247+AIX!F247+BELLEY!F247+STALBAN!F247+ABRETS!F247+PONT!F247+FRANCIN!F247+VIVIERS!F247)</f>
        <v>0</v>
      </c>
      <c r="G247" s="40">
        <f>IF(I247=0,0,CHAMNORD!G247+AIX!G247+BELLEY!G247+STALBAN!G247+ABRETS!G247+PONT!G247+FRANCIN!G247+VIVIERS!G247)</f>
        <v>0</v>
      </c>
      <c r="H247" s="42">
        <f>CHAMNORD!H247+AIX!H247+BELLEY!H247+STALBAN!H247+ABRETS!H247+PONT!H247+FRANCIN!H247+VIVIERS!H247</f>
        <v>0</v>
      </c>
      <c r="I247" s="13">
        <f>CHAMNORD!I247+AIX!I247+BELLEY!I247+STALBAN!I247+ABRETS!I247+PONT!I247+FRANCIN!I247+VIVIERS!I247</f>
        <v>0</v>
      </c>
      <c r="J247" s="14">
        <f>CHAMNORD!J247+AIX!J247+BELLEY!J247+STALBAN!J247+ABRETS!J247+PONT!J247+FRANCIN!J247+VIVIERS!J247</f>
        <v>0</v>
      </c>
      <c r="K247" s="15">
        <f>CHAMNORD!K247+AIX!K247+BELLEY!K247+STALBAN!K247+ABRETS!K247+PONT!K247+FRANCIN!K247+VIVIERS!K247</f>
        <v>0</v>
      </c>
      <c r="L247" s="15">
        <f>CHAMNORD!L247+AIX!L247+BELLEY!L247+STALBAN!L247+ABRETS!L247+PONT!L247+FRANCIN!L247+VIVIERS!L247</f>
        <v>0</v>
      </c>
      <c r="M247" s="15">
        <f>CHAMNORD!M247+AIX!M247+BELLEY!M247+STALBAN!M247+ABRETS!M247+PONT!M247+FRANCIN!M247+VIVIERS!M247</f>
        <v>0</v>
      </c>
      <c r="N247" s="16" t="str">
        <f t="shared" si="15"/>
        <v/>
      </c>
      <c r="O247" s="17" t="str">
        <f t="shared" si="18"/>
        <v/>
      </c>
      <c r="P247" s="17" t="str">
        <f t="shared" si="19"/>
        <v/>
      </c>
      <c r="Q247" s="18" t="str">
        <f t="shared" si="16"/>
        <v/>
      </c>
      <c r="R247" s="18" t="e">
        <f t="shared" si="17"/>
        <v>#DIV/0!</v>
      </c>
      <c r="S247" s="37" t="e">
        <f>(S246-SUM(F241:F247))/(SUM(F241:F247))</f>
        <v>#DIV/0!</v>
      </c>
      <c r="T247" s="47" t="e">
        <f>SUM(M241:M247)/SUM(I241:I247)</f>
        <v>#DIV/0!</v>
      </c>
      <c r="U247" s="1739"/>
    </row>
    <row r="248" spans="1:40" ht="17" customHeight="1" thickTop="1">
      <c r="A248" s="10" t="s">
        <v>9</v>
      </c>
      <c r="B248" s="905">
        <v>45900</v>
      </c>
      <c r="C248" s="76">
        <f>IF(G248=0,0,CHAMNORD!C248+AIX!C248+BELLEY!C248+STALBAN!C248+ABRETS!C248+PONT!C248+FRANCIN!C248+VIVIERS!C248)</f>
        <v>0</v>
      </c>
      <c r="D248" s="76">
        <f>IF(H248=0,0,CHAMNORD!D248+AIX!D248+BELLEY!D248+STALBAN!D248+ABRETS!D248+PONT!D248+FRANCIN!D248+VIVIERS!D248)</f>
        <v>0</v>
      </c>
      <c r="E248" s="76">
        <f>IF(I248=0,0,CHAMNORD!E248+AIX!E248+BELLEY!E248+STALBAN!E248+ABRETS!E248+PONT!E248+FRANCIN!E248+VIVIERS!E248)</f>
        <v>0</v>
      </c>
      <c r="F248" s="20">
        <f>IF(J248=0,0,CHAMNORD!F248+AIX!F248+BELLEY!F248+STALBAN!F248+ABRETS!F248+PONT!F248+FRANCIN!F248+VIVIERS!F248)</f>
        <v>0</v>
      </c>
      <c r="G248" s="40">
        <f>IF(I248=0,0,CHAMNORD!G248+AIX!G248+BELLEY!G248+STALBAN!G248+ABRETS!G248+PONT!G248+FRANCIN!G248+VIVIERS!G248)</f>
        <v>0</v>
      </c>
      <c r="H248" s="42">
        <f>CHAMNORD!H248+AIX!H248+BELLEY!H248+STALBAN!H248+ABRETS!H248+PONT!H248+FRANCIN!H248+VIVIERS!H248</f>
        <v>0</v>
      </c>
      <c r="I248" s="13">
        <f>CHAMNORD!I248+AIX!I248+BELLEY!I248+STALBAN!I248+ABRETS!I248+PONT!I248+FRANCIN!I248+VIVIERS!I248</f>
        <v>0</v>
      </c>
      <c r="J248" s="14">
        <f>CHAMNORD!J248+AIX!J248+BELLEY!J248+STALBAN!J248+ABRETS!J248+PONT!J248+FRANCIN!J248+VIVIERS!J248</f>
        <v>0</v>
      </c>
      <c r="K248" s="15">
        <f>CHAMNORD!K248+AIX!K248+BELLEY!K248+STALBAN!K248+ABRETS!K248+PONT!K248+FRANCIN!K248+VIVIERS!K248</f>
        <v>0</v>
      </c>
      <c r="L248" s="15">
        <f>CHAMNORD!L248+AIX!L248+BELLEY!L248+STALBAN!L248+ABRETS!L248+PONT!L248+FRANCIN!L248+VIVIERS!L248</f>
        <v>0</v>
      </c>
      <c r="M248" s="15">
        <f>CHAMNORD!M248+AIX!M248+BELLEY!M248+STALBAN!M248+ABRETS!M248+PONT!M248+FRANCIN!M248+VIVIERS!M248</f>
        <v>0</v>
      </c>
      <c r="N248" s="16" t="str">
        <f t="shared" si="15"/>
        <v/>
      </c>
      <c r="O248" s="17" t="str">
        <f t="shared" si="18"/>
        <v/>
      </c>
      <c r="P248" s="17" t="str">
        <f t="shared" si="19"/>
        <v/>
      </c>
      <c r="Q248" s="18" t="str">
        <f t="shared" si="16"/>
        <v/>
      </c>
      <c r="R248" s="18" t="e">
        <f t="shared" si="17"/>
        <v>#DIV/0!</v>
      </c>
      <c r="S248" s="33" t="s">
        <v>39</v>
      </c>
      <c r="T248" s="31" t="s">
        <v>42</v>
      </c>
      <c r="U248" s="1737" t="s">
        <v>118</v>
      </c>
    </row>
    <row r="249" spans="1:40">
      <c r="A249" s="10" t="s">
        <v>11</v>
      </c>
      <c r="B249" s="905">
        <v>45901</v>
      </c>
      <c r="C249" s="76">
        <f>IF(G249=0,0,CHAMNORD!C249+AIX!C249+BELLEY!C249+STALBAN!C249+ABRETS!C249+PONT!C249+FRANCIN!C249+VIVIERS!C249)</f>
        <v>0</v>
      </c>
      <c r="D249" s="76">
        <f>IF(H249=0,0,CHAMNORD!D249+AIX!D249+BELLEY!D249+STALBAN!D249+ABRETS!D249+PONT!D249+FRANCIN!D249+VIVIERS!D249)</f>
        <v>0</v>
      </c>
      <c r="E249" s="76">
        <f>IF(I249=0,0,CHAMNORD!E249+AIX!E249+BELLEY!E249+STALBAN!E249+ABRETS!E249+PONT!E249+FRANCIN!E249+VIVIERS!E249)</f>
        <v>0</v>
      </c>
      <c r="F249" s="20">
        <f>IF(J249=0,0,CHAMNORD!F249+AIX!F249+BELLEY!F249+STALBAN!F249+ABRETS!F249+PONT!F249+FRANCIN!F249+VIVIERS!F249)</f>
        <v>0</v>
      </c>
      <c r="G249" s="40">
        <f>IF(I249=0,0,CHAMNORD!G249+AIX!G249+BELLEY!G249+STALBAN!G249+ABRETS!G249+PONT!G249+FRANCIN!G249+VIVIERS!G249)</f>
        <v>0</v>
      </c>
      <c r="H249" s="42">
        <f>CHAMNORD!H249+AIX!H249+BELLEY!H249+STALBAN!H249+ABRETS!H249+PONT!H249+FRANCIN!H249+VIVIERS!H249</f>
        <v>0</v>
      </c>
      <c r="I249" s="13">
        <f>CHAMNORD!I249+AIX!I249+BELLEY!I249+STALBAN!I249+ABRETS!I249+PONT!I249+FRANCIN!I249+VIVIERS!I249</f>
        <v>0</v>
      </c>
      <c r="J249" s="14">
        <f>CHAMNORD!J249+AIX!J249+BELLEY!J249+STALBAN!J249+ABRETS!J249+PONT!J249+FRANCIN!J249+VIVIERS!J249</f>
        <v>0</v>
      </c>
      <c r="K249" s="15">
        <f>CHAMNORD!K249+AIX!K249+BELLEY!K249+STALBAN!K249+ABRETS!K249+PONT!K249+FRANCIN!K249+VIVIERS!K249</f>
        <v>0</v>
      </c>
      <c r="L249" s="15">
        <f>CHAMNORD!L249+AIX!L249+BELLEY!L249+STALBAN!L249+ABRETS!L249+PONT!L249+FRANCIN!L249+VIVIERS!L249</f>
        <v>0</v>
      </c>
      <c r="M249" s="15">
        <f>CHAMNORD!M249+AIX!M249+BELLEY!M249+STALBAN!M249+ABRETS!M249+PONT!M249+FRANCIN!M249+VIVIERS!M249</f>
        <v>0</v>
      </c>
      <c r="N249" s="16" t="str">
        <f t="shared" si="15"/>
        <v/>
      </c>
      <c r="O249" s="17" t="str">
        <f t="shared" si="18"/>
        <v/>
      </c>
      <c r="P249" s="17" t="str">
        <f t="shared" si="19"/>
        <v/>
      </c>
      <c r="Q249" s="18" t="str">
        <f t="shared" si="16"/>
        <v/>
      </c>
      <c r="R249" s="18" t="e">
        <f t="shared" si="17"/>
        <v>#DIV/0!</v>
      </c>
      <c r="S249" s="34">
        <f>SUM(I248:I254)</f>
        <v>0</v>
      </c>
      <c r="T249" s="45" t="s">
        <v>41</v>
      </c>
      <c r="U249" s="1738"/>
      <c r="W249" s="202">
        <f>+S249</f>
        <v>0</v>
      </c>
      <c r="X249" s="202">
        <f>SUM(CHAMNORD!E248:E254)+SUM(AIX!E248:E254)+SUM(BELLEY!E248:E254)+SUM(STALBAN!E248:E254)+SUM(ABRETS!E248:E254)+SUM(PONT!E248:E254)+SUM(FRANCIN!E248:E254)+SUM(VIVIERS!E248:E254)</f>
        <v>0</v>
      </c>
      <c r="Y249" s="1051">
        <f>+W249-X249</f>
        <v>0</v>
      </c>
    </row>
    <row r="250" spans="1:40">
      <c r="A250" s="10" t="s">
        <v>12</v>
      </c>
      <c r="B250" s="905">
        <v>45902</v>
      </c>
      <c r="C250" s="76">
        <f>IF(G250=0,0,CHAMNORD!C250+AIX!C250+BELLEY!C250+STALBAN!C250+ABRETS!C250+PONT!C250+FRANCIN!C250+VIVIERS!C250)</f>
        <v>0</v>
      </c>
      <c r="D250" s="76">
        <f>IF(H250=0,0,CHAMNORD!D250+AIX!D250+BELLEY!D250+STALBAN!D250+ABRETS!D250+PONT!D250+FRANCIN!D250+VIVIERS!D250)</f>
        <v>0</v>
      </c>
      <c r="E250" s="76">
        <f>IF(I250=0,0,CHAMNORD!E250+AIX!E250+BELLEY!E250+STALBAN!E250+ABRETS!E250+PONT!E250+FRANCIN!E250+VIVIERS!E250)</f>
        <v>0</v>
      </c>
      <c r="F250" s="20">
        <f>IF(J250=0,0,CHAMNORD!F250+AIX!F250+BELLEY!F250+STALBAN!F250+ABRETS!F250+PONT!F250+FRANCIN!F250+VIVIERS!F250)</f>
        <v>0</v>
      </c>
      <c r="G250" s="40">
        <f>IF(I250=0,0,CHAMNORD!G250+AIX!G250+BELLEY!G250+STALBAN!G250+ABRETS!G250+PONT!G250+FRANCIN!G250+VIVIERS!G250)</f>
        <v>0</v>
      </c>
      <c r="H250" s="42">
        <f>CHAMNORD!H250+AIX!H250+BELLEY!H250+STALBAN!H250+ABRETS!H250+PONT!H250+FRANCIN!H250+VIVIERS!H250</f>
        <v>0</v>
      </c>
      <c r="I250" s="13">
        <f>CHAMNORD!I250+AIX!I250+BELLEY!I250+STALBAN!I250+ABRETS!I250+PONT!I250+FRANCIN!I250+VIVIERS!I250</f>
        <v>0</v>
      </c>
      <c r="J250" s="14">
        <f>CHAMNORD!J250+AIX!J250+BELLEY!J250+STALBAN!J250+ABRETS!J250+PONT!J250+FRANCIN!J250+VIVIERS!J250</f>
        <v>0</v>
      </c>
      <c r="K250" s="15">
        <f>CHAMNORD!K250+AIX!K250+BELLEY!K250+STALBAN!K250+ABRETS!K250+PONT!K250+FRANCIN!K250+VIVIERS!K250</f>
        <v>0</v>
      </c>
      <c r="L250" s="15">
        <f>CHAMNORD!L250+AIX!L250+BELLEY!L250+STALBAN!L250+ABRETS!L250+PONT!L250+FRANCIN!L250+VIVIERS!L250</f>
        <v>0</v>
      </c>
      <c r="M250" s="15">
        <f>CHAMNORD!M250+AIX!M250+BELLEY!M250+STALBAN!M250+ABRETS!M250+PONT!M250+FRANCIN!M250+VIVIERS!M250</f>
        <v>0</v>
      </c>
      <c r="N250" s="16" t="str">
        <f t="shared" si="15"/>
        <v/>
      </c>
      <c r="O250" s="17" t="str">
        <f t="shared" si="18"/>
        <v/>
      </c>
      <c r="P250" s="17" t="str">
        <f t="shared" si="19"/>
        <v/>
      </c>
      <c r="Q250" s="18" t="str">
        <f t="shared" si="16"/>
        <v/>
      </c>
      <c r="R250" s="18" t="e">
        <f t="shared" si="17"/>
        <v>#DIV/0!</v>
      </c>
      <c r="S250" s="35" t="e">
        <f>(S249-SUM(E248:E254))/(SUM(E248:E254))</f>
        <v>#DIV/0!</v>
      </c>
      <c r="T250" s="48" t="e">
        <f>SUM(I248:I254)/SUM(K248:K254)</f>
        <v>#DIV/0!</v>
      </c>
      <c r="U250" s="1738"/>
    </row>
    <row r="251" spans="1:40">
      <c r="A251" s="10" t="s">
        <v>13</v>
      </c>
      <c r="B251" s="905">
        <v>45903</v>
      </c>
      <c r="C251" s="76">
        <f>IF(G251=0,0,CHAMNORD!C251+AIX!C251+BELLEY!C251+STALBAN!C251+ABRETS!C251+PONT!C251+FRANCIN!C251+VIVIERS!C251)</f>
        <v>0</v>
      </c>
      <c r="D251" s="76">
        <f>IF(H251=0,0,CHAMNORD!D251+AIX!D251+BELLEY!D251+STALBAN!D251+ABRETS!D251+PONT!D251+FRANCIN!D251+VIVIERS!D251)</f>
        <v>0</v>
      </c>
      <c r="E251" s="76">
        <f>IF(I251=0,0,CHAMNORD!E251+AIX!E251+BELLEY!E251+STALBAN!E251+ABRETS!E251+PONT!E251+FRANCIN!E251+VIVIERS!E251)</f>
        <v>0</v>
      </c>
      <c r="F251" s="20">
        <f>IF(J251=0,0,CHAMNORD!F251+AIX!F251+BELLEY!F251+STALBAN!F251+ABRETS!F251+PONT!F251+FRANCIN!F251+VIVIERS!F251)</f>
        <v>0</v>
      </c>
      <c r="G251" s="40">
        <f>IF(I251=0,0,CHAMNORD!G251+AIX!G251+BELLEY!G251+STALBAN!G251+ABRETS!G251+PONT!G251+FRANCIN!G251+VIVIERS!G251)</f>
        <v>0</v>
      </c>
      <c r="H251" s="42">
        <f>CHAMNORD!H251+AIX!H251+BELLEY!H251+STALBAN!H251+ABRETS!H251+PONT!H251+FRANCIN!H251+VIVIERS!H251</f>
        <v>0</v>
      </c>
      <c r="I251" s="13">
        <f>CHAMNORD!I251+AIX!I251+BELLEY!I251+STALBAN!I251+ABRETS!I251+PONT!I251+FRANCIN!I251+VIVIERS!I251</f>
        <v>0</v>
      </c>
      <c r="J251" s="14">
        <f>CHAMNORD!J251+AIX!J251+BELLEY!J251+STALBAN!J251+ABRETS!J251+PONT!J251+FRANCIN!J251+VIVIERS!J251</f>
        <v>0</v>
      </c>
      <c r="K251" s="15">
        <f>CHAMNORD!K251+AIX!K251+BELLEY!K251+STALBAN!K251+ABRETS!K251+PONT!K251+FRANCIN!K251+VIVIERS!K251</f>
        <v>0</v>
      </c>
      <c r="L251" s="15">
        <f>CHAMNORD!L251+AIX!L251+BELLEY!L251+STALBAN!L251+ABRETS!L251+PONT!L251+FRANCIN!L251+VIVIERS!L251</f>
        <v>0</v>
      </c>
      <c r="M251" s="15">
        <f>CHAMNORD!M251+AIX!M251+BELLEY!M251+STALBAN!M251+ABRETS!M251+PONT!M251+FRANCIN!M251+VIVIERS!M251</f>
        <v>0</v>
      </c>
      <c r="N251" s="16" t="str">
        <f t="shared" si="15"/>
        <v/>
      </c>
      <c r="O251" s="17" t="str">
        <f t="shared" si="18"/>
        <v/>
      </c>
      <c r="P251" s="17" t="str">
        <f t="shared" si="19"/>
        <v/>
      </c>
      <c r="Q251" s="18" t="str">
        <f t="shared" si="16"/>
        <v/>
      </c>
      <c r="R251" s="18" t="e">
        <f t="shared" si="17"/>
        <v>#DIV/0!</v>
      </c>
      <c r="S251" s="34"/>
      <c r="T251" s="29" t="s">
        <v>8</v>
      </c>
      <c r="U251" s="1738"/>
    </row>
    <row r="252" spans="1:40">
      <c r="A252" s="10" t="s">
        <v>14</v>
      </c>
      <c r="B252" s="905">
        <v>45904</v>
      </c>
      <c r="C252" s="76">
        <f>IF(G252=0,0,CHAMNORD!C252+AIX!C252+BELLEY!C252+STALBAN!C252+ABRETS!C252+PONT!C252+FRANCIN!C252+VIVIERS!C252)</f>
        <v>0</v>
      </c>
      <c r="D252" s="76">
        <f>IF(H252=0,0,CHAMNORD!D252+AIX!D252+BELLEY!D252+STALBAN!D252+ABRETS!D252+PONT!D252+FRANCIN!D252+VIVIERS!D252)</f>
        <v>0</v>
      </c>
      <c r="E252" s="76">
        <f>IF(I252=0,0,CHAMNORD!E252+AIX!E252+BELLEY!E252+STALBAN!E252+ABRETS!E252+PONT!E252+FRANCIN!E252+VIVIERS!E252)</f>
        <v>0</v>
      </c>
      <c r="F252" s="20">
        <f>IF(J252=0,0,CHAMNORD!F252+AIX!F252+BELLEY!F252+STALBAN!F252+ABRETS!F252+PONT!F252+FRANCIN!F252+VIVIERS!F252)</f>
        <v>0</v>
      </c>
      <c r="G252" s="40">
        <f>IF(I252=0,0,CHAMNORD!G252+AIX!G252+BELLEY!G252+STALBAN!G252+ABRETS!G252+PONT!G252+FRANCIN!G252+VIVIERS!G252)</f>
        <v>0</v>
      </c>
      <c r="H252" s="42">
        <f>CHAMNORD!H252+AIX!H252+BELLEY!H252+STALBAN!H252+ABRETS!H252+PONT!H252+FRANCIN!H252+VIVIERS!H252</f>
        <v>0</v>
      </c>
      <c r="I252" s="13">
        <f>CHAMNORD!I252+AIX!I252+BELLEY!I252+STALBAN!I252+ABRETS!I252+PONT!I252+FRANCIN!I252+VIVIERS!I252</f>
        <v>0</v>
      </c>
      <c r="J252" s="14">
        <f>CHAMNORD!J252+AIX!J252+BELLEY!J252+STALBAN!J252+ABRETS!J252+PONT!J252+FRANCIN!J252+VIVIERS!J252</f>
        <v>0</v>
      </c>
      <c r="K252" s="15">
        <f>CHAMNORD!K252+AIX!K252+BELLEY!K252+STALBAN!K252+ABRETS!K252+PONT!K252+FRANCIN!K252+VIVIERS!K252</f>
        <v>0</v>
      </c>
      <c r="L252" s="15">
        <f>CHAMNORD!L252+AIX!L252+BELLEY!L252+STALBAN!L252+ABRETS!L252+PONT!L252+FRANCIN!L252+VIVIERS!L252</f>
        <v>0</v>
      </c>
      <c r="M252" s="15">
        <f>CHAMNORD!M252+AIX!M252+BELLEY!M252+STALBAN!M252+ABRETS!M252+PONT!M252+FRANCIN!M252+VIVIERS!M252</f>
        <v>0</v>
      </c>
      <c r="N252" s="16" t="str">
        <f t="shared" si="15"/>
        <v/>
      </c>
      <c r="O252" s="17" t="str">
        <f t="shared" si="18"/>
        <v/>
      </c>
      <c r="P252" s="17" t="str">
        <f t="shared" si="19"/>
        <v/>
      </c>
      <c r="Q252" s="18" t="str">
        <f t="shared" si="16"/>
        <v/>
      </c>
      <c r="R252" s="18" t="e">
        <f t="shared" si="17"/>
        <v>#DIV/0!</v>
      </c>
      <c r="S252" s="36" t="s">
        <v>40</v>
      </c>
      <c r="T252" s="48" t="e">
        <f>SUM(I248:I254)/SUM(L248:L254)</f>
        <v>#DIV/0!</v>
      </c>
      <c r="U252" s="1738"/>
    </row>
    <row r="253" spans="1:40">
      <c r="A253" s="10" t="s">
        <v>15</v>
      </c>
      <c r="B253" s="905">
        <v>45905</v>
      </c>
      <c r="C253" s="76">
        <f>IF(G253=0,0,CHAMNORD!C253+AIX!C253+BELLEY!C253+STALBAN!C253+ABRETS!C253+PONT!C253+FRANCIN!C253+VIVIERS!C253)</f>
        <v>0</v>
      </c>
      <c r="D253" s="76">
        <f>IF(H253=0,0,CHAMNORD!D253+AIX!D253+BELLEY!D253+STALBAN!D253+ABRETS!D253+PONT!D253+FRANCIN!D253+VIVIERS!D253)</f>
        <v>0</v>
      </c>
      <c r="E253" s="76">
        <f>IF(I253=0,0,CHAMNORD!E253+AIX!E253+BELLEY!E253+STALBAN!E253+ABRETS!E253+PONT!E253+FRANCIN!E253+VIVIERS!E253)</f>
        <v>0</v>
      </c>
      <c r="F253" s="20">
        <f>IF(J253=0,0,CHAMNORD!F253+AIX!F253+BELLEY!F253+STALBAN!F253+ABRETS!F253+PONT!F253+FRANCIN!F253+VIVIERS!F253)</f>
        <v>0</v>
      </c>
      <c r="G253" s="40">
        <f>IF(I253=0,0,CHAMNORD!G253+AIX!G253+BELLEY!G253+STALBAN!G253+ABRETS!G253+PONT!G253+FRANCIN!G253+VIVIERS!G253)</f>
        <v>0</v>
      </c>
      <c r="H253" s="42">
        <f>CHAMNORD!H253+AIX!H253+BELLEY!H253+STALBAN!H253+ABRETS!H253+PONT!H253+FRANCIN!H253+VIVIERS!H253</f>
        <v>0</v>
      </c>
      <c r="I253" s="13">
        <f>CHAMNORD!I253+AIX!I253+BELLEY!I253+STALBAN!I253+ABRETS!I253+PONT!I253+FRANCIN!I253+VIVIERS!I253</f>
        <v>0</v>
      </c>
      <c r="J253" s="14">
        <f>CHAMNORD!J253+AIX!J253+BELLEY!J253+STALBAN!J253+ABRETS!J253+PONT!J253+FRANCIN!J253+VIVIERS!J253</f>
        <v>0</v>
      </c>
      <c r="K253" s="15">
        <f>CHAMNORD!K253+AIX!K253+BELLEY!K253+STALBAN!K253+ABRETS!K253+PONT!K253+FRANCIN!K253+VIVIERS!K253</f>
        <v>0</v>
      </c>
      <c r="L253" s="15">
        <f>CHAMNORD!L253+AIX!L253+BELLEY!L253+STALBAN!L253+ABRETS!L253+PONT!L253+FRANCIN!L253+VIVIERS!L253</f>
        <v>0</v>
      </c>
      <c r="M253" s="15">
        <f>CHAMNORD!M253+AIX!M253+BELLEY!M253+STALBAN!M253+ABRETS!M253+PONT!M253+FRANCIN!M253+VIVIERS!M253</f>
        <v>0</v>
      </c>
      <c r="N253" s="16" t="str">
        <f t="shared" si="15"/>
        <v/>
      </c>
      <c r="O253" s="17" t="str">
        <f t="shared" si="18"/>
        <v/>
      </c>
      <c r="P253" s="17" t="str">
        <f t="shared" si="19"/>
        <v/>
      </c>
      <c r="Q253" s="18" t="str">
        <f t="shared" si="16"/>
        <v/>
      </c>
      <c r="R253" s="18" t="e">
        <f t="shared" si="17"/>
        <v>#DIV/0!</v>
      </c>
      <c r="S253" s="36">
        <f>SUM(J248:J254)</f>
        <v>0</v>
      </c>
      <c r="T253" s="30" t="s">
        <v>3</v>
      </c>
      <c r="U253" s="1738"/>
    </row>
    <row r="254" spans="1:40" ht="18" thickBot="1">
      <c r="A254" s="10" t="s">
        <v>16</v>
      </c>
      <c r="B254" s="905">
        <v>45906</v>
      </c>
      <c r="C254" s="76">
        <f>IF(G254=0,0,CHAMNORD!C254+AIX!C254+BELLEY!C254+STALBAN!C254+ABRETS!C254+PONT!C254+FRANCIN!C254+VIVIERS!C254)</f>
        <v>0</v>
      </c>
      <c r="D254" s="76">
        <f>IF(H254=0,0,CHAMNORD!D254+AIX!D254+BELLEY!D254+STALBAN!D254+ABRETS!D254+PONT!D254+FRANCIN!D254+VIVIERS!D254)</f>
        <v>0</v>
      </c>
      <c r="E254" s="76">
        <f>IF(I254=0,0,CHAMNORD!E254+AIX!E254+BELLEY!E254+STALBAN!E254+ABRETS!E254+PONT!E254+FRANCIN!E254+VIVIERS!E254)</f>
        <v>0</v>
      </c>
      <c r="F254" s="20">
        <f>IF(J254=0,0,CHAMNORD!F254+AIX!F254+BELLEY!F254+STALBAN!F254+ABRETS!F254+PONT!F254+FRANCIN!F254+VIVIERS!F254)</f>
        <v>0</v>
      </c>
      <c r="G254" s="40">
        <f>IF(I254=0,0,CHAMNORD!G254+AIX!G254+BELLEY!G254+STALBAN!G254+ABRETS!G254+PONT!G254+FRANCIN!G254+VIVIERS!G254)</f>
        <v>0</v>
      </c>
      <c r="H254" s="42">
        <f>CHAMNORD!H254+AIX!H254+BELLEY!H254+STALBAN!H254+ABRETS!H254+PONT!H254+FRANCIN!H254+VIVIERS!H254</f>
        <v>0</v>
      </c>
      <c r="I254" s="13">
        <f>CHAMNORD!I254+AIX!I254+BELLEY!I254+STALBAN!I254+ABRETS!I254+PONT!I254+FRANCIN!I254+VIVIERS!I254</f>
        <v>0</v>
      </c>
      <c r="J254" s="14">
        <f>CHAMNORD!J254+AIX!J254+BELLEY!J254+STALBAN!J254+ABRETS!J254+PONT!J254+FRANCIN!J254+VIVIERS!J254</f>
        <v>0</v>
      </c>
      <c r="K254" s="15">
        <f>CHAMNORD!K254+AIX!K254+BELLEY!K254+STALBAN!K254+ABRETS!K254+PONT!K254+FRANCIN!K254+VIVIERS!K254</f>
        <v>0</v>
      </c>
      <c r="L254" s="15">
        <f>CHAMNORD!L254+AIX!L254+BELLEY!L254+STALBAN!L254+ABRETS!L254+PONT!L254+FRANCIN!L254+VIVIERS!L254</f>
        <v>0</v>
      </c>
      <c r="M254" s="15">
        <f>CHAMNORD!M254+AIX!M254+BELLEY!M254+STALBAN!M254+ABRETS!M254+PONT!M254+FRANCIN!M254+VIVIERS!M254</f>
        <v>0</v>
      </c>
      <c r="N254" s="16" t="str">
        <f t="shared" si="15"/>
        <v/>
      </c>
      <c r="O254" s="17" t="str">
        <f t="shared" si="18"/>
        <v/>
      </c>
      <c r="P254" s="17" t="str">
        <f t="shared" si="19"/>
        <v/>
      </c>
      <c r="Q254" s="18" t="str">
        <f t="shared" si="16"/>
        <v/>
      </c>
      <c r="R254" s="18" t="e">
        <f t="shared" si="17"/>
        <v>#DIV/0!</v>
      </c>
      <c r="S254" s="37" t="e">
        <f>(S253-SUM(F248:F254))/(SUM(F248:F254))</f>
        <v>#DIV/0!</v>
      </c>
      <c r="T254" s="47" t="e">
        <f>SUM(M248:M254)/SUM(I248:I254)</f>
        <v>#DIV/0!</v>
      </c>
      <c r="U254" s="1739"/>
    </row>
    <row r="255" spans="1:40" ht="17" customHeight="1" thickTop="1">
      <c r="A255" s="10" t="s">
        <v>9</v>
      </c>
      <c r="B255" s="905">
        <v>45907</v>
      </c>
      <c r="C255" s="76">
        <f>IF(G255=0,0,CHAMNORD!C255+AIX!C255+BELLEY!C255+STALBAN!C255+ABRETS!C255+PONT!C255+FRANCIN!C255+VIVIERS!C255)</f>
        <v>0</v>
      </c>
      <c r="D255" s="76">
        <f>IF(H255=0,0,CHAMNORD!D255+AIX!D255+BELLEY!D255+STALBAN!D255+ABRETS!D255+PONT!D255+FRANCIN!D255+VIVIERS!D255)</f>
        <v>0</v>
      </c>
      <c r="E255" s="76">
        <f>IF(I255=0,0,CHAMNORD!E255+AIX!E255+BELLEY!E255+STALBAN!E255+ABRETS!E255+PONT!E255+FRANCIN!E255+VIVIERS!E255)</f>
        <v>0</v>
      </c>
      <c r="F255" s="20">
        <f>IF(J255=0,0,CHAMNORD!F255+AIX!F255+BELLEY!F255+STALBAN!F255+ABRETS!F255+PONT!F255+FRANCIN!F255+VIVIERS!F255)</f>
        <v>0</v>
      </c>
      <c r="G255" s="40">
        <f>IF(I255=0,0,CHAMNORD!G255+AIX!G255+BELLEY!G255+STALBAN!G255+ABRETS!G255+PONT!G255+FRANCIN!G255+VIVIERS!G255)</f>
        <v>0</v>
      </c>
      <c r="H255" s="42">
        <f>CHAMNORD!H255+AIX!H255+BELLEY!H255+STALBAN!H255+ABRETS!H255+PONT!H255+FRANCIN!H255+VIVIERS!H255</f>
        <v>0</v>
      </c>
      <c r="I255" s="13">
        <f>CHAMNORD!I255+AIX!I255+BELLEY!I255+STALBAN!I255+ABRETS!I255+PONT!I255+FRANCIN!I255+VIVIERS!I255</f>
        <v>0</v>
      </c>
      <c r="J255" s="14">
        <f>CHAMNORD!J255+AIX!J255+BELLEY!J255+STALBAN!J255+ABRETS!J255+PONT!J255+FRANCIN!J255+VIVIERS!J255</f>
        <v>0</v>
      </c>
      <c r="K255" s="15">
        <f>CHAMNORD!K255+AIX!K255+BELLEY!K255+STALBAN!K255+ABRETS!K255+PONT!K255+FRANCIN!K255+VIVIERS!K255</f>
        <v>0</v>
      </c>
      <c r="L255" s="15">
        <f>CHAMNORD!L255+AIX!L255+BELLEY!L255+STALBAN!L255+ABRETS!L255+PONT!L255+FRANCIN!L255+VIVIERS!L255</f>
        <v>0</v>
      </c>
      <c r="M255" s="15">
        <f>CHAMNORD!M255+AIX!M255+BELLEY!M255+STALBAN!M255+ABRETS!M255+PONT!M255+FRANCIN!M255+VIVIERS!M255</f>
        <v>0</v>
      </c>
      <c r="N255" s="16" t="str">
        <f t="shared" si="15"/>
        <v/>
      </c>
      <c r="O255" s="17" t="str">
        <f t="shared" si="18"/>
        <v/>
      </c>
      <c r="P255" s="17" t="str">
        <f t="shared" si="19"/>
        <v/>
      </c>
      <c r="Q255" s="18" t="str">
        <f t="shared" si="16"/>
        <v/>
      </c>
      <c r="R255" s="18" t="e">
        <f t="shared" si="17"/>
        <v>#DIV/0!</v>
      </c>
      <c r="S255" s="33" t="s">
        <v>39</v>
      </c>
      <c r="T255" s="31" t="s">
        <v>42</v>
      </c>
      <c r="U255" s="1737" t="s">
        <v>119</v>
      </c>
    </row>
    <row r="256" spans="1:40">
      <c r="A256" s="10" t="s">
        <v>11</v>
      </c>
      <c r="B256" s="905">
        <v>45908</v>
      </c>
      <c r="C256" s="76">
        <f>IF(G256=0,0,CHAMNORD!C256+AIX!C256+BELLEY!C256+STALBAN!C256+ABRETS!C256+PONT!C256+FRANCIN!C256+VIVIERS!C256)</f>
        <v>0</v>
      </c>
      <c r="D256" s="76">
        <f>IF(H256=0,0,CHAMNORD!D256+AIX!D256+BELLEY!D256+STALBAN!D256+ABRETS!D256+PONT!D256+FRANCIN!D256+VIVIERS!D256)</f>
        <v>0</v>
      </c>
      <c r="E256" s="76">
        <f>IF(I256=0,0,CHAMNORD!E256+AIX!E256+BELLEY!E256+STALBAN!E256+ABRETS!E256+PONT!E256+FRANCIN!E256+VIVIERS!E256)</f>
        <v>0</v>
      </c>
      <c r="F256" s="20">
        <f>IF(J256=0,0,CHAMNORD!F256+AIX!F256+BELLEY!F256+STALBAN!F256+ABRETS!F256+PONT!F256+FRANCIN!F256+VIVIERS!F256)</f>
        <v>0</v>
      </c>
      <c r="G256" s="40">
        <f>IF(I256=0,0,CHAMNORD!G256+AIX!G256+BELLEY!G256+STALBAN!G256+ABRETS!G256+PONT!G256+FRANCIN!G256+VIVIERS!G256)</f>
        <v>0</v>
      </c>
      <c r="H256" s="42">
        <f>CHAMNORD!H256+AIX!H256+BELLEY!H256+STALBAN!H256+ABRETS!H256+PONT!H256+FRANCIN!H256+VIVIERS!H256</f>
        <v>0</v>
      </c>
      <c r="I256" s="13">
        <f>CHAMNORD!I256+AIX!I256+BELLEY!I256+STALBAN!I256+ABRETS!I256+PONT!I256+FRANCIN!I256+VIVIERS!I256</f>
        <v>0</v>
      </c>
      <c r="J256" s="14">
        <f>CHAMNORD!J256+AIX!J256+BELLEY!J256+STALBAN!J256+ABRETS!J256+PONT!J256+FRANCIN!J256+VIVIERS!J256</f>
        <v>0</v>
      </c>
      <c r="K256" s="15">
        <f>CHAMNORD!K256+AIX!K256+BELLEY!K256+STALBAN!K256+ABRETS!K256+PONT!K256+FRANCIN!K256+VIVIERS!K256</f>
        <v>0</v>
      </c>
      <c r="L256" s="15">
        <f>CHAMNORD!L256+AIX!L256+BELLEY!L256+STALBAN!L256+ABRETS!L256+PONT!L256+FRANCIN!L256+VIVIERS!L256</f>
        <v>0</v>
      </c>
      <c r="M256" s="15">
        <f>CHAMNORD!M256+AIX!M256+BELLEY!M256+STALBAN!M256+ABRETS!M256+PONT!M256+FRANCIN!M256+VIVIERS!M256</f>
        <v>0</v>
      </c>
      <c r="N256" s="16" t="str">
        <f t="shared" si="15"/>
        <v/>
      </c>
      <c r="O256" s="17" t="str">
        <f t="shared" si="18"/>
        <v/>
      </c>
      <c r="P256" s="17" t="str">
        <f t="shared" si="19"/>
        <v/>
      </c>
      <c r="Q256" s="18" t="str">
        <f t="shared" si="16"/>
        <v/>
      </c>
      <c r="R256" s="18" t="e">
        <f t="shared" si="17"/>
        <v>#DIV/0!</v>
      </c>
      <c r="S256" s="34">
        <f>SUM(I255:I261)</f>
        <v>0</v>
      </c>
      <c r="T256" s="45" t="s">
        <v>41</v>
      </c>
      <c r="U256" s="1738"/>
      <c r="W256" s="202">
        <f>+S256</f>
        <v>0</v>
      </c>
      <c r="X256" s="202">
        <f>SUM(CHAMNORD!E255:E261)+SUM(AIX!E255:E261)+SUM(BELLEY!E255:E261)+SUM(STALBAN!E255:E261)+SUM(ABRETS!E255:E261)+SUM(PONT!E255:E261)+SUM(FRANCIN!E255:E261)+SUM(VIVIERS!E255:E261)</f>
        <v>0</v>
      </c>
      <c r="Y256" s="1051">
        <f>+W256-X256</f>
        <v>0</v>
      </c>
      <c r="Z256" s="39"/>
      <c r="AA256" s="1238"/>
      <c r="AB256" s="39"/>
      <c r="AC256" s="1238"/>
      <c r="AD256" s="39"/>
      <c r="AE256" s="1238"/>
      <c r="AF256" s="39"/>
      <c r="AG256" s="1238"/>
      <c r="AH256" s="39"/>
      <c r="AI256" s="1238"/>
      <c r="AJ256" s="39"/>
      <c r="AK256" s="1238"/>
      <c r="AL256" s="39"/>
      <c r="AM256" s="1238"/>
      <c r="AN256" s="39"/>
    </row>
    <row r="257" spans="1:25">
      <c r="A257" s="10" t="s">
        <v>12</v>
      </c>
      <c r="B257" s="905">
        <v>45909</v>
      </c>
      <c r="C257" s="76">
        <f>IF(G257=0,0,CHAMNORD!C257+AIX!C257+BELLEY!C257+STALBAN!C257+ABRETS!C257+PONT!C257+FRANCIN!C257+VIVIERS!C257)</f>
        <v>0</v>
      </c>
      <c r="D257" s="76">
        <f>IF(H257=0,0,CHAMNORD!D257+AIX!D257+BELLEY!D257+STALBAN!D257+ABRETS!D257+PONT!D257+FRANCIN!D257+VIVIERS!D257)</f>
        <v>0</v>
      </c>
      <c r="E257" s="76">
        <f>IF(I257=0,0,CHAMNORD!E257+AIX!E257+BELLEY!E257+STALBAN!E257+ABRETS!E257+PONT!E257+FRANCIN!E257+VIVIERS!E257)</f>
        <v>0</v>
      </c>
      <c r="F257" s="20">
        <f>IF(J257=0,0,CHAMNORD!F257+AIX!F257+BELLEY!F257+STALBAN!F257+ABRETS!F257+PONT!F257+FRANCIN!F257+VIVIERS!F257)</f>
        <v>0</v>
      </c>
      <c r="G257" s="40">
        <f>IF(I257=0,0,CHAMNORD!G257+AIX!G257+BELLEY!G257+STALBAN!G257+ABRETS!G257+PONT!G257+FRANCIN!G257+VIVIERS!G257)</f>
        <v>0</v>
      </c>
      <c r="H257" s="42">
        <f>CHAMNORD!H257+AIX!H257+BELLEY!H257+STALBAN!H257+ABRETS!H257+PONT!H257+FRANCIN!H257+VIVIERS!H257</f>
        <v>0</v>
      </c>
      <c r="I257" s="13">
        <f>CHAMNORD!I257+AIX!I257+BELLEY!I257+STALBAN!I257+ABRETS!I257+PONT!I257+FRANCIN!I257+VIVIERS!I257</f>
        <v>0</v>
      </c>
      <c r="J257" s="14">
        <f>CHAMNORD!J257+AIX!J257+BELLEY!J257+STALBAN!J257+ABRETS!J257+PONT!J257+FRANCIN!J257+VIVIERS!J257</f>
        <v>0</v>
      </c>
      <c r="K257" s="15">
        <f>CHAMNORD!K257+AIX!K257+BELLEY!K257+STALBAN!K257+ABRETS!K257+PONT!K257+FRANCIN!K257+VIVIERS!K257</f>
        <v>0</v>
      </c>
      <c r="L257" s="15">
        <f>CHAMNORD!L257+AIX!L257+BELLEY!L257+STALBAN!L257+ABRETS!L257+PONT!L257+FRANCIN!L257+VIVIERS!L257</f>
        <v>0</v>
      </c>
      <c r="M257" s="15">
        <f>CHAMNORD!M257+AIX!M257+BELLEY!M257+STALBAN!M257+ABRETS!M257+PONT!M257+FRANCIN!M257+VIVIERS!M257</f>
        <v>0</v>
      </c>
      <c r="N257" s="16" t="str">
        <f t="shared" si="15"/>
        <v/>
      </c>
      <c r="O257" s="17" t="str">
        <f t="shared" si="18"/>
        <v/>
      </c>
      <c r="P257" s="17" t="str">
        <f t="shared" si="19"/>
        <v/>
      </c>
      <c r="Q257" s="18" t="str">
        <f t="shared" si="16"/>
        <v/>
      </c>
      <c r="R257" s="18" t="e">
        <f t="shared" si="17"/>
        <v>#DIV/0!</v>
      </c>
      <c r="S257" s="35" t="e">
        <f>(S256-SUM(E255:E261))/(SUM(E255:E261))</f>
        <v>#DIV/0!</v>
      </c>
      <c r="T257" s="48" t="e">
        <f>SUM(I255:I261)/SUM(K255:K261)</f>
        <v>#DIV/0!</v>
      </c>
      <c r="U257" s="1738"/>
    </row>
    <row r="258" spans="1:25">
      <c r="A258" s="10" t="s">
        <v>13</v>
      </c>
      <c r="B258" s="905">
        <v>45910</v>
      </c>
      <c r="C258" s="76">
        <f>IF(G258=0,0,CHAMNORD!C258+AIX!C258+BELLEY!C258+STALBAN!C258+ABRETS!C258+PONT!C258+FRANCIN!C258+VIVIERS!C258)</f>
        <v>0</v>
      </c>
      <c r="D258" s="76">
        <f>IF(H258=0,0,CHAMNORD!D258+AIX!D258+BELLEY!D258+STALBAN!D258+ABRETS!D258+PONT!D258+FRANCIN!D258+VIVIERS!D258)</f>
        <v>0</v>
      </c>
      <c r="E258" s="76">
        <f>IF(I258=0,0,CHAMNORD!E258+AIX!E258+BELLEY!E258+STALBAN!E258+ABRETS!E258+PONT!E258+FRANCIN!E258+VIVIERS!E258)</f>
        <v>0</v>
      </c>
      <c r="F258" s="20">
        <f>IF(J258=0,0,CHAMNORD!F258+AIX!F258+BELLEY!F258+STALBAN!F258+ABRETS!F258+PONT!F258+FRANCIN!F258+VIVIERS!F258)</f>
        <v>0</v>
      </c>
      <c r="G258" s="40">
        <f>IF(I258=0,0,CHAMNORD!G258+AIX!G258+BELLEY!G258+STALBAN!G258+ABRETS!G258+PONT!G258+FRANCIN!G258+VIVIERS!G258)</f>
        <v>0</v>
      </c>
      <c r="H258" s="42">
        <f>CHAMNORD!H258+AIX!H258+BELLEY!H258+STALBAN!H258+ABRETS!H258+PONT!H258+FRANCIN!H258+VIVIERS!H258</f>
        <v>0</v>
      </c>
      <c r="I258" s="13">
        <f>CHAMNORD!I258+AIX!I258+BELLEY!I258+STALBAN!I258+ABRETS!I258+PONT!I258+FRANCIN!I258+VIVIERS!I258</f>
        <v>0</v>
      </c>
      <c r="J258" s="14">
        <f>CHAMNORD!J258+AIX!J258+BELLEY!J258+STALBAN!J258+ABRETS!J258+PONT!J258+FRANCIN!J258+VIVIERS!J258</f>
        <v>0</v>
      </c>
      <c r="K258" s="15">
        <f>CHAMNORD!K258+AIX!K258+BELLEY!K258+STALBAN!K258+ABRETS!K258+PONT!K258+FRANCIN!K258+VIVIERS!K258</f>
        <v>0</v>
      </c>
      <c r="L258" s="15">
        <f>CHAMNORD!L258+AIX!L258+BELLEY!L258+STALBAN!L258+ABRETS!L258+PONT!L258+FRANCIN!L258+VIVIERS!L258</f>
        <v>0</v>
      </c>
      <c r="M258" s="15">
        <f>CHAMNORD!M258+AIX!M258+BELLEY!M258+STALBAN!M258+ABRETS!M258+PONT!M258+FRANCIN!M258+VIVIERS!M258</f>
        <v>0</v>
      </c>
      <c r="N258" s="16" t="str">
        <f t="shared" si="15"/>
        <v/>
      </c>
      <c r="O258" s="17" t="str">
        <f t="shared" si="18"/>
        <v/>
      </c>
      <c r="P258" s="17" t="str">
        <f t="shared" si="19"/>
        <v/>
      </c>
      <c r="Q258" s="18" t="str">
        <f t="shared" si="16"/>
        <v/>
      </c>
      <c r="R258" s="18" t="e">
        <f t="shared" si="17"/>
        <v>#DIV/0!</v>
      </c>
      <c r="S258" s="34"/>
      <c r="T258" s="29" t="s">
        <v>8</v>
      </c>
      <c r="U258" s="1738"/>
    </row>
    <row r="259" spans="1:25">
      <c r="A259" s="10" t="s">
        <v>14</v>
      </c>
      <c r="B259" s="905">
        <v>45911</v>
      </c>
      <c r="C259" s="76">
        <f>IF(G259=0,0,CHAMNORD!C259+AIX!C259+BELLEY!C259+STALBAN!C259+ABRETS!C259+PONT!C259+FRANCIN!C259+VIVIERS!C259)</f>
        <v>0</v>
      </c>
      <c r="D259" s="76">
        <f>IF(H259=0,0,CHAMNORD!D259+AIX!D259+BELLEY!D259+STALBAN!D259+ABRETS!D259+PONT!D259+FRANCIN!D259+VIVIERS!D259)</f>
        <v>0</v>
      </c>
      <c r="E259" s="76">
        <f>IF(I259=0,0,CHAMNORD!E259+AIX!E259+BELLEY!E259+STALBAN!E259+ABRETS!E259+PONT!E259+FRANCIN!E259+VIVIERS!E259)</f>
        <v>0</v>
      </c>
      <c r="F259" s="20">
        <f>IF(J259=0,0,CHAMNORD!F259+AIX!F259+BELLEY!F259+STALBAN!F259+ABRETS!F259+PONT!F259+FRANCIN!F259+VIVIERS!F259)</f>
        <v>0</v>
      </c>
      <c r="G259" s="40">
        <f>IF(I259=0,0,CHAMNORD!G259+AIX!G259+BELLEY!G259+STALBAN!G259+ABRETS!G259+PONT!G259+FRANCIN!G259+VIVIERS!G259)</f>
        <v>0</v>
      </c>
      <c r="H259" s="42">
        <f>CHAMNORD!H259+AIX!H259+BELLEY!H259+STALBAN!H259+ABRETS!H259+PONT!H259+FRANCIN!H259+VIVIERS!H259</f>
        <v>0</v>
      </c>
      <c r="I259" s="13">
        <f>CHAMNORD!I259+AIX!I259+BELLEY!I259+STALBAN!I259+ABRETS!I259+PONT!I259+FRANCIN!I259+VIVIERS!I259</f>
        <v>0</v>
      </c>
      <c r="J259" s="14">
        <f>CHAMNORD!J259+AIX!J259+BELLEY!J259+STALBAN!J259+ABRETS!J259+PONT!J259+FRANCIN!J259+VIVIERS!J259</f>
        <v>0</v>
      </c>
      <c r="K259" s="15">
        <f>CHAMNORD!K259+AIX!K259+BELLEY!K259+STALBAN!K259+ABRETS!K259+PONT!K259+FRANCIN!K259+VIVIERS!K259</f>
        <v>0</v>
      </c>
      <c r="L259" s="15">
        <f>CHAMNORD!L259+AIX!L259+BELLEY!L259+STALBAN!L259+ABRETS!L259+PONT!L259+FRANCIN!L259+VIVIERS!L259</f>
        <v>0</v>
      </c>
      <c r="M259" s="15">
        <f>CHAMNORD!M259+AIX!M259+BELLEY!M259+STALBAN!M259+ABRETS!M259+PONT!M259+FRANCIN!M259+VIVIERS!M259</f>
        <v>0</v>
      </c>
      <c r="N259" s="16" t="str">
        <f t="shared" si="15"/>
        <v/>
      </c>
      <c r="O259" s="17" t="str">
        <f t="shared" si="18"/>
        <v/>
      </c>
      <c r="P259" s="17" t="str">
        <f t="shared" si="19"/>
        <v/>
      </c>
      <c r="Q259" s="18" t="str">
        <f t="shared" si="16"/>
        <v/>
      </c>
      <c r="R259" s="18" t="e">
        <f t="shared" si="17"/>
        <v>#DIV/0!</v>
      </c>
      <c r="S259" s="36" t="s">
        <v>40</v>
      </c>
      <c r="T259" s="48" t="e">
        <f>SUM(I255:I261)/SUM(L255:L261)</f>
        <v>#DIV/0!</v>
      </c>
      <c r="U259" s="1738"/>
    </row>
    <row r="260" spans="1:25">
      <c r="A260" s="10" t="s">
        <v>15</v>
      </c>
      <c r="B260" s="905">
        <v>45912</v>
      </c>
      <c r="C260" s="76">
        <f>IF(G260=0,0,CHAMNORD!C260+AIX!C260+BELLEY!C260+STALBAN!C260+ABRETS!C260+PONT!C260+FRANCIN!C260+VIVIERS!C260)</f>
        <v>0</v>
      </c>
      <c r="D260" s="76">
        <f>IF(H260=0,0,CHAMNORD!D260+AIX!D260+BELLEY!D260+STALBAN!D260+ABRETS!D260+PONT!D260+FRANCIN!D260+VIVIERS!D260)</f>
        <v>0</v>
      </c>
      <c r="E260" s="76">
        <f>IF(I260=0,0,CHAMNORD!E260+AIX!E260+BELLEY!E260+STALBAN!E260+ABRETS!E260+PONT!E260+FRANCIN!E260+VIVIERS!E260)</f>
        <v>0</v>
      </c>
      <c r="F260" s="20">
        <f>IF(J260=0,0,CHAMNORD!F260+AIX!F260+BELLEY!F260+STALBAN!F260+ABRETS!F260+PONT!F260+FRANCIN!F260+VIVIERS!F260)</f>
        <v>0</v>
      </c>
      <c r="G260" s="40">
        <f>IF(I260=0,0,CHAMNORD!G260+AIX!G260+BELLEY!G260+STALBAN!G260+ABRETS!G260+PONT!G260+FRANCIN!G260+VIVIERS!G260)</f>
        <v>0</v>
      </c>
      <c r="H260" s="42">
        <f>CHAMNORD!H260+AIX!H260+BELLEY!H260+STALBAN!H260+ABRETS!H260+PONT!H260+FRANCIN!H260+VIVIERS!H260</f>
        <v>0</v>
      </c>
      <c r="I260" s="13">
        <f>CHAMNORD!I260+AIX!I260+BELLEY!I260+STALBAN!I260+ABRETS!I260+PONT!I260+FRANCIN!I260+VIVIERS!I260</f>
        <v>0</v>
      </c>
      <c r="J260" s="14">
        <f>CHAMNORD!J260+AIX!J260+BELLEY!J260+STALBAN!J260+ABRETS!J260+PONT!J260+FRANCIN!J260+VIVIERS!J260</f>
        <v>0</v>
      </c>
      <c r="K260" s="15">
        <f>CHAMNORD!K260+AIX!K260+BELLEY!K260+STALBAN!K260+ABRETS!K260+PONT!K260+FRANCIN!K260+VIVIERS!K260</f>
        <v>0</v>
      </c>
      <c r="L260" s="15">
        <f>CHAMNORD!L260+AIX!L260+BELLEY!L260+STALBAN!L260+ABRETS!L260+PONT!L260+FRANCIN!L260+VIVIERS!L260</f>
        <v>0</v>
      </c>
      <c r="M260" s="15">
        <f>CHAMNORD!M260+AIX!M260+BELLEY!M260+STALBAN!M260+ABRETS!M260+PONT!M260+FRANCIN!M260+VIVIERS!M260</f>
        <v>0</v>
      </c>
      <c r="N260" s="16" t="str">
        <f t="shared" ref="N260:N323" si="20">IF(M260=0,"",M260/I260)</f>
        <v/>
      </c>
      <c r="O260" s="17" t="str">
        <f t="shared" si="18"/>
        <v/>
      </c>
      <c r="P260" s="17" t="str">
        <f t="shared" si="19"/>
        <v/>
      </c>
      <c r="Q260" s="18" t="str">
        <f t="shared" ref="Q260:Q323" si="21">IF(I260=0,"",I260/K260)</f>
        <v/>
      </c>
      <c r="R260" s="18" t="e">
        <f t="shared" ref="R260:R323" si="22">I260/L260</f>
        <v>#DIV/0!</v>
      </c>
      <c r="S260" s="36">
        <f>SUM(J255:J261)</f>
        <v>0</v>
      </c>
      <c r="T260" s="30" t="s">
        <v>3</v>
      </c>
      <c r="U260" s="1738"/>
    </row>
    <row r="261" spans="1:25" ht="18" thickBot="1">
      <c r="A261" s="10" t="s">
        <v>16</v>
      </c>
      <c r="B261" s="905">
        <v>45913</v>
      </c>
      <c r="C261" s="76">
        <f>IF(G261=0,0,CHAMNORD!C261+AIX!C261+BELLEY!C261+STALBAN!C261+ABRETS!C261+PONT!C261+FRANCIN!C261+VIVIERS!C261)</f>
        <v>0</v>
      </c>
      <c r="D261" s="76">
        <f>IF(H261=0,0,CHAMNORD!D261+AIX!D261+BELLEY!D261+STALBAN!D261+ABRETS!D261+PONT!D261+FRANCIN!D261+VIVIERS!D261)</f>
        <v>0</v>
      </c>
      <c r="E261" s="76">
        <f>IF(I261=0,0,CHAMNORD!E261+AIX!E261+BELLEY!E261+STALBAN!E261+ABRETS!E261+PONT!E261+FRANCIN!E261+VIVIERS!E261)</f>
        <v>0</v>
      </c>
      <c r="F261" s="20">
        <f>IF(J261=0,0,CHAMNORD!F261+AIX!F261+BELLEY!F261+STALBAN!F261+ABRETS!F261+PONT!F261+FRANCIN!F261+VIVIERS!F261)</f>
        <v>0</v>
      </c>
      <c r="G261" s="40">
        <f>IF(I261=0,0,CHAMNORD!G261+AIX!G261+BELLEY!G261+STALBAN!G261+ABRETS!G261+PONT!G261+FRANCIN!G261+VIVIERS!G261)</f>
        <v>0</v>
      </c>
      <c r="H261" s="42">
        <f>CHAMNORD!H261+AIX!H261+BELLEY!H261+STALBAN!H261+ABRETS!H261+PONT!H261+FRANCIN!H261+VIVIERS!H261</f>
        <v>0</v>
      </c>
      <c r="I261" s="13">
        <f>CHAMNORD!I261+AIX!I261+BELLEY!I261+STALBAN!I261+ABRETS!I261+PONT!I261+FRANCIN!I261+VIVIERS!I261</f>
        <v>0</v>
      </c>
      <c r="J261" s="14">
        <f>CHAMNORD!J261+AIX!J261+BELLEY!J261+STALBAN!J261+ABRETS!J261+PONT!J261+FRANCIN!J261+VIVIERS!J261</f>
        <v>0</v>
      </c>
      <c r="K261" s="15">
        <f>CHAMNORD!K261+AIX!K261+BELLEY!K261+STALBAN!K261+ABRETS!K261+PONT!K261+FRANCIN!K261+VIVIERS!K261</f>
        <v>0</v>
      </c>
      <c r="L261" s="15">
        <f>CHAMNORD!L261+AIX!L261+BELLEY!L261+STALBAN!L261+ABRETS!L261+PONT!L261+FRANCIN!L261+VIVIERS!L261</f>
        <v>0</v>
      </c>
      <c r="M261" s="15">
        <f>CHAMNORD!M261+AIX!M261+BELLEY!M261+STALBAN!M261+ABRETS!M261+PONT!M261+FRANCIN!M261+VIVIERS!M261</f>
        <v>0</v>
      </c>
      <c r="N261" s="16" t="str">
        <f t="shared" si="20"/>
        <v/>
      </c>
      <c r="O261" s="17" t="str">
        <f t="shared" si="18"/>
        <v/>
      </c>
      <c r="P261" s="17" t="str">
        <f t="shared" si="19"/>
        <v/>
      </c>
      <c r="Q261" s="18" t="str">
        <f t="shared" si="21"/>
        <v/>
      </c>
      <c r="R261" s="18" t="e">
        <f t="shared" si="22"/>
        <v>#DIV/0!</v>
      </c>
      <c r="S261" s="37" t="e">
        <f>(S260-SUM(F255:F261))/(SUM(F255:F261))</f>
        <v>#DIV/0!</v>
      </c>
      <c r="T261" s="47" t="e">
        <f>SUM(M255:M261)/SUM(I255:I261)</f>
        <v>#DIV/0!</v>
      </c>
      <c r="U261" s="1739"/>
    </row>
    <row r="262" spans="1:25" ht="17" customHeight="1" thickTop="1">
      <c r="A262" s="10" t="s">
        <v>9</v>
      </c>
      <c r="B262" s="905">
        <v>45914</v>
      </c>
      <c r="C262" s="76">
        <f>IF(G262=0,0,CHAMNORD!C262+AIX!C262+BELLEY!C262+STALBAN!C262+ABRETS!C262+PONT!C262+FRANCIN!C262+VIVIERS!C262)</f>
        <v>0</v>
      </c>
      <c r="D262" s="76">
        <f>IF(H262=0,0,CHAMNORD!D262+AIX!D262+BELLEY!D262+STALBAN!D262+ABRETS!D262+PONT!D262+FRANCIN!D262+VIVIERS!D262)</f>
        <v>0</v>
      </c>
      <c r="E262" s="76">
        <f>IF(I262=0,0,CHAMNORD!E262+AIX!E262+BELLEY!E262+STALBAN!E262+ABRETS!E262+PONT!E262+FRANCIN!E262+VIVIERS!E262)</f>
        <v>0</v>
      </c>
      <c r="F262" s="20">
        <f>IF(J262=0,0,CHAMNORD!F262+AIX!F262+BELLEY!F262+STALBAN!F262+ABRETS!F262+PONT!F262+FRANCIN!F262+VIVIERS!F262)</f>
        <v>0</v>
      </c>
      <c r="G262" s="40">
        <f>IF(I262=0,0,CHAMNORD!G262+AIX!G262+BELLEY!G262+STALBAN!G262+ABRETS!G262+PONT!G262+FRANCIN!G262+VIVIERS!G262)</f>
        <v>0</v>
      </c>
      <c r="H262" s="42">
        <f>CHAMNORD!H262+AIX!H262+BELLEY!H262+STALBAN!H262+ABRETS!H262+PONT!H262+FRANCIN!H262+VIVIERS!H262</f>
        <v>0</v>
      </c>
      <c r="I262" s="13">
        <f>CHAMNORD!I262+AIX!I262+BELLEY!I262+STALBAN!I262+ABRETS!I262+PONT!I262+FRANCIN!I262+VIVIERS!I262</f>
        <v>0</v>
      </c>
      <c r="J262" s="14">
        <f>CHAMNORD!J262+AIX!J262+BELLEY!J262+STALBAN!J262+ABRETS!J262+PONT!J262+FRANCIN!J262+VIVIERS!J262</f>
        <v>0</v>
      </c>
      <c r="K262" s="15">
        <f>CHAMNORD!K262+AIX!K262+BELLEY!K262+STALBAN!K262+ABRETS!K262+PONT!K262+FRANCIN!K262+VIVIERS!K262</f>
        <v>0</v>
      </c>
      <c r="L262" s="15">
        <f>CHAMNORD!L262+AIX!L262+BELLEY!L262+STALBAN!L262+ABRETS!L262+PONT!L262+FRANCIN!L262+VIVIERS!L262</f>
        <v>0</v>
      </c>
      <c r="M262" s="15">
        <f>CHAMNORD!M262+AIX!M262+BELLEY!M262+STALBAN!M262+ABRETS!M262+PONT!M262+FRANCIN!M262+VIVIERS!M262</f>
        <v>0</v>
      </c>
      <c r="N262" s="16" t="str">
        <f t="shared" si="20"/>
        <v/>
      </c>
      <c r="O262" s="17" t="str">
        <f t="shared" si="18"/>
        <v/>
      </c>
      <c r="P262" s="17" t="str">
        <f t="shared" si="19"/>
        <v/>
      </c>
      <c r="Q262" s="18" t="str">
        <f t="shared" si="21"/>
        <v/>
      </c>
      <c r="R262" s="18" t="e">
        <f t="shared" si="22"/>
        <v>#DIV/0!</v>
      </c>
      <c r="S262" s="33" t="s">
        <v>39</v>
      </c>
      <c r="T262" s="31" t="s">
        <v>42</v>
      </c>
      <c r="U262" s="1737" t="s">
        <v>120</v>
      </c>
    </row>
    <row r="263" spans="1:25">
      <c r="A263" s="10" t="s">
        <v>11</v>
      </c>
      <c r="B263" s="905">
        <v>45915</v>
      </c>
      <c r="C263" s="76">
        <f>IF(G263=0,0,CHAMNORD!C263+AIX!C263+BELLEY!C263+STALBAN!C263+ABRETS!C263+PONT!C263+FRANCIN!C263+VIVIERS!C263)</f>
        <v>0</v>
      </c>
      <c r="D263" s="76">
        <f>IF(H263=0,0,CHAMNORD!D263+AIX!D263+BELLEY!D263+STALBAN!D263+ABRETS!D263+PONT!D263+FRANCIN!D263+VIVIERS!D263)</f>
        <v>0</v>
      </c>
      <c r="E263" s="76">
        <f>IF(I263=0,0,CHAMNORD!E263+AIX!E263+BELLEY!E263+STALBAN!E263+ABRETS!E263+PONT!E263+FRANCIN!E263+VIVIERS!E263)</f>
        <v>0</v>
      </c>
      <c r="F263" s="20">
        <f>IF(J263=0,0,CHAMNORD!F263+AIX!F263+BELLEY!F263+STALBAN!F263+ABRETS!F263+PONT!F263+FRANCIN!F263+VIVIERS!F263)</f>
        <v>0</v>
      </c>
      <c r="G263" s="40">
        <f>IF(I263=0,0,CHAMNORD!G263+AIX!G263+BELLEY!G263+STALBAN!G263+ABRETS!G263+PONT!G263+FRANCIN!G263+VIVIERS!G263)</f>
        <v>0</v>
      </c>
      <c r="H263" s="42">
        <f>CHAMNORD!H263+AIX!H263+BELLEY!H263+STALBAN!H263+ABRETS!H263+PONT!H263+FRANCIN!H263+VIVIERS!H263</f>
        <v>0</v>
      </c>
      <c r="I263" s="13">
        <f>CHAMNORD!I263+AIX!I263+BELLEY!I263+STALBAN!I263+ABRETS!I263+PONT!I263+FRANCIN!I263+VIVIERS!I263</f>
        <v>0</v>
      </c>
      <c r="J263" s="14">
        <f>CHAMNORD!J263+AIX!J263+BELLEY!J263+STALBAN!J263+ABRETS!J263+PONT!J263+FRANCIN!J263+VIVIERS!J263</f>
        <v>0</v>
      </c>
      <c r="K263" s="15">
        <f>CHAMNORD!K263+AIX!K263+BELLEY!K263+STALBAN!K263+ABRETS!K263+PONT!K263+FRANCIN!K263+VIVIERS!K263</f>
        <v>0</v>
      </c>
      <c r="L263" s="15">
        <f>CHAMNORD!L263+AIX!L263+BELLEY!L263+STALBAN!L263+ABRETS!L263+PONT!L263+FRANCIN!L263+VIVIERS!L263</f>
        <v>0</v>
      </c>
      <c r="M263" s="15">
        <f>CHAMNORD!M263+AIX!M263+BELLEY!M263+STALBAN!M263+ABRETS!M263+PONT!M263+FRANCIN!M263+VIVIERS!M263</f>
        <v>0</v>
      </c>
      <c r="N263" s="16" t="str">
        <f t="shared" si="20"/>
        <v/>
      </c>
      <c r="O263" s="17" t="str">
        <f t="shared" ref="O263:O326" si="23">IF(I263=0,"",(I263-E263)/E263)</f>
        <v/>
      </c>
      <c r="P263" s="17" t="str">
        <f t="shared" ref="P263:P326" si="24">IF(J263=0,"",(J263-F263)/F263)</f>
        <v/>
      </c>
      <c r="Q263" s="18" t="str">
        <f t="shared" si="21"/>
        <v/>
      </c>
      <c r="R263" s="18" t="e">
        <f t="shared" si="22"/>
        <v>#DIV/0!</v>
      </c>
      <c r="S263" s="34">
        <f>SUM(I262:I268)</f>
        <v>0</v>
      </c>
      <c r="T263" s="45" t="s">
        <v>41</v>
      </c>
      <c r="U263" s="1738"/>
      <c r="W263" s="202">
        <f>+S263</f>
        <v>0</v>
      </c>
      <c r="X263" s="202">
        <f>SUM(CHAMNORD!E262:E268)+SUM(AIX!E262:E268)+SUM(BELLEY!E262:E268)+SUM(STALBAN!E262:E268)+SUM(ABRETS!E262:E268)+SUM(PONT!E262:E268)+SUM(FRANCIN!E262:E268)+SUM(VIVIERS!E262:E268)</f>
        <v>0</v>
      </c>
      <c r="Y263" s="1051">
        <f>+W263-X263</f>
        <v>0</v>
      </c>
    </row>
    <row r="264" spans="1:25">
      <c r="A264" s="10" t="s">
        <v>12</v>
      </c>
      <c r="B264" s="905">
        <v>45916</v>
      </c>
      <c r="C264" s="76">
        <f>IF(G264=0,0,CHAMNORD!C264+AIX!C264+BELLEY!C264+STALBAN!C264+ABRETS!C264+PONT!C264+FRANCIN!C264+VIVIERS!C264)</f>
        <v>0</v>
      </c>
      <c r="D264" s="76">
        <f>IF(H264=0,0,CHAMNORD!D264+AIX!D264+BELLEY!D264+STALBAN!D264+ABRETS!D264+PONT!D264+FRANCIN!D264+VIVIERS!D264)</f>
        <v>0</v>
      </c>
      <c r="E264" s="76">
        <f>IF(I264=0,0,CHAMNORD!E264+AIX!E264+BELLEY!E264+STALBAN!E264+ABRETS!E264+PONT!E264+FRANCIN!E264+VIVIERS!E264)</f>
        <v>0</v>
      </c>
      <c r="F264" s="20">
        <f>IF(J264=0,0,CHAMNORD!F264+AIX!F264+BELLEY!F264+STALBAN!F264+ABRETS!F264+PONT!F264+FRANCIN!F264+VIVIERS!F264)</f>
        <v>0</v>
      </c>
      <c r="G264" s="40">
        <f>IF(I264=0,0,CHAMNORD!G264+AIX!G264+BELLEY!G264+STALBAN!G264+ABRETS!G264+PONT!G264+FRANCIN!G264+VIVIERS!G264)</f>
        <v>0</v>
      </c>
      <c r="H264" s="42">
        <f>CHAMNORD!H264+AIX!H264+BELLEY!H264+STALBAN!H264+ABRETS!H264+PONT!H264+FRANCIN!H264+VIVIERS!H264</f>
        <v>0</v>
      </c>
      <c r="I264" s="13">
        <f>CHAMNORD!I264+AIX!I264+BELLEY!I264+STALBAN!I264+ABRETS!I264+PONT!I264+FRANCIN!I264+VIVIERS!I264</f>
        <v>0</v>
      </c>
      <c r="J264" s="14">
        <f>CHAMNORD!J264+AIX!J264+BELLEY!J264+STALBAN!J264+ABRETS!J264+PONT!J264+FRANCIN!J264+VIVIERS!J264</f>
        <v>0</v>
      </c>
      <c r="K264" s="15">
        <f>CHAMNORD!K264+AIX!K264+BELLEY!K264+STALBAN!K264+ABRETS!K264+PONT!K264+FRANCIN!K264+VIVIERS!K264</f>
        <v>0</v>
      </c>
      <c r="L264" s="15">
        <f>CHAMNORD!L264+AIX!L264+BELLEY!L264+STALBAN!L264+ABRETS!L264+PONT!L264+FRANCIN!L264+VIVIERS!L264</f>
        <v>0</v>
      </c>
      <c r="M264" s="15">
        <f>CHAMNORD!M264+AIX!M264+BELLEY!M264+STALBAN!M264+ABRETS!M264+PONT!M264+FRANCIN!M264+VIVIERS!M264</f>
        <v>0</v>
      </c>
      <c r="N264" s="16" t="str">
        <f t="shared" si="20"/>
        <v/>
      </c>
      <c r="O264" s="17" t="str">
        <f t="shared" si="23"/>
        <v/>
      </c>
      <c r="P264" s="17" t="str">
        <f t="shared" si="24"/>
        <v/>
      </c>
      <c r="Q264" s="18" t="str">
        <f t="shared" si="21"/>
        <v/>
      </c>
      <c r="R264" s="18" t="e">
        <f t="shared" si="22"/>
        <v>#DIV/0!</v>
      </c>
      <c r="S264" s="35" t="e">
        <f>(S263-SUM(E262:E268))/(SUM(E262:E268))</f>
        <v>#DIV/0!</v>
      </c>
      <c r="T264" s="48" t="e">
        <f>SUM(I262:I268)/SUM(K262:K268)</f>
        <v>#DIV/0!</v>
      </c>
      <c r="U264" s="1738"/>
    </row>
    <row r="265" spans="1:25">
      <c r="A265" s="10" t="s">
        <v>13</v>
      </c>
      <c r="B265" s="905">
        <v>45917</v>
      </c>
      <c r="C265" s="76">
        <f>IF(G265=0,0,CHAMNORD!C265+AIX!C265+BELLEY!C265+STALBAN!C265+ABRETS!C265+PONT!C265+FRANCIN!C265+VIVIERS!C265)</f>
        <v>0</v>
      </c>
      <c r="D265" s="76">
        <f>IF(H265=0,0,CHAMNORD!D265+AIX!D265+BELLEY!D265+STALBAN!D265+ABRETS!D265+PONT!D265+FRANCIN!D265+VIVIERS!D265)</f>
        <v>0</v>
      </c>
      <c r="E265" s="76">
        <f>IF(I265=0,0,CHAMNORD!E265+AIX!E265+BELLEY!E265+STALBAN!E265+ABRETS!E265+PONT!E265+FRANCIN!E265+VIVIERS!E265)</f>
        <v>0</v>
      </c>
      <c r="F265" s="20">
        <f>IF(J265=0,0,CHAMNORD!F265+AIX!F265+BELLEY!F265+STALBAN!F265+ABRETS!F265+PONT!F265+FRANCIN!F265+VIVIERS!F265)</f>
        <v>0</v>
      </c>
      <c r="G265" s="40">
        <f>IF(I265=0,0,CHAMNORD!G265+AIX!G265+BELLEY!G265+STALBAN!G265+ABRETS!G265+PONT!G265+FRANCIN!G265+VIVIERS!G265)</f>
        <v>0</v>
      </c>
      <c r="H265" s="42">
        <f>CHAMNORD!H265+AIX!H265+BELLEY!H265+STALBAN!H265+ABRETS!H265+PONT!H265+FRANCIN!H265+VIVIERS!H265</f>
        <v>0</v>
      </c>
      <c r="I265" s="13">
        <f>CHAMNORD!I265+AIX!I265+BELLEY!I265+STALBAN!I265+ABRETS!I265+PONT!I265+FRANCIN!I265+VIVIERS!I265</f>
        <v>0</v>
      </c>
      <c r="J265" s="14">
        <f>CHAMNORD!J265+AIX!J265+BELLEY!J265+STALBAN!J265+ABRETS!J265+PONT!J265+FRANCIN!J265+VIVIERS!J265</f>
        <v>0</v>
      </c>
      <c r="K265" s="15">
        <f>CHAMNORD!K265+AIX!K265+BELLEY!K265+STALBAN!K265+ABRETS!K265+PONT!K265+FRANCIN!K265+VIVIERS!K265</f>
        <v>0</v>
      </c>
      <c r="L265" s="15">
        <f>CHAMNORD!L265+AIX!L265+BELLEY!L265+STALBAN!L265+ABRETS!L265+PONT!L265+FRANCIN!L265+VIVIERS!L265</f>
        <v>0</v>
      </c>
      <c r="M265" s="15">
        <f>CHAMNORD!M265+AIX!M265+BELLEY!M265+STALBAN!M265+ABRETS!M265+PONT!M265+FRANCIN!M265+VIVIERS!M265</f>
        <v>0</v>
      </c>
      <c r="N265" s="16" t="str">
        <f t="shared" si="20"/>
        <v/>
      </c>
      <c r="O265" s="17" t="str">
        <f t="shared" si="23"/>
        <v/>
      </c>
      <c r="P265" s="17" t="str">
        <f t="shared" si="24"/>
        <v/>
      </c>
      <c r="Q265" s="18" t="str">
        <f t="shared" si="21"/>
        <v/>
      </c>
      <c r="R265" s="18" t="e">
        <f t="shared" si="22"/>
        <v>#DIV/0!</v>
      </c>
      <c r="S265" s="34"/>
      <c r="T265" s="29" t="s">
        <v>8</v>
      </c>
      <c r="U265" s="1738"/>
    </row>
    <row r="266" spans="1:25">
      <c r="A266" s="10" t="s">
        <v>14</v>
      </c>
      <c r="B266" s="905">
        <v>45918</v>
      </c>
      <c r="C266" s="76">
        <f>IF(G266=0,0,CHAMNORD!C266+AIX!C266+BELLEY!C266+STALBAN!C266+ABRETS!C266+PONT!C266+FRANCIN!C266+VIVIERS!C266)</f>
        <v>0</v>
      </c>
      <c r="D266" s="76">
        <f>IF(H266=0,0,CHAMNORD!D266+AIX!D266+BELLEY!D266+STALBAN!D266+ABRETS!D266+PONT!D266+FRANCIN!D266+VIVIERS!D266)</f>
        <v>0</v>
      </c>
      <c r="E266" s="76">
        <f>IF(I266=0,0,CHAMNORD!E266+AIX!E266+BELLEY!E266+STALBAN!E266+ABRETS!E266+PONT!E266+FRANCIN!E266+VIVIERS!E266)</f>
        <v>0</v>
      </c>
      <c r="F266" s="20">
        <f>IF(J266=0,0,CHAMNORD!F266+AIX!F266+BELLEY!F266+STALBAN!F266+ABRETS!F266+PONT!F266+FRANCIN!F266+VIVIERS!F266)</f>
        <v>0</v>
      </c>
      <c r="G266" s="40">
        <f>IF(I266=0,0,CHAMNORD!G266+AIX!G266+BELLEY!G266+STALBAN!G266+ABRETS!G266+PONT!G266+FRANCIN!G266+VIVIERS!G266)</f>
        <v>0</v>
      </c>
      <c r="H266" s="42">
        <f>CHAMNORD!H266+AIX!H266+BELLEY!H266+STALBAN!H266+ABRETS!H266+PONT!H266+FRANCIN!H266+VIVIERS!H266</f>
        <v>0</v>
      </c>
      <c r="I266" s="13">
        <f>CHAMNORD!I266+AIX!I266+BELLEY!I266+STALBAN!I266+ABRETS!I266+PONT!I266+FRANCIN!I266+VIVIERS!I266</f>
        <v>0</v>
      </c>
      <c r="J266" s="14">
        <f>CHAMNORD!J266+AIX!J266+BELLEY!J266+STALBAN!J266+ABRETS!J266+PONT!J266+FRANCIN!J266+VIVIERS!J266</f>
        <v>0</v>
      </c>
      <c r="K266" s="15">
        <f>CHAMNORD!K266+AIX!K266+BELLEY!K266+STALBAN!K266+ABRETS!K266+PONT!K266+FRANCIN!K266+VIVIERS!K266</f>
        <v>0</v>
      </c>
      <c r="L266" s="15">
        <f>CHAMNORD!L266+AIX!L266+BELLEY!L266+STALBAN!L266+ABRETS!L266+PONT!L266+FRANCIN!L266+VIVIERS!L266</f>
        <v>0</v>
      </c>
      <c r="M266" s="15">
        <f>CHAMNORD!M266+AIX!M266+BELLEY!M266+STALBAN!M266+ABRETS!M266+PONT!M266+FRANCIN!M266+VIVIERS!M266</f>
        <v>0</v>
      </c>
      <c r="N266" s="16" t="str">
        <f t="shared" si="20"/>
        <v/>
      </c>
      <c r="O266" s="17" t="str">
        <f t="shared" si="23"/>
        <v/>
      </c>
      <c r="P266" s="17" t="str">
        <f t="shared" si="24"/>
        <v/>
      </c>
      <c r="Q266" s="18" t="str">
        <f t="shared" si="21"/>
        <v/>
      </c>
      <c r="R266" s="18" t="e">
        <f t="shared" si="22"/>
        <v>#DIV/0!</v>
      </c>
      <c r="S266" s="36" t="s">
        <v>40</v>
      </c>
      <c r="T266" s="48" t="e">
        <f>SUM(I262:I268)/SUM(L262:L268)</f>
        <v>#DIV/0!</v>
      </c>
      <c r="U266" s="1738"/>
    </row>
    <row r="267" spans="1:25">
      <c r="A267" s="10" t="s">
        <v>15</v>
      </c>
      <c r="B267" s="905">
        <v>45919</v>
      </c>
      <c r="C267" s="76">
        <f>IF(G267=0,0,CHAMNORD!C267+AIX!C267+BELLEY!C267+STALBAN!C267+ABRETS!C267+PONT!C267+FRANCIN!C267+VIVIERS!C267)</f>
        <v>0</v>
      </c>
      <c r="D267" s="76">
        <f>IF(H267=0,0,CHAMNORD!D267+AIX!D267+BELLEY!D267+STALBAN!D267+ABRETS!D267+PONT!D267+FRANCIN!D267+VIVIERS!D267)</f>
        <v>0</v>
      </c>
      <c r="E267" s="76">
        <f>IF(I267=0,0,CHAMNORD!E267+AIX!E267+BELLEY!E267+STALBAN!E267+ABRETS!E267+PONT!E267+FRANCIN!E267+VIVIERS!E267)</f>
        <v>0</v>
      </c>
      <c r="F267" s="20">
        <f>IF(J267=0,0,CHAMNORD!F267+AIX!F267+BELLEY!F267+STALBAN!F267+ABRETS!F267+PONT!F267+FRANCIN!F267+VIVIERS!F267)</f>
        <v>0</v>
      </c>
      <c r="G267" s="40">
        <f>IF(I267=0,0,CHAMNORD!G267+AIX!G267+BELLEY!G267+STALBAN!G267+ABRETS!G267+PONT!G267+FRANCIN!G267+VIVIERS!G267)</f>
        <v>0</v>
      </c>
      <c r="H267" s="42">
        <f>CHAMNORD!H267+AIX!H267+BELLEY!H267+STALBAN!H267+ABRETS!H267+PONT!H267+FRANCIN!H267+VIVIERS!H267</f>
        <v>0</v>
      </c>
      <c r="I267" s="13">
        <f>CHAMNORD!I267+AIX!I267+BELLEY!I267+STALBAN!I267+ABRETS!I267+PONT!I267+FRANCIN!I267+VIVIERS!I267</f>
        <v>0</v>
      </c>
      <c r="J267" s="14">
        <f>CHAMNORD!J267+AIX!J267+BELLEY!J267+STALBAN!J267+ABRETS!J267+PONT!J267+FRANCIN!J267+VIVIERS!J267</f>
        <v>0</v>
      </c>
      <c r="K267" s="15">
        <f>CHAMNORD!K267+AIX!K267+BELLEY!K267+STALBAN!K267+ABRETS!K267+PONT!K267+FRANCIN!K267+VIVIERS!K267</f>
        <v>0</v>
      </c>
      <c r="L267" s="15">
        <f>CHAMNORD!L267+AIX!L267+BELLEY!L267+STALBAN!L267+ABRETS!L267+PONT!L267+FRANCIN!L267+VIVIERS!L267</f>
        <v>0</v>
      </c>
      <c r="M267" s="15">
        <f>CHAMNORD!M267+AIX!M267+BELLEY!M267+STALBAN!M267+ABRETS!M267+PONT!M267+FRANCIN!M267+VIVIERS!M267</f>
        <v>0</v>
      </c>
      <c r="N267" s="16" t="str">
        <f t="shared" si="20"/>
        <v/>
      </c>
      <c r="O267" s="17" t="str">
        <f t="shared" si="23"/>
        <v/>
      </c>
      <c r="P267" s="17" t="str">
        <f t="shared" si="24"/>
        <v/>
      </c>
      <c r="Q267" s="18" t="str">
        <f t="shared" si="21"/>
        <v/>
      </c>
      <c r="R267" s="18" t="e">
        <f t="shared" si="22"/>
        <v>#DIV/0!</v>
      </c>
      <c r="S267" s="36">
        <f>SUM(J262:J268)</f>
        <v>0</v>
      </c>
      <c r="T267" s="30" t="s">
        <v>3</v>
      </c>
      <c r="U267" s="1738"/>
    </row>
    <row r="268" spans="1:25" ht="18" thickBot="1">
      <c r="A268" s="10" t="s">
        <v>16</v>
      </c>
      <c r="B268" s="905">
        <v>45920</v>
      </c>
      <c r="C268" s="76">
        <f>IF(G268=0,0,CHAMNORD!C268+AIX!C268+BELLEY!C268+STALBAN!C268+ABRETS!C268+PONT!C268+FRANCIN!C268+VIVIERS!C268)</f>
        <v>0</v>
      </c>
      <c r="D268" s="76">
        <f>IF(H268=0,0,CHAMNORD!D268+AIX!D268+BELLEY!D268+STALBAN!D268+ABRETS!D268+PONT!D268+FRANCIN!D268+VIVIERS!D268)</f>
        <v>0</v>
      </c>
      <c r="E268" s="76">
        <f>IF(I268=0,0,CHAMNORD!E268+AIX!E268+BELLEY!E268+STALBAN!E268+ABRETS!E268+PONT!E268+FRANCIN!E268+VIVIERS!E268)</f>
        <v>0</v>
      </c>
      <c r="F268" s="20">
        <f>IF(J268=0,0,CHAMNORD!F268+AIX!F268+BELLEY!F268+STALBAN!F268+ABRETS!F268+PONT!F268+FRANCIN!F268+VIVIERS!F268)</f>
        <v>0</v>
      </c>
      <c r="G268" s="40">
        <f>IF(I268=0,0,CHAMNORD!G268+AIX!G268+BELLEY!G268+STALBAN!G268+ABRETS!G268+PONT!G268+FRANCIN!G268+VIVIERS!G268)</f>
        <v>0</v>
      </c>
      <c r="H268" s="42">
        <f>CHAMNORD!H268+AIX!H268+BELLEY!H268+STALBAN!H268+ABRETS!H268+PONT!H268+FRANCIN!H268+VIVIERS!H268</f>
        <v>0</v>
      </c>
      <c r="I268" s="13">
        <f>CHAMNORD!I268+AIX!I268+BELLEY!I268+STALBAN!I268+ABRETS!I268+PONT!I268+FRANCIN!I268+VIVIERS!I268</f>
        <v>0</v>
      </c>
      <c r="J268" s="14">
        <f>CHAMNORD!J268+AIX!J268+BELLEY!J268+STALBAN!J268+ABRETS!J268+PONT!J268+FRANCIN!J268+VIVIERS!J268</f>
        <v>0</v>
      </c>
      <c r="K268" s="15">
        <f>CHAMNORD!K268+AIX!K268+BELLEY!K268+STALBAN!K268+ABRETS!K268+PONT!K268+FRANCIN!K268+VIVIERS!K268</f>
        <v>0</v>
      </c>
      <c r="L268" s="15">
        <f>CHAMNORD!L268+AIX!L268+BELLEY!L268+STALBAN!L268+ABRETS!L268+PONT!L268+FRANCIN!L268+VIVIERS!L268</f>
        <v>0</v>
      </c>
      <c r="M268" s="15">
        <f>CHAMNORD!M268+AIX!M268+BELLEY!M268+STALBAN!M268+ABRETS!M268+PONT!M268+FRANCIN!M268+VIVIERS!M268</f>
        <v>0</v>
      </c>
      <c r="N268" s="16" t="str">
        <f t="shared" si="20"/>
        <v/>
      </c>
      <c r="O268" s="17" t="str">
        <f t="shared" si="23"/>
        <v/>
      </c>
      <c r="P268" s="17" t="str">
        <f t="shared" si="24"/>
        <v/>
      </c>
      <c r="Q268" s="18" t="str">
        <f t="shared" si="21"/>
        <v/>
      </c>
      <c r="R268" s="18" t="e">
        <f t="shared" si="22"/>
        <v>#DIV/0!</v>
      </c>
      <c r="S268" s="37" t="e">
        <f>(S267-SUM(F262:F268))/(SUM(F262:F268))</f>
        <v>#DIV/0!</v>
      </c>
      <c r="T268" s="47" t="e">
        <f>SUM(M262:M268)/SUM(I262:I268)</f>
        <v>#DIV/0!</v>
      </c>
      <c r="U268" s="1739"/>
    </row>
    <row r="269" spans="1:25" ht="17" customHeight="1" thickTop="1">
      <c r="A269" s="10" t="s">
        <v>9</v>
      </c>
      <c r="B269" s="905">
        <v>45921</v>
      </c>
      <c r="C269" s="76">
        <f>IF(G269=0,0,CHAMNORD!C269+AIX!C269+BELLEY!C269+STALBAN!C269+ABRETS!C269+PONT!C269+FRANCIN!C269+VIVIERS!C269)</f>
        <v>0</v>
      </c>
      <c r="D269" s="76">
        <f>IF(H269=0,0,CHAMNORD!D269+AIX!D269+BELLEY!D269+STALBAN!D269+ABRETS!D269+PONT!D269+FRANCIN!D269+VIVIERS!D269)</f>
        <v>0</v>
      </c>
      <c r="E269" s="76">
        <f>IF(I269=0,0,CHAMNORD!E269+AIX!E269+BELLEY!E269+STALBAN!E269+ABRETS!E269+PONT!E269+FRANCIN!E269+VIVIERS!E269)</f>
        <v>0</v>
      </c>
      <c r="F269" s="20">
        <f>IF(J269=0,0,CHAMNORD!F269+AIX!F269+BELLEY!F269+STALBAN!F269+ABRETS!F269+PONT!F269+FRANCIN!F269+VIVIERS!F269)</f>
        <v>0</v>
      </c>
      <c r="G269" s="40">
        <f>IF(I269=0,0,CHAMNORD!G269+AIX!G269+BELLEY!G269+STALBAN!G269+ABRETS!G269+PONT!G269+FRANCIN!G269+VIVIERS!G269)</f>
        <v>0</v>
      </c>
      <c r="H269" s="42">
        <f>CHAMNORD!H269+AIX!H269+BELLEY!H269+STALBAN!H269+ABRETS!H269+PONT!H269+FRANCIN!H269+VIVIERS!H269</f>
        <v>0</v>
      </c>
      <c r="I269" s="13">
        <f>CHAMNORD!I269+AIX!I269+BELLEY!I269+STALBAN!I269+ABRETS!I269+PONT!I269+FRANCIN!I269+VIVIERS!I269</f>
        <v>0</v>
      </c>
      <c r="J269" s="14">
        <f>CHAMNORD!J269+AIX!J269+BELLEY!J269+STALBAN!J269+ABRETS!J269+PONT!J269+FRANCIN!J269+VIVIERS!J269</f>
        <v>0</v>
      </c>
      <c r="K269" s="15">
        <f>CHAMNORD!K269+AIX!K269+BELLEY!K269+STALBAN!K269+ABRETS!K269+PONT!K269+FRANCIN!K269+VIVIERS!K269</f>
        <v>0</v>
      </c>
      <c r="L269" s="15">
        <f>CHAMNORD!L269+AIX!L269+BELLEY!L269+STALBAN!L269+ABRETS!L269+PONT!L269+FRANCIN!L269+VIVIERS!L269</f>
        <v>0</v>
      </c>
      <c r="M269" s="15">
        <f>CHAMNORD!M269+AIX!M269+BELLEY!M269+STALBAN!M269+ABRETS!M269+PONT!M269+FRANCIN!M269+VIVIERS!M269</f>
        <v>0</v>
      </c>
      <c r="N269" s="16" t="str">
        <f t="shared" si="20"/>
        <v/>
      </c>
      <c r="O269" s="17" t="str">
        <f t="shared" si="23"/>
        <v/>
      </c>
      <c r="P269" s="17" t="str">
        <f t="shared" si="24"/>
        <v/>
      </c>
      <c r="Q269" s="18" t="str">
        <f t="shared" si="21"/>
        <v/>
      </c>
      <c r="R269" s="18" t="e">
        <f t="shared" si="22"/>
        <v>#DIV/0!</v>
      </c>
      <c r="S269" s="33" t="s">
        <v>39</v>
      </c>
      <c r="T269" s="31" t="s">
        <v>42</v>
      </c>
      <c r="U269" s="1737" t="s">
        <v>121</v>
      </c>
    </row>
    <row r="270" spans="1:25">
      <c r="A270" s="10" t="s">
        <v>11</v>
      </c>
      <c r="B270" s="905">
        <v>45922</v>
      </c>
      <c r="C270" s="76">
        <f>IF(G270=0,0,CHAMNORD!C270+AIX!C270+BELLEY!C270+STALBAN!C270+ABRETS!C270+PONT!C270+FRANCIN!C270+VIVIERS!C270)</f>
        <v>0</v>
      </c>
      <c r="D270" s="76">
        <f>IF(H270=0,0,CHAMNORD!D270+AIX!D270+BELLEY!D270+STALBAN!D270+ABRETS!D270+PONT!D270+FRANCIN!D270+VIVIERS!D270)</f>
        <v>0</v>
      </c>
      <c r="E270" s="76">
        <f>IF(I270=0,0,CHAMNORD!E270+AIX!E270+BELLEY!E270+STALBAN!E270+ABRETS!E270+PONT!E270+FRANCIN!E270+VIVIERS!E270)</f>
        <v>0</v>
      </c>
      <c r="F270" s="20">
        <f>IF(J270=0,0,CHAMNORD!F270+AIX!F270+BELLEY!F270+STALBAN!F270+ABRETS!F270+PONT!F270+FRANCIN!F270+VIVIERS!F270)</f>
        <v>0</v>
      </c>
      <c r="G270" s="40">
        <f>IF(I270=0,0,CHAMNORD!G270+AIX!G270+BELLEY!G270+STALBAN!G270+ABRETS!G270+PONT!G270+FRANCIN!G270+VIVIERS!G270)</f>
        <v>0</v>
      </c>
      <c r="H270" s="42">
        <f>CHAMNORD!H270+AIX!H270+BELLEY!H270+STALBAN!H270+ABRETS!H270+PONT!H270+FRANCIN!H270+VIVIERS!H270</f>
        <v>0</v>
      </c>
      <c r="I270" s="13">
        <f>CHAMNORD!I270+AIX!I270+BELLEY!I270+STALBAN!I270+ABRETS!I270+PONT!I270+FRANCIN!I270+VIVIERS!I270</f>
        <v>0</v>
      </c>
      <c r="J270" s="14">
        <f>CHAMNORD!J270+AIX!J270+BELLEY!J270+STALBAN!J270+ABRETS!J270+PONT!J270+FRANCIN!J270+VIVIERS!J270</f>
        <v>0</v>
      </c>
      <c r="K270" s="15">
        <f>CHAMNORD!K270+AIX!K270+BELLEY!K270+STALBAN!K270+ABRETS!K270+PONT!K270+FRANCIN!K270+VIVIERS!K270</f>
        <v>0</v>
      </c>
      <c r="L270" s="15">
        <f>CHAMNORD!L270+AIX!L270+BELLEY!L270+STALBAN!L270+ABRETS!L270+PONT!L270+FRANCIN!L270+VIVIERS!L270</f>
        <v>0</v>
      </c>
      <c r="M270" s="15">
        <f>CHAMNORD!M270+AIX!M270+BELLEY!M270+STALBAN!M270+ABRETS!M270+PONT!M270+FRANCIN!M270+VIVIERS!M270</f>
        <v>0</v>
      </c>
      <c r="N270" s="16" t="str">
        <f t="shared" si="20"/>
        <v/>
      </c>
      <c r="O270" s="17" t="str">
        <f t="shared" si="23"/>
        <v/>
      </c>
      <c r="P270" s="17" t="str">
        <f t="shared" si="24"/>
        <v/>
      </c>
      <c r="Q270" s="18" t="str">
        <f t="shared" si="21"/>
        <v/>
      </c>
      <c r="R270" s="18" t="e">
        <f t="shared" si="22"/>
        <v>#DIV/0!</v>
      </c>
      <c r="S270" s="34">
        <f>SUM(I269:I275)</f>
        <v>0</v>
      </c>
      <c r="T270" s="45" t="s">
        <v>41</v>
      </c>
      <c r="U270" s="1738"/>
      <c r="W270" s="202">
        <f>+S270</f>
        <v>0</v>
      </c>
      <c r="X270" s="202">
        <f>SUM(CHAMNORD!E269:E275)+SUM(AIX!E269:E275)+SUM(BELLEY!E269:E275)+SUM(STALBAN!E269:E275)+SUM(ABRETS!E269:E275)+SUM(PONT!E269:E275)+SUM(FRANCIN!E269:E275)+SUM(VIVIERS!E269:E275)</f>
        <v>0</v>
      </c>
      <c r="Y270" s="1051">
        <f>+W270-X270</f>
        <v>0</v>
      </c>
    </row>
    <row r="271" spans="1:25">
      <c r="A271" s="10" t="s">
        <v>12</v>
      </c>
      <c r="B271" s="905">
        <v>45923</v>
      </c>
      <c r="C271" s="76">
        <f>IF(G271=0,0,CHAMNORD!C271+AIX!C271+BELLEY!C271+STALBAN!C271+ABRETS!C271+PONT!C271+FRANCIN!C271+VIVIERS!C271)</f>
        <v>0</v>
      </c>
      <c r="D271" s="76">
        <f>IF(H271=0,0,CHAMNORD!D271+AIX!D271+BELLEY!D271+STALBAN!D271+ABRETS!D271+PONT!D271+FRANCIN!D271+VIVIERS!D271)</f>
        <v>0</v>
      </c>
      <c r="E271" s="76">
        <f>IF(I271=0,0,CHAMNORD!E271+AIX!E271+BELLEY!E271+STALBAN!E271+ABRETS!E271+PONT!E271+FRANCIN!E271+VIVIERS!E271)</f>
        <v>0</v>
      </c>
      <c r="F271" s="20">
        <f>IF(J271=0,0,CHAMNORD!F271+AIX!F271+BELLEY!F271+STALBAN!F271+ABRETS!F271+PONT!F271+FRANCIN!F271+VIVIERS!F271)</f>
        <v>0</v>
      </c>
      <c r="G271" s="40">
        <f>IF(I271=0,0,CHAMNORD!G271+AIX!G271+BELLEY!G271+STALBAN!G271+ABRETS!G271+PONT!G271+FRANCIN!G271+VIVIERS!G271)</f>
        <v>0</v>
      </c>
      <c r="H271" s="42">
        <f>CHAMNORD!H271+AIX!H271+BELLEY!H271+STALBAN!H271+ABRETS!H271+PONT!H271+FRANCIN!H271+VIVIERS!H271</f>
        <v>0</v>
      </c>
      <c r="I271" s="13">
        <f>CHAMNORD!I271+AIX!I271+BELLEY!I271+STALBAN!I271+ABRETS!I271+PONT!I271+FRANCIN!I271+VIVIERS!I271</f>
        <v>0</v>
      </c>
      <c r="J271" s="14">
        <f>CHAMNORD!J271+AIX!J271+BELLEY!J271+STALBAN!J271+ABRETS!J271+PONT!J271+FRANCIN!J271+VIVIERS!J271</f>
        <v>0</v>
      </c>
      <c r="K271" s="15">
        <f>CHAMNORD!K271+AIX!K271+BELLEY!K271+STALBAN!K271+ABRETS!K271+PONT!K271+FRANCIN!K271+VIVIERS!K271</f>
        <v>0</v>
      </c>
      <c r="L271" s="15">
        <f>CHAMNORD!L271+AIX!L271+BELLEY!L271+STALBAN!L271+ABRETS!L271+PONT!L271+FRANCIN!L271+VIVIERS!L271</f>
        <v>0</v>
      </c>
      <c r="M271" s="15">
        <f>CHAMNORD!M271+AIX!M271+BELLEY!M271+STALBAN!M271+ABRETS!M271+PONT!M271+FRANCIN!M271+VIVIERS!M271</f>
        <v>0</v>
      </c>
      <c r="N271" s="16" t="str">
        <f t="shared" si="20"/>
        <v/>
      </c>
      <c r="O271" s="17" t="str">
        <f t="shared" si="23"/>
        <v/>
      </c>
      <c r="P271" s="17" t="str">
        <f t="shared" si="24"/>
        <v/>
      </c>
      <c r="Q271" s="18" t="str">
        <f t="shared" si="21"/>
        <v/>
      </c>
      <c r="R271" s="18" t="e">
        <f t="shared" si="22"/>
        <v>#DIV/0!</v>
      </c>
      <c r="S271" s="35" t="e">
        <f>(S270-SUM(E269:E275))/(SUM(E269:E275))</f>
        <v>#DIV/0!</v>
      </c>
      <c r="T271" s="48" t="e">
        <f>SUM(I269:I275)/SUM(K269:K275)</f>
        <v>#DIV/0!</v>
      </c>
      <c r="U271" s="1738"/>
    </row>
    <row r="272" spans="1:25">
      <c r="A272" s="10" t="s">
        <v>13</v>
      </c>
      <c r="B272" s="905">
        <v>45924</v>
      </c>
      <c r="C272" s="76">
        <f>IF(G272=0,0,CHAMNORD!C272+AIX!C272+BELLEY!C272+STALBAN!C272+ABRETS!C272+PONT!C272+FRANCIN!C272+VIVIERS!C272)</f>
        <v>0</v>
      </c>
      <c r="D272" s="76">
        <f>IF(H272=0,0,CHAMNORD!D272+AIX!D272+BELLEY!D272+STALBAN!D272+ABRETS!D272+PONT!D272+FRANCIN!D272+VIVIERS!D272)</f>
        <v>0</v>
      </c>
      <c r="E272" s="76">
        <f>IF(I272=0,0,CHAMNORD!E272+AIX!E272+BELLEY!E272+STALBAN!E272+ABRETS!E272+PONT!E272+FRANCIN!E272+VIVIERS!E272)</f>
        <v>0</v>
      </c>
      <c r="F272" s="20">
        <f>IF(J272=0,0,CHAMNORD!F272+AIX!F272+BELLEY!F272+STALBAN!F272+ABRETS!F272+PONT!F272+FRANCIN!F272+VIVIERS!F272)</f>
        <v>0</v>
      </c>
      <c r="G272" s="40">
        <f>IF(I272=0,0,CHAMNORD!G272+AIX!G272+BELLEY!G272+STALBAN!G272+ABRETS!G272+PONT!G272+FRANCIN!G272+VIVIERS!G272)</f>
        <v>0</v>
      </c>
      <c r="H272" s="42">
        <f>CHAMNORD!H272+AIX!H272+BELLEY!H272+STALBAN!H272+ABRETS!H272+PONT!H272+FRANCIN!H272+VIVIERS!H272</f>
        <v>0</v>
      </c>
      <c r="I272" s="13">
        <f>CHAMNORD!I272+AIX!I272+BELLEY!I272+STALBAN!I272+ABRETS!I272+PONT!I272+FRANCIN!I272+VIVIERS!I272</f>
        <v>0</v>
      </c>
      <c r="J272" s="14">
        <f>CHAMNORD!J272+AIX!J272+BELLEY!J272+STALBAN!J272+ABRETS!J272+PONT!J272+FRANCIN!J272+VIVIERS!J272</f>
        <v>0</v>
      </c>
      <c r="K272" s="15">
        <f>CHAMNORD!K272+AIX!K272+BELLEY!K272+STALBAN!K272+ABRETS!K272+PONT!K272+FRANCIN!K272+VIVIERS!K272</f>
        <v>0</v>
      </c>
      <c r="L272" s="15">
        <f>CHAMNORD!L272+AIX!L272+BELLEY!L272+STALBAN!L272+ABRETS!L272+PONT!L272+FRANCIN!L272+VIVIERS!L272</f>
        <v>0</v>
      </c>
      <c r="M272" s="15">
        <f>CHAMNORD!M272+AIX!M272+BELLEY!M272+STALBAN!M272+ABRETS!M272+PONT!M272+FRANCIN!M272+VIVIERS!M272</f>
        <v>0</v>
      </c>
      <c r="N272" s="16" t="str">
        <f t="shared" si="20"/>
        <v/>
      </c>
      <c r="O272" s="17" t="str">
        <f t="shared" si="23"/>
        <v/>
      </c>
      <c r="P272" s="17" t="str">
        <f t="shared" si="24"/>
        <v/>
      </c>
      <c r="Q272" s="18" t="str">
        <f t="shared" si="21"/>
        <v/>
      </c>
      <c r="R272" s="18" t="e">
        <f t="shared" si="22"/>
        <v>#DIV/0!</v>
      </c>
      <c r="S272" s="34"/>
      <c r="T272" s="29" t="s">
        <v>8</v>
      </c>
      <c r="U272" s="1738"/>
    </row>
    <row r="273" spans="1:25">
      <c r="A273" s="10" t="s">
        <v>14</v>
      </c>
      <c r="B273" s="905">
        <v>45925</v>
      </c>
      <c r="C273" s="76">
        <f>IF(G273=0,0,CHAMNORD!C273+AIX!C273+BELLEY!C273+STALBAN!C273+ABRETS!C273+PONT!C273+FRANCIN!C273+VIVIERS!C273)</f>
        <v>0</v>
      </c>
      <c r="D273" s="76">
        <f>IF(H273=0,0,CHAMNORD!D273+AIX!D273+BELLEY!D273+STALBAN!D273+ABRETS!D273+PONT!D273+FRANCIN!D273+VIVIERS!D273)</f>
        <v>0</v>
      </c>
      <c r="E273" s="76">
        <f>IF(I273=0,0,CHAMNORD!E273+AIX!E273+BELLEY!E273+STALBAN!E273+ABRETS!E273+PONT!E273+FRANCIN!E273+VIVIERS!E273)</f>
        <v>0</v>
      </c>
      <c r="F273" s="20">
        <f>IF(J273=0,0,CHAMNORD!F273+AIX!F273+BELLEY!F273+STALBAN!F273+ABRETS!F273+PONT!F273+FRANCIN!F273+VIVIERS!F273)</f>
        <v>0</v>
      </c>
      <c r="G273" s="40">
        <f>IF(I273=0,0,CHAMNORD!G273+AIX!G273+BELLEY!G273+STALBAN!G273+ABRETS!G273+PONT!G273+FRANCIN!G273+VIVIERS!G273)</f>
        <v>0</v>
      </c>
      <c r="H273" s="42">
        <f>CHAMNORD!H273+AIX!H273+BELLEY!H273+STALBAN!H273+ABRETS!H273+PONT!H273+FRANCIN!H273+VIVIERS!H273</f>
        <v>0</v>
      </c>
      <c r="I273" s="13">
        <f>CHAMNORD!I273+AIX!I273+BELLEY!I273+STALBAN!I273+ABRETS!I273+PONT!I273+FRANCIN!I273+VIVIERS!I273</f>
        <v>0</v>
      </c>
      <c r="J273" s="14">
        <f>CHAMNORD!J273+AIX!J273+BELLEY!J273+STALBAN!J273+ABRETS!J273+PONT!J273+FRANCIN!J273+VIVIERS!J273</f>
        <v>0</v>
      </c>
      <c r="K273" s="15">
        <f>CHAMNORD!K273+AIX!K273+BELLEY!K273+STALBAN!K273+ABRETS!K273+PONT!K273+FRANCIN!K273+VIVIERS!K273</f>
        <v>0</v>
      </c>
      <c r="L273" s="15">
        <f>CHAMNORD!L273+AIX!L273+BELLEY!L273+STALBAN!L273+ABRETS!L273+PONT!L273+FRANCIN!L273+VIVIERS!L273</f>
        <v>0</v>
      </c>
      <c r="M273" s="15">
        <f>CHAMNORD!M273+AIX!M273+BELLEY!M273+STALBAN!M273+ABRETS!M273+PONT!M273+FRANCIN!M273+VIVIERS!M273</f>
        <v>0</v>
      </c>
      <c r="N273" s="16" t="str">
        <f t="shared" si="20"/>
        <v/>
      </c>
      <c r="O273" s="17" t="str">
        <f t="shared" si="23"/>
        <v/>
      </c>
      <c r="P273" s="17" t="str">
        <f t="shared" si="24"/>
        <v/>
      </c>
      <c r="Q273" s="18" t="str">
        <f t="shared" si="21"/>
        <v/>
      </c>
      <c r="R273" s="18" t="e">
        <f t="shared" si="22"/>
        <v>#DIV/0!</v>
      </c>
      <c r="S273" s="36" t="s">
        <v>40</v>
      </c>
      <c r="T273" s="48" t="e">
        <f>SUM(I269:I275)/SUM(L269:L275)</f>
        <v>#DIV/0!</v>
      </c>
      <c r="U273" s="1738"/>
    </row>
    <row r="274" spans="1:25">
      <c r="A274" s="10" t="s">
        <v>15</v>
      </c>
      <c r="B274" s="905">
        <v>45926</v>
      </c>
      <c r="C274" s="76">
        <f>IF(G274=0,0,CHAMNORD!C274+AIX!C274+BELLEY!C274+STALBAN!C274+ABRETS!C274+PONT!C274+FRANCIN!C274+VIVIERS!C274)</f>
        <v>0</v>
      </c>
      <c r="D274" s="76">
        <f>IF(H274=0,0,CHAMNORD!D274+AIX!D274+BELLEY!D274+STALBAN!D274+ABRETS!D274+PONT!D274+FRANCIN!D274+VIVIERS!D274)</f>
        <v>0</v>
      </c>
      <c r="E274" s="76">
        <f>IF(I274=0,0,CHAMNORD!E274+AIX!E274+BELLEY!E274+STALBAN!E274+ABRETS!E274+PONT!E274+FRANCIN!E274+VIVIERS!E274)</f>
        <v>0</v>
      </c>
      <c r="F274" s="20">
        <f>IF(J274=0,0,CHAMNORD!F274+AIX!F274+BELLEY!F274+STALBAN!F274+ABRETS!F274+PONT!F274+FRANCIN!F274+VIVIERS!F274)</f>
        <v>0</v>
      </c>
      <c r="G274" s="40">
        <f>IF(I274=0,0,CHAMNORD!G274+AIX!G274+BELLEY!G274+STALBAN!G274+ABRETS!G274+PONT!G274+FRANCIN!G274+VIVIERS!G274)</f>
        <v>0</v>
      </c>
      <c r="H274" s="42">
        <f>CHAMNORD!H274+AIX!H274+BELLEY!H274+STALBAN!H274+ABRETS!H274+PONT!H274+FRANCIN!H274+VIVIERS!H274</f>
        <v>0</v>
      </c>
      <c r="I274" s="13">
        <f>CHAMNORD!I274+AIX!I274+BELLEY!I274+STALBAN!I274+ABRETS!I274+PONT!I274+FRANCIN!I274+VIVIERS!I274</f>
        <v>0</v>
      </c>
      <c r="J274" s="14">
        <f>CHAMNORD!J274+AIX!J274+BELLEY!J274+STALBAN!J274+ABRETS!J274+PONT!J274+FRANCIN!J274+VIVIERS!J274</f>
        <v>0</v>
      </c>
      <c r="K274" s="15">
        <f>CHAMNORD!K274+AIX!K274+BELLEY!K274+STALBAN!K274+ABRETS!K274+PONT!K274+FRANCIN!K274+VIVIERS!K274</f>
        <v>0</v>
      </c>
      <c r="L274" s="15">
        <f>CHAMNORD!L274+AIX!L274+BELLEY!L274+STALBAN!L274+ABRETS!L274+PONT!L274+FRANCIN!L274+VIVIERS!L274</f>
        <v>0</v>
      </c>
      <c r="M274" s="15">
        <f>CHAMNORD!M274+AIX!M274+BELLEY!M274+STALBAN!M274+ABRETS!M274+PONT!M274+FRANCIN!M274+VIVIERS!M274</f>
        <v>0</v>
      </c>
      <c r="N274" s="16" t="str">
        <f t="shared" si="20"/>
        <v/>
      </c>
      <c r="O274" s="17" t="str">
        <f t="shared" si="23"/>
        <v/>
      </c>
      <c r="P274" s="17" t="str">
        <f t="shared" si="24"/>
        <v/>
      </c>
      <c r="Q274" s="18" t="str">
        <f t="shared" si="21"/>
        <v/>
      </c>
      <c r="R274" s="18" t="e">
        <f t="shared" si="22"/>
        <v>#DIV/0!</v>
      </c>
      <c r="S274" s="36">
        <f>SUM(J269:J275)</f>
        <v>0</v>
      </c>
      <c r="T274" s="30" t="s">
        <v>3</v>
      </c>
      <c r="U274" s="1738"/>
    </row>
    <row r="275" spans="1:25" ht="18" thickBot="1">
      <c r="A275" s="10" t="s">
        <v>16</v>
      </c>
      <c r="B275" s="905">
        <v>45927</v>
      </c>
      <c r="C275" s="76">
        <f>IF(G275=0,0,CHAMNORD!C275+AIX!C275+BELLEY!C275+STALBAN!C275+ABRETS!C275+PONT!C275+FRANCIN!C275+VIVIERS!C275)</f>
        <v>0</v>
      </c>
      <c r="D275" s="76">
        <f>IF(H275=0,0,CHAMNORD!D275+AIX!D275+BELLEY!D275+STALBAN!D275+ABRETS!D275+PONT!D275+FRANCIN!D275+VIVIERS!D275)</f>
        <v>0</v>
      </c>
      <c r="E275" s="76">
        <f>IF(I275=0,0,CHAMNORD!E275+AIX!E275+BELLEY!E275+STALBAN!E275+ABRETS!E275+PONT!E275+FRANCIN!E275+VIVIERS!E275)</f>
        <v>0</v>
      </c>
      <c r="F275" s="20">
        <f>IF(J275=0,0,CHAMNORD!F275+AIX!F275+BELLEY!F275+STALBAN!F275+ABRETS!F275+PONT!F275+FRANCIN!F275+VIVIERS!F275)</f>
        <v>0</v>
      </c>
      <c r="G275" s="40">
        <f>IF(I275=0,0,CHAMNORD!G275+AIX!G275+BELLEY!G275+STALBAN!G275+ABRETS!G275+PONT!G275+FRANCIN!G275+VIVIERS!G275)</f>
        <v>0</v>
      </c>
      <c r="H275" s="42">
        <f>CHAMNORD!H275+AIX!H275+BELLEY!H275+STALBAN!H275+ABRETS!H275+PONT!H275+FRANCIN!H275+VIVIERS!H275</f>
        <v>0</v>
      </c>
      <c r="I275" s="13">
        <f>CHAMNORD!I275+AIX!I275+BELLEY!I275+STALBAN!I275+ABRETS!I275+PONT!I275+FRANCIN!I275+VIVIERS!I275</f>
        <v>0</v>
      </c>
      <c r="J275" s="14">
        <f>CHAMNORD!J275+AIX!J275+BELLEY!J275+STALBAN!J275+ABRETS!J275+PONT!J275+FRANCIN!J275+VIVIERS!J275</f>
        <v>0</v>
      </c>
      <c r="K275" s="15">
        <f>CHAMNORD!K275+AIX!K275+BELLEY!K275+STALBAN!K275+ABRETS!K275+PONT!K275+FRANCIN!K275+VIVIERS!K275</f>
        <v>0</v>
      </c>
      <c r="L275" s="15">
        <f>CHAMNORD!L275+AIX!L275+BELLEY!L275+STALBAN!L275+ABRETS!L275+PONT!L275+FRANCIN!L275+VIVIERS!L275</f>
        <v>0</v>
      </c>
      <c r="M275" s="15">
        <f>CHAMNORD!M275+AIX!M275+BELLEY!M275+STALBAN!M275+ABRETS!M275+PONT!M275+FRANCIN!M275+VIVIERS!M275</f>
        <v>0</v>
      </c>
      <c r="N275" s="16" t="str">
        <f t="shared" si="20"/>
        <v/>
      </c>
      <c r="O275" s="17" t="str">
        <f t="shared" si="23"/>
        <v/>
      </c>
      <c r="P275" s="17" t="str">
        <f t="shared" si="24"/>
        <v/>
      </c>
      <c r="Q275" s="18" t="str">
        <f t="shared" si="21"/>
        <v/>
      </c>
      <c r="R275" s="18" t="e">
        <f t="shared" si="22"/>
        <v>#DIV/0!</v>
      </c>
      <c r="S275" s="37" t="e">
        <f>(S274-SUM(F269:F275))/(SUM(F269:F275))</f>
        <v>#DIV/0!</v>
      </c>
      <c r="T275" s="47" t="e">
        <f>SUM(M269:M275)/SUM(I269:I275)</f>
        <v>#DIV/0!</v>
      </c>
      <c r="U275" s="1739"/>
    </row>
    <row r="276" spans="1:25" ht="17" customHeight="1" thickTop="1">
      <c r="A276" s="10" t="s">
        <v>9</v>
      </c>
      <c r="B276" s="905">
        <v>45928</v>
      </c>
      <c r="C276" s="76">
        <f>IF(G276=0,0,CHAMNORD!C276+AIX!C276+BELLEY!C276+STALBAN!C276+ABRETS!C276+PONT!C276+FRANCIN!C276+VIVIERS!C276)</f>
        <v>0</v>
      </c>
      <c r="D276" s="76">
        <f>IF(H276=0,0,CHAMNORD!D276+AIX!D276+BELLEY!D276+STALBAN!D276+ABRETS!D276+PONT!D276+FRANCIN!D276+VIVIERS!D276)</f>
        <v>0</v>
      </c>
      <c r="E276" s="76">
        <f>IF(I276=0,0,CHAMNORD!E276+AIX!E276+BELLEY!E276+STALBAN!E276+ABRETS!E276+PONT!E276+FRANCIN!E276+VIVIERS!E276)</f>
        <v>0</v>
      </c>
      <c r="F276" s="20">
        <f>IF(J276=0,0,CHAMNORD!F276+AIX!F276+BELLEY!F276+STALBAN!F276+ABRETS!F276+PONT!F276+FRANCIN!F276+VIVIERS!F276)</f>
        <v>0</v>
      </c>
      <c r="G276" s="40">
        <f>IF(I276=0,0,CHAMNORD!G276+AIX!G276+BELLEY!G276+STALBAN!G276+ABRETS!G276+PONT!G276+FRANCIN!G276+VIVIERS!G276)</f>
        <v>0</v>
      </c>
      <c r="H276" s="42">
        <f>CHAMNORD!H276+AIX!H276+BELLEY!H276+STALBAN!H276+ABRETS!H276+PONT!H276+FRANCIN!H276+VIVIERS!H276</f>
        <v>0</v>
      </c>
      <c r="I276" s="13">
        <f>CHAMNORD!I276+AIX!I276+BELLEY!I276+STALBAN!I276+ABRETS!I276+PONT!I276+FRANCIN!I276+VIVIERS!I276</f>
        <v>0</v>
      </c>
      <c r="J276" s="14">
        <f>CHAMNORD!J276+AIX!J276+BELLEY!J276+STALBAN!J276+ABRETS!J276+PONT!J276+FRANCIN!J276+VIVIERS!J276</f>
        <v>0</v>
      </c>
      <c r="K276" s="15">
        <f>CHAMNORD!K276+AIX!K276+BELLEY!K276+STALBAN!K276+ABRETS!K276+PONT!K276+FRANCIN!K276+VIVIERS!K276</f>
        <v>0</v>
      </c>
      <c r="L276" s="15">
        <f>CHAMNORD!L276+AIX!L276+BELLEY!L276+STALBAN!L276+ABRETS!L276+PONT!L276+FRANCIN!L276+VIVIERS!L276</f>
        <v>0</v>
      </c>
      <c r="M276" s="15">
        <f>CHAMNORD!M276+AIX!M276+BELLEY!M276+STALBAN!M276+ABRETS!M276+PONT!M276+FRANCIN!M276+VIVIERS!M276</f>
        <v>0</v>
      </c>
      <c r="N276" s="16" t="str">
        <f t="shared" si="20"/>
        <v/>
      </c>
      <c r="O276" s="17" t="str">
        <f t="shared" si="23"/>
        <v/>
      </c>
      <c r="P276" s="17" t="str">
        <f t="shared" si="24"/>
        <v/>
      </c>
      <c r="Q276" s="18" t="str">
        <f t="shared" si="21"/>
        <v/>
      </c>
      <c r="R276" s="18" t="e">
        <f t="shared" si="22"/>
        <v>#DIV/0!</v>
      </c>
      <c r="S276" s="33" t="s">
        <v>39</v>
      </c>
      <c r="T276" s="31" t="s">
        <v>42</v>
      </c>
      <c r="U276" s="1737" t="s">
        <v>122</v>
      </c>
    </row>
    <row r="277" spans="1:25">
      <c r="A277" s="10" t="s">
        <v>11</v>
      </c>
      <c r="B277" s="905">
        <v>45929</v>
      </c>
      <c r="C277" s="76">
        <f>IF(G277=0,0,CHAMNORD!C277+AIX!C277+BELLEY!C277+STALBAN!C277+ABRETS!C277+PONT!C277+FRANCIN!C277+VIVIERS!C277)</f>
        <v>0</v>
      </c>
      <c r="D277" s="76">
        <f>IF(H277=0,0,CHAMNORD!D277+AIX!D277+BELLEY!D277+STALBAN!D277+ABRETS!D277+PONT!D277+FRANCIN!D277+VIVIERS!D277)</f>
        <v>0</v>
      </c>
      <c r="E277" s="76">
        <f>IF(I277=0,0,CHAMNORD!E277+AIX!E277+BELLEY!E277+STALBAN!E277+ABRETS!E277+PONT!E277+FRANCIN!E277+VIVIERS!E277)</f>
        <v>0</v>
      </c>
      <c r="F277" s="20">
        <f>IF(J277=0,0,CHAMNORD!F277+AIX!F277+BELLEY!F277+STALBAN!F277+ABRETS!F277+PONT!F277+FRANCIN!F277+VIVIERS!F277)</f>
        <v>0</v>
      </c>
      <c r="G277" s="40">
        <f>IF(I277=0,0,CHAMNORD!G277+AIX!G277+BELLEY!G277+STALBAN!G277+ABRETS!G277+PONT!G277+FRANCIN!G277+VIVIERS!G277)</f>
        <v>0</v>
      </c>
      <c r="H277" s="42">
        <f>CHAMNORD!H277+AIX!H277+BELLEY!H277+STALBAN!H277+ABRETS!H277+PONT!H277+FRANCIN!H277+VIVIERS!H277</f>
        <v>0</v>
      </c>
      <c r="I277" s="13">
        <f>CHAMNORD!I277+AIX!I277+BELLEY!I277+STALBAN!I277+ABRETS!I277+PONT!I277+FRANCIN!I277+VIVIERS!I277</f>
        <v>0</v>
      </c>
      <c r="J277" s="14">
        <f>CHAMNORD!J277+AIX!J277+BELLEY!J277+STALBAN!J277+ABRETS!J277+PONT!J277+FRANCIN!J277+VIVIERS!J277</f>
        <v>0</v>
      </c>
      <c r="K277" s="15">
        <f>CHAMNORD!K277+AIX!K277+BELLEY!K277+STALBAN!K277+ABRETS!K277+PONT!K277+FRANCIN!K277+VIVIERS!K277</f>
        <v>0</v>
      </c>
      <c r="L277" s="15">
        <f>CHAMNORD!L277+AIX!L277+BELLEY!L277+STALBAN!L277+ABRETS!L277+PONT!L277+FRANCIN!L277+VIVIERS!L277</f>
        <v>0</v>
      </c>
      <c r="M277" s="15">
        <f>CHAMNORD!M277+AIX!M277+BELLEY!M277+STALBAN!M277+ABRETS!M277+PONT!M277+FRANCIN!M277+VIVIERS!M277</f>
        <v>0</v>
      </c>
      <c r="N277" s="16" t="str">
        <f t="shared" si="20"/>
        <v/>
      </c>
      <c r="O277" s="17" t="str">
        <f t="shared" si="23"/>
        <v/>
      </c>
      <c r="P277" s="17" t="str">
        <f t="shared" si="24"/>
        <v/>
      </c>
      <c r="Q277" s="18" t="str">
        <f t="shared" si="21"/>
        <v/>
      </c>
      <c r="R277" s="18" t="e">
        <f t="shared" si="22"/>
        <v>#DIV/0!</v>
      </c>
      <c r="S277" s="34">
        <f>SUM(I276:I282)</f>
        <v>0</v>
      </c>
      <c r="T277" s="45" t="s">
        <v>41</v>
      </c>
      <c r="U277" s="1738"/>
      <c r="W277" s="202">
        <f>+S277</f>
        <v>0</v>
      </c>
      <c r="X277" s="202">
        <f>SUM(CHAMNORD!E276:E282)+SUM(AIX!E276:E282)+SUM(BELLEY!E276:E282)+SUM(STALBAN!E276:E282)+SUM(ABRETS!E276:E282)+SUM(PONT!E276:E282)+SUM(FRANCIN!E276:E282)+SUM(VIVIERS!E276:E282)</f>
        <v>0</v>
      </c>
      <c r="Y277" s="1051">
        <f>+W277-X277</f>
        <v>0</v>
      </c>
    </row>
    <row r="278" spans="1:25">
      <c r="A278" s="10" t="s">
        <v>12</v>
      </c>
      <c r="B278" s="905">
        <v>45930</v>
      </c>
      <c r="C278" s="76">
        <f>IF(G278=0,0,CHAMNORD!C278+AIX!C278+BELLEY!C278+STALBAN!C278+ABRETS!C278+PONT!C278+FRANCIN!C278+VIVIERS!C278)</f>
        <v>0</v>
      </c>
      <c r="D278" s="76">
        <f>IF(H278=0,0,CHAMNORD!D278+AIX!D278+BELLEY!D278+STALBAN!D278+ABRETS!D278+PONT!D278+FRANCIN!D278+VIVIERS!D278)</f>
        <v>0</v>
      </c>
      <c r="E278" s="76">
        <f>IF(I278=0,0,CHAMNORD!E278+AIX!E278+BELLEY!E278+STALBAN!E278+ABRETS!E278+PONT!E278+FRANCIN!E278+VIVIERS!E278)</f>
        <v>0</v>
      </c>
      <c r="F278" s="20">
        <f>IF(J278=0,0,CHAMNORD!F278+AIX!F278+BELLEY!F278+STALBAN!F278+ABRETS!F278+PONT!F278+FRANCIN!F278+VIVIERS!F278)</f>
        <v>0</v>
      </c>
      <c r="G278" s="40">
        <f>IF(I278=0,0,CHAMNORD!G278+AIX!G278+BELLEY!G278+STALBAN!G278+ABRETS!G278+PONT!G278+FRANCIN!G278+VIVIERS!G278)</f>
        <v>0</v>
      </c>
      <c r="H278" s="42">
        <f>CHAMNORD!H278+AIX!H278+BELLEY!H278+STALBAN!H278+ABRETS!H278+PONT!H278+FRANCIN!H278+VIVIERS!H278</f>
        <v>0</v>
      </c>
      <c r="I278" s="13">
        <f>CHAMNORD!I278+AIX!I278+BELLEY!I278+STALBAN!I278+ABRETS!I278+PONT!I278+FRANCIN!I278+VIVIERS!I278</f>
        <v>0</v>
      </c>
      <c r="J278" s="14">
        <f>CHAMNORD!J278+AIX!J278+BELLEY!J278+STALBAN!J278+ABRETS!J278+PONT!J278+FRANCIN!J278+VIVIERS!J278</f>
        <v>0</v>
      </c>
      <c r="K278" s="15">
        <f>CHAMNORD!K278+AIX!K278+BELLEY!K278+STALBAN!K278+ABRETS!K278+PONT!K278+FRANCIN!K278+VIVIERS!K278</f>
        <v>0</v>
      </c>
      <c r="L278" s="15">
        <f>CHAMNORD!L278+AIX!L278+BELLEY!L278+STALBAN!L278+ABRETS!L278+PONT!L278+FRANCIN!L278+VIVIERS!L278</f>
        <v>0</v>
      </c>
      <c r="M278" s="15">
        <f>CHAMNORD!M278+AIX!M278+BELLEY!M278+STALBAN!M278+ABRETS!M278+PONT!M278+FRANCIN!M278+VIVIERS!M278</f>
        <v>0</v>
      </c>
      <c r="N278" s="16" t="str">
        <f t="shared" si="20"/>
        <v/>
      </c>
      <c r="O278" s="17" t="str">
        <f t="shared" si="23"/>
        <v/>
      </c>
      <c r="P278" s="17" t="str">
        <f t="shared" si="24"/>
        <v/>
      </c>
      <c r="Q278" s="18" t="str">
        <f t="shared" si="21"/>
        <v/>
      </c>
      <c r="R278" s="18" t="e">
        <f t="shared" si="22"/>
        <v>#DIV/0!</v>
      </c>
      <c r="S278" s="35" t="e">
        <f>(S277-SUM(E276:E282))/(SUM(E276:E282))</f>
        <v>#DIV/0!</v>
      </c>
      <c r="T278" s="48" t="e">
        <f>SUM(I276:I282)/SUM(K276:K282)</f>
        <v>#DIV/0!</v>
      </c>
      <c r="U278" s="1738"/>
    </row>
    <row r="279" spans="1:25">
      <c r="A279" s="10" t="s">
        <v>13</v>
      </c>
      <c r="B279" s="905">
        <v>45931</v>
      </c>
      <c r="C279" s="76">
        <f>IF(G279=0,0,CHAMNORD!C279+AIX!C279+BELLEY!C279+STALBAN!C279+ABRETS!C279+PONT!C279+FRANCIN!C279+VIVIERS!C279)</f>
        <v>0</v>
      </c>
      <c r="D279" s="76">
        <f>IF(H279=0,0,CHAMNORD!D279+AIX!D279+BELLEY!D279+STALBAN!D279+ABRETS!D279+PONT!D279+FRANCIN!D279+VIVIERS!D279)</f>
        <v>0</v>
      </c>
      <c r="E279" s="76">
        <f>IF(I279=0,0,CHAMNORD!E279+AIX!E279+BELLEY!E279+STALBAN!E279+ABRETS!E279+PONT!E279+FRANCIN!E279+VIVIERS!E279)</f>
        <v>0</v>
      </c>
      <c r="F279" s="20">
        <f>IF(J279=0,0,CHAMNORD!F279+AIX!F279+BELLEY!F279+STALBAN!F279+ABRETS!F279+PONT!F279+FRANCIN!F279+VIVIERS!F279)</f>
        <v>0</v>
      </c>
      <c r="G279" s="40">
        <f>IF(I279=0,0,CHAMNORD!G279+AIX!G279+BELLEY!G279+STALBAN!G279+ABRETS!G279+PONT!G279+FRANCIN!G279+VIVIERS!G279)</f>
        <v>0</v>
      </c>
      <c r="H279" s="42">
        <f>CHAMNORD!H279+AIX!H279+BELLEY!H279+STALBAN!H279+ABRETS!H279+PONT!H279+FRANCIN!H279+VIVIERS!H279</f>
        <v>0</v>
      </c>
      <c r="I279" s="13">
        <f>CHAMNORD!I279+AIX!I279+BELLEY!I279+STALBAN!I279+ABRETS!I279+PONT!I279+FRANCIN!I279+VIVIERS!I279</f>
        <v>0</v>
      </c>
      <c r="J279" s="14">
        <f>CHAMNORD!J279+AIX!J279+BELLEY!J279+STALBAN!J279+ABRETS!J279+PONT!J279+FRANCIN!J279+VIVIERS!J279</f>
        <v>0</v>
      </c>
      <c r="K279" s="15">
        <f>CHAMNORD!K279+AIX!K279+BELLEY!K279+STALBAN!K279+ABRETS!K279+PONT!K279+FRANCIN!K279+VIVIERS!K279</f>
        <v>0</v>
      </c>
      <c r="L279" s="15">
        <f>CHAMNORD!L279+AIX!L279+BELLEY!L279+STALBAN!L279+ABRETS!L279+PONT!L279+FRANCIN!L279+VIVIERS!L279</f>
        <v>0</v>
      </c>
      <c r="M279" s="15">
        <f>CHAMNORD!M279+AIX!M279+BELLEY!M279+STALBAN!M279+ABRETS!M279+PONT!M279+FRANCIN!M279+VIVIERS!M279</f>
        <v>0</v>
      </c>
      <c r="N279" s="16" t="str">
        <f t="shared" si="20"/>
        <v/>
      </c>
      <c r="O279" s="17" t="str">
        <f t="shared" si="23"/>
        <v/>
      </c>
      <c r="P279" s="17" t="str">
        <f t="shared" si="24"/>
        <v/>
      </c>
      <c r="Q279" s="18" t="str">
        <f t="shared" si="21"/>
        <v/>
      </c>
      <c r="R279" s="18" t="e">
        <f t="shared" si="22"/>
        <v>#DIV/0!</v>
      </c>
      <c r="S279" s="34"/>
      <c r="T279" s="29" t="s">
        <v>8</v>
      </c>
      <c r="U279" s="1738"/>
    </row>
    <row r="280" spans="1:25">
      <c r="A280" s="10" t="s">
        <v>14</v>
      </c>
      <c r="B280" s="905">
        <v>45932</v>
      </c>
      <c r="C280" s="76">
        <f>IF(G280=0,0,CHAMNORD!C280+AIX!C280+BELLEY!C280+STALBAN!C280+ABRETS!C280+PONT!C280+FRANCIN!C280+VIVIERS!C280)</f>
        <v>0</v>
      </c>
      <c r="D280" s="76">
        <f>IF(H280=0,0,CHAMNORD!D280+AIX!D280+BELLEY!D280+STALBAN!D280+ABRETS!D280+PONT!D280+FRANCIN!D280+VIVIERS!D280)</f>
        <v>0</v>
      </c>
      <c r="E280" s="76">
        <f>IF(I280=0,0,CHAMNORD!E280+AIX!E280+BELLEY!E280+STALBAN!E280+ABRETS!E280+PONT!E280+FRANCIN!E280+VIVIERS!E280)</f>
        <v>0</v>
      </c>
      <c r="F280" s="20">
        <f>IF(J280=0,0,CHAMNORD!F280+AIX!F280+BELLEY!F280+STALBAN!F280+ABRETS!F280+PONT!F280+FRANCIN!F280+VIVIERS!F280)</f>
        <v>0</v>
      </c>
      <c r="G280" s="40">
        <f>IF(I280=0,0,CHAMNORD!G280+AIX!G280+BELLEY!G280+STALBAN!G280+ABRETS!G280+PONT!G280+FRANCIN!G280+VIVIERS!G280)</f>
        <v>0</v>
      </c>
      <c r="H280" s="42">
        <f>CHAMNORD!H280+AIX!H280+BELLEY!H280+STALBAN!H280+ABRETS!H280+PONT!H280+FRANCIN!H280+VIVIERS!H280</f>
        <v>0</v>
      </c>
      <c r="I280" s="13">
        <f>CHAMNORD!I280+AIX!I280+BELLEY!I280+STALBAN!I280+ABRETS!I280+PONT!I280+FRANCIN!I280+VIVIERS!I280</f>
        <v>0</v>
      </c>
      <c r="J280" s="14">
        <f>CHAMNORD!J280+AIX!J280+BELLEY!J280+STALBAN!J280+ABRETS!J280+PONT!J280+FRANCIN!J280+VIVIERS!J280</f>
        <v>0</v>
      </c>
      <c r="K280" s="15">
        <f>CHAMNORD!K280+AIX!K280+BELLEY!K280+STALBAN!K280+ABRETS!K280+PONT!K280+FRANCIN!K280+VIVIERS!K280</f>
        <v>0</v>
      </c>
      <c r="L280" s="15">
        <f>CHAMNORD!L280+AIX!L280+BELLEY!L280+STALBAN!L280+ABRETS!L280+PONT!L280+FRANCIN!L280+VIVIERS!L280</f>
        <v>0</v>
      </c>
      <c r="M280" s="15">
        <f>CHAMNORD!M280+AIX!M280+BELLEY!M280+STALBAN!M280+ABRETS!M280+PONT!M280+FRANCIN!M280+VIVIERS!M280</f>
        <v>0</v>
      </c>
      <c r="N280" s="16" t="str">
        <f t="shared" si="20"/>
        <v/>
      </c>
      <c r="O280" s="17" t="str">
        <f t="shared" si="23"/>
        <v/>
      </c>
      <c r="P280" s="17" t="str">
        <f t="shared" si="24"/>
        <v/>
      </c>
      <c r="Q280" s="18" t="str">
        <f t="shared" si="21"/>
        <v/>
      </c>
      <c r="R280" s="18" t="e">
        <f t="shared" si="22"/>
        <v>#DIV/0!</v>
      </c>
      <c r="S280" s="36" t="s">
        <v>40</v>
      </c>
      <c r="T280" s="48" t="e">
        <f>SUM(I276:I282)/SUM(L276:L282)</f>
        <v>#DIV/0!</v>
      </c>
      <c r="U280" s="1738"/>
    </row>
    <row r="281" spans="1:25">
      <c r="A281" s="10" t="s">
        <v>15</v>
      </c>
      <c r="B281" s="905">
        <v>45933</v>
      </c>
      <c r="C281" s="76">
        <f>IF(G281=0,0,CHAMNORD!C281+AIX!C281+BELLEY!C281+STALBAN!C281+ABRETS!C281+PONT!C281+FRANCIN!C281+VIVIERS!C281)</f>
        <v>0</v>
      </c>
      <c r="D281" s="76">
        <f>IF(H281=0,0,CHAMNORD!D281+AIX!D281+BELLEY!D281+STALBAN!D281+ABRETS!D281+PONT!D281+FRANCIN!D281+VIVIERS!D281)</f>
        <v>0</v>
      </c>
      <c r="E281" s="76">
        <f>IF(I281=0,0,CHAMNORD!E281+AIX!E281+BELLEY!E281+STALBAN!E281+ABRETS!E281+PONT!E281+FRANCIN!E281+VIVIERS!E281)</f>
        <v>0</v>
      </c>
      <c r="F281" s="20">
        <f>IF(J281=0,0,CHAMNORD!F281+AIX!F281+BELLEY!F281+STALBAN!F281+ABRETS!F281+PONT!F281+FRANCIN!F281+VIVIERS!F281)</f>
        <v>0</v>
      </c>
      <c r="G281" s="40">
        <f>IF(I281=0,0,CHAMNORD!G281+AIX!G281+BELLEY!G281+STALBAN!G281+ABRETS!G281+PONT!G281+FRANCIN!G281+VIVIERS!G281)</f>
        <v>0</v>
      </c>
      <c r="H281" s="42">
        <f>CHAMNORD!H281+AIX!H281+BELLEY!H281+STALBAN!H281+ABRETS!H281+PONT!H281+FRANCIN!H281+VIVIERS!H281</f>
        <v>0</v>
      </c>
      <c r="I281" s="13">
        <f>CHAMNORD!I281+AIX!I281+BELLEY!I281+STALBAN!I281+ABRETS!I281+PONT!I281+FRANCIN!I281+VIVIERS!I281</f>
        <v>0</v>
      </c>
      <c r="J281" s="14">
        <f>CHAMNORD!J281+AIX!J281+BELLEY!J281+STALBAN!J281+ABRETS!J281+PONT!J281+FRANCIN!J281+VIVIERS!J281</f>
        <v>0</v>
      </c>
      <c r="K281" s="15">
        <f>CHAMNORD!K281+AIX!K281+BELLEY!K281+STALBAN!K281+ABRETS!K281+PONT!K281+FRANCIN!K281+VIVIERS!K281</f>
        <v>0</v>
      </c>
      <c r="L281" s="15">
        <f>CHAMNORD!L281+AIX!L281+BELLEY!L281+STALBAN!L281+ABRETS!L281+PONT!L281+FRANCIN!L281+VIVIERS!L281</f>
        <v>0</v>
      </c>
      <c r="M281" s="15">
        <f>CHAMNORD!M281+AIX!M281+BELLEY!M281+STALBAN!M281+ABRETS!M281+PONT!M281+FRANCIN!M281+VIVIERS!M281</f>
        <v>0</v>
      </c>
      <c r="N281" s="16" t="str">
        <f t="shared" si="20"/>
        <v/>
      </c>
      <c r="O281" s="17" t="str">
        <f t="shared" si="23"/>
        <v/>
      </c>
      <c r="P281" s="17" t="str">
        <f t="shared" si="24"/>
        <v/>
      </c>
      <c r="Q281" s="18" t="str">
        <f t="shared" si="21"/>
        <v/>
      </c>
      <c r="R281" s="18" t="e">
        <f t="shared" si="22"/>
        <v>#DIV/0!</v>
      </c>
      <c r="S281" s="36">
        <f>SUM(J276:J282)</f>
        <v>0</v>
      </c>
      <c r="T281" s="30" t="s">
        <v>3</v>
      </c>
      <c r="U281" s="1738"/>
    </row>
    <row r="282" spans="1:25" ht="18" thickBot="1">
      <c r="A282" s="10" t="s">
        <v>16</v>
      </c>
      <c r="B282" s="905">
        <v>45934</v>
      </c>
      <c r="C282" s="76">
        <f>IF(G282=0,0,CHAMNORD!C282+AIX!C282+BELLEY!C282+STALBAN!C282+ABRETS!C282+PONT!C282+FRANCIN!C282+VIVIERS!C282)</f>
        <v>0</v>
      </c>
      <c r="D282" s="76">
        <f>IF(H282=0,0,CHAMNORD!D282+AIX!D282+BELLEY!D282+STALBAN!D282+ABRETS!D282+PONT!D282+FRANCIN!D282+VIVIERS!D282)</f>
        <v>0</v>
      </c>
      <c r="E282" s="76">
        <f>IF(I282=0,0,CHAMNORD!E282+AIX!E282+BELLEY!E282+STALBAN!E282+ABRETS!E282+PONT!E282+FRANCIN!E282+VIVIERS!E282)</f>
        <v>0</v>
      </c>
      <c r="F282" s="20">
        <f>IF(J282=0,0,CHAMNORD!F282+AIX!F282+BELLEY!F282+STALBAN!F282+ABRETS!F282+PONT!F282+FRANCIN!F282+VIVIERS!F282)</f>
        <v>0</v>
      </c>
      <c r="G282" s="40">
        <f>IF(I282=0,0,CHAMNORD!G282+AIX!G282+BELLEY!G282+STALBAN!G282+ABRETS!G282+PONT!G282+FRANCIN!G282+VIVIERS!G282)</f>
        <v>0</v>
      </c>
      <c r="H282" s="42">
        <f>CHAMNORD!H282+AIX!H282+BELLEY!H282+STALBAN!H282+ABRETS!H282+PONT!H282+FRANCIN!H282+VIVIERS!H282</f>
        <v>0</v>
      </c>
      <c r="I282" s="13">
        <f>CHAMNORD!I282+AIX!I282+BELLEY!I282+STALBAN!I282+ABRETS!I282+PONT!I282+FRANCIN!I282+VIVIERS!I282</f>
        <v>0</v>
      </c>
      <c r="J282" s="14">
        <f>CHAMNORD!J282+AIX!J282+BELLEY!J282+STALBAN!J282+ABRETS!J282+PONT!J282+FRANCIN!J282+VIVIERS!J282</f>
        <v>0</v>
      </c>
      <c r="K282" s="15">
        <f>CHAMNORD!K282+AIX!K282+BELLEY!K282+STALBAN!K282+ABRETS!K282+PONT!K282+FRANCIN!K282+VIVIERS!K282</f>
        <v>0</v>
      </c>
      <c r="L282" s="15">
        <f>CHAMNORD!L282+AIX!L282+BELLEY!L282+STALBAN!L282+ABRETS!L282+PONT!L282+FRANCIN!L282+VIVIERS!L282</f>
        <v>0</v>
      </c>
      <c r="M282" s="15">
        <f>CHAMNORD!M282+AIX!M282+BELLEY!M282+STALBAN!M282+ABRETS!M282+PONT!M282+FRANCIN!M282+VIVIERS!M282</f>
        <v>0</v>
      </c>
      <c r="N282" s="16" t="str">
        <f t="shared" si="20"/>
        <v/>
      </c>
      <c r="O282" s="17" t="str">
        <f t="shared" si="23"/>
        <v/>
      </c>
      <c r="P282" s="17" t="str">
        <f t="shared" si="24"/>
        <v/>
      </c>
      <c r="Q282" s="18" t="str">
        <f t="shared" si="21"/>
        <v/>
      </c>
      <c r="R282" s="18" t="e">
        <f t="shared" si="22"/>
        <v>#DIV/0!</v>
      </c>
      <c r="S282" s="37" t="e">
        <f>(S281-SUM(F276:F282))/(SUM(F276:F282))</f>
        <v>#DIV/0!</v>
      </c>
      <c r="T282" s="47" t="e">
        <f>SUM(M276:M282)/SUM(I276:I282)</f>
        <v>#DIV/0!</v>
      </c>
      <c r="U282" s="1739"/>
    </row>
    <row r="283" spans="1:25" ht="17" customHeight="1" thickTop="1">
      <c r="A283" s="10" t="s">
        <v>9</v>
      </c>
      <c r="B283" s="905">
        <v>45935</v>
      </c>
      <c r="C283" s="76">
        <f>IF(G283=0,0,CHAMNORD!C283+AIX!C283+BELLEY!C283+STALBAN!C283+ABRETS!C283+PONT!C283+FRANCIN!C283+VIVIERS!C283)</f>
        <v>0</v>
      </c>
      <c r="D283" s="76">
        <f>IF(H283=0,0,CHAMNORD!D283+AIX!D283+BELLEY!D283+STALBAN!D283+ABRETS!D283+PONT!D283+FRANCIN!D283+VIVIERS!D283)</f>
        <v>0</v>
      </c>
      <c r="E283" s="76">
        <f>IF(I283=0,0,CHAMNORD!E283+AIX!E283+BELLEY!E283+STALBAN!E283+ABRETS!E283+PONT!E283+FRANCIN!E283+VIVIERS!E283)</f>
        <v>0</v>
      </c>
      <c r="F283" s="20">
        <f>IF(J283=0,0,CHAMNORD!F283+AIX!F283+BELLEY!F283+STALBAN!F283+ABRETS!F283+PONT!F283+FRANCIN!F283+VIVIERS!F283)</f>
        <v>0</v>
      </c>
      <c r="G283" s="40">
        <f>IF(I283=0,0,CHAMNORD!G283+AIX!G283+BELLEY!G283+STALBAN!G283+ABRETS!G283+PONT!G283+FRANCIN!G283+VIVIERS!G283)</f>
        <v>0</v>
      </c>
      <c r="H283" s="42">
        <f>CHAMNORD!H283+AIX!H283+BELLEY!H283+STALBAN!H283+ABRETS!H283+PONT!H283+FRANCIN!H283+VIVIERS!H283</f>
        <v>0</v>
      </c>
      <c r="I283" s="13">
        <f>CHAMNORD!I283+AIX!I283+BELLEY!I283+STALBAN!I283+ABRETS!I283+PONT!I283+FRANCIN!I283+VIVIERS!I283</f>
        <v>0</v>
      </c>
      <c r="J283" s="14">
        <f>CHAMNORD!J283+AIX!J283+BELLEY!J283+STALBAN!J283+ABRETS!J283+PONT!J283+FRANCIN!J283+VIVIERS!J283</f>
        <v>0</v>
      </c>
      <c r="K283" s="15">
        <f>CHAMNORD!K283+AIX!K283+BELLEY!K283+STALBAN!K283+ABRETS!K283+PONT!K283+FRANCIN!K283+VIVIERS!K283</f>
        <v>0</v>
      </c>
      <c r="L283" s="15">
        <f>CHAMNORD!L283+AIX!L283+BELLEY!L283+STALBAN!L283+ABRETS!L283+PONT!L283+FRANCIN!L283+VIVIERS!L283</f>
        <v>0</v>
      </c>
      <c r="M283" s="15">
        <f>CHAMNORD!M283+AIX!M283+BELLEY!M283+STALBAN!M283+ABRETS!M283+PONT!M283+FRANCIN!M283+VIVIERS!M283</f>
        <v>0</v>
      </c>
      <c r="N283" s="16" t="str">
        <f t="shared" si="20"/>
        <v/>
      </c>
      <c r="O283" s="17" t="str">
        <f t="shared" si="23"/>
        <v/>
      </c>
      <c r="P283" s="17" t="str">
        <f t="shared" si="24"/>
        <v/>
      </c>
      <c r="Q283" s="18" t="str">
        <f t="shared" si="21"/>
        <v/>
      </c>
      <c r="R283" s="18" t="e">
        <f t="shared" si="22"/>
        <v>#DIV/0!</v>
      </c>
      <c r="S283" s="33" t="s">
        <v>39</v>
      </c>
      <c r="T283" s="31" t="s">
        <v>42</v>
      </c>
      <c r="U283" s="1737" t="s">
        <v>123</v>
      </c>
    </row>
    <row r="284" spans="1:25">
      <c r="A284" s="10" t="s">
        <v>11</v>
      </c>
      <c r="B284" s="905">
        <v>45936</v>
      </c>
      <c r="C284" s="76">
        <f>IF(G284=0,0,CHAMNORD!C284+AIX!C284+BELLEY!C284+STALBAN!C284+ABRETS!C284+PONT!C284+FRANCIN!C284+VIVIERS!C284)</f>
        <v>0</v>
      </c>
      <c r="D284" s="76">
        <f>IF(H284=0,0,CHAMNORD!D284+AIX!D284+BELLEY!D284+STALBAN!D284+ABRETS!D284+PONT!D284+FRANCIN!D284+VIVIERS!D284)</f>
        <v>0</v>
      </c>
      <c r="E284" s="76">
        <f>IF(I284=0,0,CHAMNORD!E284+AIX!E284+BELLEY!E284+STALBAN!E284+ABRETS!E284+PONT!E284+FRANCIN!E284+VIVIERS!E284)</f>
        <v>0</v>
      </c>
      <c r="F284" s="20">
        <f>IF(J284=0,0,CHAMNORD!F284+AIX!F284+BELLEY!F284+STALBAN!F284+ABRETS!F284+PONT!F284+FRANCIN!F284+VIVIERS!F284)</f>
        <v>0</v>
      </c>
      <c r="G284" s="40">
        <f>IF(I284=0,0,CHAMNORD!G284+AIX!G284+BELLEY!G284+STALBAN!G284+ABRETS!G284+PONT!G284+FRANCIN!G284+VIVIERS!G284)</f>
        <v>0</v>
      </c>
      <c r="H284" s="42">
        <f>CHAMNORD!H284+AIX!H284+BELLEY!H284+STALBAN!H284+ABRETS!H284+PONT!H284+FRANCIN!H284+VIVIERS!H284</f>
        <v>0</v>
      </c>
      <c r="I284" s="13">
        <f>CHAMNORD!I284+AIX!I284+BELLEY!I284+STALBAN!I284+ABRETS!I284+PONT!I284+FRANCIN!I284+VIVIERS!I284</f>
        <v>0</v>
      </c>
      <c r="J284" s="14">
        <f>CHAMNORD!J284+AIX!J284+BELLEY!J284+STALBAN!J284+ABRETS!J284+PONT!J284+FRANCIN!J284+VIVIERS!J284</f>
        <v>0</v>
      </c>
      <c r="K284" s="15">
        <f>CHAMNORD!K284+AIX!K284+BELLEY!K284+STALBAN!K284+ABRETS!K284+PONT!K284+FRANCIN!K284+VIVIERS!K284</f>
        <v>0</v>
      </c>
      <c r="L284" s="15">
        <f>CHAMNORD!L284+AIX!L284+BELLEY!L284+STALBAN!L284+ABRETS!L284+PONT!L284+FRANCIN!L284+VIVIERS!L284</f>
        <v>0</v>
      </c>
      <c r="M284" s="15">
        <f>CHAMNORD!M284+AIX!M284+BELLEY!M284+STALBAN!M284+ABRETS!M284+PONT!M284+FRANCIN!M284+VIVIERS!M284</f>
        <v>0</v>
      </c>
      <c r="N284" s="16" t="str">
        <f t="shared" si="20"/>
        <v/>
      </c>
      <c r="O284" s="17" t="str">
        <f t="shared" si="23"/>
        <v/>
      </c>
      <c r="P284" s="17" t="str">
        <f t="shared" si="24"/>
        <v/>
      </c>
      <c r="Q284" s="18" t="str">
        <f t="shared" si="21"/>
        <v/>
      </c>
      <c r="R284" s="18" t="e">
        <f t="shared" si="22"/>
        <v>#DIV/0!</v>
      </c>
      <c r="S284" s="34">
        <f>SUM(I283:I289)</f>
        <v>0</v>
      </c>
      <c r="T284" s="45" t="s">
        <v>41</v>
      </c>
      <c r="U284" s="1738"/>
      <c r="W284" s="202">
        <f>+S284</f>
        <v>0</v>
      </c>
      <c r="X284" s="202">
        <f>SUM(CHAMNORD!E283:E289)+SUM(AIX!E283:E289)+SUM(BELLEY!E283:E289)+SUM(STALBAN!E283:E289)+SUM(ABRETS!E283:E289)+SUM(PONT!E283:E289)+SUM(FRANCIN!E283:E289)+SUM(VIVIERS!E283:E289)</f>
        <v>0</v>
      </c>
      <c r="Y284" s="1051">
        <f>+W284-X284</f>
        <v>0</v>
      </c>
    </row>
    <row r="285" spans="1:25">
      <c r="A285" s="10" t="s">
        <v>12</v>
      </c>
      <c r="B285" s="905">
        <v>45937</v>
      </c>
      <c r="C285" s="76">
        <f>IF(G285=0,0,CHAMNORD!C285+AIX!C285+BELLEY!C285+STALBAN!C285+ABRETS!C285+PONT!C285+FRANCIN!C285+VIVIERS!C285)</f>
        <v>0</v>
      </c>
      <c r="D285" s="76">
        <f>IF(H285=0,0,CHAMNORD!D285+AIX!D285+BELLEY!D285+STALBAN!D285+ABRETS!D285+PONT!D285+FRANCIN!D285+VIVIERS!D285)</f>
        <v>0</v>
      </c>
      <c r="E285" s="76">
        <f>IF(I285=0,0,CHAMNORD!E285+AIX!E285+BELLEY!E285+STALBAN!E285+ABRETS!E285+PONT!E285+FRANCIN!E285+VIVIERS!E285)</f>
        <v>0</v>
      </c>
      <c r="F285" s="20">
        <f>IF(J285=0,0,CHAMNORD!F285+AIX!F285+BELLEY!F285+STALBAN!F285+ABRETS!F285+PONT!F285+FRANCIN!F285+VIVIERS!F285)</f>
        <v>0</v>
      </c>
      <c r="G285" s="40">
        <f>IF(I285=0,0,CHAMNORD!G285+AIX!G285+BELLEY!G285+STALBAN!G285+ABRETS!G285+PONT!G285+FRANCIN!G285+VIVIERS!G285)</f>
        <v>0</v>
      </c>
      <c r="H285" s="42">
        <f>CHAMNORD!H285+AIX!H285+BELLEY!H285+STALBAN!H285+ABRETS!H285+PONT!H285+FRANCIN!H285+VIVIERS!H285</f>
        <v>0</v>
      </c>
      <c r="I285" s="13">
        <f>CHAMNORD!I285+AIX!I285+BELLEY!I285+STALBAN!I285+ABRETS!I285+PONT!I285+FRANCIN!I285+VIVIERS!I285</f>
        <v>0</v>
      </c>
      <c r="J285" s="14">
        <f>CHAMNORD!J285+AIX!J285+BELLEY!J285+STALBAN!J285+ABRETS!J285+PONT!J285+FRANCIN!J285+VIVIERS!J285</f>
        <v>0</v>
      </c>
      <c r="K285" s="15">
        <f>CHAMNORD!K285+AIX!K285+BELLEY!K285+STALBAN!K285+ABRETS!K285+PONT!K285+FRANCIN!K285+VIVIERS!K285</f>
        <v>0</v>
      </c>
      <c r="L285" s="15">
        <f>CHAMNORD!L285+AIX!L285+BELLEY!L285+STALBAN!L285+ABRETS!L285+PONT!L285+FRANCIN!L285+VIVIERS!L285</f>
        <v>0</v>
      </c>
      <c r="M285" s="15">
        <f>CHAMNORD!M285+AIX!M285+BELLEY!M285+STALBAN!M285+ABRETS!M285+PONT!M285+FRANCIN!M285+VIVIERS!M285</f>
        <v>0</v>
      </c>
      <c r="N285" s="16" t="str">
        <f t="shared" si="20"/>
        <v/>
      </c>
      <c r="O285" s="17" t="str">
        <f t="shared" si="23"/>
        <v/>
      </c>
      <c r="P285" s="17" t="str">
        <f t="shared" si="24"/>
        <v/>
      </c>
      <c r="Q285" s="18" t="str">
        <f t="shared" si="21"/>
        <v/>
      </c>
      <c r="R285" s="18" t="e">
        <f t="shared" si="22"/>
        <v>#DIV/0!</v>
      </c>
      <c r="S285" s="35" t="e">
        <f>(S284-SUM(E283:E289))/(SUM(E283:E289))</f>
        <v>#DIV/0!</v>
      </c>
      <c r="T285" s="48" t="e">
        <f>SUM(I283:I289)/SUM(K283:K289)</f>
        <v>#DIV/0!</v>
      </c>
      <c r="U285" s="1738"/>
    </row>
    <row r="286" spans="1:25">
      <c r="A286" s="10" t="s">
        <v>13</v>
      </c>
      <c r="B286" s="905">
        <v>45938</v>
      </c>
      <c r="C286" s="76">
        <f>IF(G286=0,0,CHAMNORD!C286+AIX!C286+BELLEY!C286+STALBAN!C286+ABRETS!C286+PONT!C286+FRANCIN!C286+VIVIERS!C286)</f>
        <v>0</v>
      </c>
      <c r="D286" s="76">
        <f>IF(H286=0,0,CHAMNORD!D286+AIX!D286+BELLEY!D286+STALBAN!D286+ABRETS!D286+PONT!D286+FRANCIN!D286+VIVIERS!D286)</f>
        <v>0</v>
      </c>
      <c r="E286" s="76">
        <f>IF(I286=0,0,CHAMNORD!E286+AIX!E286+BELLEY!E286+STALBAN!E286+ABRETS!E286+PONT!E286+FRANCIN!E286+VIVIERS!E286)</f>
        <v>0</v>
      </c>
      <c r="F286" s="20">
        <f>IF(J286=0,0,CHAMNORD!F286+AIX!F286+BELLEY!F286+STALBAN!F286+ABRETS!F286+PONT!F286+FRANCIN!F286+VIVIERS!F286)</f>
        <v>0</v>
      </c>
      <c r="G286" s="40">
        <f>IF(I286=0,0,CHAMNORD!G286+AIX!G286+BELLEY!G286+STALBAN!G286+ABRETS!G286+PONT!G286+FRANCIN!G286+VIVIERS!G286)</f>
        <v>0</v>
      </c>
      <c r="H286" s="42">
        <f>CHAMNORD!H286+AIX!H286+BELLEY!H286+STALBAN!H286+ABRETS!H286+PONT!H286+FRANCIN!H286+VIVIERS!H286</f>
        <v>0</v>
      </c>
      <c r="I286" s="13">
        <f>CHAMNORD!I286+AIX!I286+BELLEY!I286+STALBAN!I286+ABRETS!I286+PONT!I286+FRANCIN!I286+VIVIERS!I286</f>
        <v>0</v>
      </c>
      <c r="J286" s="14">
        <f>CHAMNORD!J286+AIX!J286+BELLEY!J286+STALBAN!J286+ABRETS!J286+PONT!J286+FRANCIN!J286+VIVIERS!J286</f>
        <v>0</v>
      </c>
      <c r="K286" s="15">
        <f>CHAMNORD!K286+AIX!K286+BELLEY!K286+STALBAN!K286+ABRETS!K286+PONT!K286+FRANCIN!K286+VIVIERS!K286</f>
        <v>0</v>
      </c>
      <c r="L286" s="15">
        <f>CHAMNORD!L286+AIX!L286+BELLEY!L286+STALBAN!L286+ABRETS!L286+PONT!L286+FRANCIN!L286+VIVIERS!L286</f>
        <v>0</v>
      </c>
      <c r="M286" s="15">
        <f>CHAMNORD!M286+AIX!M286+BELLEY!M286+STALBAN!M286+ABRETS!M286+PONT!M286+FRANCIN!M286+VIVIERS!M286</f>
        <v>0</v>
      </c>
      <c r="N286" s="16" t="str">
        <f t="shared" si="20"/>
        <v/>
      </c>
      <c r="O286" s="17" t="str">
        <f t="shared" si="23"/>
        <v/>
      </c>
      <c r="P286" s="17" t="str">
        <f t="shared" si="24"/>
        <v/>
      </c>
      <c r="Q286" s="18" t="str">
        <f t="shared" si="21"/>
        <v/>
      </c>
      <c r="R286" s="18" t="e">
        <f t="shared" si="22"/>
        <v>#DIV/0!</v>
      </c>
      <c r="S286" s="34"/>
      <c r="T286" s="29" t="s">
        <v>8</v>
      </c>
      <c r="U286" s="1738"/>
    </row>
    <row r="287" spans="1:25">
      <c r="A287" s="10" t="s">
        <v>14</v>
      </c>
      <c r="B287" s="905">
        <v>45939</v>
      </c>
      <c r="C287" s="76">
        <f>IF(G287=0,0,CHAMNORD!C287+AIX!C287+BELLEY!C287+STALBAN!C287+ABRETS!C287+PONT!C287+FRANCIN!C287+VIVIERS!C287)</f>
        <v>0</v>
      </c>
      <c r="D287" s="76">
        <f>IF(H287=0,0,CHAMNORD!D287+AIX!D287+BELLEY!D287+STALBAN!D287+ABRETS!D287+PONT!D287+FRANCIN!D287+VIVIERS!D287)</f>
        <v>0</v>
      </c>
      <c r="E287" s="76">
        <f>IF(I287=0,0,CHAMNORD!E287+AIX!E287+BELLEY!E287+STALBAN!E287+ABRETS!E287+PONT!E287+FRANCIN!E287+VIVIERS!E287)</f>
        <v>0</v>
      </c>
      <c r="F287" s="20">
        <f>IF(J287=0,0,CHAMNORD!F287+AIX!F287+BELLEY!F287+STALBAN!F287+ABRETS!F287+PONT!F287+FRANCIN!F287+VIVIERS!F287)</f>
        <v>0</v>
      </c>
      <c r="G287" s="40">
        <f>IF(I287=0,0,CHAMNORD!G287+AIX!G287+BELLEY!G287+STALBAN!G287+ABRETS!G287+PONT!G287+FRANCIN!G287+VIVIERS!G287)</f>
        <v>0</v>
      </c>
      <c r="H287" s="42">
        <f>CHAMNORD!H287+AIX!H287+BELLEY!H287+STALBAN!H287+ABRETS!H287+PONT!H287+FRANCIN!H287+VIVIERS!H287</f>
        <v>0</v>
      </c>
      <c r="I287" s="13">
        <f>CHAMNORD!I287+AIX!I287+BELLEY!I287+STALBAN!I287+ABRETS!I287+PONT!I287+FRANCIN!I287+VIVIERS!I287</f>
        <v>0</v>
      </c>
      <c r="J287" s="14">
        <f>CHAMNORD!J287+AIX!J287+BELLEY!J287+STALBAN!J287+ABRETS!J287+PONT!J287+FRANCIN!J287+VIVIERS!J287</f>
        <v>0</v>
      </c>
      <c r="K287" s="15">
        <f>CHAMNORD!K287+AIX!K287+BELLEY!K287+STALBAN!K287+ABRETS!K287+PONT!K287+FRANCIN!K287+VIVIERS!K287</f>
        <v>0</v>
      </c>
      <c r="L287" s="15">
        <f>CHAMNORD!L287+AIX!L287+BELLEY!L287+STALBAN!L287+ABRETS!L287+PONT!L287+FRANCIN!L287+VIVIERS!L287</f>
        <v>0</v>
      </c>
      <c r="M287" s="15">
        <f>CHAMNORD!M287+AIX!M287+BELLEY!M287+STALBAN!M287+ABRETS!M287+PONT!M287+FRANCIN!M287+VIVIERS!M287</f>
        <v>0</v>
      </c>
      <c r="N287" s="16" t="str">
        <f t="shared" si="20"/>
        <v/>
      </c>
      <c r="O287" s="17" t="str">
        <f t="shared" si="23"/>
        <v/>
      </c>
      <c r="P287" s="17" t="str">
        <f t="shared" si="24"/>
        <v/>
      </c>
      <c r="Q287" s="18" t="str">
        <f t="shared" si="21"/>
        <v/>
      </c>
      <c r="R287" s="18" t="e">
        <f t="shared" si="22"/>
        <v>#DIV/0!</v>
      </c>
      <c r="S287" s="36" t="s">
        <v>40</v>
      </c>
      <c r="T287" s="48" t="e">
        <f>SUM(I283:I289)/SUM(L283:L289)</f>
        <v>#DIV/0!</v>
      </c>
      <c r="U287" s="1738"/>
    </row>
    <row r="288" spans="1:25">
      <c r="A288" s="10" t="s">
        <v>15</v>
      </c>
      <c r="B288" s="905">
        <v>45940</v>
      </c>
      <c r="C288" s="76">
        <f>IF(G288=0,0,CHAMNORD!C288+AIX!C288+BELLEY!C288+STALBAN!C288+ABRETS!C288+PONT!C288+FRANCIN!C288+VIVIERS!C288)</f>
        <v>0</v>
      </c>
      <c r="D288" s="76">
        <f>IF(H288=0,0,CHAMNORD!D288+AIX!D288+BELLEY!D288+STALBAN!D288+ABRETS!D288+PONT!D288+FRANCIN!D288+VIVIERS!D288)</f>
        <v>0</v>
      </c>
      <c r="E288" s="76">
        <f>IF(I288=0,0,CHAMNORD!E288+AIX!E288+BELLEY!E288+STALBAN!E288+ABRETS!E288+PONT!E288+FRANCIN!E288+VIVIERS!E288)</f>
        <v>0</v>
      </c>
      <c r="F288" s="20">
        <f>IF(J288=0,0,CHAMNORD!F288+AIX!F288+BELLEY!F288+STALBAN!F288+ABRETS!F288+PONT!F288+FRANCIN!F288+VIVIERS!F288)</f>
        <v>0</v>
      </c>
      <c r="G288" s="40">
        <f>IF(I288=0,0,CHAMNORD!G288+AIX!G288+BELLEY!G288+STALBAN!G288+ABRETS!G288+PONT!G288+FRANCIN!G288+VIVIERS!G288)</f>
        <v>0</v>
      </c>
      <c r="H288" s="42">
        <f>CHAMNORD!H288+AIX!H288+BELLEY!H288+STALBAN!H288+ABRETS!H288+PONT!H288+FRANCIN!H288+VIVIERS!H288</f>
        <v>0</v>
      </c>
      <c r="I288" s="13">
        <f>CHAMNORD!I288+AIX!I288+BELLEY!I288+STALBAN!I288+ABRETS!I288+PONT!I288+FRANCIN!I288+VIVIERS!I288</f>
        <v>0</v>
      </c>
      <c r="J288" s="14">
        <f>CHAMNORD!J288+AIX!J288+BELLEY!J288+STALBAN!J288+ABRETS!J288+PONT!J288+FRANCIN!J288+VIVIERS!J288</f>
        <v>0</v>
      </c>
      <c r="K288" s="15">
        <f>CHAMNORD!K288+AIX!K288+BELLEY!K288+STALBAN!K288+ABRETS!K288+PONT!K288+FRANCIN!K288+VIVIERS!K288</f>
        <v>0</v>
      </c>
      <c r="L288" s="15">
        <f>CHAMNORD!L288+AIX!L288+BELLEY!L288+STALBAN!L288+ABRETS!L288+PONT!L288+FRANCIN!L288+VIVIERS!L288</f>
        <v>0</v>
      </c>
      <c r="M288" s="15">
        <f>CHAMNORD!M288+AIX!M288+BELLEY!M288+STALBAN!M288+ABRETS!M288+PONT!M288+FRANCIN!M288+VIVIERS!M288</f>
        <v>0</v>
      </c>
      <c r="N288" s="16" t="str">
        <f t="shared" si="20"/>
        <v/>
      </c>
      <c r="O288" s="17" t="str">
        <f t="shared" si="23"/>
        <v/>
      </c>
      <c r="P288" s="17" t="str">
        <f t="shared" si="24"/>
        <v/>
      </c>
      <c r="Q288" s="18" t="str">
        <f t="shared" si="21"/>
        <v/>
      </c>
      <c r="R288" s="18" t="e">
        <f t="shared" si="22"/>
        <v>#DIV/0!</v>
      </c>
      <c r="S288" s="36">
        <f>SUM(J283:J289)</f>
        <v>0</v>
      </c>
      <c r="T288" s="30" t="s">
        <v>3</v>
      </c>
      <c r="U288" s="1738"/>
    </row>
    <row r="289" spans="1:25" ht="18" thickBot="1">
      <c r="A289" s="10" t="s">
        <v>16</v>
      </c>
      <c r="B289" s="905">
        <v>45941</v>
      </c>
      <c r="C289" s="76">
        <f>IF(G289=0,0,CHAMNORD!C289+AIX!C289+BELLEY!C289+STALBAN!C289+ABRETS!C289+PONT!C289+FRANCIN!C289+VIVIERS!C289)</f>
        <v>0</v>
      </c>
      <c r="D289" s="76">
        <f>IF(H289=0,0,CHAMNORD!D289+AIX!D289+BELLEY!D289+STALBAN!D289+ABRETS!D289+PONT!D289+FRANCIN!D289+VIVIERS!D289)</f>
        <v>0</v>
      </c>
      <c r="E289" s="76">
        <f>IF(I289=0,0,CHAMNORD!E289+AIX!E289+BELLEY!E289+STALBAN!E289+ABRETS!E289+PONT!E289+FRANCIN!E289+VIVIERS!E289)</f>
        <v>0</v>
      </c>
      <c r="F289" s="20">
        <f>IF(J289=0,0,CHAMNORD!F289+AIX!F289+BELLEY!F289+STALBAN!F289+ABRETS!F289+PONT!F289+FRANCIN!F289+VIVIERS!F289)</f>
        <v>0</v>
      </c>
      <c r="G289" s="40">
        <f>IF(I289=0,0,CHAMNORD!G289+AIX!G289+BELLEY!G289+STALBAN!G289+ABRETS!G289+PONT!G289+FRANCIN!G289+VIVIERS!G289)</f>
        <v>0</v>
      </c>
      <c r="H289" s="42">
        <f>CHAMNORD!H289+AIX!H289+BELLEY!H289+STALBAN!H289+ABRETS!H289+PONT!H289+FRANCIN!H289+VIVIERS!H289</f>
        <v>0</v>
      </c>
      <c r="I289" s="13">
        <f>CHAMNORD!I289+AIX!I289+BELLEY!I289+STALBAN!I289+ABRETS!I289+PONT!I289+FRANCIN!I289+VIVIERS!I289</f>
        <v>0</v>
      </c>
      <c r="J289" s="14">
        <f>CHAMNORD!J289+AIX!J289+BELLEY!J289+STALBAN!J289+ABRETS!J289+PONT!J289+FRANCIN!J289+VIVIERS!J289</f>
        <v>0</v>
      </c>
      <c r="K289" s="15">
        <f>CHAMNORD!K289+AIX!K289+BELLEY!K289+STALBAN!K289+ABRETS!K289+PONT!K289+FRANCIN!K289+VIVIERS!K289</f>
        <v>0</v>
      </c>
      <c r="L289" s="15">
        <f>CHAMNORD!L289+AIX!L289+BELLEY!L289+STALBAN!L289+ABRETS!L289+PONT!L289+FRANCIN!L289+VIVIERS!L289</f>
        <v>0</v>
      </c>
      <c r="M289" s="15">
        <f>CHAMNORD!M289+AIX!M289+BELLEY!M289+STALBAN!M289+ABRETS!M289+PONT!M289+FRANCIN!M289+VIVIERS!M289</f>
        <v>0</v>
      </c>
      <c r="N289" s="16" t="str">
        <f t="shared" si="20"/>
        <v/>
      </c>
      <c r="O289" s="17" t="str">
        <f t="shared" si="23"/>
        <v/>
      </c>
      <c r="P289" s="17" t="str">
        <f t="shared" si="24"/>
        <v/>
      </c>
      <c r="Q289" s="18" t="str">
        <f t="shared" si="21"/>
        <v/>
      </c>
      <c r="R289" s="18" t="e">
        <f t="shared" si="22"/>
        <v>#DIV/0!</v>
      </c>
      <c r="S289" s="37" t="e">
        <f>(S288-SUM(F283:F289))/(SUM(F283:F289))</f>
        <v>#DIV/0!</v>
      </c>
      <c r="T289" s="47" t="e">
        <f>SUM(M283:M289)/SUM(I283:I289)</f>
        <v>#DIV/0!</v>
      </c>
      <c r="U289" s="1739"/>
    </row>
    <row r="290" spans="1:25" ht="17" customHeight="1" thickTop="1">
      <c r="A290" s="10" t="s">
        <v>9</v>
      </c>
      <c r="B290" s="905">
        <v>45942</v>
      </c>
      <c r="C290" s="76">
        <f>IF(G290=0,0,CHAMNORD!C290+AIX!C290+BELLEY!C290+STALBAN!C290+ABRETS!C290+PONT!C290+FRANCIN!C290+VIVIERS!C290)</f>
        <v>0</v>
      </c>
      <c r="D290" s="76">
        <f>IF(H290=0,0,CHAMNORD!D290+AIX!D290+BELLEY!D290+STALBAN!D290+ABRETS!D290+PONT!D290+FRANCIN!D290+VIVIERS!D290)</f>
        <v>0</v>
      </c>
      <c r="E290" s="76">
        <f>IF(I290=0,0,CHAMNORD!E290+AIX!E290+BELLEY!E290+STALBAN!E290+ABRETS!E290+PONT!E290+FRANCIN!E290+VIVIERS!E290)</f>
        <v>0</v>
      </c>
      <c r="F290" s="20">
        <f>IF(J290=0,0,CHAMNORD!F290+AIX!F290+BELLEY!F290+STALBAN!F290+ABRETS!F290+PONT!F290+FRANCIN!F290+VIVIERS!F290)</f>
        <v>0</v>
      </c>
      <c r="G290" s="40">
        <f>IF(I290=0,0,CHAMNORD!G290+AIX!G290+BELLEY!G290+STALBAN!G290+ABRETS!G290+PONT!G290+FRANCIN!G290+VIVIERS!G290)</f>
        <v>0</v>
      </c>
      <c r="H290" s="42">
        <f>CHAMNORD!H290+AIX!H290+BELLEY!H290+STALBAN!H290+ABRETS!H290+PONT!H290+FRANCIN!H290+VIVIERS!H290</f>
        <v>0</v>
      </c>
      <c r="I290" s="13">
        <f>CHAMNORD!I290+AIX!I290+BELLEY!I290+STALBAN!I290+ABRETS!I290+PONT!I290+FRANCIN!I290+VIVIERS!I290</f>
        <v>0</v>
      </c>
      <c r="J290" s="14">
        <f>CHAMNORD!J290+AIX!J290+BELLEY!J290+STALBAN!J290+ABRETS!J290+PONT!J290+FRANCIN!J290+VIVIERS!J290</f>
        <v>0</v>
      </c>
      <c r="K290" s="15">
        <f>CHAMNORD!K290+AIX!K290+BELLEY!K290+STALBAN!K290+ABRETS!K290+PONT!K290+FRANCIN!K290+VIVIERS!K290</f>
        <v>0</v>
      </c>
      <c r="L290" s="15">
        <f>CHAMNORD!L290+AIX!L290+BELLEY!L290+STALBAN!L290+ABRETS!L290+PONT!L290+FRANCIN!L290+VIVIERS!L290</f>
        <v>0</v>
      </c>
      <c r="M290" s="15">
        <f>CHAMNORD!M290+AIX!M290+BELLEY!M290+STALBAN!M290+ABRETS!M290+PONT!M290+FRANCIN!M290+VIVIERS!M290</f>
        <v>0</v>
      </c>
      <c r="N290" s="16" t="str">
        <f t="shared" si="20"/>
        <v/>
      </c>
      <c r="O290" s="17" t="str">
        <f t="shared" si="23"/>
        <v/>
      </c>
      <c r="P290" s="17" t="str">
        <f t="shared" si="24"/>
        <v/>
      </c>
      <c r="Q290" s="18" t="str">
        <f t="shared" si="21"/>
        <v/>
      </c>
      <c r="R290" s="18" t="e">
        <f t="shared" si="22"/>
        <v>#DIV/0!</v>
      </c>
      <c r="S290" s="33" t="s">
        <v>39</v>
      </c>
      <c r="T290" s="31" t="s">
        <v>42</v>
      </c>
      <c r="U290" s="1737" t="s">
        <v>124</v>
      </c>
    </row>
    <row r="291" spans="1:25">
      <c r="A291" s="10" t="s">
        <v>11</v>
      </c>
      <c r="B291" s="905">
        <v>45943</v>
      </c>
      <c r="C291" s="76">
        <f>IF(G291=0,0,CHAMNORD!C291+AIX!C291+BELLEY!C291+STALBAN!C291+ABRETS!C291+PONT!C291+FRANCIN!C291+VIVIERS!C291)</f>
        <v>0</v>
      </c>
      <c r="D291" s="76">
        <f>IF(H291=0,0,CHAMNORD!D291+AIX!D291+BELLEY!D291+STALBAN!D291+ABRETS!D291+PONT!D291+FRANCIN!D291+VIVIERS!D291)</f>
        <v>0</v>
      </c>
      <c r="E291" s="76">
        <f>IF(I291=0,0,CHAMNORD!E291+AIX!E291+BELLEY!E291+STALBAN!E291+ABRETS!E291+PONT!E291+FRANCIN!E291+VIVIERS!E291)</f>
        <v>0</v>
      </c>
      <c r="F291" s="20">
        <f>IF(J291=0,0,CHAMNORD!F291+AIX!F291+BELLEY!F291+STALBAN!F291+ABRETS!F291+PONT!F291+FRANCIN!F291+VIVIERS!F291)</f>
        <v>0</v>
      </c>
      <c r="G291" s="40">
        <f>IF(I291=0,0,CHAMNORD!G291+AIX!G291+BELLEY!G291+STALBAN!G291+ABRETS!G291+PONT!G291+FRANCIN!G291+VIVIERS!G291)</f>
        <v>0</v>
      </c>
      <c r="H291" s="42">
        <f>CHAMNORD!H291+AIX!H291+BELLEY!H291+STALBAN!H291+ABRETS!H291+PONT!H291+FRANCIN!H291+VIVIERS!H291</f>
        <v>0</v>
      </c>
      <c r="I291" s="13">
        <f>CHAMNORD!I291+AIX!I291+BELLEY!I291+STALBAN!I291+ABRETS!I291+PONT!I291+FRANCIN!I291+VIVIERS!I291</f>
        <v>0</v>
      </c>
      <c r="J291" s="14">
        <f>CHAMNORD!J291+AIX!J291+BELLEY!J291+STALBAN!J291+ABRETS!J291+PONT!J291+FRANCIN!J291+VIVIERS!J291</f>
        <v>0</v>
      </c>
      <c r="K291" s="15">
        <f>CHAMNORD!K291+AIX!K291+BELLEY!K291+STALBAN!K291+ABRETS!K291+PONT!K291+FRANCIN!K291+VIVIERS!K291</f>
        <v>0</v>
      </c>
      <c r="L291" s="15">
        <f>CHAMNORD!L291+AIX!L291+BELLEY!L291+STALBAN!L291+ABRETS!L291+PONT!L291+FRANCIN!L291+VIVIERS!L291</f>
        <v>0</v>
      </c>
      <c r="M291" s="15">
        <f>CHAMNORD!M291+AIX!M291+BELLEY!M291+STALBAN!M291+ABRETS!M291+PONT!M291+FRANCIN!M291+VIVIERS!M291</f>
        <v>0</v>
      </c>
      <c r="N291" s="16" t="str">
        <f t="shared" si="20"/>
        <v/>
      </c>
      <c r="O291" s="17" t="str">
        <f t="shared" si="23"/>
        <v/>
      </c>
      <c r="P291" s="17" t="str">
        <f t="shared" si="24"/>
        <v/>
      </c>
      <c r="Q291" s="18" t="str">
        <f t="shared" si="21"/>
        <v/>
      </c>
      <c r="R291" s="18" t="e">
        <f t="shared" si="22"/>
        <v>#DIV/0!</v>
      </c>
      <c r="S291" s="34">
        <f>SUM(I290:I296)</f>
        <v>0</v>
      </c>
      <c r="T291" s="45" t="s">
        <v>41</v>
      </c>
      <c r="U291" s="1738"/>
      <c r="W291" s="202">
        <f>+S291</f>
        <v>0</v>
      </c>
      <c r="X291" s="202">
        <f>SUM(CHAMNORD!E290:E296)+SUM(AIX!E290:E296)+SUM(BELLEY!E290:E296)+SUM(STALBAN!E290:E296)+SUM(ABRETS!E290:E296)+SUM(PONT!E290:E296)+SUM(FRANCIN!E290:E296)+SUM(VIVIERS!E290:E296)</f>
        <v>0</v>
      </c>
      <c r="Y291" s="1051">
        <f>+W291-X291</f>
        <v>0</v>
      </c>
    </row>
    <row r="292" spans="1:25">
      <c r="A292" s="10" t="s">
        <v>12</v>
      </c>
      <c r="B292" s="905">
        <v>45944</v>
      </c>
      <c r="C292" s="76">
        <f>IF(G292=0,0,CHAMNORD!C292+AIX!C292+BELLEY!C292+STALBAN!C292+ABRETS!C292+PONT!C292+FRANCIN!C292+VIVIERS!C292)</f>
        <v>0</v>
      </c>
      <c r="D292" s="76">
        <f>IF(H292=0,0,CHAMNORD!D292+AIX!D292+BELLEY!D292+STALBAN!D292+ABRETS!D292+PONT!D292+FRANCIN!D292+VIVIERS!D292)</f>
        <v>0</v>
      </c>
      <c r="E292" s="76">
        <f>IF(I292=0,0,CHAMNORD!E292+AIX!E292+BELLEY!E292+STALBAN!E292+ABRETS!E292+PONT!E292+FRANCIN!E292+VIVIERS!E292)</f>
        <v>0</v>
      </c>
      <c r="F292" s="20">
        <f>IF(J292=0,0,CHAMNORD!F292+AIX!F292+BELLEY!F292+STALBAN!F292+ABRETS!F292+PONT!F292+FRANCIN!F292+VIVIERS!F292)</f>
        <v>0</v>
      </c>
      <c r="G292" s="40">
        <f>IF(I292=0,0,CHAMNORD!G292+AIX!G292+BELLEY!G292+STALBAN!G292+ABRETS!G292+PONT!G292+FRANCIN!G292+VIVIERS!G292)</f>
        <v>0</v>
      </c>
      <c r="H292" s="42">
        <f>CHAMNORD!H292+AIX!H292+BELLEY!H292+STALBAN!H292+ABRETS!H292+PONT!H292+FRANCIN!H292+VIVIERS!H292</f>
        <v>0</v>
      </c>
      <c r="I292" s="13">
        <f>CHAMNORD!I292+AIX!I292+BELLEY!I292+STALBAN!I292+ABRETS!I292+PONT!I292+FRANCIN!I292+VIVIERS!I292</f>
        <v>0</v>
      </c>
      <c r="J292" s="14">
        <f>CHAMNORD!J292+AIX!J292+BELLEY!J292+STALBAN!J292+ABRETS!J292+PONT!J292+FRANCIN!J292+VIVIERS!J292</f>
        <v>0</v>
      </c>
      <c r="K292" s="15">
        <f>CHAMNORD!K292+AIX!K292+BELLEY!K292+STALBAN!K292+ABRETS!K292+PONT!K292+FRANCIN!K292+VIVIERS!K292</f>
        <v>0</v>
      </c>
      <c r="L292" s="15">
        <f>CHAMNORD!L292+AIX!L292+BELLEY!L292+STALBAN!L292+ABRETS!L292+PONT!L292+FRANCIN!L292+VIVIERS!L292</f>
        <v>0</v>
      </c>
      <c r="M292" s="15">
        <f>CHAMNORD!M292+AIX!M292+BELLEY!M292+STALBAN!M292+ABRETS!M292+PONT!M292+FRANCIN!M292+VIVIERS!M292</f>
        <v>0</v>
      </c>
      <c r="N292" s="16" t="str">
        <f t="shared" si="20"/>
        <v/>
      </c>
      <c r="O292" s="17" t="str">
        <f t="shared" si="23"/>
        <v/>
      </c>
      <c r="P292" s="17" t="str">
        <f t="shared" si="24"/>
        <v/>
      </c>
      <c r="Q292" s="18" t="str">
        <f t="shared" si="21"/>
        <v/>
      </c>
      <c r="R292" s="18" t="e">
        <f t="shared" si="22"/>
        <v>#DIV/0!</v>
      </c>
      <c r="S292" s="35" t="e">
        <f>(S291-SUM(E290:E296))/(SUM(E290:E296))</f>
        <v>#DIV/0!</v>
      </c>
      <c r="T292" s="48" t="e">
        <f>SUM(I290:I296)/SUM(K290:K296)</f>
        <v>#DIV/0!</v>
      </c>
      <c r="U292" s="1738"/>
    </row>
    <row r="293" spans="1:25">
      <c r="A293" s="10" t="s">
        <v>13</v>
      </c>
      <c r="B293" s="905">
        <v>45945</v>
      </c>
      <c r="C293" s="76">
        <f>IF(G293=0,0,CHAMNORD!C293+AIX!C293+BELLEY!C293+STALBAN!C293+ABRETS!C293+PONT!C293+FRANCIN!C293+VIVIERS!C293)</f>
        <v>0</v>
      </c>
      <c r="D293" s="76">
        <f>IF(H293=0,0,CHAMNORD!D293+AIX!D293+BELLEY!D293+STALBAN!D293+ABRETS!D293+PONT!D293+FRANCIN!D293+VIVIERS!D293)</f>
        <v>0</v>
      </c>
      <c r="E293" s="76">
        <f>IF(I293=0,0,CHAMNORD!E293+AIX!E293+BELLEY!E293+STALBAN!E293+ABRETS!E293+PONT!E293+FRANCIN!E293+VIVIERS!E293)</f>
        <v>0</v>
      </c>
      <c r="F293" s="20">
        <f>IF(J293=0,0,CHAMNORD!F293+AIX!F293+BELLEY!F293+STALBAN!F293+ABRETS!F293+PONT!F293+FRANCIN!F293+VIVIERS!F293)</f>
        <v>0</v>
      </c>
      <c r="G293" s="40">
        <f>IF(I293=0,0,CHAMNORD!G293+AIX!G293+BELLEY!G293+STALBAN!G293+ABRETS!G293+PONT!G293+FRANCIN!G293+VIVIERS!G293)</f>
        <v>0</v>
      </c>
      <c r="H293" s="42">
        <f>CHAMNORD!H293+AIX!H293+BELLEY!H293+STALBAN!H293+ABRETS!H293+PONT!H293+FRANCIN!H293+VIVIERS!H293</f>
        <v>0</v>
      </c>
      <c r="I293" s="13">
        <f>CHAMNORD!I293+AIX!I293+BELLEY!I293+STALBAN!I293+ABRETS!I293+PONT!I293+FRANCIN!I293+VIVIERS!I293</f>
        <v>0</v>
      </c>
      <c r="J293" s="14">
        <f>CHAMNORD!J293+AIX!J293+BELLEY!J293+STALBAN!J293+ABRETS!J293+PONT!J293+FRANCIN!J293+VIVIERS!J293</f>
        <v>0</v>
      </c>
      <c r="K293" s="15">
        <f>CHAMNORD!K293+AIX!K293+BELLEY!K293+STALBAN!K293+ABRETS!K293+PONT!K293+FRANCIN!K293+VIVIERS!K293</f>
        <v>0</v>
      </c>
      <c r="L293" s="15">
        <f>CHAMNORD!L293+AIX!L293+BELLEY!L293+STALBAN!L293+ABRETS!L293+PONT!L293+FRANCIN!L293+VIVIERS!L293</f>
        <v>0</v>
      </c>
      <c r="M293" s="15">
        <f>CHAMNORD!M293+AIX!M293+BELLEY!M293+STALBAN!M293+ABRETS!M293+PONT!M293+FRANCIN!M293+VIVIERS!M293</f>
        <v>0</v>
      </c>
      <c r="N293" s="16" t="str">
        <f t="shared" si="20"/>
        <v/>
      </c>
      <c r="O293" s="17" t="str">
        <f t="shared" si="23"/>
        <v/>
      </c>
      <c r="P293" s="17" t="str">
        <f t="shared" si="24"/>
        <v/>
      </c>
      <c r="Q293" s="18" t="str">
        <f t="shared" si="21"/>
        <v/>
      </c>
      <c r="R293" s="18" t="e">
        <f t="shared" si="22"/>
        <v>#DIV/0!</v>
      </c>
      <c r="S293" s="34"/>
      <c r="T293" s="29" t="s">
        <v>8</v>
      </c>
      <c r="U293" s="1738"/>
    </row>
    <row r="294" spans="1:25">
      <c r="A294" s="10" t="s">
        <v>14</v>
      </c>
      <c r="B294" s="905">
        <v>45946</v>
      </c>
      <c r="C294" s="76">
        <f>IF(G294=0,0,CHAMNORD!C294+AIX!C294+BELLEY!C294+STALBAN!C294+ABRETS!C294+PONT!C294+FRANCIN!C294+VIVIERS!C294)</f>
        <v>0</v>
      </c>
      <c r="D294" s="76">
        <f>IF(H294=0,0,CHAMNORD!D294+AIX!D294+BELLEY!D294+STALBAN!D294+ABRETS!D294+PONT!D294+FRANCIN!D294+VIVIERS!D294)</f>
        <v>0</v>
      </c>
      <c r="E294" s="76">
        <f>IF(I294=0,0,CHAMNORD!E294+AIX!E294+BELLEY!E294+STALBAN!E294+ABRETS!E294+PONT!E294+FRANCIN!E294+VIVIERS!E294)</f>
        <v>0</v>
      </c>
      <c r="F294" s="20">
        <f>IF(J294=0,0,CHAMNORD!F294+AIX!F294+BELLEY!F294+STALBAN!F294+ABRETS!F294+PONT!F294+FRANCIN!F294+VIVIERS!F294)</f>
        <v>0</v>
      </c>
      <c r="G294" s="40">
        <f>IF(I294=0,0,CHAMNORD!G294+AIX!G294+BELLEY!G294+STALBAN!G294+ABRETS!G294+PONT!G294+FRANCIN!G294+VIVIERS!G294)</f>
        <v>0</v>
      </c>
      <c r="H294" s="42">
        <f>CHAMNORD!H294+AIX!H294+BELLEY!H294+STALBAN!H294+ABRETS!H294+PONT!H294+FRANCIN!H294+VIVIERS!H294</f>
        <v>0</v>
      </c>
      <c r="I294" s="13">
        <f>CHAMNORD!I294+AIX!I294+BELLEY!I294+STALBAN!I294+ABRETS!I294+PONT!I294+FRANCIN!I294+VIVIERS!I294</f>
        <v>0</v>
      </c>
      <c r="J294" s="14">
        <f>CHAMNORD!J294+AIX!J294+BELLEY!J294+STALBAN!J294+ABRETS!J294+PONT!J294+FRANCIN!J294+VIVIERS!J294</f>
        <v>0</v>
      </c>
      <c r="K294" s="15">
        <f>CHAMNORD!K294+AIX!K294+BELLEY!K294+STALBAN!K294+ABRETS!K294+PONT!K294+FRANCIN!K294+VIVIERS!K294</f>
        <v>0</v>
      </c>
      <c r="L294" s="15">
        <f>CHAMNORD!L294+AIX!L294+BELLEY!L294+STALBAN!L294+ABRETS!L294+PONT!L294+FRANCIN!L294+VIVIERS!L294</f>
        <v>0</v>
      </c>
      <c r="M294" s="15">
        <f>CHAMNORD!M294+AIX!M294+BELLEY!M294+STALBAN!M294+ABRETS!M294+PONT!M294+FRANCIN!M294+VIVIERS!M294</f>
        <v>0</v>
      </c>
      <c r="N294" s="16" t="str">
        <f t="shared" si="20"/>
        <v/>
      </c>
      <c r="O294" s="17" t="str">
        <f t="shared" si="23"/>
        <v/>
      </c>
      <c r="P294" s="17" t="str">
        <f t="shared" si="24"/>
        <v/>
      </c>
      <c r="Q294" s="18" t="str">
        <f t="shared" si="21"/>
        <v/>
      </c>
      <c r="R294" s="18" t="e">
        <f t="shared" si="22"/>
        <v>#DIV/0!</v>
      </c>
      <c r="S294" s="36" t="s">
        <v>40</v>
      </c>
      <c r="T294" s="48" t="e">
        <f>SUM(I290:I296)/SUM(L290:L296)</f>
        <v>#DIV/0!</v>
      </c>
      <c r="U294" s="1738"/>
    </row>
    <row r="295" spans="1:25">
      <c r="A295" s="10" t="s">
        <v>15</v>
      </c>
      <c r="B295" s="905">
        <v>45947</v>
      </c>
      <c r="C295" s="76">
        <f>IF(G295=0,0,CHAMNORD!C295+AIX!C295+BELLEY!C295+STALBAN!C295+ABRETS!C295+PONT!C295+FRANCIN!C295+VIVIERS!C295)</f>
        <v>0</v>
      </c>
      <c r="D295" s="76">
        <f>IF(H295=0,0,CHAMNORD!D295+AIX!D295+BELLEY!D295+STALBAN!D295+ABRETS!D295+PONT!D295+FRANCIN!D295+VIVIERS!D295)</f>
        <v>0</v>
      </c>
      <c r="E295" s="76">
        <f>IF(I295=0,0,CHAMNORD!E295+AIX!E295+BELLEY!E295+STALBAN!E295+ABRETS!E295+PONT!E295+FRANCIN!E295+VIVIERS!E295)</f>
        <v>0</v>
      </c>
      <c r="F295" s="20">
        <f>IF(J295=0,0,CHAMNORD!F295+AIX!F295+BELLEY!F295+STALBAN!F295+ABRETS!F295+PONT!F295+FRANCIN!F295+VIVIERS!F295)</f>
        <v>0</v>
      </c>
      <c r="G295" s="40">
        <f>IF(I295=0,0,CHAMNORD!G295+AIX!G295+BELLEY!G295+STALBAN!G295+ABRETS!G295+PONT!G295+FRANCIN!G295+VIVIERS!G295)</f>
        <v>0</v>
      </c>
      <c r="H295" s="42">
        <f>CHAMNORD!H295+AIX!H295+BELLEY!H295+STALBAN!H295+ABRETS!H295+PONT!H295+FRANCIN!H295+VIVIERS!H295</f>
        <v>0</v>
      </c>
      <c r="I295" s="13">
        <f>CHAMNORD!I295+AIX!I295+BELLEY!I295+STALBAN!I295+ABRETS!I295+PONT!I295+FRANCIN!I295+VIVIERS!I295</f>
        <v>0</v>
      </c>
      <c r="J295" s="14">
        <f>CHAMNORD!J295+AIX!J295+BELLEY!J295+STALBAN!J295+ABRETS!J295+PONT!J295+FRANCIN!J295+VIVIERS!J295</f>
        <v>0</v>
      </c>
      <c r="K295" s="15">
        <f>CHAMNORD!K295+AIX!K295+BELLEY!K295+STALBAN!K295+ABRETS!K295+PONT!K295+FRANCIN!K295+VIVIERS!K295</f>
        <v>0</v>
      </c>
      <c r="L295" s="15">
        <f>CHAMNORD!L295+AIX!L295+BELLEY!L295+STALBAN!L295+ABRETS!L295+PONT!L295+FRANCIN!L295+VIVIERS!L295</f>
        <v>0</v>
      </c>
      <c r="M295" s="15">
        <f>CHAMNORD!M295+AIX!M295+BELLEY!M295+STALBAN!M295+ABRETS!M295+PONT!M295+FRANCIN!M295+VIVIERS!M295</f>
        <v>0</v>
      </c>
      <c r="N295" s="16" t="str">
        <f t="shared" si="20"/>
        <v/>
      </c>
      <c r="O295" s="17" t="str">
        <f t="shared" si="23"/>
        <v/>
      </c>
      <c r="P295" s="17" t="str">
        <f t="shared" si="24"/>
        <v/>
      </c>
      <c r="Q295" s="18" t="str">
        <f t="shared" si="21"/>
        <v/>
      </c>
      <c r="R295" s="18" t="e">
        <f t="shared" si="22"/>
        <v>#DIV/0!</v>
      </c>
      <c r="S295" s="36">
        <f>SUM(J290:J296)</f>
        <v>0</v>
      </c>
      <c r="T295" s="30" t="s">
        <v>3</v>
      </c>
      <c r="U295" s="1738"/>
    </row>
    <row r="296" spans="1:25" ht="18" thickBot="1">
      <c r="A296" s="10" t="s">
        <v>16</v>
      </c>
      <c r="B296" s="905">
        <v>45948</v>
      </c>
      <c r="C296" s="76">
        <f>IF(G296=0,0,CHAMNORD!C296+AIX!C296+BELLEY!C296+STALBAN!C296+ABRETS!C296+PONT!C296+FRANCIN!C296+VIVIERS!C296)</f>
        <v>0</v>
      </c>
      <c r="D296" s="76">
        <f>IF(H296=0,0,CHAMNORD!D296+AIX!D296+BELLEY!D296+STALBAN!D296+ABRETS!D296+PONT!D296+FRANCIN!D296+VIVIERS!D296)</f>
        <v>0</v>
      </c>
      <c r="E296" s="76">
        <f>IF(I296=0,0,CHAMNORD!E296+AIX!E296+BELLEY!E296+STALBAN!E296+ABRETS!E296+PONT!E296+FRANCIN!E296+VIVIERS!E296)</f>
        <v>0</v>
      </c>
      <c r="F296" s="20">
        <f>IF(J296=0,0,CHAMNORD!F296+AIX!F296+BELLEY!F296+STALBAN!F296+ABRETS!F296+PONT!F296+FRANCIN!F296+VIVIERS!F296)</f>
        <v>0</v>
      </c>
      <c r="G296" s="40">
        <f>IF(I296=0,0,CHAMNORD!G296+AIX!G296+BELLEY!G296+STALBAN!G296+ABRETS!G296+PONT!G296+FRANCIN!G296+VIVIERS!G296)</f>
        <v>0</v>
      </c>
      <c r="H296" s="42">
        <f>CHAMNORD!H296+AIX!H296+BELLEY!H296+STALBAN!H296+ABRETS!H296+PONT!H296+FRANCIN!H296+VIVIERS!H296</f>
        <v>0</v>
      </c>
      <c r="I296" s="13">
        <f>CHAMNORD!I296+AIX!I296+BELLEY!I296+STALBAN!I296+ABRETS!I296+PONT!I296+FRANCIN!I296+VIVIERS!I296</f>
        <v>0</v>
      </c>
      <c r="J296" s="14">
        <f>CHAMNORD!J296+AIX!J296+BELLEY!J296+STALBAN!J296+ABRETS!J296+PONT!J296+FRANCIN!J296+VIVIERS!J296</f>
        <v>0</v>
      </c>
      <c r="K296" s="15">
        <f>CHAMNORD!K296+AIX!K296+BELLEY!K296+STALBAN!K296+ABRETS!K296+PONT!K296+FRANCIN!K296+VIVIERS!K296</f>
        <v>0</v>
      </c>
      <c r="L296" s="15">
        <f>CHAMNORD!L296+AIX!L296+BELLEY!L296+STALBAN!L296+ABRETS!L296+PONT!L296+FRANCIN!L296+VIVIERS!L296</f>
        <v>0</v>
      </c>
      <c r="M296" s="15">
        <f>CHAMNORD!M296+AIX!M296+BELLEY!M296+STALBAN!M296+ABRETS!M296+PONT!M296+FRANCIN!M296+VIVIERS!M296</f>
        <v>0</v>
      </c>
      <c r="N296" s="16" t="str">
        <f t="shared" si="20"/>
        <v/>
      </c>
      <c r="O296" s="17" t="str">
        <f t="shared" si="23"/>
        <v/>
      </c>
      <c r="P296" s="17" t="str">
        <f t="shared" si="24"/>
        <v/>
      </c>
      <c r="Q296" s="18" t="str">
        <f t="shared" si="21"/>
        <v/>
      </c>
      <c r="R296" s="18" t="e">
        <f t="shared" si="22"/>
        <v>#DIV/0!</v>
      </c>
      <c r="S296" s="37" t="e">
        <f>(S295-SUM(F290:F296))/(SUM(F290:F296))</f>
        <v>#DIV/0!</v>
      </c>
      <c r="T296" s="47" t="e">
        <f>SUM(M290:M296)/SUM(I290:I296)</f>
        <v>#DIV/0!</v>
      </c>
      <c r="U296" s="1739"/>
    </row>
    <row r="297" spans="1:25" ht="17" customHeight="1" thickTop="1">
      <c r="A297" s="10" t="s">
        <v>9</v>
      </c>
      <c r="B297" s="905">
        <v>45949</v>
      </c>
      <c r="C297" s="76">
        <f>IF(G297=0,0,CHAMNORD!C297+AIX!C297+BELLEY!C297+STALBAN!C297+ABRETS!C297+PONT!C297+FRANCIN!C297+VIVIERS!C297)</f>
        <v>0</v>
      </c>
      <c r="D297" s="76">
        <f>IF(H297=0,0,CHAMNORD!D297+AIX!D297+BELLEY!D297+STALBAN!D297+ABRETS!D297+PONT!D297+FRANCIN!D297+VIVIERS!D297)</f>
        <v>0</v>
      </c>
      <c r="E297" s="76">
        <f>IF(I297=0,0,CHAMNORD!E297+AIX!E297+BELLEY!E297+STALBAN!E297+ABRETS!E297+PONT!E297+FRANCIN!E297+VIVIERS!E297)</f>
        <v>0</v>
      </c>
      <c r="F297" s="20">
        <f>IF(J297=0,0,CHAMNORD!F297+AIX!F297+BELLEY!F297+STALBAN!F297+ABRETS!F297+PONT!F297+FRANCIN!F297+VIVIERS!F297)</f>
        <v>0</v>
      </c>
      <c r="G297" s="40">
        <f>IF(I297=0,0,CHAMNORD!G297+AIX!G297+BELLEY!G297+STALBAN!G297+ABRETS!G297+PONT!G297+FRANCIN!G297+VIVIERS!G297)</f>
        <v>0</v>
      </c>
      <c r="H297" s="42">
        <f>CHAMNORD!H297+AIX!H297+BELLEY!H297+STALBAN!H297+ABRETS!H297+PONT!H297+FRANCIN!H297+VIVIERS!H297</f>
        <v>0</v>
      </c>
      <c r="I297" s="13">
        <f>CHAMNORD!I297+AIX!I297+BELLEY!I297+STALBAN!I297+ABRETS!I297+PONT!I297+FRANCIN!I297+VIVIERS!I297</f>
        <v>0</v>
      </c>
      <c r="J297" s="14">
        <f>CHAMNORD!J297+AIX!J297+BELLEY!J297+STALBAN!J297+ABRETS!J297+PONT!J297+FRANCIN!J297+VIVIERS!J297</f>
        <v>0</v>
      </c>
      <c r="K297" s="15">
        <f>CHAMNORD!K297+AIX!K297+BELLEY!K297+STALBAN!K297+ABRETS!K297+PONT!K297+FRANCIN!K297+VIVIERS!K297</f>
        <v>0</v>
      </c>
      <c r="L297" s="15">
        <f>CHAMNORD!L297+AIX!L297+BELLEY!L297+STALBAN!L297+ABRETS!L297+PONT!L297+FRANCIN!L297+VIVIERS!L297</f>
        <v>0</v>
      </c>
      <c r="M297" s="15">
        <f>CHAMNORD!M297+AIX!M297+BELLEY!M297+STALBAN!M297+ABRETS!M297+PONT!M297+FRANCIN!M297+VIVIERS!M297</f>
        <v>0</v>
      </c>
      <c r="N297" s="16" t="str">
        <f t="shared" si="20"/>
        <v/>
      </c>
      <c r="O297" s="17" t="str">
        <f t="shared" si="23"/>
        <v/>
      </c>
      <c r="P297" s="17" t="str">
        <f t="shared" si="24"/>
        <v/>
      </c>
      <c r="Q297" s="18" t="str">
        <f t="shared" si="21"/>
        <v/>
      </c>
      <c r="R297" s="18" t="e">
        <f t="shared" si="22"/>
        <v>#DIV/0!</v>
      </c>
      <c r="S297" s="33" t="s">
        <v>39</v>
      </c>
      <c r="T297" s="31" t="s">
        <v>42</v>
      </c>
      <c r="U297" s="1737" t="s">
        <v>125</v>
      </c>
    </row>
    <row r="298" spans="1:25">
      <c r="A298" s="10" t="s">
        <v>11</v>
      </c>
      <c r="B298" s="905">
        <v>45950</v>
      </c>
      <c r="C298" s="76">
        <f>IF(G298=0,0,CHAMNORD!C298+AIX!C298+BELLEY!C298+STALBAN!C298+ABRETS!C298+PONT!C298+FRANCIN!C298+VIVIERS!C298)</f>
        <v>0</v>
      </c>
      <c r="D298" s="76">
        <f>IF(H298=0,0,CHAMNORD!D298+AIX!D298+BELLEY!D298+STALBAN!D298+ABRETS!D298+PONT!D298+FRANCIN!D298+VIVIERS!D298)</f>
        <v>0</v>
      </c>
      <c r="E298" s="76">
        <f>IF(I298=0,0,CHAMNORD!E298+AIX!E298+BELLEY!E298+STALBAN!E298+ABRETS!E298+PONT!E298+FRANCIN!E298+VIVIERS!E298)</f>
        <v>0</v>
      </c>
      <c r="F298" s="20">
        <f>IF(J298=0,0,CHAMNORD!F298+AIX!F298+BELLEY!F298+STALBAN!F298+ABRETS!F298+PONT!F298+FRANCIN!F298+VIVIERS!F298)</f>
        <v>0</v>
      </c>
      <c r="G298" s="40">
        <f>IF(I298=0,0,CHAMNORD!G298+AIX!G298+BELLEY!G298+STALBAN!G298+ABRETS!G298+PONT!G298+FRANCIN!G298+VIVIERS!G298)</f>
        <v>0</v>
      </c>
      <c r="H298" s="42">
        <f>CHAMNORD!H298+AIX!H298+BELLEY!H298+STALBAN!H298+ABRETS!H298+PONT!H298+FRANCIN!H298+VIVIERS!H298</f>
        <v>0</v>
      </c>
      <c r="I298" s="13">
        <f>CHAMNORD!I298+AIX!I298+BELLEY!I298+STALBAN!I298+ABRETS!I298+PONT!I298+FRANCIN!I298+VIVIERS!I298</f>
        <v>0</v>
      </c>
      <c r="J298" s="14">
        <f>CHAMNORD!J298+AIX!J298+BELLEY!J298+STALBAN!J298+ABRETS!J298+PONT!J298+FRANCIN!J298+VIVIERS!J298</f>
        <v>0</v>
      </c>
      <c r="K298" s="15">
        <f>CHAMNORD!K298+AIX!K298+BELLEY!K298+STALBAN!K298+ABRETS!K298+PONT!K298+FRANCIN!K298+VIVIERS!K298</f>
        <v>0</v>
      </c>
      <c r="L298" s="15">
        <f>CHAMNORD!L298+AIX!L298+BELLEY!L298+STALBAN!L298+ABRETS!L298+PONT!L298+FRANCIN!L298+VIVIERS!L298</f>
        <v>0</v>
      </c>
      <c r="M298" s="15">
        <f>CHAMNORD!M298+AIX!M298+BELLEY!M298+STALBAN!M298+ABRETS!M298+PONT!M298+FRANCIN!M298+VIVIERS!M298</f>
        <v>0</v>
      </c>
      <c r="N298" s="16" t="str">
        <f t="shared" si="20"/>
        <v/>
      </c>
      <c r="O298" s="17" t="str">
        <f t="shared" si="23"/>
        <v/>
      </c>
      <c r="P298" s="17" t="str">
        <f t="shared" si="24"/>
        <v/>
      </c>
      <c r="Q298" s="18" t="str">
        <f t="shared" si="21"/>
        <v/>
      </c>
      <c r="R298" s="18" t="e">
        <f t="shared" si="22"/>
        <v>#DIV/0!</v>
      </c>
      <c r="S298" s="34">
        <f>SUM(I297:I303)</f>
        <v>0</v>
      </c>
      <c r="T298" s="45" t="s">
        <v>41</v>
      </c>
      <c r="U298" s="1738"/>
      <c r="W298" s="202">
        <f>+S298</f>
        <v>0</v>
      </c>
      <c r="X298" s="202">
        <f>SUM(CHAMNORD!E297:E303)+SUM(AIX!E297:E303)+SUM(BELLEY!E297:E303)+SUM(STALBAN!E297:E303)+SUM(ABRETS!E297:E303)+SUM(PONT!E297:E303)+SUM(FRANCIN!E297:E303)+SUM(VIVIERS!E297:E303)</f>
        <v>0</v>
      </c>
      <c r="Y298" s="1051">
        <f>+W298-X298</f>
        <v>0</v>
      </c>
    </row>
    <row r="299" spans="1:25">
      <c r="A299" s="10" t="s">
        <v>12</v>
      </c>
      <c r="B299" s="905">
        <v>45951</v>
      </c>
      <c r="C299" s="76">
        <f>IF(G299=0,0,CHAMNORD!C299+AIX!C299+BELLEY!C299+STALBAN!C299+ABRETS!C299+PONT!C299+FRANCIN!C299+VIVIERS!C299)</f>
        <v>0</v>
      </c>
      <c r="D299" s="76">
        <f>IF(H299=0,0,CHAMNORD!D299+AIX!D299+BELLEY!D299+STALBAN!D299+ABRETS!D299+PONT!D299+FRANCIN!D299+VIVIERS!D299)</f>
        <v>0</v>
      </c>
      <c r="E299" s="76">
        <f>IF(I299=0,0,CHAMNORD!E299+AIX!E299+BELLEY!E299+STALBAN!E299+ABRETS!E299+PONT!E299+FRANCIN!E299+VIVIERS!E299)</f>
        <v>0</v>
      </c>
      <c r="F299" s="20">
        <f>IF(J299=0,0,CHAMNORD!F299+AIX!F299+BELLEY!F299+STALBAN!F299+ABRETS!F299+PONT!F299+FRANCIN!F299+VIVIERS!F299)</f>
        <v>0</v>
      </c>
      <c r="G299" s="40">
        <f>IF(I299=0,0,CHAMNORD!G299+AIX!G299+BELLEY!G299+STALBAN!G299+ABRETS!G299+PONT!G299+FRANCIN!G299+VIVIERS!G299)</f>
        <v>0</v>
      </c>
      <c r="H299" s="42">
        <f>CHAMNORD!H299+AIX!H299+BELLEY!H299+STALBAN!H299+ABRETS!H299+PONT!H299+FRANCIN!H299+VIVIERS!H299</f>
        <v>0</v>
      </c>
      <c r="I299" s="13">
        <f>CHAMNORD!I299+AIX!I299+BELLEY!I299+STALBAN!I299+ABRETS!I299+PONT!I299+FRANCIN!I299+VIVIERS!I299</f>
        <v>0</v>
      </c>
      <c r="J299" s="14">
        <f>CHAMNORD!J299+AIX!J299+BELLEY!J299+STALBAN!J299+ABRETS!J299+PONT!J299+FRANCIN!J299+VIVIERS!J299</f>
        <v>0</v>
      </c>
      <c r="K299" s="15">
        <f>CHAMNORD!K299+AIX!K299+BELLEY!K299+STALBAN!K299+ABRETS!K299+PONT!K299+FRANCIN!K299+VIVIERS!K299</f>
        <v>0</v>
      </c>
      <c r="L299" s="15">
        <f>CHAMNORD!L299+AIX!L299+BELLEY!L299+STALBAN!L299+ABRETS!L299+PONT!L299+FRANCIN!L299+VIVIERS!L299</f>
        <v>0</v>
      </c>
      <c r="M299" s="15">
        <f>CHAMNORD!M299+AIX!M299+BELLEY!M299+STALBAN!M299+ABRETS!M299+PONT!M299+FRANCIN!M299+VIVIERS!M299</f>
        <v>0</v>
      </c>
      <c r="N299" s="16" t="str">
        <f t="shared" si="20"/>
        <v/>
      </c>
      <c r="O299" s="17" t="str">
        <f t="shared" si="23"/>
        <v/>
      </c>
      <c r="P299" s="17" t="str">
        <f t="shared" si="24"/>
        <v/>
      </c>
      <c r="Q299" s="18" t="str">
        <f t="shared" si="21"/>
        <v/>
      </c>
      <c r="R299" s="18" t="e">
        <f t="shared" si="22"/>
        <v>#DIV/0!</v>
      </c>
      <c r="S299" s="35" t="e">
        <f>(S298-SUM(E297:E303))/(SUM(E297:E303))</f>
        <v>#DIV/0!</v>
      </c>
      <c r="T299" s="48" t="e">
        <f>SUM(I297:I303)/SUM(K297:K303)</f>
        <v>#DIV/0!</v>
      </c>
      <c r="U299" s="1738"/>
    </row>
    <row r="300" spans="1:25">
      <c r="A300" s="10" t="s">
        <v>13</v>
      </c>
      <c r="B300" s="905">
        <v>45952</v>
      </c>
      <c r="C300" s="76">
        <f>IF(G300=0,0,CHAMNORD!C300+AIX!C300+BELLEY!C300+STALBAN!C300+ABRETS!C300+PONT!C300+FRANCIN!C300+VIVIERS!C300)</f>
        <v>0</v>
      </c>
      <c r="D300" s="76">
        <f>IF(H300=0,0,CHAMNORD!D300+AIX!D300+BELLEY!D300+STALBAN!D300+ABRETS!D300+PONT!D300+FRANCIN!D300+VIVIERS!D300)</f>
        <v>0</v>
      </c>
      <c r="E300" s="76">
        <f>IF(I300=0,0,CHAMNORD!E300+AIX!E300+BELLEY!E300+STALBAN!E300+ABRETS!E300+PONT!E300+FRANCIN!E300+VIVIERS!E300)</f>
        <v>0</v>
      </c>
      <c r="F300" s="20">
        <f>IF(J300=0,0,CHAMNORD!F300+AIX!F300+BELLEY!F300+STALBAN!F300+ABRETS!F300+PONT!F300+FRANCIN!F300+VIVIERS!F300)</f>
        <v>0</v>
      </c>
      <c r="G300" s="40">
        <f>IF(I300=0,0,CHAMNORD!G300+AIX!G300+BELLEY!G300+STALBAN!G300+ABRETS!G300+PONT!G300+FRANCIN!G300+VIVIERS!G300)</f>
        <v>0</v>
      </c>
      <c r="H300" s="42">
        <f>CHAMNORD!H300+AIX!H300+BELLEY!H300+STALBAN!H300+ABRETS!H300+PONT!H300+FRANCIN!H300+VIVIERS!H300</f>
        <v>0</v>
      </c>
      <c r="I300" s="13">
        <f>CHAMNORD!I300+AIX!I300+BELLEY!I300+STALBAN!I300+ABRETS!I300+PONT!I300+FRANCIN!I300+VIVIERS!I300</f>
        <v>0</v>
      </c>
      <c r="J300" s="14">
        <f>CHAMNORD!J300+AIX!J300+BELLEY!J300+STALBAN!J300+ABRETS!J300+PONT!J300+FRANCIN!J300+VIVIERS!J300</f>
        <v>0</v>
      </c>
      <c r="K300" s="15">
        <f>CHAMNORD!K300+AIX!K300+BELLEY!K300+STALBAN!K300+ABRETS!K300+PONT!K300+FRANCIN!K300+VIVIERS!K300</f>
        <v>0</v>
      </c>
      <c r="L300" s="15">
        <f>CHAMNORD!L300+AIX!L300+BELLEY!L300+STALBAN!L300+ABRETS!L300+PONT!L300+FRANCIN!L300+VIVIERS!L300</f>
        <v>0</v>
      </c>
      <c r="M300" s="15">
        <f>CHAMNORD!M300+AIX!M300+BELLEY!M300+STALBAN!M300+ABRETS!M300+PONT!M300+FRANCIN!M300+VIVIERS!M300</f>
        <v>0</v>
      </c>
      <c r="N300" s="16" t="str">
        <f t="shared" si="20"/>
        <v/>
      </c>
      <c r="O300" s="17" t="str">
        <f t="shared" si="23"/>
        <v/>
      </c>
      <c r="P300" s="17" t="str">
        <f t="shared" si="24"/>
        <v/>
      </c>
      <c r="Q300" s="18" t="str">
        <f t="shared" si="21"/>
        <v/>
      </c>
      <c r="R300" s="18" t="e">
        <f t="shared" si="22"/>
        <v>#DIV/0!</v>
      </c>
      <c r="S300" s="34"/>
      <c r="T300" s="29" t="s">
        <v>8</v>
      </c>
      <c r="U300" s="1738"/>
    </row>
    <row r="301" spans="1:25">
      <c r="A301" s="10" t="s">
        <v>14</v>
      </c>
      <c r="B301" s="905">
        <v>45953</v>
      </c>
      <c r="C301" s="76">
        <f>IF(G301=0,0,CHAMNORD!C301+AIX!C301+BELLEY!C301+STALBAN!C301+ABRETS!C301+PONT!C301+FRANCIN!C301+VIVIERS!C301)</f>
        <v>0</v>
      </c>
      <c r="D301" s="76">
        <f>IF(H301=0,0,CHAMNORD!D301+AIX!D301+BELLEY!D301+STALBAN!D301+ABRETS!D301+PONT!D301+FRANCIN!D301+VIVIERS!D301)</f>
        <v>0</v>
      </c>
      <c r="E301" s="76">
        <f>IF(I301=0,0,CHAMNORD!E301+AIX!E301+BELLEY!E301+STALBAN!E301+ABRETS!E301+PONT!E301+FRANCIN!E301+VIVIERS!E301)</f>
        <v>0</v>
      </c>
      <c r="F301" s="20">
        <f>IF(J301=0,0,CHAMNORD!F301+AIX!F301+BELLEY!F301+STALBAN!F301+ABRETS!F301+PONT!F301+FRANCIN!F301+VIVIERS!F301)</f>
        <v>0</v>
      </c>
      <c r="G301" s="40">
        <f>IF(I301=0,0,CHAMNORD!G301+AIX!G301+BELLEY!G301+STALBAN!G301+ABRETS!G301+PONT!G301+FRANCIN!G301+VIVIERS!G301)</f>
        <v>0</v>
      </c>
      <c r="H301" s="42">
        <f>CHAMNORD!H301+AIX!H301+BELLEY!H301+STALBAN!H301+ABRETS!H301+PONT!H301+FRANCIN!H301+VIVIERS!H301</f>
        <v>0</v>
      </c>
      <c r="I301" s="13">
        <f>CHAMNORD!I301+AIX!I301+BELLEY!I301+STALBAN!I301+ABRETS!I301+PONT!I301+FRANCIN!I301+VIVIERS!I301</f>
        <v>0</v>
      </c>
      <c r="J301" s="14">
        <f>CHAMNORD!J301+AIX!J301+BELLEY!J301+STALBAN!J301+ABRETS!J301+PONT!J301+FRANCIN!J301+VIVIERS!J301</f>
        <v>0</v>
      </c>
      <c r="K301" s="15">
        <f>CHAMNORD!K301+AIX!K301+BELLEY!K301+STALBAN!K301+ABRETS!K301+PONT!K301+FRANCIN!K301+VIVIERS!K301</f>
        <v>0</v>
      </c>
      <c r="L301" s="15">
        <f>CHAMNORD!L301+AIX!L301+BELLEY!L301+STALBAN!L301+ABRETS!L301+PONT!L301+FRANCIN!L301+VIVIERS!L301</f>
        <v>0</v>
      </c>
      <c r="M301" s="15">
        <f>CHAMNORD!M301+AIX!M301+BELLEY!M301+STALBAN!M301+ABRETS!M301+PONT!M301+FRANCIN!M301+VIVIERS!M301</f>
        <v>0</v>
      </c>
      <c r="N301" s="16" t="str">
        <f t="shared" si="20"/>
        <v/>
      </c>
      <c r="O301" s="17" t="str">
        <f t="shared" si="23"/>
        <v/>
      </c>
      <c r="P301" s="17" t="str">
        <f t="shared" si="24"/>
        <v/>
      </c>
      <c r="Q301" s="18" t="str">
        <f t="shared" si="21"/>
        <v/>
      </c>
      <c r="R301" s="18" t="e">
        <f t="shared" si="22"/>
        <v>#DIV/0!</v>
      </c>
      <c r="S301" s="36" t="s">
        <v>40</v>
      </c>
      <c r="T301" s="48" t="e">
        <f>SUM(I297:I303)/SUM(L297:L303)</f>
        <v>#DIV/0!</v>
      </c>
      <c r="U301" s="1738"/>
    </row>
    <row r="302" spans="1:25">
      <c r="A302" s="10" t="s">
        <v>15</v>
      </c>
      <c r="B302" s="905">
        <v>45954</v>
      </c>
      <c r="C302" s="76">
        <f>IF(G302=0,0,CHAMNORD!C302+AIX!C302+BELLEY!C302+STALBAN!C302+ABRETS!C302+PONT!C302+FRANCIN!C302+VIVIERS!C302)</f>
        <v>0</v>
      </c>
      <c r="D302" s="76">
        <f>IF(H302=0,0,CHAMNORD!D302+AIX!D302+BELLEY!D302+STALBAN!D302+ABRETS!D302+PONT!D302+FRANCIN!D302+VIVIERS!D302)</f>
        <v>0</v>
      </c>
      <c r="E302" s="76">
        <f>IF(I302=0,0,CHAMNORD!E302+AIX!E302+BELLEY!E302+STALBAN!E302+ABRETS!E302+PONT!E302+FRANCIN!E302+VIVIERS!E302)</f>
        <v>0</v>
      </c>
      <c r="F302" s="20">
        <f>IF(J302=0,0,CHAMNORD!F302+AIX!F302+BELLEY!F302+STALBAN!F302+ABRETS!F302+PONT!F302+FRANCIN!F302+VIVIERS!F302)</f>
        <v>0</v>
      </c>
      <c r="G302" s="40">
        <f>IF(I302=0,0,CHAMNORD!G302+AIX!G302+BELLEY!G302+STALBAN!G302+ABRETS!G302+PONT!G302+FRANCIN!G302+VIVIERS!G302)</f>
        <v>0</v>
      </c>
      <c r="H302" s="42">
        <f>CHAMNORD!H302+AIX!H302+BELLEY!H302+STALBAN!H302+ABRETS!H302+PONT!H302+FRANCIN!H302+VIVIERS!H302</f>
        <v>0</v>
      </c>
      <c r="I302" s="13">
        <f>CHAMNORD!I302+AIX!I302+BELLEY!I302+STALBAN!I302+ABRETS!I302+PONT!I302+FRANCIN!I302+VIVIERS!I302</f>
        <v>0</v>
      </c>
      <c r="J302" s="14">
        <f>CHAMNORD!J302+AIX!J302+BELLEY!J302+STALBAN!J302+ABRETS!J302+PONT!J302+FRANCIN!J302+VIVIERS!J302</f>
        <v>0</v>
      </c>
      <c r="K302" s="15">
        <f>CHAMNORD!K302+AIX!K302+BELLEY!K302+STALBAN!K302+ABRETS!K302+PONT!K302+FRANCIN!K302+VIVIERS!K302</f>
        <v>0</v>
      </c>
      <c r="L302" s="15">
        <f>CHAMNORD!L302+AIX!L302+BELLEY!L302+STALBAN!L302+ABRETS!L302+PONT!L302+FRANCIN!L302+VIVIERS!L302</f>
        <v>0</v>
      </c>
      <c r="M302" s="15">
        <f>CHAMNORD!M302+AIX!M302+BELLEY!M302+STALBAN!M302+ABRETS!M302+PONT!M302+FRANCIN!M302+VIVIERS!M302</f>
        <v>0</v>
      </c>
      <c r="N302" s="16" t="str">
        <f t="shared" si="20"/>
        <v/>
      </c>
      <c r="O302" s="17" t="str">
        <f t="shared" si="23"/>
        <v/>
      </c>
      <c r="P302" s="17" t="str">
        <f t="shared" si="24"/>
        <v/>
      </c>
      <c r="Q302" s="18" t="str">
        <f t="shared" si="21"/>
        <v/>
      </c>
      <c r="R302" s="18" t="e">
        <f t="shared" si="22"/>
        <v>#DIV/0!</v>
      </c>
      <c r="S302" s="36">
        <f>SUM(J297:J303)</f>
        <v>0</v>
      </c>
      <c r="T302" s="30" t="s">
        <v>3</v>
      </c>
      <c r="U302" s="1738"/>
    </row>
    <row r="303" spans="1:25" ht="18" thickBot="1">
      <c r="A303" s="10" t="s">
        <v>16</v>
      </c>
      <c r="B303" s="905">
        <v>45955</v>
      </c>
      <c r="C303" s="76">
        <f>IF(G303=0,0,CHAMNORD!C303+AIX!C303+BELLEY!C303+STALBAN!C303+ABRETS!C303+PONT!C303+FRANCIN!C303+VIVIERS!C303)</f>
        <v>0</v>
      </c>
      <c r="D303" s="76">
        <f>IF(H303=0,0,CHAMNORD!D303+AIX!D303+BELLEY!D303+STALBAN!D303+ABRETS!D303+PONT!D303+FRANCIN!D303+VIVIERS!D303)</f>
        <v>0</v>
      </c>
      <c r="E303" s="76">
        <f>IF(I303=0,0,CHAMNORD!E303+AIX!E303+BELLEY!E303+STALBAN!E303+ABRETS!E303+PONT!E303+FRANCIN!E303+VIVIERS!E303)</f>
        <v>0</v>
      </c>
      <c r="F303" s="20">
        <f>IF(J303=0,0,CHAMNORD!F303+AIX!F303+BELLEY!F303+STALBAN!F303+ABRETS!F303+PONT!F303+FRANCIN!F303+VIVIERS!F303)</f>
        <v>0</v>
      </c>
      <c r="G303" s="40">
        <f>IF(I303=0,0,CHAMNORD!G303+AIX!G303+BELLEY!G303+STALBAN!G303+ABRETS!G303+PONT!G303+FRANCIN!G303+VIVIERS!G303)</f>
        <v>0</v>
      </c>
      <c r="H303" s="42">
        <f>CHAMNORD!H303+AIX!H303+BELLEY!H303+STALBAN!H303+ABRETS!H303+PONT!H303+FRANCIN!H303+VIVIERS!H303</f>
        <v>0</v>
      </c>
      <c r="I303" s="13">
        <f>CHAMNORD!I303+AIX!I303+BELLEY!I303+STALBAN!I303+ABRETS!I303+PONT!I303+FRANCIN!I303+VIVIERS!I303</f>
        <v>0</v>
      </c>
      <c r="J303" s="14">
        <f>CHAMNORD!J303+AIX!J303+BELLEY!J303+STALBAN!J303+ABRETS!J303+PONT!J303+FRANCIN!J303+VIVIERS!J303</f>
        <v>0</v>
      </c>
      <c r="K303" s="15">
        <f>CHAMNORD!K303+AIX!K303+BELLEY!K303+STALBAN!K303+ABRETS!K303+PONT!K303+FRANCIN!K303+VIVIERS!K303</f>
        <v>0</v>
      </c>
      <c r="L303" s="15">
        <f>CHAMNORD!L303+AIX!L303+BELLEY!L303+STALBAN!L303+ABRETS!L303+PONT!L303+FRANCIN!L303+VIVIERS!L303</f>
        <v>0</v>
      </c>
      <c r="M303" s="15">
        <f>CHAMNORD!M303+AIX!M303+BELLEY!M303+STALBAN!M303+ABRETS!M303+PONT!M303+FRANCIN!M303+VIVIERS!M303</f>
        <v>0</v>
      </c>
      <c r="N303" s="16" t="str">
        <f t="shared" si="20"/>
        <v/>
      </c>
      <c r="O303" s="17" t="str">
        <f t="shared" si="23"/>
        <v/>
      </c>
      <c r="P303" s="17" t="str">
        <f t="shared" si="24"/>
        <v/>
      </c>
      <c r="Q303" s="18" t="str">
        <f t="shared" si="21"/>
        <v/>
      </c>
      <c r="R303" s="18" t="e">
        <f t="shared" si="22"/>
        <v>#DIV/0!</v>
      </c>
      <c r="S303" s="37" t="e">
        <f>(S302-SUM(F297:F303))/(SUM(F297:F303))</f>
        <v>#DIV/0!</v>
      </c>
      <c r="T303" s="47" t="e">
        <f>SUM(M297:M303)/SUM(I297:I303)</f>
        <v>#DIV/0!</v>
      </c>
      <c r="U303" s="1739"/>
    </row>
    <row r="304" spans="1:25" ht="17" customHeight="1" thickTop="1">
      <c r="A304" s="10" t="s">
        <v>9</v>
      </c>
      <c r="B304" s="905">
        <v>45956</v>
      </c>
      <c r="C304" s="76">
        <f>IF(G304=0,0,CHAMNORD!C304+AIX!C304+BELLEY!C304+STALBAN!C304+ABRETS!C304+PONT!C304+FRANCIN!C304+VIVIERS!C304)</f>
        <v>0</v>
      </c>
      <c r="D304" s="76">
        <f>IF(H304=0,0,CHAMNORD!D304+AIX!D304+BELLEY!D304+STALBAN!D304+ABRETS!D304+PONT!D304+FRANCIN!D304+VIVIERS!D304)</f>
        <v>0</v>
      </c>
      <c r="E304" s="76">
        <f>IF(I304=0,0,CHAMNORD!E304+AIX!E304+BELLEY!E304+STALBAN!E304+ABRETS!E304+PONT!E304+FRANCIN!E304+VIVIERS!E304)</f>
        <v>0</v>
      </c>
      <c r="F304" s="20">
        <f>IF(J304=0,0,CHAMNORD!F304+AIX!F304+BELLEY!F304+STALBAN!F304+ABRETS!F304+PONT!F304+FRANCIN!F304+VIVIERS!F304)</f>
        <v>0</v>
      </c>
      <c r="G304" s="40">
        <f>IF(I304=0,0,CHAMNORD!G304+AIX!G304+BELLEY!G304+STALBAN!G304+ABRETS!G304+PONT!G304+FRANCIN!G304+VIVIERS!G304)</f>
        <v>0</v>
      </c>
      <c r="H304" s="42">
        <f>CHAMNORD!H304+AIX!H304+BELLEY!H304+STALBAN!H304+ABRETS!H304+PONT!H304+FRANCIN!H304+VIVIERS!H304</f>
        <v>0</v>
      </c>
      <c r="I304" s="13">
        <f>CHAMNORD!I304+AIX!I304+BELLEY!I304+STALBAN!I304+ABRETS!I304+PONT!I304+FRANCIN!I304+VIVIERS!I304</f>
        <v>0</v>
      </c>
      <c r="J304" s="14">
        <f>CHAMNORD!J304+AIX!J304+BELLEY!J304+STALBAN!J304+ABRETS!J304+PONT!J304+FRANCIN!J304+VIVIERS!J304</f>
        <v>0</v>
      </c>
      <c r="K304" s="15">
        <f>CHAMNORD!K304+AIX!K304+BELLEY!K304+STALBAN!K304+ABRETS!K304+PONT!K304+FRANCIN!K304+VIVIERS!K304</f>
        <v>0</v>
      </c>
      <c r="L304" s="15">
        <f>CHAMNORD!L304+AIX!L304+BELLEY!L304+STALBAN!L304+ABRETS!L304+PONT!L304+FRANCIN!L304+VIVIERS!L304</f>
        <v>0</v>
      </c>
      <c r="M304" s="15">
        <f>CHAMNORD!M304+AIX!M304+BELLEY!M304+STALBAN!M304+ABRETS!M304+PONT!M304+FRANCIN!M304+VIVIERS!M304</f>
        <v>0</v>
      </c>
      <c r="N304" s="16" t="str">
        <f t="shared" si="20"/>
        <v/>
      </c>
      <c r="O304" s="17" t="str">
        <f t="shared" si="23"/>
        <v/>
      </c>
      <c r="P304" s="17" t="str">
        <f t="shared" si="24"/>
        <v/>
      </c>
      <c r="Q304" s="18" t="str">
        <f t="shared" si="21"/>
        <v/>
      </c>
      <c r="R304" s="18" t="e">
        <f t="shared" si="22"/>
        <v>#DIV/0!</v>
      </c>
      <c r="S304" s="33" t="s">
        <v>39</v>
      </c>
      <c r="T304" s="31" t="s">
        <v>42</v>
      </c>
      <c r="U304" s="1737" t="s">
        <v>126</v>
      </c>
    </row>
    <row r="305" spans="1:25">
      <c r="A305" s="10" t="s">
        <v>11</v>
      </c>
      <c r="B305" s="905">
        <v>45957</v>
      </c>
      <c r="C305" s="76">
        <f>IF(G305=0,0,CHAMNORD!C305+AIX!C305+BELLEY!C305+STALBAN!C305+ABRETS!C305+PONT!C305+FRANCIN!C305+VIVIERS!C305)</f>
        <v>0</v>
      </c>
      <c r="D305" s="76">
        <f>IF(H305=0,0,CHAMNORD!D305+AIX!D305+BELLEY!D305+STALBAN!D305+ABRETS!D305+PONT!D305+FRANCIN!D305+VIVIERS!D305)</f>
        <v>0</v>
      </c>
      <c r="E305" s="76">
        <f>IF(I305=0,0,CHAMNORD!E305+AIX!E305+BELLEY!E305+STALBAN!E305+ABRETS!E305+PONT!E305+FRANCIN!E305+VIVIERS!E305)</f>
        <v>0</v>
      </c>
      <c r="F305" s="20">
        <f>IF(J305=0,0,CHAMNORD!F305+AIX!F305+BELLEY!F305+STALBAN!F305+ABRETS!F305+PONT!F305+FRANCIN!F305+VIVIERS!F305)</f>
        <v>0</v>
      </c>
      <c r="G305" s="40">
        <f>IF(I305=0,0,CHAMNORD!G305+AIX!G305+BELLEY!G305+STALBAN!G305+ABRETS!G305+PONT!G305+FRANCIN!G305+VIVIERS!G305)</f>
        <v>0</v>
      </c>
      <c r="H305" s="42">
        <f>CHAMNORD!H305+AIX!H305+BELLEY!H305+STALBAN!H305+ABRETS!H305+PONT!H305+FRANCIN!H305+VIVIERS!H305</f>
        <v>0</v>
      </c>
      <c r="I305" s="13">
        <f>CHAMNORD!I305+AIX!I305+BELLEY!I305+STALBAN!I305+ABRETS!I305+PONT!I305+FRANCIN!I305+VIVIERS!I305</f>
        <v>0</v>
      </c>
      <c r="J305" s="14">
        <f>CHAMNORD!J305+AIX!J305+BELLEY!J305+STALBAN!J305+ABRETS!J305+PONT!J305+FRANCIN!J305+VIVIERS!J305</f>
        <v>0</v>
      </c>
      <c r="K305" s="15">
        <f>CHAMNORD!K305+AIX!K305+BELLEY!K305+STALBAN!K305+ABRETS!K305+PONT!K305+FRANCIN!K305+VIVIERS!K305</f>
        <v>0</v>
      </c>
      <c r="L305" s="15">
        <f>CHAMNORD!L305+AIX!L305+BELLEY!L305+STALBAN!L305+ABRETS!L305+PONT!L305+FRANCIN!L305+VIVIERS!L305</f>
        <v>0</v>
      </c>
      <c r="M305" s="15">
        <f>CHAMNORD!M305+AIX!M305+BELLEY!M305+STALBAN!M305+ABRETS!M305+PONT!M305+FRANCIN!M305+VIVIERS!M305</f>
        <v>0</v>
      </c>
      <c r="N305" s="16" t="str">
        <f t="shared" si="20"/>
        <v/>
      </c>
      <c r="O305" s="17" t="str">
        <f t="shared" si="23"/>
        <v/>
      </c>
      <c r="P305" s="17" t="str">
        <f t="shared" si="24"/>
        <v/>
      </c>
      <c r="Q305" s="18" t="str">
        <f t="shared" si="21"/>
        <v/>
      </c>
      <c r="R305" s="18" t="e">
        <f t="shared" si="22"/>
        <v>#DIV/0!</v>
      </c>
      <c r="S305" s="34">
        <f>SUM(I304:I310)</f>
        <v>0</v>
      </c>
      <c r="T305" s="45" t="s">
        <v>41</v>
      </c>
      <c r="U305" s="1738"/>
      <c r="W305" s="202">
        <f>+S305</f>
        <v>0</v>
      </c>
      <c r="X305" s="202">
        <f>SUM(CHAMNORD!E304:E310)+SUM(AIX!E304:E310)+SUM(BELLEY!E304:E310)+SUM(STALBAN!E304:E310)+SUM(ABRETS!E304:E310)+SUM(PONT!E304:E310)+SUM(FRANCIN!E304:E310)+SUM(VIVIERS!E304:E310)</f>
        <v>0</v>
      </c>
      <c r="Y305" s="1051">
        <f>+W305-X305</f>
        <v>0</v>
      </c>
    </row>
    <row r="306" spans="1:25">
      <c r="A306" s="10" t="s">
        <v>12</v>
      </c>
      <c r="B306" s="905">
        <v>45958</v>
      </c>
      <c r="C306" s="76">
        <f>IF(G306=0,0,CHAMNORD!C306+AIX!C306+BELLEY!C306+STALBAN!C306+ABRETS!C306+PONT!C306+FRANCIN!C306+VIVIERS!C306)</f>
        <v>0</v>
      </c>
      <c r="D306" s="76">
        <f>IF(H306=0,0,CHAMNORD!D306+AIX!D306+BELLEY!D306+STALBAN!D306+ABRETS!D306+PONT!D306+FRANCIN!D306+VIVIERS!D306)</f>
        <v>0</v>
      </c>
      <c r="E306" s="76">
        <f>IF(I306=0,0,CHAMNORD!E306+AIX!E306+BELLEY!E306+STALBAN!E306+ABRETS!E306+PONT!E306+FRANCIN!E306+VIVIERS!E306)</f>
        <v>0</v>
      </c>
      <c r="F306" s="20">
        <f>IF(J306=0,0,CHAMNORD!F306+AIX!F306+BELLEY!F306+STALBAN!F306+ABRETS!F306+PONT!F306+FRANCIN!F306+VIVIERS!F306)</f>
        <v>0</v>
      </c>
      <c r="G306" s="40">
        <f>IF(I306=0,0,CHAMNORD!G306+AIX!G306+BELLEY!G306+STALBAN!G306+ABRETS!G306+PONT!G306+FRANCIN!G306+VIVIERS!G306)</f>
        <v>0</v>
      </c>
      <c r="H306" s="42">
        <f>CHAMNORD!H306+AIX!H306+BELLEY!H306+STALBAN!H306+ABRETS!H306+PONT!H306+FRANCIN!H306+VIVIERS!H306</f>
        <v>0</v>
      </c>
      <c r="I306" s="13">
        <f>CHAMNORD!I306+AIX!I306+BELLEY!I306+STALBAN!I306+ABRETS!I306+PONT!I306+FRANCIN!I306+VIVIERS!I306</f>
        <v>0</v>
      </c>
      <c r="J306" s="14">
        <f>CHAMNORD!J306+AIX!J306+BELLEY!J306+STALBAN!J306+ABRETS!J306+PONT!J306+FRANCIN!J306+VIVIERS!J306</f>
        <v>0</v>
      </c>
      <c r="K306" s="15">
        <f>CHAMNORD!K306+AIX!K306+BELLEY!K306+STALBAN!K306+ABRETS!K306+PONT!K306+FRANCIN!K306+VIVIERS!K306</f>
        <v>0</v>
      </c>
      <c r="L306" s="15">
        <f>CHAMNORD!L306+AIX!L306+BELLEY!L306+STALBAN!L306+ABRETS!L306+PONT!L306+FRANCIN!L306+VIVIERS!L306</f>
        <v>0</v>
      </c>
      <c r="M306" s="15">
        <f>CHAMNORD!M306+AIX!M306+BELLEY!M306+STALBAN!M306+ABRETS!M306+PONT!M306+FRANCIN!M306+VIVIERS!M306</f>
        <v>0</v>
      </c>
      <c r="N306" s="16" t="str">
        <f t="shared" si="20"/>
        <v/>
      </c>
      <c r="O306" s="17" t="str">
        <f t="shared" si="23"/>
        <v/>
      </c>
      <c r="P306" s="17" t="str">
        <f t="shared" si="24"/>
        <v/>
      </c>
      <c r="Q306" s="18" t="str">
        <f t="shared" si="21"/>
        <v/>
      </c>
      <c r="R306" s="18" t="e">
        <f t="shared" si="22"/>
        <v>#DIV/0!</v>
      </c>
      <c r="S306" s="35" t="e">
        <f>(S305-SUM(E304:E310))/(SUM(E304:E310))</f>
        <v>#DIV/0!</v>
      </c>
      <c r="T306" s="48" t="e">
        <f>SUM(I304:I310)/SUM(K304:K310)</f>
        <v>#DIV/0!</v>
      </c>
      <c r="U306" s="1738"/>
    </row>
    <row r="307" spans="1:25">
      <c r="A307" s="10" t="s">
        <v>13</v>
      </c>
      <c r="B307" s="905">
        <v>45959</v>
      </c>
      <c r="C307" s="76">
        <f>IF(G307=0,0,CHAMNORD!C307+AIX!C307+BELLEY!C307+STALBAN!C307+ABRETS!C307+PONT!C307+FRANCIN!C307+VIVIERS!C307)</f>
        <v>0</v>
      </c>
      <c r="D307" s="76">
        <f>IF(H307=0,0,CHAMNORD!D307+AIX!D307+BELLEY!D307+STALBAN!D307+ABRETS!D307+PONT!D307+FRANCIN!D307+VIVIERS!D307)</f>
        <v>0</v>
      </c>
      <c r="E307" s="76">
        <f>IF(I307=0,0,CHAMNORD!E307+AIX!E307+BELLEY!E307+STALBAN!E307+ABRETS!E307+PONT!E307+FRANCIN!E307+VIVIERS!E307)</f>
        <v>0</v>
      </c>
      <c r="F307" s="20">
        <f>IF(J307=0,0,CHAMNORD!F307+AIX!F307+BELLEY!F307+STALBAN!F307+ABRETS!F307+PONT!F307+FRANCIN!F307+VIVIERS!F307)</f>
        <v>0</v>
      </c>
      <c r="G307" s="40">
        <f>IF(I307=0,0,CHAMNORD!G307+AIX!G307+BELLEY!G307+STALBAN!G307+ABRETS!G307+PONT!G307+FRANCIN!G307+VIVIERS!G307)</f>
        <v>0</v>
      </c>
      <c r="H307" s="42">
        <f>CHAMNORD!H307+AIX!H307+BELLEY!H307+STALBAN!H307+ABRETS!H307+PONT!H307+FRANCIN!H307+VIVIERS!H307</f>
        <v>0</v>
      </c>
      <c r="I307" s="13">
        <f>CHAMNORD!I307+AIX!I307+BELLEY!I307+STALBAN!I307+ABRETS!I307+PONT!I307+FRANCIN!I307+VIVIERS!I307</f>
        <v>0</v>
      </c>
      <c r="J307" s="14">
        <f>CHAMNORD!J307+AIX!J307+BELLEY!J307+STALBAN!J307+ABRETS!J307+PONT!J307+FRANCIN!J307+VIVIERS!J307</f>
        <v>0</v>
      </c>
      <c r="K307" s="15">
        <f>CHAMNORD!K307+AIX!K307+BELLEY!K307+STALBAN!K307+ABRETS!K307+PONT!K307+FRANCIN!K307+VIVIERS!K307</f>
        <v>0</v>
      </c>
      <c r="L307" s="15">
        <f>CHAMNORD!L307+AIX!L307+BELLEY!L307+STALBAN!L307+ABRETS!L307+PONT!L307+FRANCIN!L307+VIVIERS!L307</f>
        <v>0</v>
      </c>
      <c r="M307" s="15">
        <f>CHAMNORD!M307+AIX!M307+BELLEY!M307+STALBAN!M307+ABRETS!M307+PONT!M307+FRANCIN!M307+VIVIERS!M307</f>
        <v>0</v>
      </c>
      <c r="N307" s="16" t="str">
        <f t="shared" si="20"/>
        <v/>
      </c>
      <c r="O307" s="17" t="str">
        <f t="shared" si="23"/>
        <v/>
      </c>
      <c r="P307" s="17" t="str">
        <f t="shared" si="24"/>
        <v/>
      </c>
      <c r="Q307" s="18" t="str">
        <f t="shared" si="21"/>
        <v/>
      </c>
      <c r="R307" s="18" t="e">
        <f t="shared" si="22"/>
        <v>#DIV/0!</v>
      </c>
      <c r="S307" s="34"/>
      <c r="T307" s="29" t="s">
        <v>8</v>
      </c>
      <c r="U307" s="1738"/>
    </row>
    <row r="308" spans="1:25">
      <c r="A308" s="10" t="s">
        <v>14</v>
      </c>
      <c r="B308" s="905">
        <v>45960</v>
      </c>
      <c r="C308" s="76">
        <f>IF(G308=0,0,CHAMNORD!C308+AIX!C308+BELLEY!C308+STALBAN!C308+ABRETS!C308+PONT!C308+FRANCIN!C308+VIVIERS!C308)</f>
        <v>0</v>
      </c>
      <c r="D308" s="76">
        <f>IF(H308=0,0,CHAMNORD!D308+AIX!D308+BELLEY!D308+STALBAN!D308+ABRETS!D308+PONT!D308+FRANCIN!D308+VIVIERS!D308)</f>
        <v>0</v>
      </c>
      <c r="E308" s="76">
        <f>IF(I308=0,0,CHAMNORD!E308+AIX!E308+BELLEY!E308+STALBAN!E308+ABRETS!E308+PONT!E308+FRANCIN!E308+VIVIERS!E308)</f>
        <v>0</v>
      </c>
      <c r="F308" s="20">
        <f>IF(J308=0,0,CHAMNORD!F308+AIX!F308+BELLEY!F308+STALBAN!F308+ABRETS!F308+PONT!F308+FRANCIN!F308+VIVIERS!F308)</f>
        <v>0</v>
      </c>
      <c r="G308" s="40">
        <f>IF(I308=0,0,CHAMNORD!G308+AIX!G308+BELLEY!G308+STALBAN!G308+ABRETS!G308+PONT!G308+FRANCIN!G308+VIVIERS!G308)</f>
        <v>0</v>
      </c>
      <c r="H308" s="42">
        <f>CHAMNORD!H308+AIX!H308+BELLEY!H308+STALBAN!H308+ABRETS!H308+PONT!H308+FRANCIN!H308+VIVIERS!H308</f>
        <v>0</v>
      </c>
      <c r="I308" s="13">
        <f>CHAMNORD!I308+AIX!I308+BELLEY!I308+STALBAN!I308+ABRETS!I308+PONT!I308+FRANCIN!I308+VIVIERS!I308</f>
        <v>0</v>
      </c>
      <c r="J308" s="14">
        <f>CHAMNORD!J308+AIX!J308+BELLEY!J308+STALBAN!J308+ABRETS!J308+PONT!J308+FRANCIN!J308+VIVIERS!J308</f>
        <v>0</v>
      </c>
      <c r="K308" s="15">
        <f>CHAMNORD!K308+AIX!K308+BELLEY!K308+STALBAN!K308+ABRETS!K308+PONT!K308+FRANCIN!K308+VIVIERS!K308</f>
        <v>0</v>
      </c>
      <c r="L308" s="15">
        <f>CHAMNORD!L308+AIX!L308+BELLEY!L308+STALBAN!L308+ABRETS!L308+PONT!L308+FRANCIN!L308+VIVIERS!L308</f>
        <v>0</v>
      </c>
      <c r="M308" s="15">
        <f>CHAMNORD!M308+AIX!M308+BELLEY!M308+STALBAN!M308+ABRETS!M308+PONT!M308+FRANCIN!M308+VIVIERS!M308</f>
        <v>0</v>
      </c>
      <c r="N308" s="16" t="str">
        <f t="shared" si="20"/>
        <v/>
      </c>
      <c r="O308" s="17" t="str">
        <f t="shared" si="23"/>
        <v/>
      </c>
      <c r="P308" s="17" t="str">
        <f t="shared" si="24"/>
        <v/>
      </c>
      <c r="Q308" s="18" t="str">
        <f t="shared" si="21"/>
        <v/>
      </c>
      <c r="R308" s="18" t="e">
        <f t="shared" si="22"/>
        <v>#DIV/0!</v>
      </c>
      <c r="S308" s="36" t="s">
        <v>40</v>
      </c>
      <c r="T308" s="48" t="e">
        <f>SUM(I304:I310)/SUM(L304:L310)</f>
        <v>#DIV/0!</v>
      </c>
      <c r="U308" s="1738"/>
    </row>
    <row r="309" spans="1:25">
      <c r="A309" s="10" t="s">
        <v>15</v>
      </c>
      <c r="B309" s="905">
        <v>45961</v>
      </c>
      <c r="C309" s="76">
        <f>IF(G309=0,0,CHAMNORD!C309+AIX!C309+BELLEY!C309+STALBAN!C309+ABRETS!C309+PONT!C309+FRANCIN!C309+VIVIERS!C309)</f>
        <v>0</v>
      </c>
      <c r="D309" s="76">
        <f>IF(H309=0,0,CHAMNORD!D309+AIX!D309+BELLEY!D309+STALBAN!D309+ABRETS!D309+PONT!D309+FRANCIN!D309+VIVIERS!D309)</f>
        <v>0</v>
      </c>
      <c r="E309" s="76">
        <f>IF(I309=0,0,CHAMNORD!E309+AIX!E309+BELLEY!E309+STALBAN!E309+ABRETS!E309+PONT!E309+FRANCIN!E309+VIVIERS!E309)</f>
        <v>0</v>
      </c>
      <c r="F309" s="20">
        <f>IF(J309=0,0,CHAMNORD!F309+AIX!F309+BELLEY!F309+STALBAN!F309+ABRETS!F309+PONT!F309+FRANCIN!F309+VIVIERS!F309)</f>
        <v>0</v>
      </c>
      <c r="G309" s="40">
        <f>IF(I309=0,0,CHAMNORD!G309+AIX!G309+BELLEY!G309+STALBAN!G309+ABRETS!G309+PONT!G309+FRANCIN!G309+VIVIERS!G309)</f>
        <v>0</v>
      </c>
      <c r="H309" s="42">
        <f>CHAMNORD!H309+AIX!H309+BELLEY!H309+STALBAN!H309+ABRETS!H309+PONT!H309+FRANCIN!H309+VIVIERS!H309</f>
        <v>0</v>
      </c>
      <c r="I309" s="13">
        <f>CHAMNORD!I309+AIX!I309+BELLEY!I309+STALBAN!I309+ABRETS!I309+PONT!I309+FRANCIN!I309+VIVIERS!I309</f>
        <v>0</v>
      </c>
      <c r="J309" s="14">
        <f>CHAMNORD!J309+AIX!J309+BELLEY!J309+STALBAN!J309+ABRETS!J309+PONT!J309+FRANCIN!J309+VIVIERS!J309</f>
        <v>0</v>
      </c>
      <c r="K309" s="15">
        <f>CHAMNORD!K309+AIX!K309+BELLEY!K309+STALBAN!K309+ABRETS!K309+PONT!K309+FRANCIN!K309+VIVIERS!K309</f>
        <v>0</v>
      </c>
      <c r="L309" s="15">
        <f>CHAMNORD!L309+AIX!L309+BELLEY!L309+STALBAN!L309+ABRETS!L309+PONT!L309+FRANCIN!L309+VIVIERS!L309</f>
        <v>0</v>
      </c>
      <c r="M309" s="15">
        <f>CHAMNORD!M309+AIX!M309+BELLEY!M309+STALBAN!M309+ABRETS!M309+PONT!M309+FRANCIN!M309+VIVIERS!M309</f>
        <v>0</v>
      </c>
      <c r="N309" s="16" t="str">
        <f t="shared" si="20"/>
        <v/>
      </c>
      <c r="O309" s="17" t="str">
        <f t="shared" si="23"/>
        <v/>
      </c>
      <c r="P309" s="17" t="str">
        <f t="shared" si="24"/>
        <v/>
      </c>
      <c r="Q309" s="18" t="str">
        <f t="shared" si="21"/>
        <v/>
      </c>
      <c r="R309" s="18" t="e">
        <f t="shared" si="22"/>
        <v>#DIV/0!</v>
      </c>
      <c r="S309" s="36">
        <f>SUM(J304:J310)</f>
        <v>0</v>
      </c>
      <c r="T309" s="30" t="s">
        <v>3</v>
      </c>
      <c r="U309" s="1738"/>
    </row>
    <row r="310" spans="1:25" ht="18" thickBot="1">
      <c r="A310" s="10" t="s">
        <v>16</v>
      </c>
      <c r="B310" s="905">
        <v>45962</v>
      </c>
      <c r="C310" s="76">
        <f>IF(G310=0,0,CHAMNORD!C310+AIX!C310+BELLEY!C310+STALBAN!C310+ABRETS!C310+PONT!C310+FRANCIN!C310+VIVIERS!C310)</f>
        <v>0</v>
      </c>
      <c r="D310" s="76">
        <f>IF(H310=0,0,CHAMNORD!D310+AIX!D310+BELLEY!D310+STALBAN!D310+ABRETS!D310+PONT!D310+FRANCIN!D310+VIVIERS!D310)</f>
        <v>0</v>
      </c>
      <c r="E310" s="76">
        <f>IF(I310=0,0,CHAMNORD!E310+AIX!E310+BELLEY!E310+STALBAN!E310+ABRETS!E310+PONT!E310+FRANCIN!E310+VIVIERS!E310)</f>
        <v>0</v>
      </c>
      <c r="F310" s="20">
        <f>IF(J310=0,0,CHAMNORD!F310+AIX!F310+BELLEY!F310+STALBAN!F310+ABRETS!F310+PONT!F310+FRANCIN!F310+VIVIERS!F310)</f>
        <v>0</v>
      </c>
      <c r="G310" s="40">
        <f>IF(I310=0,0,CHAMNORD!G310+AIX!G310+BELLEY!G310+STALBAN!G310+ABRETS!G310+PONT!G310+FRANCIN!G310+VIVIERS!G310)</f>
        <v>0</v>
      </c>
      <c r="H310" s="42">
        <f>CHAMNORD!H310+AIX!H310+BELLEY!H310+STALBAN!H310+ABRETS!H310+PONT!H310+FRANCIN!H310+VIVIERS!H310</f>
        <v>0</v>
      </c>
      <c r="I310" s="13">
        <f>CHAMNORD!I310+AIX!I310+BELLEY!I310+STALBAN!I310+ABRETS!I310+PONT!I310+FRANCIN!I310+VIVIERS!I310</f>
        <v>0</v>
      </c>
      <c r="J310" s="14">
        <f>CHAMNORD!J310+AIX!J310+BELLEY!J310+STALBAN!J310+ABRETS!J310+PONT!J310+FRANCIN!J310+VIVIERS!J310</f>
        <v>0</v>
      </c>
      <c r="K310" s="15">
        <f>CHAMNORD!K310+AIX!K310+BELLEY!K310+STALBAN!K310+ABRETS!K310+PONT!K310+FRANCIN!K310+VIVIERS!K310</f>
        <v>0</v>
      </c>
      <c r="L310" s="15">
        <f>CHAMNORD!L310+AIX!L310+BELLEY!L310+STALBAN!L310+ABRETS!L310+PONT!L310+FRANCIN!L310+VIVIERS!L310</f>
        <v>0</v>
      </c>
      <c r="M310" s="15">
        <f>CHAMNORD!M310+AIX!M310+BELLEY!M310+STALBAN!M310+ABRETS!M310+PONT!M310+FRANCIN!M310+VIVIERS!M310</f>
        <v>0</v>
      </c>
      <c r="N310" s="16" t="str">
        <f t="shared" si="20"/>
        <v/>
      </c>
      <c r="O310" s="17" t="str">
        <f t="shared" si="23"/>
        <v/>
      </c>
      <c r="P310" s="17" t="str">
        <f t="shared" si="24"/>
        <v/>
      </c>
      <c r="Q310" s="18" t="str">
        <f t="shared" si="21"/>
        <v/>
      </c>
      <c r="R310" s="18" t="e">
        <f t="shared" si="22"/>
        <v>#DIV/0!</v>
      </c>
      <c r="S310" s="37" t="e">
        <f>(S309-SUM(F304:F310))/(SUM(F304:F310))</f>
        <v>#DIV/0!</v>
      </c>
      <c r="T310" s="47" t="e">
        <f>SUM(M304:M310)/SUM(I304:I310)</f>
        <v>#DIV/0!</v>
      </c>
      <c r="U310" s="1739"/>
    </row>
    <row r="311" spans="1:25" ht="17" customHeight="1" thickTop="1">
      <c r="A311" s="10" t="s">
        <v>9</v>
      </c>
      <c r="B311" s="905">
        <v>45963</v>
      </c>
      <c r="C311" s="76">
        <f>IF(G311=0,0,CHAMNORD!C311+AIX!C311+BELLEY!C311+STALBAN!C311+ABRETS!C311+PONT!C311+FRANCIN!C311+VIVIERS!C311)</f>
        <v>0</v>
      </c>
      <c r="D311" s="76">
        <f>IF(H311=0,0,CHAMNORD!D311+AIX!D311+BELLEY!D311+STALBAN!D311+ABRETS!D311+PONT!D311+FRANCIN!D311+VIVIERS!D311)</f>
        <v>0</v>
      </c>
      <c r="E311" s="76">
        <f>IF(I311=0,0,CHAMNORD!E311+AIX!E311+BELLEY!E311+STALBAN!E311+ABRETS!E311+PONT!E311+FRANCIN!E311+VIVIERS!E311)</f>
        <v>0</v>
      </c>
      <c r="F311" s="20">
        <f>IF(J311=0,0,CHAMNORD!F311+AIX!F311+BELLEY!F311+STALBAN!F311+ABRETS!F311+PONT!F311+FRANCIN!F311+VIVIERS!F311)</f>
        <v>0</v>
      </c>
      <c r="G311" s="40">
        <f>IF(I311=0,0,CHAMNORD!G311+AIX!G311+BELLEY!G311+STALBAN!G311+ABRETS!G311+PONT!G311+FRANCIN!G311+VIVIERS!G311)</f>
        <v>0</v>
      </c>
      <c r="H311" s="42">
        <f>CHAMNORD!H311+AIX!H311+BELLEY!H311+STALBAN!H311+ABRETS!H311+PONT!H311+FRANCIN!H311+VIVIERS!H311</f>
        <v>0</v>
      </c>
      <c r="I311" s="13">
        <f>CHAMNORD!I311+AIX!I311+BELLEY!I311+STALBAN!I311+ABRETS!I311+PONT!I311+FRANCIN!I311+VIVIERS!I311</f>
        <v>0</v>
      </c>
      <c r="J311" s="14">
        <f>CHAMNORD!J311+AIX!J311+BELLEY!J311+STALBAN!J311+ABRETS!J311+PONT!J311+FRANCIN!J311+VIVIERS!J311</f>
        <v>0</v>
      </c>
      <c r="K311" s="15">
        <f>CHAMNORD!K311+AIX!K311+BELLEY!K311+STALBAN!K311+ABRETS!K311+PONT!K311+FRANCIN!K311+VIVIERS!K311</f>
        <v>0</v>
      </c>
      <c r="L311" s="15">
        <f>CHAMNORD!L311+AIX!L311+BELLEY!L311+STALBAN!L311+ABRETS!L311+PONT!L311+FRANCIN!L311+VIVIERS!L311</f>
        <v>0</v>
      </c>
      <c r="M311" s="15">
        <f>CHAMNORD!M311+AIX!M311+BELLEY!M311+STALBAN!M311+ABRETS!M311+PONT!M311+FRANCIN!M311+VIVIERS!M311</f>
        <v>0</v>
      </c>
      <c r="N311" s="16" t="str">
        <f t="shared" si="20"/>
        <v/>
      </c>
      <c r="O311" s="17" t="str">
        <f t="shared" si="23"/>
        <v/>
      </c>
      <c r="P311" s="17" t="str">
        <f t="shared" si="24"/>
        <v/>
      </c>
      <c r="Q311" s="18" t="str">
        <f t="shared" si="21"/>
        <v/>
      </c>
      <c r="R311" s="18" t="e">
        <f t="shared" si="22"/>
        <v>#DIV/0!</v>
      </c>
      <c r="S311" s="33" t="s">
        <v>39</v>
      </c>
      <c r="T311" s="31" t="s">
        <v>42</v>
      </c>
      <c r="U311" s="1737" t="s">
        <v>127</v>
      </c>
    </row>
    <row r="312" spans="1:25">
      <c r="A312" s="10" t="s">
        <v>11</v>
      </c>
      <c r="B312" s="905">
        <v>45964</v>
      </c>
      <c r="C312" s="76">
        <f>IF(G312=0,0,CHAMNORD!C312+AIX!C312+BELLEY!C312+STALBAN!C312+ABRETS!C312+PONT!C312+FRANCIN!C312+VIVIERS!C312)</f>
        <v>0</v>
      </c>
      <c r="D312" s="76">
        <f>IF(H312=0,0,CHAMNORD!D312+AIX!D312+BELLEY!D312+STALBAN!D312+ABRETS!D312+PONT!D312+FRANCIN!D312+VIVIERS!D312)</f>
        <v>0</v>
      </c>
      <c r="E312" s="76">
        <f>IF(I312=0,0,CHAMNORD!E312+AIX!E312+BELLEY!E312+STALBAN!E312+ABRETS!E312+PONT!E312+FRANCIN!E312+VIVIERS!E312)</f>
        <v>0</v>
      </c>
      <c r="F312" s="20">
        <f>IF(J312=0,0,CHAMNORD!F312+AIX!F312+BELLEY!F312+STALBAN!F312+ABRETS!F312+PONT!F312+FRANCIN!F312+VIVIERS!F312)</f>
        <v>0</v>
      </c>
      <c r="G312" s="40">
        <f>IF(I312=0,0,CHAMNORD!G312+AIX!G312+BELLEY!G312+STALBAN!G312+ABRETS!G312+PONT!G312+FRANCIN!G312+VIVIERS!G312)</f>
        <v>0</v>
      </c>
      <c r="H312" s="42">
        <f>CHAMNORD!H312+AIX!H312+BELLEY!H312+STALBAN!H312+ABRETS!H312+PONT!H312+FRANCIN!H312+VIVIERS!H312</f>
        <v>0</v>
      </c>
      <c r="I312" s="13">
        <f>CHAMNORD!I312+AIX!I312+BELLEY!I312+STALBAN!I312+ABRETS!I312+PONT!I312+FRANCIN!I312+VIVIERS!I312</f>
        <v>0</v>
      </c>
      <c r="J312" s="14">
        <f>CHAMNORD!J312+AIX!J312+BELLEY!J312+STALBAN!J312+ABRETS!J312+PONT!J312+FRANCIN!J312+VIVIERS!J312</f>
        <v>0</v>
      </c>
      <c r="K312" s="15">
        <f>CHAMNORD!K312+AIX!K312+BELLEY!K312+STALBAN!K312+ABRETS!K312+PONT!K312+FRANCIN!K312+VIVIERS!K312</f>
        <v>0</v>
      </c>
      <c r="L312" s="15">
        <f>CHAMNORD!L312+AIX!L312+BELLEY!L312+STALBAN!L312+ABRETS!L312+PONT!L312+FRANCIN!L312+VIVIERS!L312</f>
        <v>0</v>
      </c>
      <c r="M312" s="15">
        <f>CHAMNORD!M312+AIX!M312+BELLEY!M312+STALBAN!M312+ABRETS!M312+PONT!M312+FRANCIN!M312+VIVIERS!M312</f>
        <v>0</v>
      </c>
      <c r="N312" s="16" t="str">
        <f t="shared" si="20"/>
        <v/>
      </c>
      <c r="O312" s="17" t="str">
        <f t="shared" si="23"/>
        <v/>
      </c>
      <c r="P312" s="17" t="str">
        <f t="shared" si="24"/>
        <v/>
      </c>
      <c r="Q312" s="18" t="str">
        <f t="shared" si="21"/>
        <v/>
      </c>
      <c r="R312" s="18" t="e">
        <f t="shared" si="22"/>
        <v>#DIV/0!</v>
      </c>
      <c r="S312" s="34">
        <f>SUM(I311:I317)</f>
        <v>0</v>
      </c>
      <c r="T312" s="45" t="s">
        <v>41</v>
      </c>
      <c r="U312" s="1738"/>
      <c r="W312" s="202">
        <f>+S312</f>
        <v>0</v>
      </c>
      <c r="X312" s="202">
        <f>SUM(CHAMNORD!E311:E317)+SUM(AIX!E311:E317)+SUM(BELLEY!E311:E317)+SUM(STALBAN!E311:E317)+SUM(ABRETS!E311:E317)+SUM(PONT!E311:E317)+SUM(FRANCIN!E311:E317)+SUM(VIVIERS!E311:E317)</f>
        <v>0</v>
      </c>
      <c r="Y312" s="1051">
        <f>+W312-X312</f>
        <v>0</v>
      </c>
    </row>
    <row r="313" spans="1:25">
      <c r="A313" s="10" t="s">
        <v>12</v>
      </c>
      <c r="B313" s="905">
        <v>45965</v>
      </c>
      <c r="C313" s="76">
        <f>IF(G313=0,0,CHAMNORD!C313+AIX!C313+BELLEY!C313+STALBAN!C313+ABRETS!C313+PONT!C313+FRANCIN!C313+VIVIERS!C313)</f>
        <v>0</v>
      </c>
      <c r="D313" s="76">
        <f>IF(H313=0,0,CHAMNORD!D313+AIX!D313+BELLEY!D313+STALBAN!D313+ABRETS!D313+PONT!D313+FRANCIN!D313+VIVIERS!D313)</f>
        <v>0</v>
      </c>
      <c r="E313" s="76">
        <f>IF(I313=0,0,CHAMNORD!E313+AIX!E313+BELLEY!E313+STALBAN!E313+ABRETS!E313+PONT!E313+FRANCIN!E313+VIVIERS!E313)</f>
        <v>0</v>
      </c>
      <c r="F313" s="20">
        <f>IF(J313=0,0,CHAMNORD!F313+AIX!F313+BELLEY!F313+STALBAN!F313+ABRETS!F313+PONT!F313+FRANCIN!F313+VIVIERS!F313)</f>
        <v>0</v>
      </c>
      <c r="G313" s="40">
        <f>IF(I313=0,0,CHAMNORD!G313+AIX!G313+BELLEY!G313+STALBAN!G313+ABRETS!G313+PONT!G313+FRANCIN!G313+VIVIERS!G313)</f>
        <v>0</v>
      </c>
      <c r="H313" s="42">
        <f>CHAMNORD!H313+AIX!H313+BELLEY!H313+STALBAN!H313+ABRETS!H313+PONT!H313+FRANCIN!H313+VIVIERS!H313</f>
        <v>0</v>
      </c>
      <c r="I313" s="13">
        <f>CHAMNORD!I313+AIX!I313+BELLEY!I313+STALBAN!I313+ABRETS!I313+PONT!I313+FRANCIN!I313+VIVIERS!I313</f>
        <v>0</v>
      </c>
      <c r="J313" s="14">
        <f>CHAMNORD!J313+AIX!J313+BELLEY!J313+STALBAN!J313+ABRETS!J313+PONT!J313+FRANCIN!J313+VIVIERS!J313</f>
        <v>0</v>
      </c>
      <c r="K313" s="15">
        <f>CHAMNORD!K313+AIX!K313+BELLEY!K313+STALBAN!K313+ABRETS!K313+PONT!K313+FRANCIN!K313+VIVIERS!K313</f>
        <v>0</v>
      </c>
      <c r="L313" s="15">
        <f>CHAMNORD!L313+AIX!L313+BELLEY!L313+STALBAN!L313+ABRETS!L313+PONT!L313+FRANCIN!L313+VIVIERS!L313</f>
        <v>0</v>
      </c>
      <c r="M313" s="15">
        <f>CHAMNORD!M313+AIX!M313+BELLEY!M313+STALBAN!M313+ABRETS!M313+PONT!M313+FRANCIN!M313+VIVIERS!M313</f>
        <v>0</v>
      </c>
      <c r="N313" s="16" t="str">
        <f t="shared" si="20"/>
        <v/>
      </c>
      <c r="O313" s="17" t="str">
        <f t="shared" si="23"/>
        <v/>
      </c>
      <c r="P313" s="17" t="str">
        <f t="shared" si="24"/>
        <v/>
      </c>
      <c r="Q313" s="18" t="str">
        <f t="shared" si="21"/>
        <v/>
      </c>
      <c r="R313" s="18" t="e">
        <f t="shared" si="22"/>
        <v>#DIV/0!</v>
      </c>
      <c r="S313" s="35" t="e">
        <f>(S312-SUM(E311:E317))/(SUM(E311:E317))</f>
        <v>#DIV/0!</v>
      </c>
      <c r="T313" s="48" t="e">
        <f>SUM(I311:I317)/SUM(K311:K317)</f>
        <v>#DIV/0!</v>
      </c>
      <c r="U313" s="1738"/>
    </row>
    <row r="314" spans="1:25">
      <c r="A314" s="10" t="s">
        <v>13</v>
      </c>
      <c r="B314" s="905">
        <v>45966</v>
      </c>
      <c r="C314" s="76">
        <f>IF(G314=0,0,CHAMNORD!C314+AIX!C314+BELLEY!C314+STALBAN!C314+ABRETS!C314+PONT!C314+FRANCIN!C314+VIVIERS!C314)</f>
        <v>0</v>
      </c>
      <c r="D314" s="76">
        <f>IF(H314=0,0,CHAMNORD!D314+AIX!D314+BELLEY!D314+STALBAN!D314+ABRETS!D314+PONT!D314+FRANCIN!D314+VIVIERS!D314)</f>
        <v>0</v>
      </c>
      <c r="E314" s="76">
        <f>IF(I314=0,0,CHAMNORD!E314+AIX!E314+BELLEY!E314+STALBAN!E314+ABRETS!E314+PONT!E314+FRANCIN!E314+VIVIERS!E314)</f>
        <v>0</v>
      </c>
      <c r="F314" s="20">
        <f>IF(J314=0,0,CHAMNORD!F314+AIX!F314+BELLEY!F314+STALBAN!F314+ABRETS!F314+PONT!F314+FRANCIN!F314+VIVIERS!F314)</f>
        <v>0</v>
      </c>
      <c r="G314" s="40">
        <f>IF(I314=0,0,CHAMNORD!G314+AIX!G314+BELLEY!G314+STALBAN!G314+ABRETS!G314+PONT!G314+FRANCIN!G314+VIVIERS!G314)</f>
        <v>0</v>
      </c>
      <c r="H314" s="42">
        <f>CHAMNORD!H314+AIX!H314+BELLEY!H314+STALBAN!H314+ABRETS!H314+PONT!H314+FRANCIN!H314+VIVIERS!H314</f>
        <v>0</v>
      </c>
      <c r="I314" s="13">
        <f>CHAMNORD!I314+AIX!I314+BELLEY!I314+STALBAN!I314+ABRETS!I314+PONT!I314+FRANCIN!I314+VIVIERS!I314</f>
        <v>0</v>
      </c>
      <c r="J314" s="14">
        <f>CHAMNORD!J314+AIX!J314+BELLEY!J314+STALBAN!J314+ABRETS!J314+PONT!J314+FRANCIN!J314+VIVIERS!J314</f>
        <v>0</v>
      </c>
      <c r="K314" s="15">
        <f>CHAMNORD!K314+AIX!K314+BELLEY!K314+STALBAN!K314+ABRETS!K314+PONT!K314+FRANCIN!K314+VIVIERS!K314</f>
        <v>0</v>
      </c>
      <c r="L314" s="15">
        <f>CHAMNORD!L314+AIX!L314+BELLEY!L314+STALBAN!L314+ABRETS!L314+PONT!L314+FRANCIN!L314+VIVIERS!L314</f>
        <v>0</v>
      </c>
      <c r="M314" s="15">
        <f>CHAMNORD!M314+AIX!M314+BELLEY!M314+STALBAN!M314+ABRETS!M314+PONT!M314+FRANCIN!M314+VIVIERS!M314</f>
        <v>0</v>
      </c>
      <c r="N314" s="16" t="str">
        <f t="shared" si="20"/>
        <v/>
      </c>
      <c r="O314" s="17" t="str">
        <f t="shared" si="23"/>
        <v/>
      </c>
      <c r="P314" s="17" t="str">
        <f t="shared" si="24"/>
        <v/>
      </c>
      <c r="Q314" s="18" t="str">
        <f t="shared" si="21"/>
        <v/>
      </c>
      <c r="R314" s="18" t="e">
        <f t="shared" si="22"/>
        <v>#DIV/0!</v>
      </c>
      <c r="S314" s="34"/>
      <c r="T314" s="29" t="s">
        <v>8</v>
      </c>
      <c r="U314" s="1738"/>
    </row>
    <row r="315" spans="1:25">
      <c r="A315" s="10" t="s">
        <v>14</v>
      </c>
      <c r="B315" s="905">
        <v>45967</v>
      </c>
      <c r="C315" s="76">
        <f>IF(G315=0,0,CHAMNORD!C315+AIX!C315+BELLEY!C315+STALBAN!C315+ABRETS!C315+PONT!C315+FRANCIN!C315+VIVIERS!C315)</f>
        <v>0</v>
      </c>
      <c r="D315" s="76">
        <f>IF(H315=0,0,CHAMNORD!D315+AIX!D315+BELLEY!D315+STALBAN!D315+ABRETS!D315+PONT!D315+FRANCIN!D315+VIVIERS!D315)</f>
        <v>0</v>
      </c>
      <c r="E315" s="76">
        <f>IF(I315=0,0,CHAMNORD!E315+AIX!E315+BELLEY!E315+STALBAN!E315+ABRETS!E315+PONT!E315+FRANCIN!E315+VIVIERS!E315)</f>
        <v>0</v>
      </c>
      <c r="F315" s="20">
        <f>IF(J315=0,0,CHAMNORD!F315+AIX!F315+BELLEY!F315+STALBAN!F315+ABRETS!F315+PONT!F315+FRANCIN!F315+VIVIERS!F315)</f>
        <v>0</v>
      </c>
      <c r="G315" s="40">
        <f>IF(I315=0,0,CHAMNORD!G315+AIX!G315+BELLEY!G315+STALBAN!G315+ABRETS!G315+PONT!G315+FRANCIN!G315+VIVIERS!G315)</f>
        <v>0</v>
      </c>
      <c r="H315" s="42">
        <f>CHAMNORD!H315+AIX!H315+BELLEY!H315+STALBAN!H315+ABRETS!H315+PONT!H315+FRANCIN!H315+VIVIERS!H315</f>
        <v>0</v>
      </c>
      <c r="I315" s="13">
        <f>CHAMNORD!I315+AIX!I315+BELLEY!I315+STALBAN!I315+ABRETS!I315+PONT!I315+FRANCIN!I315+VIVIERS!I315</f>
        <v>0</v>
      </c>
      <c r="J315" s="14">
        <f>CHAMNORD!J315+AIX!J315+BELLEY!J315+STALBAN!J315+ABRETS!J315+PONT!J315+FRANCIN!J315+VIVIERS!J315</f>
        <v>0</v>
      </c>
      <c r="K315" s="15">
        <f>CHAMNORD!K315+AIX!K315+BELLEY!K315+STALBAN!K315+ABRETS!K315+PONT!K315+FRANCIN!K315+VIVIERS!K315</f>
        <v>0</v>
      </c>
      <c r="L315" s="15">
        <f>CHAMNORD!L315+AIX!L315+BELLEY!L315+STALBAN!L315+ABRETS!L315+PONT!L315+FRANCIN!L315+VIVIERS!L315</f>
        <v>0</v>
      </c>
      <c r="M315" s="15">
        <f>CHAMNORD!M315+AIX!M315+BELLEY!M315+STALBAN!M315+ABRETS!M315+PONT!M315+FRANCIN!M315+VIVIERS!M315</f>
        <v>0</v>
      </c>
      <c r="N315" s="16" t="str">
        <f t="shared" si="20"/>
        <v/>
      </c>
      <c r="O315" s="17" t="str">
        <f t="shared" si="23"/>
        <v/>
      </c>
      <c r="P315" s="17" t="str">
        <f t="shared" si="24"/>
        <v/>
      </c>
      <c r="Q315" s="18" t="str">
        <f t="shared" si="21"/>
        <v/>
      </c>
      <c r="R315" s="18" t="e">
        <f t="shared" si="22"/>
        <v>#DIV/0!</v>
      </c>
      <c r="S315" s="36" t="s">
        <v>40</v>
      </c>
      <c r="T315" s="48" t="e">
        <f>SUM(I311:I317)/SUM(L311:L317)</f>
        <v>#DIV/0!</v>
      </c>
      <c r="U315" s="1738"/>
    </row>
    <row r="316" spans="1:25">
      <c r="A316" s="10" t="s">
        <v>15</v>
      </c>
      <c r="B316" s="905">
        <v>45968</v>
      </c>
      <c r="C316" s="76">
        <f>IF(G316=0,0,CHAMNORD!C316+AIX!C316+BELLEY!C316+STALBAN!C316+ABRETS!C316+PONT!C316+FRANCIN!C316+VIVIERS!C316)</f>
        <v>0</v>
      </c>
      <c r="D316" s="76">
        <f>IF(H316=0,0,CHAMNORD!D316+AIX!D316+BELLEY!D316+STALBAN!D316+ABRETS!D316+PONT!D316+FRANCIN!D316+VIVIERS!D316)</f>
        <v>0</v>
      </c>
      <c r="E316" s="76">
        <f>IF(I316=0,0,CHAMNORD!E316+AIX!E316+BELLEY!E316+STALBAN!E316+ABRETS!E316+PONT!E316+FRANCIN!E316+VIVIERS!E316)</f>
        <v>0</v>
      </c>
      <c r="F316" s="20">
        <f>IF(J316=0,0,CHAMNORD!F316+AIX!F316+BELLEY!F316+STALBAN!F316+ABRETS!F316+PONT!F316+FRANCIN!F316+VIVIERS!F316)</f>
        <v>0</v>
      </c>
      <c r="G316" s="40">
        <f>IF(I316=0,0,CHAMNORD!G316+AIX!G316+BELLEY!G316+STALBAN!G316+ABRETS!G316+PONT!G316+FRANCIN!G316+VIVIERS!G316)</f>
        <v>0</v>
      </c>
      <c r="H316" s="42">
        <f>CHAMNORD!H316+AIX!H316+BELLEY!H316+STALBAN!H316+ABRETS!H316+PONT!H316+FRANCIN!H316+VIVIERS!H316</f>
        <v>0</v>
      </c>
      <c r="I316" s="13">
        <f>CHAMNORD!I316+AIX!I316+BELLEY!I316+STALBAN!I316+ABRETS!I316+PONT!I316+FRANCIN!I316+VIVIERS!I316</f>
        <v>0</v>
      </c>
      <c r="J316" s="14">
        <f>CHAMNORD!J316+AIX!J316+BELLEY!J316+STALBAN!J316+ABRETS!J316+PONT!J316+FRANCIN!J316+VIVIERS!J316</f>
        <v>0</v>
      </c>
      <c r="K316" s="15">
        <f>CHAMNORD!K316+AIX!K316+BELLEY!K316+STALBAN!K316+ABRETS!K316+PONT!K316+FRANCIN!K316+VIVIERS!K316</f>
        <v>0</v>
      </c>
      <c r="L316" s="15">
        <f>CHAMNORD!L316+AIX!L316+BELLEY!L316+STALBAN!L316+ABRETS!L316+PONT!L316+FRANCIN!L316+VIVIERS!L316</f>
        <v>0</v>
      </c>
      <c r="M316" s="15">
        <f>CHAMNORD!M316+AIX!M316+BELLEY!M316+STALBAN!M316+ABRETS!M316+PONT!M316+FRANCIN!M316+VIVIERS!M316</f>
        <v>0</v>
      </c>
      <c r="N316" s="16" t="str">
        <f t="shared" si="20"/>
        <v/>
      </c>
      <c r="O316" s="17" t="str">
        <f t="shared" si="23"/>
        <v/>
      </c>
      <c r="P316" s="17" t="str">
        <f t="shared" si="24"/>
        <v/>
      </c>
      <c r="Q316" s="18" t="str">
        <f t="shared" si="21"/>
        <v/>
      </c>
      <c r="R316" s="18" t="e">
        <f t="shared" si="22"/>
        <v>#DIV/0!</v>
      </c>
      <c r="S316" s="36">
        <f>SUM(J311:J317)</f>
        <v>0</v>
      </c>
      <c r="T316" s="30" t="s">
        <v>3</v>
      </c>
      <c r="U316" s="1738"/>
    </row>
    <row r="317" spans="1:25" ht="18" thickBot="1">
      <c r="A317" s="10" t="s">
        <v>16</v>
      </c>
      <c r="B317" s="905">
        <v>45969</v>
      </c>
      <c r="C317" s="76">
        <f>IF(G317=0,0,CHAMNORD!C317+AIX!C317+BELLEY!C317+STALBAN!C317+ABRETS!C317+PONT!C317+FRANCIN!C317+VIVIERS!C317)</f>
        <v>0</v>
      </c>
      <c r="D317" s="76">
        <f>IF(H317=0,0,CHAMNORD!D317+AIX!D317+BELLEY!D317+STALBAN!D317+ABRETS!D317+PONT!D317+FRANCIN!D317+VIVIERS!D317)</f>
        <v>0</v>
      </c>
      <c r="E317" s="76">
        <f>IF(I317=0,0,CHAMNORD!E317+AIX!E317+BELLEY!E317+STALBAN!E317+ABRETS!E317+PONT!E317+FRANCIN!E317+VIVIERS!E317)</f>
        <v>0</v>
      </c>
      <c r="F317" s="20">
        <f>IF(J317=0,0,CHAMNORD!F317+AIX!F317+BELLEY!F317+STALBAN!F317+ABRETS!F317+PONT!F317+FRANCIN!F317+VIVIERS!F317)</f>
        <v>0</v>
      </c>
      <c r="G317" s="40">
        <f>IF(I317=0,0,CHAMNORD!G317+AIX!G317+BELLEY!G317+STALBAN!G317+ABRETS!G317+PONT!G317+FRANCIN!G317+VIVIERS!G317)</f>
        <v>0</v>
      </c>
      <c r="H317" s="42">
        <f>CHAMNORD!H317+AIX!H317+BELLEY!H317+STALBAN!H317+ABRETS!H317+PONT!H317+FRANCIN!H317+VIVIERS!H317</f>
        <v>0</v>
      </c>
      <c r="I317" s="13">
        <f>CHAMNORD!I317+AIX!I317+BELLEY!I317+STALBAN!I317+ABRETS!I317+PONT!I317+FRANCIN!I317+VIVIERS!I317</f>
        <v>0</v>
      </c>
      <c r="J317" s="14">
        <f>CHAMNORD!J317+AIX!J317+BELLEY!J317+STALBAN!J317+ABRETS!J317+PONT!J317+FRANCIN!J317+VIVIERS!J317</f>
        <v>0</v>
      </c>
      <c r="K317" s="15">
        <f>CHAMNORD!K317+AIX!K317+BELLEY!K317+STALBAN!K317+ABRETS!K317+PONT!K317+FRANCIN!K317+VIVIERS!K317</f>
        <v>0</v>
      </c>
      <c r="L317" s="15">
        <f>CHAMNORD!L317+AIX!L317+BELLEY!L317+STALBAN!L317+ABRETS!L317+PONT!L317+FRANCIN!L317+VIVIERS!L317</f>
        <v>0</v>
      </c>
      <c r="M317" s="15">
        <f>CHAMNORD!M317+AIX!M317+BELLEY!M317+STALBAN!M317+ABRETS!M317+PONT!M317+FRANCIN!M317+VIVIERS!M317</f>
        <v>0</v>
      </c>
      <c r="N317" s="16" t="str">
        <f t="shared" si="20"/>
        <v/>
      </c>
      <c r="O317" s="17" t="str">
        <f t="shared" si="23"/>
        <v/>
      </c>
      <c r="P317" s="17" t="str">
        <f t="shared" si="24"/>
        <v/>
      </c>
      <c r="Q317" s="18" t="str">
        <f t="shared" si="21"/>
        <v/>
      </c>
      <c r="R317" s="18" t="e">
        <f t="shared" si="22"/>
        <v>#DIV/0!</v>
      </c>
      <c r="S317" s="37" t="e">
        <f>(S316-SUM(F311:F317))/(SUM(F311:F317))</f>
        <v>#DIV/0!</v>
      </c>
      <c r="T317" s="47" t="e">
        <f>SUM(M311:M317)/SUM(I311:I317)</f>
        <v>#DIV/0!</v>
      </c>
      <c r="U317" s="1739"/>
    </row>
    <row r="318" spans="1:25" ht="17" customHeight="1" thickTop="1">
      <c r="A318" s="10" t="s">
        <v>9</v>
      </c>
      <c r="B318" s="905">
        <v>45970</v>
      </c>
      <c r="C318" s="76">
        <f>IF(G318=0,0,CHAMNORD!C318+AIX!C318+BELLEY!C318+STALBAN!C318+ABRETS!C318+PONT!C318+FRANCIN!C318+VIVIERS!C318)</f>
        <v>0</v>
      </c>
      <c r="D318" s="76">
        <f>IF(H318=0,0,CHAMNORD!D318+AIX!D318+BELLEY!D318+STALBAN!D318+ABRETS!D318+PONT!D318+FRANCIN!D318+VIVIERS!D318)</f>
        <v>0</v>
      </c>
      <c r="E318" s="76">
        <f>IF(I318=0,0,CHAMNORD!E318+AIX!E318+BELLEY!E318+STALBAN!E318+ABRETS!E318+PONT!E318+FRANCIN!E318+VIVIERS!E318)</f>
        <v>0</v>
      </c>
      <c r="F318" s="20">
        <f>IF(J318=0,0,CHAMNORD!F318+AIX!F318+BELLEY!F318+STALBAN!F318+ABRETS!F318+PONT!F318+FRANCIN!F318+VIVIERS!F318)</f>
        <v>0</v>
      </c>
      <c r="G318" s="40">
        <f>IF(I318=0,0,CHAMNORD!G318+AIX!G318+BELLEY!G318+STALBAN!G318+ABRETS!G318+PONT!G318+FRANCIN!G318+VIVIERS!G318)</f>
        <v>0</v>
      </c>
      <c r="H318" s="42">
        <f>CHAMNORD!H318+AIX!H318+BELLEY!H318+STALBAN!H318+ABRETS!H318+PONT!H318+FRANCIN!H318+VIVIERS!H318</f>
        <v>0</v>
      </c>
      <c r="I318" s="13">
        <f>CHAMNORD!I318+AIX!I318+BELLEY!I318+STALBAN!I318+ABRETS!I318+PONT!I318+FRANCIN!I318+VIVIERS!I318</f>
        <v>0</v>
      </c>
      <c r="J318" s="14">
        <f>CHAMNORD!J318+AIX!J318+BELLEY!J318+STALBAN!J318+ABRETS!J318+PONT!J318+FRANCIN!J318+VIVIERS!J318</f>
        <v>0</v>
      </c>
      <c r="K318" s="15">
        <f>CHAMNORD!K318+AIX!K318+BELLEY!K318+STALBAN!K318+ABRETS!K318+PONT!K318+FRANCIN!K318+VIVIERS!K318</f>
        <v>0</v>
      </c>
      <c r="L318" s="15">
        <f>CHAMNORD!L318+AIX!L318+BELLEY!L318+STALBAN!L318+ABRETS!L318+PONT!L318+FRANCIN!L318+VIVIERS!L318</f>
        <v>0</v>
      </c>
      <c r="M318" s="15">
        <f>CHAMNORD!M318+AIX!M318+BELLEY!M318+STALBAN!M318+ABRETS!M318+PONT!M318+FRANCIN!M318+VIVIERS!M318</f>
        <v>0</v>
      </c>
      <c r="N318" s="16" t="str">
        <f t="shared" si="20"/>
        <v/>
      </c>
      <c r="O318" s="17" t="str">
        <f t="shared" si="23"/>
        <v/>
      </c>
      <c r="P318" s="17" t="str">
        <f t="shared" si="24"/>
        <v/>
      </c>
      <c r="Q318" s="18" t="str">
        <f t="shared" si="21"/>
        <v/>
      </c>
      <c r="R318" s="18" t="e">
        <f t="shared" si="22"/>
        <v>#DIV/0!</v>
      </c>
      <c r="S318" s="33" t="s">
        <v>39</v>
      </c>
      <c r="T318" s="31" t="s">
        <v>42</v>
      </c>
      <c r="U318" s="1737" t="s">
        <v>128</v>
      </c>
    </row>
    <row r="319" spans="1:25">
      <c r="A319" s="10" t="s">
        <v>11</v>
      </c>
      <c r="B319" s="905">
        <v>45971</v>
      </c>
      <c r="C319" s="76">
        <f>IF(G319=0,0,CHAMNORD!C319+AIX!C319+BELLEY!C319+STALBAN!C319+ABRETS!C319+PONT!C319+FRANCIN!C319+VIVIERS!C319)</f>
        <v>0</v>
      </c>
      <c r="D319" s="76">
        <f>IF(H319=0,0,CHAMNORD!D319+AIX!D319+BELLEY!D319+STALBAN!D319+ABRETS!D319+PONT!D319+FRANCIN!D319+VIVIERS!D319)</f>
        <v>0</v>
      </c>
      <c r="E319" s="76">
        <f>IF(I319=0,0,CHAMNORD!E319+AIX!E319+BELLEY!E319+STALBAN!E319+ABRETS!E319+PONT!E319+FRANCIN!E319+VIVIERS!E319)</f>
        <v>0</v>
      </c>
      <c r="F319" s="20">
        <f>IF(J319=0,0,CHAMNORD!F319+AIX!F319+BELLEY!F319+STALBAN!F319+ABRETS!F319+PONT!F319+FRANCIN!F319+VIVIERS!F319)</f>
        <v>0</v>
      </c>
      <c r="G319" s="40">
        <f>IF(I319=0,0,CHAMNORD!G319+AIX!G319+BELLEY!G319+STALBAN!G319+ABRETS!G319+PONT!G319+FRANCIN!G319+VIVIERS!G319)</f>
        <v>0</v>
      </c>
      <c r="H319" s="42">
        <f>CHAMNORD!H319+AIX!H319+BELLEY!H319+STALBAN!H319+ABRETS!H319+PONT!H319+FRANCIN!H319+VIVIERS!H319</f>
        <v>0</v>
      </c>
      <c r="I319" s="13">
        <f>CHAMNORD!I319+AIX!I319+BELLEY!I319+STALBAN!I319+ABRETS!I319+PONT!I319+FRANCIN!I319+VIVIERS!I319</f>
        <v>0</v>
      </c>
      <c r="J319" s="14">
        <f>CHAMNORD!J319+AIX!J319+BELLEY!J319+STALBAN!J319+ABRETS!J319+PONT!J319+FRANCIN!J319+VIVIERS!J319</f>
        <v>0</v>
      </c>
      <c r="K319" s="15">
        <f>CHAMNORD!K319+AIX!K319+BELLEY!K319+STALBAN!K319+ABRETS!K319+PONT!K319+FRANCIN!K319+VIVIERS!K319</f>
        <v>0</v>
      </c>
      <c r="L319" s="15">
        <f>CHAMNORD!L319+AIX!L319+BELLEY!L319+STALBAN!L319+ABRETS!L319+PONT!L319+FRANCIN!L319+VIVIERS!L319</f>
        <v>0</v>
      </c>
      <c r="M319" s="15">
        <f>CHAMNORD!M319+AIX!M319+BELLEY!M319+STALBAN!M319+ABRETS!M319+PONT!M319+FRANCIN!M319+VIVIERS!M319</f>
        <v>0</v>
      </c>
      <c r="N319" s="16" t="str">
        <f t="shared" si="20"/>
        <v/>
      </c>
      <c r="O319" s="17" t="str">
        <f t="shared" si="23"/>
        <v/>
      </c>
      <c r="P319" s="17" t="str">
        <f t="shared" si="24"/>
        <v/>
      </c>
      <c r="Q319" s="18" t="str">
        <f t="shared" si="21"/>
        <v/>
      </c>
      <c r="R319" s="18" t="e">
        <f t="shared" si="22"/>
        <v>#DIV/0!</v>
      </c>
      <c r="S319" s="34">
        <f>SUM(I318:I324)</f>
        <v>0</v>
      </c>
      <c r="T319" s="45" t="s">
        <v>41</v>
      </c>
      <c r="U319" s="1738"/>
      <c r="W319" s="202">
        <f>+S319</f>
        <v>0</v>
      </c>
      <c r="X319" s="202">
        <f>SUM(CHAMNORD!E318:E324)+SUM(AIX!E318:E324)+SUM(BELLEY!E318:E324)+SUM(STALBAN!E318:E324)+SUM(ABRETS!E318:E324)+SUM(PONT!E318:E324)+SUM(FRANCIN!E318:E324)+SUM(VIVIERS!E318:E324)</f>
        <v>0</v>
      </c>
      <c r="Y319" s="1051">
        <f>+W319-X319</f>
        <v>0</v>
      </c>
    </row>
    <row r="320" spans="1:25">
      <c r="A320" s="10" t="s">
        <v>12</v>
      </c>
      <c r="B320" s="905">
        <v>45972</v>
      </c>
      <c r="C320" s="76">
        <f>IF(G320=0,0,CHAMNORD!C320+AIX!C320+BELLEY!C320+STALBAN!C320+ABRETS!C320+PONT!C320+FRANCIN!C320+VIVIERS!C320)</f>
        <v>0</v>
      </c>
      <c r="D320" s="76">
        <f>IF(H320=0,0,CHAMNORD!D320+AIX!D320+BELLEY!D320+STALBAN!D320+ABRETS!D320+PONT!D320+FRANCIN!D320+VIVIERS!D320)</f>
        <v>0</v>
      </c>
      <c r="E320" s="76">
        <f>IF(I320=0,0,CHAMNORD!E320+AIX!E320+BELLEY!E320+STALBAN!E320+ABRETS!E320+PONT!E320+FRANCIN!E320+VIVIERS!E320)</f>
        <v>0</v>
      </c>
      <c r="F320" s="20">
        <f>IF(J320=0,0,CHAMNORD!F320+AIX!F320+BELLEY!F320+STALBAN!F320+ABRETS!F320+PONT!F320+FRANCIN!F320+VIVIERS!F320)</f>
        <v>0</v>
      </c>
      <c r="G320" s="40">
        <f>IF(I320=0,0,CHAMNORD!G320+AIX!G320+BELLEY!G320+STALBAN!G320+ABRETS!G320+PONT!G320+FRANCIN!G320+VIVIERS!G320)</f>
        <v>0</v>
      </c>
      <c r="H320" s="42">
        <f>CHAMNORD!H320+AIX!H320+BELLEY!H320+STALBAN!H320+ABRETS!H320+PONT!H320+FRANCIN!H320+VIVIERS!H320</f>
        <v>0</v>
      </c>
      <c r="I320" s="13">
        <f>CHAMNORD!I320+AIX!I320+BELLEY!I320+STALBAN!I320+ABRETS!I320+PONT!I320+FRANCIN!I320+VIVIERS!I320</f>
        <v>0</v>
      </c>
      <c r="J320" s="14">
        <f>CHAMNORD!J320+AIX!J320+BELLEY!J320+STALBAN!J320+ABRETS!J320+PONT!J320+FRANCIN!J320+VIVIERS!J320</f>
        <v>0</v>
      </c>
      <c r="K320" s="15">
        <f>CHAMNORD!K320+AIX!K320+BELLEY!K320+STALBAN!K320+ABRETS!K320+PONT!K320+FRANCIN!K320+VIVIERS!K320</f>
        <v>0</v>
      </c>
      <c r="L320" s="15">
        <f>CHAMNORD!L320+AIX!L320+BELLEY!L320+STALBAN!L320+ABRETS!L320+PONT!L320+FRANCIN!L320+VIVIERS!L320</f>
        <v>0</v>
      </c>
      <c r="M320" s="15">
        <f>CHAMNORD!M320+AIX!M320+BELLEY!M320+STALBAN!M320+ABRETS!M320+PONT!M320+FRANCIN!M320+VIVIERS!M320</f>
        <v>0</v>
      </c>
      <c r="N320" s="16" t="str">
        <f t="shared" si="20"/>
        <v/>
      </c>
      <c r="O320" s="17" t="str">
        <f t="shared" si="23"/>
        <v/>
      </c>
      <c r="P320" s="17" t="str">
        <f t="shared" si="24"/>
        <v/>
      </c>
      <c r="Q320" s="18" t="str">
        <f t="shared" si="21"/>
        <v/>
      </c>
      <c r="R320" s="18" t="e">
        <f t="shared" si="22"/>
        <v>#DIV/0!</v>
      </c>
      <c r="S320" s="35" t="e">
        <f>(S319-SUM(E318:E324))/(SUM(E318:E324))</f>
        <v>#DIV/0!</v>
      </c>
      <c r="T320" s="48" t="e">
        <f>SUM(I318:I324)/SUM(K318:K324)</f>
        <v>#DIV/0!</v>
      </c>
      <c r="U320" s="1738"/>
    </row>
    <row r="321" spans="1:25">
      <c r="A321" s="10" t="s">
        <v>13</v>
      </c>
      <c r="B321" s="905">
        <v>45973</v>
      </c>
      <c r="C321" s="76">
        <f>IF(G321=0,0,CHAMNORD!C321+AIX!C321+BELLEY!C321+STALBAN!C321+ABRETS!C321+PONT!C321+FRANCIN!C321+VIVIERS!C321)</f>
        <v>0</v>
      </c>
      <c r="D321" s="76">
        <f>IF(H321=0,0,CHAMNORD!D321+AIX!D321+BELLEY!D321+STALBAN!D321+ABRETS!D321+PONT!D321+FRANCIN!D321+VIVIERS!D321)</f>
        <v>0</v>
      </c>
      <c r="E321" s="76">
        <f>IF(I321=0,0,CHAMNORD!E321+AIX!E321+BELLEY!E321+STALBAN!E321+ABRETS!E321+PONT!E321+FRANCIN!E321+VIVIERS!E321)</f>
        <v>0</v>
      </c>
      <c r="F321" s="20">
        <f>IF(J321=0,0,CHAMNORD!F321+AIX!F321+BELLEY!F321+STALBAN!F321+ABRETS!F321+PONT!F321+FRANCIN!F321+VIVIERS!F321)</f>
        <v>0</v>
      </c>
      <c r="G321" s="40">
        <f>IF(I321=0,0,CHAMNORD!G321+AIX!G321+BELLEY!G321+STALBAN!G321+ABRETS!G321+PONT!G321+FRANCIN!G321+VIVIERS!G321)</f>
        <v>0</v>
      </c>
      <c r="H321" s="42">
        <f>CHAMNORD!H321+AIX!H321+BELLEY!H321+STALBAN!H321+ABRETS!H321+PONT!H321+FRANCIN!H321+VIVIERS!H321</f>
        <v>0</v>
      </c>
      <c r="I321" s="13">
        <f>CHAMNORD!I321+AIX!I321+BELLEY!I321+STALBAN!I321+ABRETS!I321+PONT!I321+FRANCIN!I321+VIVIERS!I321</f>
        <v>0</v>
      </c>
      <c r="J321" s="14">
        <f>CHAMNORD!J321+AIX!J321+BELLEY!J321+STALBAN!J321+ABRETS!J321+PONT!J321+FRANCIN!J321+VIVIERS!J321</f>
        <v>0</v>
      </c>
      <c r="K321" s="15">
        <f>CHAMNORD!K321+AIX!K321+BELLEY!K321+STALBAN!K321+ABRETS!K321+PONT!K321+FRANCIN!K321+VIVIERS!K321</f>
        <v>0</v>
      </c>
      <c r="L321" s="15">
        <f>CHAMNORD!L321+AIX!L321+BELLEY!L321+STALBAN!L321+ABRETS!L321+PONT!L321+FRANCIN!L321+VIVIERS!L321</f>
        <v>0</v>
      </c>
      <c r="M321" s="15">
        <f>CHAMNORD!M321+AIX!M321+BELLEY!M321+STALBAN!M321+ABRETS!M321+PONT!M321+FRANCIN!M321+VIVIERS!M321</f>
        <v>0</v>
      </c>
      <c r="N321" s="16" t="str">
        <f t="shared" si="20"/>
        <v/>
      </c>
      <c r="O321" s="17" t="str">
        <f t="shared" si="23"/>
        <v/>
      </c>
      <c r="P321" s="17" t="str">
        <f t="shared" si="24"/>
        <v/>
      </c>
      <c r="Q321" s="18" t="str">
        <f t="shared" si="21"/>
        <v/>
      </c>
      <c r="R321" s="18" t="e">
        <f t="shared" si="22"/>
        <v>#DIV/0!</v>
      </c>
      <c r="S321" s="34"/>
      <c r="T321" s="29" t="s">
        <v>8</v>
      </c>
      <c r="U321" s="1738"/>
    </row>
    <row r="322" spans="1:25">
      <c r="A322" s="10" t="s">
        <v>14</v>
      </c>
      <c r="B322" s="905">
        <v>45974</v>
      </c>
      <c r="C322" s="76">
        <f>IF(G322=0,0,CHAMNORD!C322+AIX!C322+BELLEY!C322+STALBAN!C322+ABRETS!C322+PONT!C322+FRANCIN!C322+VIVIERS!C322)</f>
        <v>0</v>
      </c>
      <c r="D322" s="76">
        <f>IF(H322=0,0,CHAMNORD!D322+AIX!D322+BELLEY!D322+STALBAN!D322+ABRETS!D322+PONT!D322+FRANCIN!D322+VIVIERS!D322)</f>
        <v>0</v>
      </c>
      <c r="E322" s="76">
        <f>IF(I322=0,0,CHAMNORD!E322+AIX!E322+BELLEY!E322+STALBAN!E322+ABRETS!E322+PONT!E322+FRANCIN!E322+VIVIERS!E322)</f>
        <v>0</v>
      </c>
      <c r="F322" s="20">
        <f>IF(J322=0,0,CHAMNORD!F322+AIX!F322+BELLEY!F322+STALBAN!F322+ABRETS!F322+PONT!F322+FRANCIN!F322+VIVIERS!F322)</f>
        <v>0</v>
      </c>
      <c r="G322" s="40">
        <f>IF(I322=0,0,CHAMNORD!G322+AIX!G322+BELLEY!G322+STALBAN!G322+ABRETS!G322+PONT!G322+FRANCIN!G322+VIVIERS!G322)</f>
        <v>0</v>
      </c>
      <c r="H322" s="42">
        <f>CHAMNORD!H322+AIX!H322+BELLEY!H322+STALBAN!H322+ABRETS!H322+PONT!H322+FRANCIN!H322+VIVIERS!H322</f>
        <v>0</v>
      </c>
      <c r="I322" s="13">
        <f>CHAMNORD!I322+AIX!I322+BELLEY!I322+STALBAN!I322+ABRETS!I322+PONT!I322+FRANCIN!I322+VIVIERS!I322</f>
        <v>0</v>
      </c>
      <c r="J322" s="14">
        <f>CHAMNORD!J322+AIX!J322+BELLEY!J322+STALBAN!J322+ABRETS!J322+PONT!J322+FRANCIN!J322+VIVIERS!J322</f>
        <v>0</v>
      </c>
      <c r="K322" s="15">
        <f>CHAMNORD!K322+AIX!K322+BELLEY!K322+STALBAN!K322+ABRETS!K322+PONT!K322+FRANCIN!K322+VIVIERS!K322</f>
        <v>0</v>
      </c>
      <c r="L322" s="15">
        <f>CHAMNORD!L322+AIX!L322+BELLEY!L322+STALBAN!L322+ABRETS!L322+PONT!L322+FRANCIN!L322+VIVIERS!L322</f>
        <v>0</v>
      </c>
      <c r="M322" s="15">
        <f>CHAMNORD!M322+AIX!M322+BELLEY!M322+STALBAN!M322+ABRETS!M322+PONT!M322+FRANCIN!M322+VIVIERS!M322</f>
        <v>0</v>
      </c>
      <c r="N322" s="16" t="str">
        <f t="shared" si="20"/>
        <v/>
      </c>
      <c r="O322" s="17" t="str">
        <f t="shared" si="23"/>
        <v/>
      </c>
      <c r="P322" s="17" t="str">
        <f t="shared" si="24"/>
        <v/>
      </c>
      <c r="Q322" s="18" t="str">
        <f t="shared" si="21"/>
        <v/>
      </c>
      <c r="R322" s="18" t="e">
        <f t="shared" si="22"/>
        <v>#DIV/0!</v>
      </c>
      <c r="S322" s="36" t="s">
        <v>40</v>
      </c>
      <c r="T322" s="48" t="e">
        <f>SUM(I318:I324)/SUM(L318:L324)</f>
        <v>#DIV/0!</v>
      </c>
      <c r="U322" s="1738"/>
    </row>
    <row r="323" spans="1:25">
      <c r="A323" s="10" t="s">
        <v>15</v>
      </c>
      <c r="B323" s="905">
        <v>45975</v>
      </c>
      <c r="C323" s="76">
        <f>IF(G323=0,0,CHAMNORD!C323+AIX!C323+BELLEY!C323+STALBAN!C323+ABRETS!C323+PONT!C323+FRANCIN!C323+VIVIERS!C323)</f>
        <v>0</v>
      </c>
      <c r="D323" s="76">
        <f>IF(H323=0,0,CHAMNORD!D323+AIX!D323+BELLEY!D323+STALBAN!D323+ABRETS!D323+PONT!D323+FRANCIN!D323+VIVIERS!D323)</f>
        <v>0</v>
      </c>
      <c r="E323" s="76">
        <f>IF(I323=0,0,CHAMNORD!E323+AIX!E323+BELLEY!E323+STALBAN!E323+ABRETS!E323+PONT!E323+FRANCIN!E323+VIVIERS!E323)</f>
        <v>0</v>
      </c>
      <c r="F323" s="20">
        <f>IF(J323=0,0,CHAMNORD!F323+AIX!F323+BELLEY!F323+STALBAN!F323+ABRETS!F323+PONT!F323+FRANCIN!F323+VIVIERS!F323)</f>
        <v>0</v>
      </c>
      <c r="G323" s="40">
        <f>IF(I323=0,0,CHAMNORD!G323+AIX!G323+BELLEY!G323+STALBAN!G323+ABRETS!G323+PONT!G323+FRANCIN!G323+VIVIERS!G323)</f>
        <v>0</v>
      </c>
      <c r="H323" s="42">
        <f>CHAMNORD!H323+AIX!H323+BELLEY!H323+STALBAN!H323+ABRETS!H323+PONT!H323+FRANCIN!H323+VIVIERS!H323</f>
        <v>0</v>
      </c>
      <c r="I323" s="13">
        <f>CHAMNORD!I323+AIX!I323+BELLEY!I323+STALBAN!I323+ABRETS!I323+PONT!I323+FRANCIN!I323+VIVIERS!I323</f>
        <v>0</v>
      </c>
      <c r="J323" s="14">
        <f>CHAMNORD!J323+AIX!J323+BELLEY!J323+STALBAN!J323+ABRETS!J323+PONT!J323+FRANCIN!J323+VIVIERS!J323</f>
        <v>0</v>
      </c>
      <c r="K323" s="15">
        <f>CHAMNORD!K323+AIX!K323+BELLEY!K323+STALBAN!K323+ABRETS!K323+PONT!K323+FRANCIN!K323+VIVIERS!K323</f>
        <v>0</v>
      </c>
      <c r="L323" s="15">
        <f>CHAMNORD!L323+AIX!L323+BELLEY!L323+STALBAN!L323+ABRETS!L323+PONT!L323+FRANCIN!L323+VIVIERS!L323</f>
        <v>0</v>
      </c>
      <c r="M323" s="15">
        <f>CHAMNORD!M323+AIX!M323+BELLEY!M323+STALBAN!M323+ABRETS!M323+PONT!M323+FRANCIN!M323+VIVIERS!M323</f>
        <v>0</v>
      </c>
      <c r="N323" s="16" t="str">
        <f t="shared" si="20"/>
        <v/>
      </c>
      <c r="O323" s="17" t="str">
        <f t="shared" si="23"/>
        <v/>
      </c>
      <c r="P323" s="17" t="str">
        <f t="shared" si="24"/>
        <v/>
      </c>
      <c r="Q323" s="18" t="str">
        <f t="shared" si="21"/>
        <v/>
      </c>
      <c r="R323" s="18" t="e">
        <f t="shared" si="22"/>
        <v>#DIV/0!</v>
      </c>
      <c r="S323" s="36">
        <f>SUM(J318:J324)</f>
        <v>0</v>
      </c>
      <c r="T323" s="30" t="s">
        <v>3</v>
      </c>
      <c r="U323" s="1738"/>
    </row>
    <row r="324" spans="1:25" ht="18" thickBot="1">
      <c r="A324" s="10" t="s">
        <v>16</v>
      </c>
      <c r="B324" s="905">
        <v>45976</v>
      </c>
      <c r="C324" s="76">
        <f>IF(G324=0,0,CHAMNORD!C324+AIX!C324+BELLEY!C324+STALBAN!C324+ABRETS!C324+PONT!C324+FRANCIN!C324+VIVIERS!C324)</f>
        <v>0</v>
      </c>
      <c r="D324" s="76">
        <f>IF(H324=0,0,CHAMNORD!D324+AIX!D324+BELLEY!D324+STALBAN!D324+ABRETS!D324+PONT!D324+FRANCIN!D324+VIVIERS!D324)</f>
        <v>0</v>
      </c>
      <c r="E324" s="76">
        <f>IF(I324=0,0,CHAMNORD!E324+AIX!E324+BELLEY!E324+STALBAN!E324+ABRETS!E324+PONT!E324+FRANCIN!E324+VIVIERS!E324)</f>
        <v>0</v>
      </c>
      <c r="F324" s="20">
        <f>IF(J324=0,0,CHAMNORD!F324+AIX!F324+BELLEY!F324+STALBAN!F324+ABRETS!F324+PONT!F324+FRANCIN!F324+VIVIERS!F324)</f>
        <v>0</v>
      </c>
      <c r="G324" s="40">
        <f>IF(I324=0,0,CHAMNORD!G324+AIX!G324+BELLEY!G324+STALBAN!G324+ABRETS!G324+PONT!G324+FRANCIN!G324+VIVIERS!G324)</f>
        <v>0</v>
      </c>
      <c r="H324" s="42">
        <f>CHAMNORD!H324+AIX!H324+BELLEY!H324+STALBAN!H324+ABRETS!H324+PONT!H324+FRANCIN!H324+VIVIERS!H324</f>
        <v>0</v>
      </c>
      <c r="I324" s="13">
        <f>CHAMNORD!I324+AIX!I324+BELLEY!I324+STALBAN!I324+ABRETS!I324+PONT!I324+FRANCIN!I324+VIVIERS!I324</f>
        <v>0</v>
      </c>
      <c r="J324" s="14">
        <f>CHAMNORD!J324+AIX!J324+BELLEY!J324+STALBAN!J324+ABRETS!J324+PONT!J324+FRANCIN!J324+VIVIERS!J324</f>
        <v>0</v>
      </c>
      <c r="K324" s="15">
        <f>CHAMNORD!K324+AIX!K324+BELLEY!K324+STALBAN!K324+ABRETS!K324+PONT!K324+FRANCIN!K324+VIVIERS!K324</f>
        <v>0</v>
      </c>
      <c r="L324" s="15">
        <f>CHAMNORD!L324+AIX!L324+BELLEY!L324+STALBAN!L324+ABRETS!L324+PONT!L324+FRANCIN!L324+VIVIERS!L324</f>
        <v>0</v>
      </c>
      <c r="M324" s="15">
        <f>CHAMNORD!M324+AIX!M324+BELLEY!M324+STALBAN!M324+ABRETS!M324+PONT!M324+FRANCIN!M324+VIVIERS!M324</f>
        <v>0</v>
      </c>
      <c r="N324" s="16" t="str">
        <f t="shared" ref="N324:N368" si="25">IF(M324=0,"",M324/I324)</f>
        <v/>
      </c>
      <c r="O324" s="17" t="str">
        <f t="shared" si="23"/>
        <v/>
      </c>
      <c r="P324" s="17" t="str">
        <f t="shared" si="24"/>
        <v/>
      </c>
      <c r="Q324" s="18" t="str">
        <f t="shared" ref="Q324:Q368" si="26">IF(I324=0,"",I324/K324)</f>
        <v/>
      </c>
      <c r="R324" s="18" t="e">
        <f t="shared" ref="R324:R368" si="27">I324/L324</f>
        <v>#DIV/0!</v>
      </c>
      <c r="S324" s="37" t="e">
        <f>(S323-SUM(F318:F324))/(SUM(F318:F324))</f>
        <v>#DIV/0!</v>
      </c>
      <c r="T324" s="47" t="e">
        <f>SUM(M318:M324)/SUM(I318:I324)</f>
        <v>#DIV/0!</v>
      </c>
      <c r="U324" s="1739"/>
    </row>
    <row r="325" spans="1:25" ht="17" customHeight="1" thickTop="1">
      <c r="A325" s="10" t="s">
        <v>9</v>
      </c>
      <c r="B325" s="905">
        <v>45977</v>
      </c>
      <c r="C325" s="76">
        <f>IF(G325=0,0,CHAMNORD!C325+AIX!C325+BELLEY!C325+STALBAN!C325+ABRETS!C325+PONT!C325+FRANCIN!C325+VIVIERS!C325)</f>
        <v>0</v>
      </c>
      <c r="D325" s="76">
        <f>IF(H325=0,0,CHAMNORD!D325+AIX!D325+BELLEY!D325+STALBAN!D325+ABRETS!D325+PONT!D325+FRANCIN!D325+VIVIERS!D325)</f>
        <v>0</v>
      </c>
      <c r="E325" s="76">
        <f>IF(I325=0,0,CHAMNORD!E325+AIX!E325+BELLEY!E325+STALBAN!E325+ABRETS!E325+PONT!E325+FRANCIN!E325+VIVIERS!E325)</f>
        <v>0</v>
      </c>
      <c r="F325" s="20">
        <f>IF(J325=0,0,CHAMNORD!F325+AIX!F325+BELLEY!F325+STALBAN!F325+ABRETS!F325+PONT!F325+FRANCIN!F325+VIVIERS!F325)</f>
        <v>0</v>
      </c>
      <c r="G325" s="40">
        <f>IF(I325=0,0,CHAMNORD!G325+AIX!G325+BELLEY!G325+STALBAN!G325+ABRETS!G325+PONT!G325+FRANCIN!G325+VIVIERS!G325)</f>
        <v>0</v>
      </c>
      <c r="H325" s="42">
        <f>CHAMNORD!H325+AIX!H325+BELLEY!H325+STALBAN!H325+ABRETS!H325+PONT!H325+FRANCIN!H325+VIVIERS!H325</f>
        <v>0</v>
      </c>
      <c r="I325" s="13">
        <f>CHAMNORD!I325+AIX!I325+BELLEY!I325+STALBAN!I325+ABRETS!I325+PONT!I325+FRANCIN!I325+VIVIERS!I325</f>
        <v>0</v>
      </c>
      <c r="J325" s="14">
        <f>CHAMNORD!J325+AIX!J325+BELLEY!J325+STALBAN!J325+ABRETS!J325+PONT!J325+FRANCIN!J325+VIVIERS!J325</f>
        <v>0</v>
      </c>
      <c r="K325" s="15">
        <f>CHAMNORD!K325+AIX!K325+BELLEY!K325+STALBAN!K325+ABRETS!K325+PONT!K325+FRANCIN!K325+VIVIERS!K325</f>
        <v>0</v>
      </c>
      <c r="L325" s="15">
        <f>CHAMNORD!L325+AIX!L325+BELLEY!L325+STALBAN!L325+ABRETS!L325+PONT!L325+FRANCIN!L325+VIVIERS!L325</f>
        <v>0</v>
      </c>
      <c r="M325" s="15">
        <f>CHAMNORD!M325+AIX!M325+BELLEY!M325+STALBAN!M325+ABRETS!M325+PONT!M325+FRANCIN!M325+VIVIERS!M325</f>
        <v>0</v>
      </c>
      <c r="N325" s="16" t="str">
        <f t="shared" si="25"/>
        <v/>
      </c>
      <c r="O325" s="17" t="str">
        <f t="shared" si="23"/>
        <v/>
      </c>
      <c r="P325" s="17" t="str">
        <f t="shared" si="24"/>
        <v/>
      </c>
      <c r="Q325" s="18" t="str">
        <f t="shared" si="26"/>
        <v/>
      </c>
      <c r="R325" s="18" t="e">
        <f t="shared" si="27"/>
        <v>#DIV/0!</v>
      </c>
      <c r="S325" s="33" t="s">
        <v>39</v>
      </c>
      <c r="T325" s="31" t="s">
        <v>42</v>
      </c>
      <c r="U325" s="1737" t="s">
        <v>129</v>
      </c>
    </row>
    <row r="326" spans="1:25">
      <c r="A326" s="10" t="s">
        <v>11</v>
      </c>
      <c r="B326" s="905">
        <v>45978</v>
      </c>
      <c r="C326" s="76">
        <f>IF(G326=0,0,CHAMNORD!C326+AIX!C326+BELLEY!C326+STALBAN!C326+ABRETS!C326+PONT!C326+FRANCIN!C326+VIVIERS!C326)</f>
        <v>0</v>
      </c>
      <c r="D326" s="76">
        <f>IF(H326=0,0,CHAMNORD!D326+AIX!D326+BELLEY!D326+STALBAN!D326+ABRETS!D326+PONT!D326+FRANCIN!D326+VIVIERS!D326)</f>
        <v>0</v>
      </c>
      <c r="E326" s="76">
        <f>IF(I326=0,0,CHAMNORD!E326+AIX!E326+BELLEY!E326+STALBAN!E326+ABRETS!E326+PONT!E326+FRANCIN!E326+VIVIERS!E326)</f>
        <v>0</v>
      </c>
      <c r="F326" s="20">
        <f>IF(J326=0,0,CHAMNORD!F326+AIX!F326+BELLEY!F326+STALBAN!F326+ABRETS!F326+PONT!F326+FRANCIN!F326+VIVIERS!F326)</f>
        <v>0</v>
      </c>
      <c r="G326" s="40">
        <f>IF(I326=0,0,CHAMNORD!G326+AIX!G326+BELLEY!G326+STALBAN!G326+ABRETS!G326+PONT!G326+FRANCIN!G326+VIVIERS!G326)</f>
        <v>0</v>
      </c>
      <c r="H326" s="42">
        <f>CHAMNORD!H326+AIX!H326+BELLEY!H326+STALBAN!H326+ABRETS!H326+PONT!H326+FRANCIN!H326+VIVIERS!H326</f>
        <v>0</v>
      </c>
      <c r="I326" s="13">
        <f>CHAMNORD!I326+AIX!I326+BELLEY!I326+STALBAN!I326+ABRETS!I326+PONT!I326+FRANCIN!I326+VIVIERS!I326</f>
        <v>0</v>
      </c>
      <c r="J326" s="14">
        <f>CHAMNORD!J326+AIX!J326+BELLEY!J326+STALBAN!J326+ABRETS!J326+PONT!J326+FRANCIN!J326+VIVIERS!J326</f>
        <v>0</v>
      </c>
      <c r="K326" s="15">
        <f>CHAMNORD!K326+AIX!K326+BELLEY!K326+STALBAN!K326+ABRETS!K326+PONT!K326+FRANCIN!K326+VIVIERS!K326</f>
        <v>0</v>
      </c>
      <c r="L326" s="15">
        <f>CHAMNORD!L326+AIX!L326+BELLEY!L326+STALBAN!L326+ABRETS!L326+PONT!L326+FRANCIN!L326+VIVIERS!L326</f>
        <v>0</v>
      </c>
      <c r="M326" s="15">
        <f>CHAMNORD!M326+AIX!M326+BELLEY!M326+STALBAN!M326+ABRETS!M326+PONT!M326+FRANCIN!M326+VIVIERS!M326</f>
        <v>0</v>
      </c>
      <c r="N326" s="16" t="str">
        <f t="shared" si="25"/>
        <v/>
      </c>
      <c r="O326" s="17" t="str">
        <f t="shared" si="23"/>
        <v/>
      </c>
      <c r="P326" s="17" t="str">
        <f t="shared" si="24"/>
        <v/>
      </c>
      <c r="Q326" s="18" t="str">
        <f t="shared" si="26"/>
        <v/>
      </c>
      <c r="R326" s="18" t="e">
        <f t="shared" si="27"/>
        <v>#DIV/0!</v>
      </c>
      <c r="S326" s="34">
        <f>SUM(I325:I331)</f>
        <v>0</v>
      </c>
      <c r="T326" s="45" t="s">
        <v>41</v>
      </c>
      <c r="U326" s="1738"/>
      <c r="W326" s="202">
        <f>+S326</f>
        <v>0</v>
      </c>
      <c r="X326" s="202">
        <f>SUM(CHAMNORD!E325:E331)+SUM(AIX!E325:E331)+SUM(BELLEY!E325:E331)+SUM(STALBAN!E325:E331)+SUM(ABRETS!E325:E331)+SUM(PONT!E325:E331)+SUM(FRANCIN!E325:E331)+SUM(VIVIERS!E325:E331)</f>
        <v>0</v>
      </c>
      <c r="Y326" s="1051">
        <f>+W326-X326</f>
        <v>0</v>
      </c>
    </row>
    <row r="327" spans="1:25">
      <c r="A327" s="10" t="s">
        <v>12</v>
      </c>
      <c r="B327" s="905">
        <v>45979</v>
      </c>
      <c r="C327" s="76">
        <f>IF(G327=0,0,CHAMNORD!C327+AIX!C327+BELLEY!C327+STALBAN!C327+ABRETS!C327+PONT!C327+FRANCIN!C327+VIVIERS!C327)</f>
        <v>0</v>
      </c>
      <c r="D327" s="76">
        <f>IF(H327=0,0,CHAMNORD!D327+AIX!D327+BELLEY!D327+STALBAN!D327+ABRETS!D327+PONT!D327+FRANCIN!D327+VIVIERS!D327)</f>
        <v>0</v>
      </c>
      <c r="E327" s="76">
        <f>IF(I327=0,0,CHAMNORD!E327+AIX!E327+BELLEY!E327+STALBAN!E327+ABRETS!E327+PONT!E327+FRANCIN!E327+VIVIERS!E327)</f>
        <v>0</v>
      </c>
      <c r="F327" s="20">
        <f>IF(J327=0,0,CHAMNORD!F327+AIX!F327+BELLEY!F327+STALBAN!F327+ABRETS!F327+PONT!F327+FRANCIN!F327+VIVIERS!F327)</f>
        <v>0</v>
      </c>
      <c r="G327" s="40">
        <f>IF(I327=0,0,CHAMNORD!G327+AIX!G327+BELLEY!G327+STALBAN!G327+ABRETS!G327+PONT!G327+FRANCIN!G327+VIVIERS!G327)</f>
        <v>0</v>
      </c>
      <c r="H327" s="42">
        <f>CHAMNORD!H327+AIX!H327+BELLEY!H327+STALBAN!H327+ABRETS!H327+PONT!H327+FRANCIN!H327+VIVIERS!H327</f>
        <v>0</v>
      </c>
      <c r="I327" s="13">
        <f>CHAMNORD!I327+AIX!I327+BELLEY!I327+STALBAN!I327+ABRETS!I327+PONT!I327+FRANCIN!I327+VIVIERS!I327</f>
        <v>0</v>
      </c>
      <c r="J327" s="14">
        <f>CHAMNORD!J327+AIX!J327+BELLEY!J327+STALBAN!J327+ABRETS!J327+PONT!J327+FRANCIN!J327+VIVIERS!J327</f>
        <v>0</v>
      </c>
      <c r="K327" s="15">
        <f>CHAMNORD!K327+AIX!K327+BELLEY!K327+STALBAN!K327+ABRETS!K327+PONT!K327+FRANCIN!K327+VIVIERS!K327</f>
        <v>0</v>
      </c>
      <c r="L327" s="15">
        <f>CHAMNORD!L327+AIX!L327+BELLEY!L327+STALBAN!L327+ABRETS!L327+PONT!L327+FRANCIN!L327+VIVIERS!L327</f>
        <v>0</v>
      </c>
      <c r="M327" s="15">
        <f>CHAMNORD!M327+AIX!M327+BELLEY!M327+STALBAN!M327+ABRETS!M327+PONT!M327+FRANCIN!M327+VIVIERS!M327</f>
        <v>0</v>
      </c>
      <c r="N327" s="16" t="str">
        <f t="shared" si="25"/>
        <v/>
      </c>
      <c r="O327" s="17" t="str">
        <f t="shared" ref="O327:O368" si="28">IF(I327=0,"",(I327-E327)/E327)</f>
        <v/>
      </c>
      <c r="P327" s="17" t="str">
        <f t="shared" ref="P327:P368" si="29">IF(J327=0,"",(J327-F327)/F327)</f>
        <v/>
      </c>
      <c r="Q327" s="18" t="str">
        <f t="shared" si="26"/>
        <v/>
      </c>
      <c r="R327" s="18" t="e">
        <f t="shared" si="27"/>
        <v>#DIV/0!</v>
      </c>
      <c r="S327" s="35" t="e">
        <f>(S326-SUM(E325:E331))/(SUM(E325:E331))</f>
        <v>#DIV/0!</v>
      </c>
      <c r="T327" s="48" t="e">
        <f>SUM(I325:I331)/SUM(K325:K331)</f>
        <v>#DIV/0!</v>
      </c>
      <c r="U327" s="1738"/>
    </row>
    <row r="328" spans="1:25">
      <c r="A328" s="10" t="s">
        <v>13</v>
      </c>
      <c r="B328" s="905">
        <v>45980</v>
      </c>
      <c r="C328" s="76">
        <f>IF(G328=0,0,CHAMNORD!C328+AIX!C328+BELLEY!C328+STALBAN!C328+ABRETS!C328+PONT!C328+FRANCIN!C328+VIVIERS!C328)</f>
        <v>0</v>
      </c>
      <c r="D328" s="76">
        <f>IF(H328=0,0,CHAMNORD!D328+AIX!D328+BELLEY!D328+STALBAN!D328+ABRETS!D328+PONT!D328+FRANCIN!D328+VIVIERS!D328)</f>
        <v>0</v>
      </c>
      <c r="E328" s="76">
        <f>IF(I328=0,0,CHAMNORD!E328+AIX!E328+BELLEY!E328+STALBAN!E328+ABRETS!E328+PONT!E328+FRANCIN!E328+VIVIERS!E328)</f>
        <v>0</v>
      </c>
      <c r="F328" s="20">
        <f>IF(J328=0,0,CHAMNORD!F328+AIX!F328+BELLEY!F328+STALBAN!F328+ABRETS!F328+PONT!F328+FRANCIN!F328+VIVIERS!F328)</f>
        <v>0</v>
      </c>
      <c r="G328" s="40">
        <f>IF(I328=0,0,CHAMNORD!G328+AIX!G328+BELLEY!G328+STALBAN!G328+ABRETS!G328+PONT!G328+FRANCIN!G328+VIVIERS!G328)</f>
        <v>0</v>
      </c>
      <c r="H328" s="42">
        <f>CHAMNORD!H328+AIX!H328+BELLEY!H328+STALBAN!H328+ABRETS!H328+PONT!H328+FRANCIN!H328+VIVIERS!H328</f>
        <v>0</v>
      </c>
      <c r="I328" s="13">
        <f>CHAMNORD!I328+AIX!I328+BELLEY!I328+STALBAN!I328+ABRETS!I328+PONT!I328+FRANCIN!I328+VIVIERS!I328</f>
        <v>0</v>
      </c>
      <c r="J328" s="14">
        <f>CHAMNORD!J328+AIX!J328+BELLEY!J328+STALBAN!J328+ABRETS!J328+PONT!J328+FRANCIN!J328+VIVIERS!J328</f>
        <v>0</v>
      </c>
      <c r="K328" s="15">
        <f>CHAMNORD!K328+AIX!K328+BELLEY!K328+STALBAN!K328+ABRETS!K328+PONT!K328+FRANCIN!K328+VIVIERS!K328</f>
        <v>0</v>
      </c>
      <c r="L328" s="15">
        <f>CHAMNORD!L328+AIX!L328+BELLEY!L328+STALBAN!L328+ABRETS!L328+PONT!L328+FRANCIN!L328+VIVIERS!L328</f>
        <v>0</v>
      </c>
      <c r="M328" s="15">
        <f>CHAMNORD!M328+AIX!M328+BELLEY!M328+STALBAN!M328+ABRETS!M328+PONT!M328+FRANCIN!M328+VIVIERS!M328</f>
        <v>0</v>
      </c>
      <c r="N328" s="16" t="str">
        <f t="shared" si="25"/>
        <v/>
      </c>
      <c r="O328" s="17" t="str">
        <f t="shared" si="28"/>
        <v/>
      </c>
      <c r="P328" s="17" t="str">
        <f t="shared" si="29"/>
        <v/>
      </c>
      <c r="Q328" s="18" t="str">
        <f t="shared" si="26"/>
        <v/>
      </c>
      <c r="R328" s="18" t="e">
        <f t="shared" si="27"/>
        <v>#DIV/0!</v>
      </c>
      <c r="S328" s="34"/>
      <c r="T328" s="29" t="s">
        <v>8</v>
      </c>
      <c r="U328" s="1738"/>
    </row>
    <row r="329" spans="1:25">
      <c r="A329" s="10" t="s">
        <v>14</v>
      </c>
      <c r="B329" s="905">
        <v>45981</v>
      </c>
      <c r="C329" s="76">
        <f>IF(G329=0,0,CHAMNORD!C329+AIX!C329+BELLEY!C329+STALBAN!C329+ABRETS!C329+PONT!C329+FRANCIN!C329+VIVIERS!C329)</f>
        <v>0</v>
      </c>
      <c r="D329" s="76">
        <f>IF(H329=0,0,CHAMNORD!D329+AIX!D329+BELLEY!D329+STALBAN!D329+ABRETS!D329+PONT!D329+FRANCIN!D329+VIVIERS!D329)</f>
        <v>0</v>
      </c>
      <c r="E329" s="76">
        <f>IF(I329=0,0,CHAMNORD!E329+AIX!E329+BELLEY!E329+STALBAN!E329+ABRETS!E329+PONT!E329+FRANCIN!E329+VIVIERS!E329)</f>
        <v>0</v>
      </c>
      <c r="F329" s="20">
        <f>IF(J329=0,0,CHAMNORD!F329+AIX!F329+BELLEY!F329+STALBAN!F329+ABRETS!F329+PONT!F329+FRANCIN!F329+VIVIERS!F329)</f>
        <v>0</v>
      </c>
      <c r="G329" s="40">
        <f>IF(I329=0,0,CHAMNORD!G329+AIX!G329+BELLEY!G329+STALBAN!G329+ABRETS!G329+PONT!G329+FRANCIN!G329+VIVIERS!G329)</f>
        <v>0</v>
      </c>
      <c r="H329" s="42">
        <f>CHAMNORD!H329+AIX!H329+BELLEY!H329+STALBAN!H329+ABRETS!H329+PONT!H329+FRANCIN!H329+VIVIERS!H329</f>
        <v>0</v>
      </c>
      <c r="I329" s="13">
        <f>CHAMNORD!I329+AIX!I329+BELLEY!I329+STALBAN!I329+ABRETS!I329+PONT!I329+FRANCIN!I329+VIVIERS!I329</f>
        <v>0</v>
      </c>
      <c r="J329" s="14">
        <f>CHAMNORD!J329+AIX!J329+BELLEY!J329+STALBAN!J329+ABRETS!J329+PONT!J329+FRANCIN!J329+VIVIERS!J329</f>
        <v>0</v>
      </c>
      <c r="K329" s="15">
        <f>CHAMNORD!K329+AIX!K329+BELLEY!K329+STALBAN!K329+ABRETS!K329+PONT!K329+FRANCIN!K329+VIVIERS!K329</f>
        <v>0</v>
      </c>
      <c r="L329" s="15">
        <f>CHAMNORD!L329+AIX!L329+BELLEY!L329+STALBAN!L329+ABRETS!L329+PONT!L329+FRANCIN!L329+VIVIERS!L329</f>
        <v>0</v>
      </c>
      <c r="M329" s="15">
        <f>CHAMNORD!M329+AIX!M329+BELLEY!M329+STALBAN!M329+ABRETS!M329+PONT!M329+FRANCIN!M329+VIVIERS!M329</f>
        <v>0</v>
      </c>
      <c r="N329" s="16" t="str">
        <f t="shared" si="25"/>
        <v/>
      </c>
      <c r="O329" s="17" t="str">
        <f t="shared" si="28"/>
        <v/>
      </c>
      <c r="P329" s="17" t="str">
        <f t="shared" si="29"/>
        <v/>
      </c>
      <c r="Q329" s="18" t="str">
        <f t="shared" si="26"/>
        <v/>
      </c>
      <c r="R329" s="18" t="e">
        <f t="shared" si="27"/>
        <v>#DIV/0!</v>
      </c>
      <c r="S329" s="36" t="s">
        <v>40</v>
      </c>
      <c r="T329" s="48" t="e">
        <f>SUM(I325:I331)/SUM(L325:L331)</f>
        <v>#DIV/0!</v>
      </c>
      <c r="U329" s="1738"/>
    </row>
    <row r="330" spans="1:25">
      <c r="A330" s="10" t="s">
        <v>15</v>
      </c>
      <c r="B330" s="905">
        <v>45982</v>
      </c>
      <c r="C330" s="76">
        <f>IF(G330=0,0,CHAMNORD!C330+AIX!C330+BELLEY!C330+STALBAN!C330+ABRETS!C330+PONT!C330+FRANCIN!C330+VIVIERS!C330)</f>
        <v>0</v>
      </c>
      <c r="D330" s="76">
        <f>IF(H330=0,0,CHAMNORD!D330+AIX!D330+BELLEY!D330+STALBAN!D330+ABRETS!D330+PONT!D330+FRANCIN!D330+VIVIERS!D330)</f>
        <v>0</v>
      </c>
      <c r="E330" s="76">
        <f>IF(I330=0,0,CHAMNORD!E330+AIX!E330+BELLEY!E330+STALBAN!E330+ABRETS!E330+PONT!E330+FRANCIN!E330+VIVIERS!E330)</f>
        <v>0</v>
      </c>
      <c r="F330" s="20">
        <f>IF(J330=0,0,CHAMNORD!F330+AIX!F330+BELLEY!F330+STALBAN!F330+ABRETS!F330+PONT!F330+FRANCIN!F330+VIVIERS!F330)</f>
        <v>0</v>
      </c>
      <c r="G330" s="40">
        <f>IF(I330=0,0,CHAMNORD!G330+AIX!G330+BELLEY!G330+STALBAN!G330+ABRETS!G330+PONT!G330+FRANCIN!G330+VIVIERS!G330)</f>
        <v>0</v>
      </c>
      <c r="H330" s="42">
        <f>CHAMNORD!H330+AIX!H330+BELLEY!H330+STALBAN!H330+ABRETS!H330+PONT!H330+FRANCIN!H330+VIVIERS!H330</f>
        <v>0</v>
      </c>
      <c r="I330" s="13">
        <f>CHAMNORD!I330+AIX!I330+BELLEY!I330+STALBAN!I330+ABRETS!I330+PONT!I330+FRANCIN!I330+VIVIERS!I330</f>
        <v>0</v>
      </c>
      <c r="J330" s="14">
        <f>CHAMNORD!J330+AIX!J330+BELLEY!J330+STALBAN!J330+ABRETS!J330+PONT!J330+FRANCIN!J330+VIVIERS!J330</f>
        <v>0</v>
      </c>
      <c r="K330" s="15">
        <f>CHAMNORD!K330+AIX!K330+BELLEY!K330+STALBAN!K330+ABRETS!K330+PONT!K330+FRANCIN!K330+VIVIERS!K330</f>
        <v>0</v>
      </c>
      <c r="L330" s="15">
        <f>CHAMNORD!L330+AIX!L330+BELLEY!L330+STALBAN!L330+ABRETS!L330+PONT!L330+FRANCIN!L330+VIVIERS!L330</f>
        <v>0</v>
      </c>
      <c r="M330" s="15">
        <f>CHAMNORD!M330+AIX!M330+BELLEY!M330+STALBAN!M330+ABRETS!M330+PONT!M330+FRANCIN!M330+VIVIERS!M330</f>
        <v>0</v>
      </c>
      <c r="N330" s="16" t="str">
        <f t="shared" si="25"/>
        <v/>
      </c>
      <c r="O330" s="17" t="str">
        <f t="shared" si="28"/>
        <v/>
      </c>
      <c r="P330" s="17" t="str">
        <f t="shared" si="29"/>
        <v/>
      </c>
      <c r="Q330" s="18" t="str">
        <f t="shared" si="26"/>
        <v/>
      </c>
      <c r="R330" s="18" t="e">
        <f t="shared" si="27"/>
        <v>#DIV/0!</v>
      </c>
      <c r="S330" s="36">
        <f>SUM(J325:J331)</f>
        <v>0</v>
      </c>
      <c r="T330" s="30" t="s">
        <v>3</v>
      </c>
      <c r="U330" s="1738"/>
    </row>
    <row r="331" spans="1:25" ht="18" thickBot="1">
      <c r="A331" s="10" t="s">
        <v>16</v>
      </c>
      <c r="B331" s="905">
        <v>45983</v>
      </c>
      <c r="C331" s="76">
        <f>IF(G331=0,0,CHAMNORD!C331+AIX!C331+BELLEY!C331+STALBAN!C331+ABRETS!C331+PONT!C331+FRANCIN!C331+VIVIERS!C331)</f>
        <v>0</v>
      </c>
      <c r="D331" s="76">
        <f>IF(H331=0,0,CHAMNORD!D331+AIX!D331+BELLEY!D331+STALBAN!D331+ABRETS!D331+PONT!D331+FRANCIN!D331+VIVIERS!D331)</f>
        <v>0</v>
      </c>
      <c r="E331" s="76">
        <f>IF(I331=0,0,CHAMNORD!E331+AIX!E331+BELLEY!E331+STALBAN!E331+ABRETS!E331+PONT!E331+FRANCIN!E331+VIVIERS!E331)</f>
        <v>0</v>
      </c>
      <c r="F331" s="20">
        <f>IF(J331=0,0,CHAMNORD!F331+AIX!F331+BELLEY!F331+STALBAN!F331+ABRETS!F331+PONT!F331+FRANCIN!F331+VIVIERS!F331)</f>
        <v>0</v>
      </c>
      <c r="G331" s="40">
        <f>IF(I331=0,0,CHAMNORD!G331+AIX!G331+BELLEY!G331+STALBAN!G331+ABRETS!G331+PONT!G331+FRANCIN!G331+VIVIERS!G331)</f>
        <v>0</v>
      </c>
      <c r="H331" s="42">
        <f>CHAMNORD!H331+AIX!H331+BELLEY!H331+STALBAN!H331+ABRETS!H331+PONT!H331+FRANCIN!H331+VIVIERS!H331</f>
        <v>0</v>
      </c>
      <c r="I331" s="13">
        <f>CHAMNORD!I331+AIX!I331+BELLEY!I331+STALBAN!I331+ABRETS!I331+PONT!I331+FRANCIN!I331+VIVIERS!I331</f>
        <v>0</v>
      </c>
      <c r="J331" s="14">
        <f>CHAMNORD!J331+AIX!J331+BELLEY!J331+STALBAN!J331+ABRETS!J331+PONT!J331+FRANCIN!J331+VIVIERS!J331</f>
        <v>0</v>
      </c>
      <c r="K331" s="15">
        <f>CHAMNORD!K331+AIX!K331+BELLEY!K331+STALBAN!K331+ABRETS!K331+PONT!K331+FRANCIN!K331+VIVIERS!K331</f>
        <v>0</v>
      </c>
      <c r="L331" s="15">
        <f>CHAMNORD!L331+AIX!L331+BELLEY!L331+STALBAN!L331+ABRETS!L331+PONT!L331+FRANCIN!L331+VIVIERS!L331</f>
        <v>0</v>
      </c>
      <c r="M331" s="15">
        <f>CHAMNORD!M331+AIX!M331+BELLEY!M331+STALBAN!M331+ABRETS!M331+PONT!M331+FRANCIN!M331+VIVIERS!M331</f>
        <v>0</v>
      </c>
      <c r="N331" s="16" t="str">
        <f t="shared" si="25"/>
        <v/>
      </c>
      <c r="O331" s="17" t="str">
        <f t="shared" si="28"/>
        <v/>
      </c>
      <c r="P331" s="17" t="str">
        <f t="shared" si="29"/>
        <v/>
      </c>
      <c r="Q331" s="18" t="str">
        <f t="shared" si="26"/>
        <v/>
      </c>
      <c r="R331" s="18" t="e">
        <f t="shared" si="27"/>
        <v>#DIV/0!</v>
      </c>
      <c r="S331" s="37" t="e">
        <f>(S330-SUM(F325:F331))/(SUM(F325:F331))</f>
        <v>#DIV/0!</v>
      </c>
      <c r="T331" s="47" t="e">
        <f>SUM(M325:M331)/SUM(I325:I331)</f>
        <v>#DIV/0!</v>
      </c>
      <c r="U331" s="1739"/>
    </row>
    <row r="332" spans="1:25" ht="17" customHeight="1" thickTop="1">
      <c r="A332" s="10" t="s">
        <v>9</v>
      </c>
      <c r="B332" s="905">
        <v>45984</v>
      </c>
      <c r="C332" s="76">
        <f>IF(G332=0,0,CHAMNORD!C332+AIX!C332+BELLEY!C332+STALBAN!C332+ABRETS!C332+PONT!C332+FRANCIN!C332+VIVIERS!C332)</f>
        <v>0</v>
      </c>
      <c r="D332" s="76">
        <f>IF(H332=0,0,CHAMNORD!D332+AIX!D332+BELLEY!D332+STALBAN!D332+ABRETS!D332+PONT!D332+FRANCIN!D332+VIVIERS!D332)</f>
        <v>0</v>
      </c>
      <c r="E332" s="76">
        <f>IF(I332=0,0,CHAMNORD!E332+AIX!E332+BELLEY!E332+STALBAN!E332+ABRETS!E332+PONT!E332+FRANCIN!E332+VIVIERS!E332)</f>
        <v>0</v>
      </c>
      <c r="F332" s="20">
        <f>IF(J332=0,0,CHAMNORD!F332+AIX!F332+BELLEY!F332+STALBAN!F332+ABRETS!F332+PONT!F332+FRANCIN!F332+VIVIERS!F332)</f>
        <v>0</v>
      </c>
      <c r="G332" s="40">
        <f>IF(I332=0,0,CHAMNORD!G332+AIX!G332+BELLEY!G332+STALBAN!G332+ABRETS!G332+PONT!G332+FRANCIN!G332+VIVIERS!G332)</f>
        <v>0</v>
      </c>
      <c r="H332" s="42">
        <f>CHAMNORD!H332+AIX!H332+BELLEY!H332+STALBAN!H332+ABRETS!H332+PONT!H332+FRANCIN!H332+VIVIERS!H332</f>
        <v>0</v>
      </c>
      <c r="I332" s="13">
        <f>CHAMNORD!I332+AIX!I332+BELLEY!I332+STALBAN!I332+ABRETS!I332+PONT!I332+FRANCIN!I332+VIVIERS!I332</f>
        <v>0</v>
      </c>
      <c r="J332" s="14">
        <f>CHAMNORD!J332+AIX!J332+BELLEY!J332+STALBAN!J332+ABRETS!J332+PONT!J332+FRANCIN!J332+VIVIERS!J332</f>
        <v>0</v>
      </c>
      <c r="K332" s="15">
        <f>CHAMNORD!K332+AIX!K332+BELLEY!K332+STALBAN!K332+ABRETS!K332+PONT!K332+FRANCIN!K332+VIVIERS!K332</f>
        <v>0</v>
      </c>
      <c r="L332" s="15">
        <f>CHAMNORD!L332+AIX!L332+BELLEY!L332+STALBAN!L332+ABRETS!L332+PONT!L332+FRANCIN!L332+VIVIERS!L332</f>
        <v>0</v>
      </c>
      <c r="M332" s="15">
        <f>CHAMNORD!M332+AIX!M332+BELLEY!M332+STALBAN!M332+ABRETS!M332+PONT!M332+FRANCIN!M332+VIVIERS!M332</f>
        <v>0</v>
      </c>
      <c r="N332" s="16" t="str">
        <f t="shared" si="25"/>
        <v/>
      </c>
      <c r="O332" s="17" t="str">
        <f t="shared" si="28"/>
        <v/>
      </c>
      <c r="P332" s="17" t="str">
        <f t="shared" si="29"/>
        <v/>
      </c>
      <c r="Q332" s="18" t="str">
        <f t="shared" si="26"/>
        <v/>
      </c>
      <c r="R332" s="18" t="e">
        <f t="shared" si="27"/>
        <v>#DIV/0!</v>
      </c>
      <c r="S332" s="33" t="s">
        <v>39</v>
      </c>
      <c r="T332" s="31" t="s">
        <v>42</v>
      </c>
      <c r="U332" s="1737" t="s">
        <v>130</v>
      </c>
    </row>
    <row r="333" spans="1:25">
      <c r="A333" s="10" t="s">
        <v>11</v>
      </c>
      <c r="B333" s="905">
        <v>45985</v>
      </c>
      <c r="C333" s="76">
        <f>IF(G333=0,0,CHAMNORD!C333+AIX!C333+BELLEY!C333+STALBAN!C333+ABRETS!C333+PONT!C333+FRANCIN!C333+VIVIERS!C333)</f>
        <v>0</v>
      </c>
      <c r="D333" s="76">
        <f>IF(H333=0,0,CHAMNORD!D333+AIX!D333+BELLEY!D333+STALBAN!D333+ABRETS!D333+PONT!D333+FRANCIN!D333+VIVIERS!D333)</f>
        <v>0</v>
      </c>
      <c r="E333" s="76">
        <f>IF(I333=0,0,CHAMNORD!E333+AIX!E333+BELLEY!E333+STALBAN!E333+ABRETS!E333+PONT!E333+FRANCIN!E333+VIVIERS!E333)</f>
        <v>0</v>
      </c>
      <c r="F333" s="20">
        <f>IF(J333=0,0,CHAMNORD!F333+AIX!F333+BELLEY!F333+STALBAN!F333+ABRETS!F333+PONT!F333+FRANCIN!F333+VIVIERS!F333)</f>
        <v>0</v>
      </c>
      <c r="G333" s="40">
        <f>IF(I333=0,0,CHAMNORD!G333+AIX!G333+BELLEY!G333+STALBAN!G333+ABRETS!G333+PONT!G333+FRANCIN!G333+VIVIERS!G333)</f>
        <v>0</v>
      </c>
      <c r="H333" s="42">
        <f>CHAMNORD!H333+AIX!H333+BELLEY!H333+STALBAN!H333+ABRETS!H333+PONT!H333+FRANCIN!H333+VIVIERS!H333</f>
        <v>0</v>
      </c>
      <c r="I333" s="13">
        <f>CHAMNORD!I333+AIX!I333+BELLEY!I333+STALBAN!I333+ABRETS!I333+PONT!I333+FRANCIN!I333+VIVIERS!I333</f>
        <v>0</v>
      </c>
      <c r="J333" s="14">
        <f>CHAMNORD!J333+AIX!J333+BELLEY!J333+STALBAN!J333+ABRETS!J333+PONT!J333+FRANCIN!J333+VIVIERS!J333</f>
        <v>0</v>
      </c>
      <c r="K333" s="15">
        <f>CHAMNORD!K333+AIX!K333+BELLEY!K333+STALBAN!K333+ABRETS!K333+PONT!K333+FRANCIN!K333+VIVIERS!K333</f>
        <v>0</v>
      </c>
      <c r="L333" s="15">
        <f>CHAMNORD!L333+AIX!L333+BELLEY!L333+STALBAN!L333+ABRETS!L333+PONT!L333+FRANCIN!L333+VIVIERS!L333</f>
        <v>0</v>
      </c>
      <c r="M333" s="15">
        <f>CHAMNORD!M333+AIX!M333+BELLEY!M333+STALBAN!M333+ABRETS!M333+PONT!M333+FRANCIN!M333+VIVIERS!M333</f>
        <v>0</v>
      </c>
      <c r="N333" s="16" t="str">
        <f t="shared" si="25"/>
        <v/>
      </c>
      <c r="O333" s="17" t="str">
        <f t="shared" si="28"/>
        <v/>
      </c>
      <c r="P333" s="17" t="str">
        <f t="shared" si="29"/>
        <v/>
      </c>
      <c r="Q333" s="18" t="str">
        <f t="shared" si="26"/>
        <v/>
      </c>
      <c r="R333" s="18" t="e">
        <f t="shared" si="27"/>
        <v>#DIV/0!</v>
      </c>
      <c r="S333" s="34">
        <f>SUM(I332:I338)</f>
        <v>0</v>
      </c>
      <c r="T333" s="45" t="s">
        <v>41</v>
      </c>
      <c r="U333" s="1738"/>
      <c r="W333" s="202">
        <f>+S333</f>
        <v>0</v>
      </c>
      <c r="X333" s="202">
        <f>SUM(CHAMNORD!E332:E338)+SUM(AIX!E332:E338)+SUM(BELLEY!E332:E338)+SUM(STALBAN!E332:E338)+SUM(ABRETS!E332:E338)+SUM(PONT!E332:E338)+SUM(FRANCIN!E332:E338)+SUM(VIVIERS!E332:E338)</f>
        <v>0</v>
      </c>
      <c r="Y333" s="1051">
        <f>+W333-X333</f>
        <v>0</v>
      </c>
    </row>
    <row r="334" spans="1:25">
      <c r="A334" s="10" t="s">
        <v>12</v>
      </c>
      <c r="B334" s="905">
        <v>45986</v>
      </c>
      <c r="C334" s="76">
        <f>IF(G334=0,0,CHAMNORD!C334+AIX!C334+BELLEY!C334+STALBAN!C334+ABRETS!C334+PONT!C334+FRANCIN!C334+VIVIERS!C334)</f>
        <v>0</v>
      </c>
      <c r="D334" s="76">
        <f>IF(H334=0,0,CHAMNORD!D334+AIX!D334+BELLEY!D334+STALBAN!D334+ABRETS!D334+PONT!D334+FRANCIN!D334+VIVIERS!D334)</f>
        <v>0</v>
      </c>
      <c r="E334" s="76">
        <f>IF(I334=0,0,CHAMNORD!E334+AIX!E334+BELLEY!E334+STALBAN!E334+ABRETS!E334+PONT!E334+FRANCIN!E334+VIVIERS!E334)</f>
        <v>0</v>
      </c>
      <c r="F334" s="20">
        <f>IF(J334=0,0,CHAMNORD!F334+AIX!F334+BELLEY!F334+STALBAN!F334+ABRETS!F334+PONT!F334+FRANCIN!F334+VIVIERS!F334)</f>
        <v>0</v>
      </c>
      <c r="G334" s="40">
        <f>IF(I334=0,0,CHAMNORD!G334+AIX!G334+BELLEY!G334+STALBAN!G334+ABRETS!G334+PONT!G334+FRANCIN!G334+VIVIERS!G334)</f>
        <v>0</v>
      </c>
      <c r="H334" s="42">
        <f>CHAMNORD!H334+AIX!H334+BELLEY!H334+STALBAN!H334+ABRETS!H334+PONT!H334+FRANCIN!H334+VIVIERS!H334</f>
        <v>0</v>
      </c>
      <c r="I334" s="13">
        <f>CHAMNORD!I334+AIX!I334+BELLEY!I334+STALBAN!I334+ABRETS!I334+PONT!I334+FRANCIN!I334+VIVIERS!I334</f>
        <v>0</v>
      </c>
      <c r="J334" s="14">
        <f>CHAMNORD!J334+AIX!J334+BELLEY!J334+STALBAN!J334+ABRETS!J334+PONT!J334+FRANCIN!J334+VIVIERS!J334</f>
        <v>0</v>
      </c>
      <c r="K334" s="15">
        <f>CHAMNORD!K334+AIX!K334+BELLEY!K334+STALBAN!K334+ABRETS!K334+PONT!K334+FRANCIN!K334+VIVIERS!K334</f>
        <v>0</v>
      </c>
      <c r="L334" s="15">
        <f>CHAMNORD!L334+AIX!L334+BELLEY!L334+STALBAN!L334+ABRETS!L334+PONT!L334+FRANCIN!L334+VIVIERS!L334</f>
        <v>0</v>
      </c>
      <c r="M334" s="15">
        <f>CHAMNORD!M334+AIX!M334+BELLEY!M334+STALBAN!M334+ABRETS!M334+PONT!M334+FRANCIN!M334+VIVIERS!M334</f>
        <v>0</v>
      </c>
      <c r="N334" s="16" t="str">
        <f t="shared" si="25"/>
        <v/>
      </c>
      <c r="O334" s="17" t="str">
        <f t="shared" si="28"/>
        <v/>
      </c>
      <c r="P334" s="17" t="str">
        <f t="shared" si="29"/>
        <v/>
      </c>
      <c r="Q334" s="18" t="str">
        <f t="shared" si="26"/>
        <v/>
      </c>
      <c r="R334" s="18" t="e">
        <f t="shared" si="27"/>
        <v>#DIV/0!</v>
      </c>
      <c r="S334" s="35" t="e">
        <f>(S333-SUM(E332:E338))/(SUM(E332:E338))</f>
        <v>#DIV/0!</v>
      </c>
      <c r="T334" s="48" t="e">
        <f>SUM(I332:I338)/SUM(K332:K338)</f>
        <v>#DIV/0!</v>
      </c>
      <c r="U334" s="1738"/>
    </row>
    <row r="335" spans="1:25">
      <c r="A335" s="10" t="s">
        <v>13</v>
      </c>
      <c r="B335" s="905">
        <v>45987</v>
      </c>
      <c r="C335" s="76">
        <f>IF(G335=0,0,CHAMNORD!C335+AIX!C335+BELLEY!C335+STALBAN!C335+ABRETS!C335+PONT!C335+FRANCIN!C335+VIVIERS!C335)</f>
        <v>0</v>
      </c>
      <c r="D335" s="76">
        <f>IF(H335=0,0,CHAMNORD!D335+AIX!D335+BELLEY!D335+STALBAN!D335+ABRETS!D335+PONT!D335+FRANCIN!D335+VIVIERS!D335)</f>
        <v>0</v>
      </c>
      <c r="E335" s="76">
        <f>IF(I335=0,0,CHAMNORD!E335+AIX!E335+BELLEY!E335+STALBAN!E335+ABRETS!E335+PONT!E335+FRANCIN!E335+VIVIERS!E335)</f>
        <v>0</v>
      </c>
      <c r="F335" s="20">
        <f>IF(J335=0,0,CHAMNORD!F335+AIX!F335+BELLEY!F335+STALBAN!F335+ABRETS!F335+PONT!F335+FRANCIN!F335+VIVIERS!F335)</f>
        <v>0</v>
      </c>
      <c r="G335" s="40">
        <f>IF(I335=0,0,CHAMNORD!G335+AIX!G335+BELLEY!G335+STALBAN!G335+ABRETS!G335+PONT!G335+FRANCIN!G335+VIVIERS!G335)</f>
        <v>0</v>
      </c>
      <c r="H335" s="42">
        <f>CHAMNORD!H335+AIX!H335+BELLEY!H335+STALBAN!H335+ABRETS!H335+PONT!H335+FRANCIN!H335+VIVIERS!H335</f>
        <v>0</v>
      </c>
      <c r="I335" s="13">
        <f>CHAMNORD!I335+AIX!I335+BELLEY!I335+STALBAN!I335+ABRETS!I335+PONT!I335+FRANCIN!I335+VIVIERS!I335</f>
        <v>0</v>
      </c>
      <c r="J335" s="14">
        <f>CHAMNORD!J335+AIX!J335+BELLEY!J335+STALBAN!J335+ABRETS!J335+PONT!J335+FRANCIN!J335+VIVIERS!J335</f>
        <v>0</v>
      </c>
      <c r="K335" s="15">
        <f>CHAMNORD!K335+AIX!K335+BELLEY!K335+STALBAN!K335+ABRETS!K335+PONT!K335+FRANCIN!K335+VIVIERS!K335</f>
        <v>0</v>
      </c>
      <c r="L335" s="15">
        <f>CHAMNORD!L335+AIX!L335+BELLEY!L335+STALBAN!L335+ABRETS!L335+PONT!L335+FRANCIN!L335+VIVIERS!L335</f>
        <v>0</v>
      </c>
      <c r="M335" s="15">
        <f>CHAMNORD!M335+AIX!M335+BELLEY!M335+STALBAN!M335+ABRETS!M335+PONT!M335+FRANCIN!M335+VIVIERS!M335</f>
        <v>0</v>
      </c>
      <c r="N335" s="16" t="str">
        <f t="shared" si="25"/>
        <v/>
      </c>
      <c r="O335" s="17" t="str">
        <f t="shared" si="28"/>
        <v/>
      </c>
      <c r="P335" s="17" t="str">
        <f t="shared" si="29"/>
        <v/>
      </c>
      <c r="Q335" s="18" t="str">
        <f t="shared" si="26"/>
        <v/>
      </c>
      <c r="R335" s="18" t="e">
        <f t="shared" si="27"/>
        <v>#DIV/0!</v>
      </c>
      <c r="S335" s="34"/>
      <c r="T335" s="29" t="s">
        <v>8</v>
      </c>
      <c r="U335" s="1738"/>
    </row>
    <row r="336" spans="1:25">
      <c r="A336" s="10" t="s">
        <v>14</v>
      </c>
      <c r="B336" s="905">
        <v>45988</v>
      </c>
      <c r="C336" s="76">
        <f>IF(G336=0,0,CHAMNORD!C336+AIX!C336+BELLEY!C336+STALBAN!C336+ABRETS!C336+PONT!C336+FRANCIN!C336+VIVIERS!C336)</f>
        <v>0</v>
      </c>
      <c r="D336" s="76">
        <f>IF(H336=0,0,CHAMNORD!D336+AIX!D336+BELLEY!D336+STALBAN!D336+ABRETS!D336+PONT!D336+FRANCIN!D336+VIVIERS!D336)</f>
        <v>0</v>
      </c>
      <c r="E336" s="76">
        <f>IF(I336=0,0,CHAMNORD!E336+AIX!E336+BELLEY!E336+STALBAN!E336+ABRETS!E336+PONT!E336+FRANCIN!E336+VIVIERS!E336)</f>
        <v>0</v>
      </c>
      <c r="F336" s="20">
        <f>IF(J336=0,0,CHAMNORD!F336+AIX!F336+BELLEY!F336+STALBAN!F336+ABRETS!F336+PONT!F336+FRANCIN!F336+VIVIERS!F336)</f>
        <v>0</v>
      </c>
      <c r="G336" s="40">
        <f>IF(I336=0,0,CHAMNORD!G336+AIX!G336+BELLEY!G336+STALBAN!G336+ABRETS!G336+PONT!G336+FRANCIN!G336+VIVIERS!G336)</f>
        <v>0</v>
      </c>
      <c r="H336" s="42">
        <f>CHAMNORD!H336+AIX!H336+BELLEY!H336+STALBAN!H336+ABRETS!H336+PONT!H336+FRANCIN!H336+VIVIERS!H336</f>
        <v>0</v>
      </c>
      <c r="I336" s="13">
        <f>CHAMNORD!I336+AIX!I336+BELLEY!I336+STALBAN!I336+ABRETS!I336+PONT!I336+FRANCIN!I336+VIVIERS!I336</f>
        <v>0</v>
      </c>
      <c r="J336" s="14">
        <f>CHAMNORD!J336+AIX!J336+BELLEY!J336+STALBAN!J336+ABRETS!J336+PONT!J336+FRANCIN!J336+VIVIERS!J336</f>
        <v>0</v>
      </c>
      <c r="K336" s="15">
        <f>CHAMNORD!K336+AIX!K336+BELLEY!K336+STALBAN!K336+ABRETS!K336+PONT!K336+FRANCIN!K336+VIVIERS!K336</f>
        <v>0</v>
      </c>
      <c r="L336" s="15">
        <f>CHAMNORD!L336+AIX!L336+BELLEY!L336+STALBAN!L336+ABRETS!L336+PONT!L336+FRANCIN!L336+VIVIERS!L336</f>
        <v>0</v>
      </c>
      <c r="M336" s="15">
        <f>CHAMNORD!M336+AIX!M336+BELLEY!M336+STALBAN!M336+ABRETS!M336+PONT!M336+FRANCIN!M336+VIVIERS!M336</f>
        <v>0</v>
      </c>
      <c r="N336" s="16" t="str">
        <f t="shared" si="25"/>
        <v/>
      </c>
      <c r="O336" s="17" t="str">
        <f t="shared" si="28"/>
        <v/>
      </c>
      <c r="P336" s="17" t="str">
        <f t="shared" si="29"/>
        <v/>
      </c>
      <c r="Q336" s="18" t="str">
        <f t="shared" si="26"/>
        <v/>
      </c>
      <c r="R336" s="18" t="e">
        <f t="shared" si="27"/>
        <v>#DIV/0!</v>
      </c>
      <c r="S336" s="36" t="s">
        <v>40</v>
      </c>
      <c r="T336" s="48" t="e">
        <f>SUM(I332:I338)/SUM(L332:L338)</f>
        <v>#DIV/0!</v>
      </c>
      <c r="U336" s="1738"/>
    </row>
    <row r="337" spans="1:25">
      <c r="A337" s="10" t="s">
        <v>15</v>
      </c>
      <c r="B337" s="905">
        <v>45989</v>
      </c>
      <c r="C337" s="76">
        <f>IF(G337=0,0,CHAMNORD!C337+AIX!C337+BELLEY!C337+STALBAN!C337+ABRETS!C337+PONT!C337+FRANCIN!C337+VIVIERS!C337)</f>
        <v>0</v>
      </c>
      <c r="D337" s="76">
        <f>IF(H337=0,0,CHAMNORD!D337+AIX!D337+BELLEY!D337+STALBAN!D337+ABRETS!D337+PONT!D337+FRANCIN!D337+VIVIERS!D337)</f>
        <v>0</v>
      </c>
      <c r="E337" s="76">
        <f>IF(I337=0,0,CHAMNORD!E337+AIX!E337+BELLEY!E337+STALBAN!E337+ABRETS!E337+PONT!E337+FRANCIN!E337+VIVIERS!E337)</f>
        <v>0</v>
      </c>
      <c r="F337" s="20">
        <f>IF(J337=0,0,CHAMNORD!F337+AIX!F337+BELLEY!F337+STALBAN!F337+ABRETS!F337+PONT!F337+FRANCIN!F337+VIVIERS!F337)</f>
        <v>0</v>
      </c>
      <c r="G337" s="40">
        <f>IF(I337=0,0,CHAMNORD!G337+AIX!G337+BELLEY!G337+STALBAN!G337+ABRETS!G337+PONT!G337+FRANCIN!G337+VIVIERS!G337)</f>
        <v>0</v>
      </c>
      <c r="H337" s="42">
        <f>CHAMNORD!H337+AIX!H337+BELLEY!H337+STALBAN!H337+ABRETS!H337+PONT!H337+FRANCIN!H337+VIVIERS!H337</f>
        <v>0</v>
      </c>
      <c r="I337" s="13">
        <f>CHAMNORD!I337+AIX!I337+BELLEY!I337+STALBAN!I337+ABRETS!I337+PONT!I337+FRANCIN!I337+VIVIERS!I337</f>
        <v>0</v>
      </c>
      <c r="J337" s="14">
        <f>CHAMNORD!J337+AIX!J337+BELLEY!J337+STALBAN!J337+ABRETS!J337+PONT!J337+FRANCIN!J337+VIVIERS!J337</f>
        <v>0</v>
      </c>
      <c r="K337" s="15">
        <f>CHAMNORD!K337+AIX!K337+BELLEY!K337+STALBAN!K337+ABRETS!K337+PONT!K337+FRANCIN!K337+VIVIERS!K337</f>
        <v>0</v>
      </c>
      <c r="L337" s="15">
        <f>CHAMNORD!L337+AIX!L337+BELLEY!L337+STALBAN!L337+ABRETS!L337+PONT!L337+FRANCIN!L337+VIVIERS!L337</f>
        <v>0</v>
      </c>
      <c r="M337" s="15">
        <f>CHAMNORD!M337+AIX!M337+BELLEY!M337+STALBAN!M337+ABRETS!M337+PONT!M337+FRANCIN!M337+VIVIERS!M337</f>
        <v>0</v>
      </c>
      <c r="N337" s="16" t="str">
        <f t="shared" si="25"/>
        <v/>
      </c>
      <c r="O337" s="17" t="str">
        <f t="shared" si="28"/>
        <v/>
      </c>
      <c r="P337" s="17" t="str">
        <f t="shared" si="29"/>
        <v/>
      </c>
      <c r="Q337" s="18" t="str">
        <f t="shared" si="26"/>
        <v/>
      </c>
      <c r="R337" s="18" t="e">
        <f t="shared" si="27"/>
        <v>#DIV/0!</v>
      </c>
      <c r="S337" s="36">
        <f>SUM(J332:J338)</f>
        <v>0</v>
      </c>
      <c r="T337" s="30" t="s">
        <v>3</v>
      </c>
      <c r="U337" s="1738"/>
    </row>
    <row r="338" spans="1:25" ht="18" thickBot="1">
      <c r="A338" s="10" t="s">
        <v>16</v>
      </c>
      <c r="B338" s="905">
        <v>45990</v>
      </c>
      <c r="C338" s="76">
        <f>IF(G338=0,0,CHAMNORD!C338+AIX!C338+BELLEY!C338+STALBAN!C338+ABRETS!C338+PONT!C338+FRANCIN!C338+VIVIERS!C338)</f>
        <v>0</v>
      </c>
      <c r="D338" s="76">
        <f>IF(H338=0,0,CHAMNORD!D338+AIX!D338+BELLEY!D338+STALBAN!D338+ABRETS!D338+PONT!D338+FRANCIN!D338+VIVIERS!D338)</f>
        <v>0</v>
      </c>
      <c r="E338" s="76">
        <f>IF(I338=0,0,CHAMNORD!E338+AIX!E338+BELLEY!E338+STALBAN!E338+ABRETS!E338+PONT!E338+FRANCIN!E338+VIVIERS!E338)</f>
        <v>0</v>
      </c>
      <c r="F338" s="20">
        <f>IF(J338=0,0,CHAMNORD!F338+AIX!F338+BELLEY!F338+STALBAN!F338+ABRETS!F338+PONT!F338+FRANCIN!F338+VIVIERS!F338)</f>
        <v>0</v>
      </c>
      <c r="G338" s="40">
        <f>IF(I338=0,0,CHAMNORD!G338+AIX!G338+BELLEY!G338+STALBAN!G338+ABRETS!G338+PONT!G338+FRANCIN!G338+VIVIERS!G338)</f>
        <v>0</v>
      </c>
      <c r="H338" s="42">
        <f>CHAMNORD!H338+AIX!H338+BELLEY!H338+STALBAN!H338+ABRETS!H338+PONT!H338+FRANCIN!H338+VIVIERS!H338</f>
        <v>0</v>
      </c>
      <c r="I338" s="13">
        <f>CHAMNORD!I338+AIX!I338+BELLEY!I338+STALBAN!I338+ABRETS!I338+PONT!I338+FRANCIN!I338+VIVIERS!I338</f>
        <v>0</v>
      </c>
      <c r="J338" s="14">
        <f>CHAMNORD!J338+AIX!J338+BELLEY!J338+STALBAN!J338+ABRETS!J338+PONT!J338+FRANCIN!J338+VIVIERS!J338</f>
        <v>0</v>
      </c>
      <c r="K338" s="15">
        <f>CHAMNORD!K338+AIX!K338+BELLEY!K338+STALBAN!K338+ABRETS!K338+PONT!K338+FRANCIN!K338+VIVIERS!K338</f>
        <v>0</v>
      </c>
      <c r="L338" s="15">
        <f>CHAMNORD!L338+AIX!L338+BELLEY!L338+STALBAN!L338+ABRETS!L338+PONT!L338+FRANCIN!L338+VIVIERS!L338</f>
        <v>0</v>
      </c>
      <c r="M338" s="15">
        <f>CHAMNORD!M338+AIX!M338+BELLEY!M338+STALBAN!M338+ABRETS!M338+PONT!M338+FRANCIN!M338+VIVIERS!M338</f>
        <v>0</v>
      </c>
      <c r="N338" s="16" t="str">
        <f t="shared" si="25"/>
        <v/>
      </c>
      <c r="O338" s="17" t="str">
        <f t="shared" si="28"/>
        <v/>
      </c>
      <c r="P338" s="17" t="str">
        <f t="shared" si="29"/>
        <v/>
      </c>
      <c r="Q338" s="18" t="str">
        <f t="shared" si="26"/>
        <v/>
      </c>
      <c r="R338" s="18" t="e">
        <f t="shared" si="27"/>
        <v>#DIV/0!</v>
      </c>
      <c r="S338" s="37" t="e">
        <f>(S337-SUM(F332:F338))/(SUM(F332:F338))</f>
        <v>#DIV/0!</v>
      </c>
      <c r="T338" s="47" t="e">
        <f>SUM(M332:M338)/SUM(I332:I338)</f>
        <v>#DIV/0!</v>
      </c>
      <c r="U338" s="1739"/>
    </row>
    <row r="339" spans="1:25" ht="17" customHeight="1" thickTop="1">
      <c r="A339" s="10" t="s">
        <v>9</v>
      </c>
      <c r="B339" s="905">
        <v>45991</v>
      </c>
      <c r="C339" s="76">
        <f>IF(G339=0,0,CHAMNORD!C339+AIX!C339+BELLEY!C339+STALBAN!C339+ABRETS!C339+PONT!C339+FRANCIN!C339+VIVIERS!C339)</f>
        <v>0</v>
      </c>
      <c r="D339" s="76">
        <f>IF(H339=0,0,CHAMNORD!D339+AIX!D339+BELLEY!D339+STALBAN!D339+ABRETS!D339+PONT!D339+FRANCIN!D339+VIVIERS!D339)</f>
        <v>0</v>
      </c>
      <c r="E339" s="76">
        <f>IF(I339=0,0,CHAMNORD!E339+AIX!E339+BELLEY!E339+STALBAN!E339+ABRETS!E339+PONT!E339+FRANCIN!E339+VIVIERS!E339)</f>
        <v>0</v>
      </c>
      <c r="F339" s="20">
        <f>IF(J339=0,0,CHAMNORD!F339+AIX!F339+BELLEY!F339+STALBAN!F339+ABRETS!F339+PONT!F339+FRANCIN!F339+VIVIERS!F339)</f>
        <v>0</v>
      </c>
      <c r="G339" s="40">
        <f>IF(I339=0,0,CHAMNORD!G339+AIX!G339+BELLEY!G339+STALBAN!G339+ABRETS!G339+PONT!G339+FRANCIN!G339+VIVIERS!G339)</f>
        <v>0</v>
      </c>
      <c r="H339" s="42">
        <f>CHAMNORD!H339+AIX!H339+BELLEY!H339+STALBAN!H339+ABRETS!H339+PONT!H339+FRANCIN!H339+VIVIERS!H339</f>
        <v>0</v>
      </c>
      <c r="I339" s="13">
        <f>CHAMNORD!I339+AIX!I339+BELLEY!I339+STALBAN!I339+ABRETS!I339+PONT!I339+FRANCIN!I339+VIVIERS!I339</f>
        <v>0</v>
      </c>
      <c r="J339" s="14">
        <f>CHAMNORD!J339+AIX!J339+BELLEY!J339+STALBAN!J339+ABRETS!J339+PONT!J339+FRANCIN!J339+VIVIERS!J339</f>
        <v>0</v>
      </c>
      <c r="K339" s="15">
        <f>CHAMNORD!K339+AIX!K339+BELLEY!K339+STALBAN!K339+ABRETS!K339+PONT!K339+FRANCIN!K339+VIVIERS!K339</f>
        <v>0</v>
      </c>
      <c r="L339" s="15">
        <f>CHAMNORD!L339+AIX!L339+BELLEY!L339+STALBAN!L339+ABRETS!L339+PONT!L339+FRANCIN!L339+VIVIERS!L339</f>
        <v>0</v>
      </c>
      <c r="M339" s="15">
        <f>CHAMNORD!M339+AIX!M339+BELLEY!M339+STALBAN!M339+ABRETS!M339+PONT!M339+FRANCIN!M339+VIVIERS!M339</f>
        <v>0</v>
      </c>
      <c r="N339" s="16" t="str">
        <f t="shared" si="25"/>
        <v/>
      </c>
      <c r="O339" s="17" t="str">
        <f t="shared" si="28"/>
        <v/>
      </c>
      <c r="P339" s="17" t="str">
        <f t="shared" si="29"/>
        <v/>
      </c>
      <c r="Q339" s="18" t="str">
        <f t="shared" si="26"/>
        <v/>
      </c>
      <c r="R339" s="18" t="e">
        <f t="shared" si="27"/>
        <v>#DIV/0!</v>
      </c>
      <c r="S339" s="33" t="s">
        <v>39</v>
      </c>
      <c r="T339" s="31" t="s">
        <v>42</v>
      </c>
      <c r="U339" s="1737" t="s">
        <v>131</v>
      </c>
    </row>
    <row r="340" spans="1:25">
      <c r="A340" s="10" t="s">
        <v>11</v>
      </c>
      <c r="B340" s="905">
        <v>45992</v>
      </c>
      <c r="C340" s="76">
        <f>IF(G340=0,0,CHAMNORD!C340+AIX!C340+BELLEY!C340+STALBAN!C340+ABRETS!C340+PONT!C340+FRANCIN!C340+VIVIERS!C340)</f>
        <v>0</v>
      </c>
      <c r="D340" s="76">
        <f>IF(H340=0,0,CHAMNORD!D340+AIX!D340+BELLEY!D340+STALBAN!D340+ABRETS!D340+PONT!D340+FRANCIN!D340+VIVIERS!D340)</f>
        <v>0</v>
      </c>
      <c r="E340" s="76">
        <f>IF(I340=0,0,CHAMNORD!E340+AIX!E340+BELLEY!E340+STALBAN!E340+ABRETS!E340+PONT!E340+FRANCIN!E340+VIVIERS!E340)</f>
        <v>0</v>
      </c>
      <c r="F340" s="20">
        <f>IF(J340=0,0,CHAMNORD!F340+AIX!F340+BELLEY!F340+STALBAN!F340+ABRETS!F340+PONT!F340+FRANCIN!F340+VIVIERS!F340)</f>
        <v>0</v>
      </c>
      <c r="G340" s="40">
        <f>IF(I340=0,0,CHAMNORD!G340+AIX!G340+BELLEY!G340+STALBAN!G340+ABRETS!G340+PONT!G340+FRANCIN!G340+VIVIERS!G340)</f>
        <v>0</v>
      </c>
      <c r="H340" s="42">
        <f>CHAMNORD!H340+AIX!H340+BELLEY!H340+STALBAN!H340+ABRETS!H340+PONT!H340+FRANCIN!H340+VIVIERS!H340</f>
        <v>0</v>
      </c>
      <c r="I340" s="13">
        <f>CHAMNORD!I340+AIX!I340+BELLEY!I340+STALBAN!I340+ABRETS!I340+PONT!I340+FRANCIN!I340+VIVIERS!I340</f>
        <v>0</v>
      </c>
      <c r="J340" s="14">
        <f>CHAMNORD!J340+AIX!J340+BELLEY!J340+STALBAN!J340+ABRETS!J340+PONT!J340+FRANCIN!J340+VIVIERS!J340</f>
        <v>0</v>
      </c>
      <c r="K340" s="15">
        <f>CHAMNORD!K340+AIX!K340+BELLEY!K340+STALBAN!K340+ABRETS!K340+PONT!K340+FRANCIN!K340+VIVIERS!K340</f>
        <v>0</v>
      </c>
      <c r="L340" s="15">
        <f>CHAMNORD!L340+AIX!L340+BELLEY!L340+STALBAN!L340+ABRETS!L340+PONT!L340+FRANCIN!L340+VIVIERS!L340</f>
        <v>0</v>
      </c>
      <c r="M340" s="15">
        <f>CHAMNORD!M340+AIX!M340+BELLEY!M340+STALBAN!M340+ABRETS!M340+PONT!M340+FRANCIN!M340+VIVIERS!M340</f>
        <v>0</v>
      </c>
      <c r="N340" s="16" t="str">
        <f t="shared" si="25"/>
        <v/>
      </c>
      <c r="O340" s="17" t="str">
        <f t="shared" si="28"/>
        <v/>
      </c>
      <c r="P340" s="17" t="str">
        <f t="shared" si="29"/>
        <v/>
      </c>
      <c r="Q340" s="18" t="str">
        <f t="shared" si="26"/>
        <v/>
      </c>
      <c r="R340" s="18" t="e">
        <f t="shared" si="27"/>
        <v>#DIV/0!</v>
      </c>
      <c r="S340" s="34">
        <f>SUM(I339:I345)</f>
        <v>0</v>
      </c>
      <c r="T340" s="45" t="s">
        <v>41</v>
      </c>
      <c r="U340" s="1738"/>
      <c r="W340" s="202">
        <f>+S340</f>
        <v>0</v>
      </c>
      <c r="X340" s="202">
        <f>SUM(CHAMNORD!E339:E345)+SUM(AIX!E339:E345)+SUM(BELLEY!E339:E345)+SUM(STALBAN!E339:E345)+SUM(ABRETS!E339:E345)+SUM(PONT!E339:E345)+SUM(FRANCIN!E339:E345)+SUM(VIVIERS!E339:E345)</f>
        <v>0</v>
      </c>
      <c r="Y340" s="1051">
        <f>+W340-X340</f>
        <v>0</v>
      </c>
    </row>
    <row r="341" spans="1:25">
      <c r="A341" s="10" t="s">
        <v>12</v>
      </c>
      <c r="B341" s="905">
        <v>45993</v>
      </c>
      <c r="C341" s="76">
        <f>IF(G341=0,0,CHAMNORD!C341+AIX!C341+BELLEY!C341+STALBAN!C341+ABRETS!C341+PONT!C341+FRANCIN!C341+VIVIERS!C341)</f>
        <v>0</v>
      </c>
      <c r="D341" s="76">
        <f>IF(H341=0,0,CHAMNORD!D341+AIX!D341+BELLEY!D341+STALBAN!D341+ABRETS!D341+PONT!D341+FRANCIN!D341+VIVIERS!D341)</f>
        <v>0</v>
      </c>
      <c r="E341" s="76">
        <f>IF(I341=0,0,CHAMNORD!E341+AIX!E341+BELLEY!E341+STALBAN!E341+ABRETS!E341+PONT!E341+FRANCIN!E341+VIVIERS!E341)</f>
        <v>0</v>
      </c>
      <c r="F341" s="20">
        <f>IF(J341=0,0,CHAMNORD!F341+AIX!F341+BELLEY!F341+STALBAN!F341+ABRETS!F341+PONT!F341+FRANCIN!F341+VIVIERS!F341)</f>
        <v>0</v>
      </c>
      <c r="G341" s="40">
        <f>IF(I341=0,0,CHAMNORD!G341+AIX!G341+BELLEY!G341+STALBAN!G341+ABRETS!G341+PONT!G341+FRANCIN!G341+VIVIERS!G341)</f>
        <v>0</v>
      </c>
      <c r="H341" s="42">
        <f>CHAMNORD!H341+AIX!H341+BELLEY!H341+STALBAN!H341+ABRETS!H341+PONT!H341+FRANCIN!H341+VIVIERS!H341</f>
        <v>0</v>
      </c>
      <c r="I341" s="13">
        <f>CHAMNORD!I341+AIX!I341+BELLEY!I341+STALBAN!I341+ABRETS!I341+PONT!I341+FRANCIN!I341+VIVIERS!I341</f>
        <v>0</v>
      </c>
      <c r="J341" s="14">
        <f>CHAMNORD!J341+AIX!J341+BELLEY!J341+STALBAN!J341+ABRETS!J341+PONT!J341+FRANCIN!J341+VIVIERS!J341</f>
        <v>0</v>
      </c>
      <c r="K341" s="15">
        <f>CHAMNORD!K341+AIX!K341+BELLEY!K341+STALBAN!K341+ABRETS!K341+PONT!K341+FRANCIN!K341+VIVIERS!K341</f>
        <v>0</v>
      </c>
      <c r="L341" s="15">
        <f>CHAMNORD!L341+AIX!L341+BELLEY!L341+STALBAN!L341+ABRETS!L341+PONT!L341+FRANCIN!L341+VIVIERS!L341</f>
        <v>0</v>
      </c>
      <c r="M341" s="15">
        <f>CHAMNORD!M341+AIX!M341+BELLEY!M341+STALBAN!M341+ABRETS!M341+PONT!M341+FRANCIN!M341+VIVIERS!M341</f>
        <v>0</v>
      </c>
      <c r="N341" s="16" t="str">
        <f t="shared" si="25"/>
        <v/>
      </c>
      <c r="O341" s="17" t="str">
        <f t="shared" si="28"/>
        <v/>
      </c>
      <c r="P341" s="17" t="str">
        <f t="shared" si="29"/>
        <v/>
      </c>
      <c r="Q341" s="18" t="str">
        <f t="shared" si="26"/>
        <v/>
      </c>
      <c r="R341" s="18" t="e">
        <f t="shared" si="27"/>
        <v>#DIV/0!</v>
      </c>
      <c r="S341" s="35" t="e">
        <f>(S340-SUM(E339:E345))/(SUM(E339:E345))</f>
        <v>#DIV/0!</v>
      </c>
      <c r="T341" s="48" t="e">
        <f>SUM(I339:I345)/SUM(K339:K345)</f>
        <v>#DIV/0!</v>
      </c>
      <c r="U341" s="1738"/>
    </row>
    <row r="342" spans="1:25">
      <c r="A342" s="10" t="s">
        <v>13</v>
      </c>
      <c r="B342" s="905">
        <v>45994</v>
      </c>
      <c r="C342" s="76">
        <f>IF(G342=0,0,CHAMNORD!C342+AIX!C342+BELLEY!C342+STALBAN!C342+ABRETS!C342+PONT!C342+FRANCIN!C342+VIVIERS!C342)</f>
        <v>0</v>
      </c>
      <c r="D342" s="76">
        <f>IF(H342=0,0,CHAMNORD!D342+AIX!D342+BELLEY!D342+STALBAN!D342+ABRETS!D342+PONT!D342+FRANCIN!D342+VIVIERS!D342)</f>
        <v>0</v>
      </c>
      <c r="E342" s="76">
        <f>IF(I342=0,0,CHAMNORD!E342+AIX!E342+BELLEY!E342+STALBAN!E342+ABRETS!E342+PONT!E342+FRANCIN!E342+VIVIERS!E342)</f>
        <v>0</v>
      </c>
      <c r="F342" s="20">
        <f>IF(J342=0,0,CHAMNORD!F342+AIX!F342+BELLEY!F342+STALBAN!F342+ABRETS!F342+PONT!F342+FRANCIN!F342+VIVIERS!F342)</f>
        <v>0</v>
      </c>
      <c r="G342" s="40">
        <f>IF(I342=0,0,CHAMNORD!G342+AIX!G342+BELLEY!G342+STALBAN!G342+ABRETS!G342+PONT!G342+FRANCIN!G342+VIVIERS!G342)</f>
        <v>0</v>
      </c>
      <c r="H342" s="42">
        <f>CHAMNORD!H342+AIX!H342+BELLEY!H342+STALBAN!H342+ABRETS!H342+PONT!H342+FRANCIN!H342+VIVIERS!H342</f>
        <v>0</v>
      </c>
      <c r="I342" s="13">
        <f>CHAMNORD!I342+AIX!I342+BELLEY!I342+STALBAN!I342+ABRETS!I342+PONT!I342+FRANCIN!I342+VIVIERS!I342</f>
        <v>0</v>
      </c>
      <c r="J342" s="14">
        <f>CHAMNORD!J342+AIX!J342+BELLEY!J342+STALBAN!J342+ABRETS!J342+PONT!J342+FRANCIN!J342+VIVIERS!J342</f>
        <v>0</v>
      </c>
      <c r="K342" s="15">
        <f>CHAMNORD!K342+AIX!K342+BELLEY!K342+STALBAN!K342+ABRETS!K342+PONT!K342+FRANCIN!K342+VIVIERS!K342</f>
        <v>0</v>
      </c>
      <c r="L342" s="15">
        <f>CHAMNORD!L342+AIX!L342+BELLEY!L342+STALBAN!L342+ABRETS!L342+PONT!L342+FRANCIN!L342+VIVIERS!L342</f>
        <v>0</v>
      </c>
      <c r="M342" s="15">
        <f>CHAMNORD!M342+AIX!M342+BELLEY!M342+STALBAN!M342+ABRETS!M342+PONT!M342+FRANCIN!M342+VIVIERS!M342</f>
        <v>0</v>
      </c>
      <c r="N342" s="16" t="str">
        <f t="shared" si="25"/>
        <v/>
      </c>
      <c r="O342" s="17" t="str">
        <f t="shared" si="28"/>
        <v/>
      </c>
      <c r="P342" s="17" t="str">
        <f t="shared" si="29"/>
        <v/>
      </c>
      <c r="Q342" s="18" t="str">
        <f t="shared" si="26"/>
        <v/>
      </c>
      <c r="R342" s="18" t="e">
        <f t="shared" si="27"/>
        <v>#DIV/0!</v>
      </c>
      <c r="S342" s="34"/>
      <c r="T342" s="29" t="s">
        <v>8</v>
      </c>
      <c r="U342" s="1738"/>
    </row>
    <row r="343" spans="1:25">
      <c r="A343" s="10" t="s">
        <v>14</v>
      </c>
      <c r="B343" s="905">
        <v>45995</v>
      </c>
      <c r="C343" s="76">
        <f>IF(G343=0,0,CHAMNORD!C343+AIX!C343+BELLEY!C343+STALBAN!C343+ABRETS!C343+PONT!C343+FRANCIN!C343+VIVIERS!C343)</f>
        <v>0</v>
      </c>
      <c r="D343" s="76">
        <f>IF(H343=0,0,CHAMNORD!D343+AIX!D343+BELLEY!D343+STALBAN!D343+ABRETS!D343+PONT!D343+FRANCIN!D343+VIVIERS!D343)</f>
        <v>0</v>
      </c>
      <c r="E343" s="76">
        <f>IF(I343=0,0,CHAMNORD!E343+AIX!E343+BELLEY!E343+STALBAN!E343+ABRETS!E343+PONT!E343+FRANCIN!E343+VIVIERS!E343)</f>
        <v>0</v>
      </c>
      <c r="F343" s="20">
        <f>IF(J343=0,0,CHAMNORD!F343+AIX!F343+BELLEY!F343+STALBAN!F343+ABRETS!F343+PONT!F343+FRANCIN!F343+VIVIERS!F343)</f>
        <v>0</v>
      </c>
      <c r="G343" s="40">
        <f>IF(I343=0,0,CHAMNORD!G343+AIX!G343+BELLEY!G343+STALBAN!G343+ABRETS!G343+PONT!G343+FRANCIN!G343+VIVIERS!G343)</f>
        <v>0</v>
      </c>
      <c r="H343" s="42">
        <f>CHAMNORD!H343+AIX!H343+BELLEY!H343+STALBAN!H343+ABRETS!H343+PONT!H343+FRANCIN!H343+VIVIERS!H343</f>
        <v>0</v>
      </c>
      <c r="I343" s="13">
        <f>CHAMNORD!I343+AIX!I343+BELLEY!I343+STALBAN!I343+ABRETS!I343+PONT!I343+FRANCIN!I343+VIVIERS!I343</f>
        <v>0</v>
      </c>
      <c r="J343" s="14">
        <f>CHAMNORD!J343+AIX!J343+BELLEY!J343+STALBAN!J343+ABRETS!J343+PONT!J343+FRANCIN!J343+VIVIERS!J343</f>
        <v>0</v>
      </c>
      <c r="K343" s="15">
        <f>CHAMNORD!K343+AIX!K343+BELLEY!K343+STALBAN!K343+ABRETS!K343+PONT!K343+FRANCIN!K343+VIVIERS!K343</f>
        <v>0</v>
      </c>
      <c r="L343" s="15">
        <f>CHAMNORD!L343+AIX!L343+BELLEY!L343+STALBAN!L343+ABRETS!L343+PONT!L343+FRANCIN!L343+VIVIERS!L343</f>
        <v>0</v>
      </c>
      <c r="M343" s="15">
        <f>CHAMNORD!M343+AIX!M343+BELLEY!M343+STALBAN!M343+ABRETS!M343+PONT!M343+FRANCIN!M343+VIVIERS!M343</f>
        <v>0</v>
      </c>
      <c r="N343" s="16" t="str">
        <f t="shared" si="25"/>
        <v/>
      </c>
      <c r="O343" s="17" t="str">
        <f t="shared" si="28"/>
        <v/>
      </c>
      <c r="P343" s="17" t="str">
        <f t="shared" si="29"/>
        <v/>
      </c>
      <c r="Q343" s="18" t="str">
        <f t="shared" si="26"/>
        <v/>
      </c>
      <c r="R343" s="18" t="e">
        <f t="shared" si="27"/>
        <v>#DIV/0!</v>
      </c>
      <c r="S343" s="36" t="s">
        <v>40</v>
      </c>
      <c r="T343" s="48" t="e">
        <f>SUM(I339:I345)/SUM(L339:L345)</f>
        <v>#DIV/0!</v>
      </c>
      <c r="U343" s="1738"/>
    </row>
    <row r="344" spans="1:25">
      <c r="A344" s="10" t="s">
        <v>15</v>
      </c>
      <c r="B344" s="905">
        <v>45996</v>
      </c>
      <c r="C344" s="76">
        <f>IF(G344=0,0,CHAMNORD!C344+AIX!C344+BELLEY!C344+STALBAN!C344+ABRETS!C344+PONT!C344+FRANCIN!C344+VIVIERS!C344)</f>
        <v>0</v>
      </c>
      <c r="D344" s="76">
        <f>IF(H344=0,0,CHAMNORD!D344+AIX!D344+BELLEY!D344+STALBAN!D344+ABRETS!D344+PONT!D344+FRANCIN!D344+VIVIERS!D344)</f>
        <v>0</v>
      </c>
      <c r="E344" s="76">
        <f>IF(I344=0,0,CHAMNORD!E344+AIX!E344+BELLEY!E344+STALBAN!E344+ABRETS!E344+PONT!E344+FRANCIN!E344+VIVIERS!E344)</f>
        <v>0</v>
      </c>
      <c r="F344" s="20">
        <f>IF(J344=0,0,CHAMNORD!F344+AIX!F344+BELLEY!F344+STALBAN!F344+ABRETS!F344+PONT!F344+FRANCIN!F344+VIVIERS!F344)</f>
        <v>0</v>
      </c>
      <c r="G344" s="40">
        <f>IF(I344=0,0,CHAMNORD!G344+AIX!G344+BELLEY!G344+STALBAN!G344+ABRETS!G344+PONT!G344+FRANCIN!G344+VIVIERS!G344)</f>
        <v>0</v>
      </c>
      <c r="H344" s="42">
        <f>CHAMNORD!H344+AIX!H344+BELLEY!H344+STALBAN!H344+ABRETS!H344+PONT!H344+FRANCIN!H344+VIVIERS!H344</f>
        <v>0</v>
      </c>
      <c r="I344" s="13">
        <f>CHAMNORD!I344+AIX!I344+BELLEY!I344+STALBAN!I344+ABRETS!I344+PONT!I344+FRANCIN!I344+VIVIERS!I344</f>
        <v>0</v>
      </c>
      <c r="J344" s="14">
        <f>CHAMNORD!J344+AIX!J344+BELLEY!J344+STALBAN!J344+ABRETS!J344+PONT!J344+FRANCIN!J344+VIVIERS!J344</f>
        <v>0</v>
      </c>
      <c r="K344" s="15">
        <f>CHAMNORD!K344+AIX!K344+BELLEY!K344+STALBAN!K344+ABRETS!K344+PONT!K344+FRANCIN!K344+VIVIERS!K344</f>
        <v>0</v>
      </c>
      <c r="L344" s="15">
        <f>CHAMNORD!L344+AIX!L344+BELLEY!L344+STALBAN!L344+ABRETS!L344+PONT!L344+FRANCIN!L344+VIVIERS!L344</f>
        <v>0</v>
      </c>
      <c r="M344" s="15">
        <f>CHAMNORD!M344+AIX!M344+BELLEY!M344+STALBAN!M344+ABRETS!M344+PONT!M344+FRANCIN!M344+VIVIERS!M344</f>
        <v>0</v>
      </c>
      <c r="N344" s="16" t="str">
        <f t="shared" si="25"/>
        <v/>
      </c>
      <c r="O344" s="17" t="str">
        <f t="shared" si="28"/>
        <v/>
      </c>
      <c r="P344" s="17" t="str">
        <f t="shared" si="29"/>
        <v/>
      </c>
      <c r="Q344" s="18" t="str">
        <f t="shared" si="26"/>
        <v/>
      </c>
      <c r="R344" s="18" t="e">
        <f t="shared" si="27"/>
        <v>#DIV/0!</v>
      </c>
      <c r="S344" s="36">
        <f>SUM(J339:J345)</f>
        <v>0</v>
      </c>
      <c r="T344" s="30" t="s">
        <v>3</v>
      </c>
      <c r="U344" s="1738"/>
    </row>
    <row r="345" spans="1:25" ht="18" thickBot="1">
      <c r="A345" s="10" t="s">
        <v>16</v>
      </c>
      <c r="B345" s="905">
        <v>45997</v>
      </c>
      <c r="C345" s="76">
        <f>IF(G345=0,0,CHAMNORD!C345+AIX!C345+BELLEY!C345+STALBAN!C345+ABRETS!C345+PONT!C345+FRANCIN!C345+VIVIERS!C345)</f>
        <v>0</v>
      </c>
      <c r="D345" s="76">
        <f>IF(H345=0,0,CHAMNORD!D345+AIX!D345+BELLEY!D345+STALBAN!D345+ABRETS!D345+PONT!D345+FRANCIN!D345+VIVIERS!D345)</f>
        <v>0</v>
      </c>
      <c r="E345" s="76">
        <f>IF(I345=0,0,CHAMNORD!E345+AIX!E345+BELLEY!E345+STALBAN!E345+ABRETS!E345+PONT!E345+FRANCIN!E345+VIVIERS!E345)</f>
        <v>0</v>
      </c>
      <c r="F345" s="20">
        <f>IF(J345=0,0,CHAMNORD!F345+AIX!F345+BELLEY!F345+STALBAN!F345+ABRETS!F345+PONT!F345+FRANCIN!F345+VIVIERS!F345)</f>
        <v>0</v>
      </c>
      <c r="G345" s="40">
        <f>IF(I345=0,0,CHAMNORD!G345+AIX!G345+BELLEY!G345+STALBAN!G345+ABRETS!G345+PONT!G345+FRANCIN!G345+VIVIERS!G345)</f>
        <v>0</v>
      </c>
      <c r="H345" s="42">
        <f>CHAMNORD!H345+AIX!H345+BELLEY!H345+STALBAN!H345+ABRETS!H345+PONT!H345+FRANCIN!H345+VIVIERS!H345</f>
        <v>0</v>
      </c>
      <c r="I345" s="13">
        <f>CHAMNORD!I345+AIX!I345+BELLEY!I345+STALBAN!I345+ABRETS!I345+PONT!I345+FRANCIN!I345+VIVIERS!I345</f>
        <v>0</v>
      </c>
      <c r="J345" s="14">
        <f>CHAMNORD!J345+AIX!J345+BELLEY!J345+STALBAN!J345+ABRETS!J345+PONT!J345+FRANCIN!J345+VIVIERS!J345</f>
        <v>0</v>
      </c>
      <c r="K345" s="15">
        <f>CHAMNORD!K345+AIX!K345+BELLEY!K345+STALBAN!K345+ABRETS!K345+PONT!K345+FRANCIN!K345+VIVIERS!K345</f>
        <v>0</v>
      </c>
      <c r="L345" s="15">
        <f>CHAMNORD!L345+AIX!L345+BELLEY!L345+STALBAN!L345+ABRETS!L345+PONT!L345+FRANCIN!L345+VIVIERS!L345</f>
        <v>0</v>
      </c>
      <c r="M345" s="15">
        <f>CHAMNORD!M345+AIX!M345+BELLEY!M345+STALBAN!M345+ABRETS!M345+PONT!M345+FRANCIN!M345+VIVIERS!M345</f>
        <v>0</v>
      </c>
      <c r="N345" s="16" t="str">
        <f t="shared" si="25"/>
        <v/>
      </c>
      <c r="O345" s="17" t="str">
        <f t="shared" si="28"/>
        <v/>
      </c>
      <c r="P345" s="17" t="str">
        <f t="shared" si="29"/>
        <v/>
      </c>
      <c r="Q345" s="18" t="str">
        <f t="shared" si="26"/>
        <v/>
      </c>
      <c r="R345" s="18" t="e">
        <f t="shared" si="27"/>
        <v>#DIV/0!</v>
      </c>
      <c r="S345" s="37" t="e">
        <f>(S344-SUM(F339:F345))/(SUM(F339:F345))</f>
        <v>#DIV/0!</v>
      </c>
      <c r="T345" s="47" t="e">
        <f>SUM(M339:M345)/SUM(I339:I345)</f>
        <v>#DIV/0!</v>
      </c>
      <c r="U345" s="1739"/>
    </row>
    <row r="346" spans="1:25" ht="17" customHeight="1" thickTop="1">
      <c r="A346" s="10" t="s">
        <v>9</v>
      </c>
      <c r="B346" s="905">
        <v>45998</v>
      </c>
      <c r="C346" s="76">
        <f>IF(G346=0,0,CHAMNORD!C346+AIX!C346+BELLEY!C346+STALBAN!C346+ABRETS!C346+PONT!C346+FRANCIN!C346+VIVIERS!C346)</f>
        <v>0</v>
      </c>
      <c r="D346" s="76">
        <f>IF(H346=0,0,CHAMNORD!D346+AIX!D346+BELLEY!D346+STALBAN!D346+ABRETS!D346+PONT!D346+FRANCIN!D346+VIVIERS!D346)</f>
        <v>0</v>
      </c>
      <c r="E346" s="76">
        <f>IF(I346=0,0,CHAMNORD!E346+AIX!E346+BELLEY!E346+STALBAN!E346+ABRETS!E346+PONT!E346+FRANCIN!E346+VIVIERS!E346)</f>
        <v>0</v>
      </c>
      <c r="F346" s="20">
        <f>IF(J346=0,0,CHAMNORD!F346+AIX!F346+BELLEY!F346+STALBAN!F346+ABRETS!F346+PONT!F346+FRANCIN!F346+VIVIERS!F346)</f>
        <v>0</v>
      </c>
      <c r="G346" s="40">
        <f>IF(I346=0,0,CHAMNORD!G346+AIX!G346+BELLEY!G346+STALBAN!G346+ABRETS!G346+PONT!G346+FRANCIN!G346+VIVIERS!G346)</f>
        <v>0</v>
      </c>
      <c r="H346" s="42">
        <f>CHAMNORD!H346+AIX!H346+BELLEY!H346+STALBAN!H346+ABRETS!H346+PONT!H346+FRANCIN!H346+VIVIERS!H346</f>
        <v>0</v>
      </c>
      <c r="I346" s="13">
        <f>CHAMNORD!I346+AIX!I346+BELLEY!I346+STALBAN!I346+ABRETS!I346+PONT!I346+FRANCIN!I346+VIVIERS!I346</f>
        <v>0</v>
      </c>
      <c r="J346" s="14">
        <f>CHAMNORD!J346+AIX!J346+BELLEY!J346+STALBAN!J346+ABRETS!J346+PONT!J346+FRANCIN!J346+VIVIERS!J346</f>
        <v>0</v>
      </c>
      <c r="K346" s="15">
        <f>CHAMNORD!K346+AIX!K346+BELLEY!K346+STALBAN!K346+ABRETS!K346+PONT!K346+FRANCIN!K346+VIVIERS!K346</f>
        <v>0</v>
      </c>
      <c r="L346" s="15">
        <f>CHAMNORD!L346+AIX!L346+BELLEY!L346+STALBAN!L346+ABRETS!L346+PONT!L346+FRANCIN!L346+VIVIERS!L346</f>
        <v>0</v>
      </c>
      <c r="M346" s="15">
        <f>CHAMNORD!M346+AIX!M346+BELLEY!M346+STALBAN!M346+ABRETS!M346+PONT!M346+FRANCIN!M346+VIVIERS!M346</f>
        <v>0</v>
      </c>
      <c r="N346" s="16" t="str">
        <f t="shared" si="25"/>
        <v/>
      </c>
      <c r="O346" s="17" t="str">
        <f t="shared" si="28"/>
        <v/>
      </c>
      <c r="P346" s="17" t="str">
        <f t="shared" si="29"/>
        <v/>
      </c>
      <c r="Q346" s="18" t="str">
        <f t="shared" si="26"/>
        <v/>
      </c>
      <c r="R346" s="18" t="e">
        <f t="shared" si="27"/>
        <v>#DIV/0!</v>
      </c>
      <c r="S346" s="33" t="s">
        <v>39</v>
      </c>
      <c r="T346" s="31" t="s">
        <v>42</v>
      </c>
      <c r="U346" s="1737" t="s">
        <v>132</v>
      </c>
    </row>
    <row r="347" spans="1:25">
      <c r="A347" s="10" t="s">
        <v>11</v>
      </c>
      <c r="B347" s="905">
        <v>45999</v>
      </c>
      <c r="C347" s="76">
        <f>IF(G347=0,0,CHAMNORD!C347+AIX!C347+BELLEY!C347+STALBAN!C347+ABRETS!C347+PONT!C347+FRANCIN!C347+VIVIERS!C347)</f>
        <v>0</v>
      </c>
      <c r="D347" s="76">
        <f>IF(H347=0,0,CHAMNORD!D347+AIX!D347+BELLEY!D347+STALBAN!D347+ABRETS!D347+PONT!D347+FRANCIN!D347+VIVIERS!D347)</f>
        <v>0</v>
      </c>
      <c r="E347" s="76">
        <f>IF(I347=0,0,CHAMNORD!E347+AIX!E347+BELLEY!E347+STALBAN!E347+ABRETS!E347+PONT!E347+FRANCIN!E347+VIVIERS!E347)</f>
        <v>0</v>
      </c>
      <c r="F347" s="20">
        <f>IF(J347=0,0,CHAMNORD!F347+AIX!F347+BELLEY!F347+STALBAN!F347+ABRETS!F347+PONT!F347+FRANCIN!F347+VIVIERS!F347)</f>
        <v>0</v>
      </c>
      <c r="G347" s="40">
        <f>IF(I347=0,0,CHAMNORD!G347+AIX!G347+BELLEY!G347+STALBAN!G347+ABRETS!G347+PONT!G347+FRANCIN!G347+VIVIERS!G347)</f>
        <v>0</v>
      </c>
      <c r="H347" s="42">
        <f>CHAMNORD!H347+AIX!H347+BELLEY!H347+STALBAN!H347+ABRETS!H347+PONT!H347+FRANCIN!H347+VIVIERS!H347</f>
        <v>0</v>
      </c>
      <c r="I347" s="13">
        <f>CHAMNORD!I347+AIX!I347+BELLEY!I347+STALBAN!I347+ABRETS!I347+PONT!I347+FRANCIN!I347+VIVIERS!I347</f>
        <v>0</v>
      </c>
      <c r="J347" s="14">
        <f>CHAMNORD!J347+AIX!J347+BELLEY!J347+STALBAN!J347+ABRETS!J347+PONT!J347+FRANCIN!J347+VIVIERS!J347</f>
        <v>0</v>
      </c>
      <c r="K347" s="15">
        <f>CHAMNORD!K347+AIX!K347+BELLEY!K347+STALBAN!K347+ABRETS!K347+PONT!K347+FRANCIN!K347+VIVIERS!K347</f>
        <v>0</v>
      </c>
      <c r="L347" s="15">
        <f>CHAMNORD!L347+AIX!L347+BELLEY!L347+STALBAN!L347+ABRETS!L347+PONT!L347+FRANCIN!L347+VIVIERS!L347</f>
        <v>0</v>
      </c>
      <c r="M347" s="15">
        <f>CHAMNORD!M347+AIX!M347+BELLEY!M347+STALBAN!M347+ABRETS!M347+PONT!M347+FRANCIN!M347+VIVIERS!M347</f>
        <v>0</v>
      </c>
      <c r="N347" s="16" t="str">
        <f t="shared" si="25"/>
        <v/>
      </c>
      <c r="O347" s="17" t="str">
        <f t="shared" si="28"/>
        <v/>
      </c>
      <c r="P347" s="17" t="str">
        <f t="shared" si="29"/>
        <v/>
      </c>
      <c r="Q347" s="18" t="str">
        <f t="shared" si="26"/>
        <v/>
      </c>
      <c r="R347" s="18" t="e">
        <f t="shared" si="27"/>
        <v>#DIV/0!</v>
      </c>
      <c r="S347" s="34">
        <f>SUM(I346:I352)</f>
        <v>0</v>
      </c>
      <c r="T347" s="45" t="s">
        <v>41</v>
      </c>
      <c r="U347" s="1738"/>
      <c r="W347" s="202">
        <f>+S347</f>
        <v>0</v>
      </c>
      <c r="X347" s="202">
        <f>SUM(CHAMNORD!E346:E352)+SUM(AIX!E346:E352)+SUM(BELLEY!E346:E352)+SUM(STALBAN!E346:E352)+SUM(ABRETS!E346:E352)+SUM(PONT!E346:E352)+SUM(FRANCIN!E346:E352)+SUM(VIVIERS!E346:E352)</f>
        <v>0</v>
      </c>
      <c r="Y347" s="1051">
        <f>+W347-X347</f>
        <v>0</v>
      </c>
    </row>
    <row r="348" spans="1:25">
      <c r="A348" s="10" t="s">
        <v>12</v>
      </c>
      <c r="B348" s="905">
        <v>46000</v>
      </c>
      <c r="C348" s="76">
        <f>IF(G348=0,0,CHAMNORD!C348+AIX!C348+BELLEY!C348+STALBAN!C348+ABRETS!C348+PONT!C348+FRANCIN!C348+VIVIERS!C348)</f>
        <v>0</v>
      </c>
      <c r="D348" s="76">
        <f>IF(H348=0,0,CHAMNORD!D348+AIX!D348+BELLEY!D348+STALBAN!D348+ABRETS!D348+PONT!D348+FRANCIN!D348+VIVIERS!D348)</f>
        <v>0</v>
      </c>
      <c r="E348" s="76">
        <f>IF(I348=0,0,CHAMNORD!E348+AIX!E348+BELLEY!E348+STALBAN!E348+ABRETS!E348+PONT!E348+FRANCIN!E348+VIVIERS!E348)</f>
        <v>0</v>
      </c>
      <c r="F348" s="20">
        <f>IF(J348=0,0,CHAMNORD!F348+AIX!F348+BELLEY!F348+STALBAN!F348+ABRETS!F348+PONT!F348+FRANCIN!F348+VIVIERS!F348)</f>
        <v>0</v>
      </c>
      <c r="G348" s="40">
        <f>IF(I348=0,0,CHAMNORD!G348+AIX!G348+BELLEY!G348+STALBAN!G348+ABRETS!G348+PONT!G348+FRANCIN!G348+VIVIERS!G348)</f>
        <v>0</v>
      </c>
      <c r="H348" s="42">
        <f>CHAMNORD!H348+AIX!H348+BELLEY!H348+STALBAN!H348+ABRETS!H348+PONT!H348+FRANCIN!H348+VIVIERS!H348</f>
        <v>0</v>
      </c>
      <c r="I348" s="13">
        <f>CHAMNORD!I348+AIX!I348+BELLEY!I348+STALBAN!I348+ABRETS!I348+PONT!I348+FRANCIN!I348+VIVIERS!I348</f>
        <v>0</v>
      </c>
      <c r="J348" s="14">
        <f>CHAMNORD!J348+AIX!J348+BELLEY!J348+STALBAN!J348+ABRETS!J348+PONT!J348+FRANCIN!J348+VIVIERS!J348</f>
        <v>0</v>
      </c>
      <c r="K348" s="15">
        <f>CHAMNORD!K348+AIX!K348+BELLEY!K348+STALBAN!K348+ABRETS!K348+PONT!K348+FRANCIN!K348+VIVIERS!K348</f>
        <v>0</v>
      </c>
      <c r="L348" s="15">
        <f>CHAMNORD!L348+AIX!L348+BELLEY!L348+STALBAN!L348+ABRETS!L348+PONT!L348+FRANCIN!L348+VIVIERS!L348</f>
        <v>0</v>
      </c>
      <c r="M348" s="15">
        <f>CHAMNORD!M348+AIX!M348+BELLEY!M348+STALBAN!M348+ABRETS!M348+PONT!M348+FRANCIN!M348+VIVIERS!M348</f>
        <v>0</v>
      </c>
      <c r="N348" s="16" t="str">
        <f t="shared" si="25"/>
        <v/>
      </c>
      <c r="O348" s="17" t="str">
        <f t="shared" si="28"/>
        <v/>
      </c>
      <c r="P348" s="17" t="str">
        <f t="shared" si="29"/>
        <v/>
      </c>
      <c r="Q348" s="18" t="str">
        <f t="shared" si="26"/>
        <v/>
      </c>
      <c r="R348" s="18" t="e">
        <f t="shared" si="27"/>
        <v>#DIV/0!</v>
      </c>
      <c r="S348" s="35" t="e">
        <f>(S347-SUM(E346:E352))/(SUM(E346:E352))</f>
        <v>#DIV/0!</v>
      </c>
      <c r="T348" s="48" t="e">
        <f>SUM(I346:I352)/SUM(K346:K352)</f>
        <v>#DIV/0!</v>
      </c>
      <c r="U348" s="1738"/>
      <c r="W348" s="202"/>
      <c r="X348" s="202"/>
      <c r="Y348" s="1051"/>
    </row>
    <row r="349" spans="1:25">
      <c r="A349" s="10" t="s">
        <v>13</v>
      </c>
      <c r="B349" s="905">
        <v>46001</v>
      </c>
      <c r="C349" s="76">
        <f>IF(G349=0,0,CHAMNORD!C349+AIX!C349+BELLEY!C349+STALBAN!C349+ABRETS!C349+PONT!C349+FRANCIN!C349+VIVIERS!C349)</f>
        <v>0</v>
      </c>
      <c r="D349" s="76">
        <f>IF(H349=0,0,CHAMNORD!D349+AIX!D349+BELLEY!D349+STALBAN!D349+ABRETS!D349+PONT!D349+FRANCIN!D349+VIVIERS!D349)</f>
        <v>0</v>
      </c>
      <c r="E349" s="76">
        <f>IF(I349=0,0,CHAMNORD!E349+AIX!E349+BELLEY!E349+STALBAN!E349+ABRETS!E349+PONT!E349+FRANCIN!E349+VIVIERS!E349)</f>
        <v>0</v>
      </c>
      <c r="F349" s="20">
        <f>IF(J349=0,0,CHAMNORD!F349+AIX!F349+BELLEY!F349+STALBAN!F349+ABRETS!F349+PONT!F349+FRANCIN!F349+VIVIERS!F349)</f>
        <v>0</v>
      </c>
      <c r="G349" s="40">
        <f>IF(I349=0,0,CHAMNORD!G349+AIX!G349+BELLEY!G349+STALBAN!G349+ABRETS!G349+PONT!G349+FRANCIN!G349+VIVIERS!G349)</f>
        <v>0</v>
      </c>
      <c r="H349" s="42">
        <f>CHAMNORD!H349+AIX!H349+BELLEY!H349+STALBAN!H349+ABRETS!H349+PONT!H349+FRANCIN!H349+VIVIERS!H349</f>
        <v>0</v>
      </c>
      <c r="I349" s="13">
        <f>CHAMNORD!I349+AIX!I349+BELLEY!I349+STALBAN!I349+ABRETS!I349+PONT!I349+FRANCIN!I349+VIVIERS!I349</f>
        <v>0</v>
      </c>
      <c r="J349" s="14">
        <f>CHAMNORD!J349+AIX!J349+BELLEY!J349+STALBAN!J349+ABRETS!J349+PONT!J349+FRANCIN!J349+VIVIERS!J349</f>
        <v>0</v>
      </c>
      <c r="K349" s="15">
        <f>CHAMNORD!K349+AIX!K349+BELLEY!K349+STALBAN!K349+ABRETS!K349+PONT!K349+FRANCIN!K349+VIVIERS!K349</f>
        <v>0</v>
      </c>
      <c r="L349" s="15">
        <f>CHAMNORD!L349+AIX!L349+BELLEY!L349+STALBAN!L349+ABRETS!L349+PONT!L349+FRANCIN!L349+VIVIERS!L349</f>
        <v>0</v>
      </c>
      <c r="M349" s="15">
        <f>CHAMNORD!M349+AIX!M349+BELLEY!M349+STALBAN!M349+ABRETS!M349+PONT!M349+FRANCIN!M349+VIVIERS!M349</f>
        <v>0</v>
      </c>
      <c r="N349" s="16" t="str">
        <f t="shared" si="25"/>
        <v/>
      </c>
      <c r="O349" s="17" t="str">
        <f t="shared" si="28"/>
        <v/>
      </c>
      <c r="P349" s="17" t="str">
        <f t="shared" si="29"/>
        <v/>
      </c>
      <c r="Q349" s="18" t="str">
        <f t="shared" si="26"/>
        <v/>
      </c>
      <c r="R349" s="18" t="e">
        <f t="shared" si="27"/>
        <v>#DIV/0!</v>
      </c>
      <c r="S349" s="34"/>
      <c r="T349" s="29" t="s">
        <v>8</v>
      </c>
      <c r="U349" s="1738"/>
    </row>
    <row r="350" spans="1:25">
      <c r="A350" s="10" t="s">
        <v>14</v>
      </c>
      <c r="B350" s="905">
        <v>46002</v>
      </c>
      <c r="C350" s="76">
        <f>IF(G350=0,0,CHAMNORD!C350+AIX!C350+BELLEY!C350+STALBAN!C350+ABRETS!C350+PONT!C350+FRANCIN!C350+VIVIERS!C350)</f>
        <v>0</v>
      </c>
      <c r="D350" s="76">
        <f>IF(H350=0,0,CHAMNORD!D350+AIX!D350+BELLEY!D350+STALBAN!D350+ABRETS!D350+PONT!D350+FRANCIN!D350+VIVIERS!D350)</f>
        <v>0</v>
      </c>
      <c r="E350" s="76">
        <f>IF(I350=0,0,CHAMNORD!E350+AIX!E350+BELLEY!E350+STALBAN!E350+ABRETS!E350+PONT!E350+FRANCIN!E350+VIVIERS!E350)</f>
        <v>0</v>
      </c>
      <c r="F350" s="20">
        <f>IF(J350=0,0,CHAMNORD!F350+AIX!F350+BELLEY!F350+STALBAN!F350+ABRETS!F350+PONT!F350+FRANCIN!F350+VIVIERS!F350)</f>
        <v>0</v>
      </c>
      <c r="G350" s="40">
        <f>IF(I350=0,0,CHAMNORD!G350+AIX!G350+BELLEY!G350+STALBAN!G350+ABRETS!G350+PONT!G350+FRANCIN!G350+VIVIERS!G350)</f>
        <v>0</v>
      </c>
      <c r="H350" s="42">
        <f>CHAMNORD!H350+AIX!H350+BELLEY!H350+STALBAN!H350+ABRETS!H350+PONT!H350+FRANCIN!H350+VIVIERS!H350</f>
        <v>0</v>
      </c>
      <c r="I350" s="13">
        <f>CHAMNORD!I350+AIX!I350+BELLEY!I350+STALBAN!I350+ABRETS!I350+PONT!I350+FRANCIN!I350+VIVIERS!I350</f>
        <v>0</v>
      </c>
      <c r="J350" s="14">
        <f>CHAMNORD!J350+AIX!J350+BELLEY!J350+STALBAN!J350+ABRETS!J350+PONT!J350+FRANCIN!J350+VIVIERS!J350</f>
        <v>0</v>
      </c>
      <c r="K350" s="15">
        <f>CHAMNORD!K350+AIX!K350+BELLEY!K350+STALBAN!K350+ABRETS!K350+PONT!K350+FRANCIN!K350+VIVIERS!K350</f>
        <v>0</v>
      </c>
      <c r="L350" s="15">
        <f>CHAMNORD!L350+AIX!L350+BELLEY!L350+STALBAN!L350+ABRETS!L350+PONT!L350+FRANCIN!L350+VIVIERS!L350</f>
        <v>0</v>
      </c>
      <c r="M350" s="15">
        <f>CHAMNORD!M350+AIX!M350+BELLEY!M350+STALBAN!M350+ABRETS!M350+PONT!M350+FRANCIN!M350+VIVIERS!M350</f>
        <v>0</v>
      </c>
      <c r="N350" s="16" t="str">
        <f t="shared" si="25"/>
        <v/>
      </c>
      <c r="O350" s="17" t="str">
        <f t="shared" si="28"/>
        <v/>
      </c>
      <c r="P350" s="17" t="str">
        <f t="shared" si="29"/>
        <v/>
      </c>
      <c r="Q350" s="18" t="str">
        <f t="shared" si="26"/>
        <v/>
      </c>
      <c r="R350" s="18" t="e">
        <f t="shared" si="27"/>
        <v>#DIV/0!</v>
      </c>
      <c r="S350" s="36" t="s">
        <v>40</v>
      </c>
      <c r="T350" s="48" t="e">
        <f>SUM(I346:I352)/SUM(L346:L352)</f>
        <v>#DIV/0!</v>
      </c>
      <c r="U350" s="1738"/>
    </row>
    <row r="351" spans="1:25">
      <c r="A351" s="10" t="s">
        <v>15</v>
      </c>
      <c r="B351" s="905">
        <v>46003</v>
      </c>
      <c r="C351" s="76">
        <f>IF(G351=0,0,CHAMNORD!C351+AIX!C351+BELLEY!C351+STALBAN!C351+ABRETS!C351+PONT!C351+FRANCIN!C351+VIVIERS!C351)</f>
        <v>0</v>
      </c>
      <c r="D351" s="76">
        <f>IF(H351=0,0,CHAMNORD!D351+AIX!D351+BELLEY!D351+STALBAN!D351+ABRETS!D351+PONT!D351+FRANCIN!D351+VIVIERS!D351)</f>
        <v>0</v>
      </c>
      <c r="E351" s="76">
        <f>IF(I351=0,0,CHAMNORD!E351+AIX!E351+BELLEY!E351+STALBAN!E351+ABRETS!E351+PONT!E351+FRANCIN!E351+VIVIERS!E351)</f>
        <v>0</v>
      </c>
      <c r="F351" s="20">
        <f>IF(J351=0,0,CHAMNORD!F351+AIX!F351+BELLEY!F351+STALBAN!F351+ABRETS!F351+PONT!F351+FRANCIN!F351+VIVIERS!F351)</f>
        <v>0</v>
      </c>
      <c r="G351" s="40">
        <f>IF(I351=0,0,CHAMNORD!G351+AIX!G351+BELLEY!G351+STALBAN!G351+ABRETS!G351+PONT!G351+FRANCIN!G351+VIVIERS!G351)</f>
        <v>0</v>
      </c>
      <c r="H351" s="42">
        <f>CHAMNORD!H351+AIX!H351+BELLEY!H351+STALBAN!H351+ABRETS!H351+PONT!H351+FRANCIN!H351+VIVIERS!H351</f>
        <v>0</v>
      </c>
      <c r="I351" s="13">
        <f>CHAMNORD!I351+AIX!I351+BELLEY!I351+STALBAN!I351+ABRETS!I351+PONT!I351+FRANCIN!I351+VIVIERS!I351</f>
        <v>0</v>
      </c>
      <c r="J351" s="14">
        <f>CHAMNORD!J351+AIX!J351+BELLEY!J351+STALBAN!J351+ABRETS!J351+PONT!J351+FRANCIN!J351+VIVIERS!J351</f>
        <v>0</v>
      </c>
      <c r="K351" s="15">
        <f>CHAMNORD!K351+AIX!K351+BELLEY!K351+STALBAN!K351+ABRETS!K351+PONT!K351+FRANCIN!K351+VIVIERS!K351</f>
        <v>0</v>
      </c>
      <c r="L351" s="15">
        <f>CHAMNORD!L351+AIX!L351+BELLEY!L351+STALBAN!L351+ABRETS!L351+PONT!L351+FRANCIN!L351+VIVIERS!L351</f>
        <v>0</v>
      </c>
      <c r="M351" s="15">
        <f>CHAMNORD!M351+AIX!M351+BELLEY!M351+STALBAN!M351+ABRETS!M351+PONT!M351+FRANCIN!M351+VIVIERS!M351</f>
        <v>0</v>
      </c>
      <c r="N351" s="16" t="str">
        <f t="shared" si="25"/>
        <v/>
      </c>
      <c r="O351" s="17" t="str">
        <f t="shared" si="28"/>
        <v/>
      </c>
      <c r="P351" s="17" t="str">
        <f t="shared" si="29"/>
        <v/>
      </c>
      <c r="Q351" s="18" t="str">
        <f t="shared" si="26"/>
        <v/>
      </c>
      <c r="R351" s="18" t="e">
        <f t="shared" si="27"/>
        <v>#DIV/0!</v>
      </c>
      <c r="S351" s="36">
        <f>SUM(J346:J352)</f>
        <v>0</v>
      </c>
      <c r="T351" s="30" t="s">
        <v>3</v>
      </c>
      <c r="U351" s="1738"/>
    </row>
    <row r="352" spans="1:25" ht="18" thickBot="1">
      <c r="A352" s="10" t="s">
        <v>16</v>
      </c>
      <c r="B352" s="905">
        <v>46004</v>
      </c>
      <c r="C352" s="76">
        <f>IF(G352=0,0,CHAMNORD!C352+AIX!C352+BELLEY!C352+STALBAN!C352+ABRETS!C352+PONT!C352+FRANCIN!C352+VIVIERS!C352)</f>
        <v>0</v>
      </c>
      <c r="D352" s="76">
        <f>IF(H352=0,0,CHAMNORD!D352+AIX!D352+BELLEY!D352+STALBAN!D352+ABRETS!D352+PONT!D352+FRANCIN!D352+VIVIERS!D352)</f>
        <v>0</v>
      </c>
      <c r="E352" s="76">
        <f>IF(I352=0,0,CHAMNORD!E352+AIX!E352+BELLEY!E352+STALBAN!E352+ABRETS!E352+PONT!E352+FRANCIN!E352+VIVIERS!E352)</f>
        <v>0</v>
      </c>
      <c r="F352" s="20">
        <f>IF(J352=0,0,CHAMNORD!F352+AIX!F352+BELLEY!F352+STALBAN!F352+ABRETS!F352+PONT!F352+FRANCIN!F352+VIVIERS!F352)</f>
        <v>0</v>
      </c>
      <c r="G352" s="40">
        <f>IF(I352=0,0,CHAMNORD!G352+AIX!G352+BELLEY!G352+STALBAN!G352+ABRETS!G352+PONT!G352+FRANCIN!G352+VIVIERS!G352)</f>
        <v>0</v>
      </c>
      <c r="H352" s="42">
        <f>CHAMNORD!H352+AIX!H352+BELLEY!H352+STALBAN!H352+ABRETS!H352+PONT!H352+FRANCIN!H352+VIVIERS!H352</f>
        <v>0</v>
      </c>
      <c r="I352" s="13">
        <f>CHAMNORD!I352+AIX!I352+BELLEY!I352+STALBAN!I352+ABRETS!I352+PONT!I352+FRANCIN!I352+VIVIERS!I352</f>
        <v>0</v>
      </c>
      <c r="J352" s="14">
        <f>CHAMNORD!J352+AIX!J352+BELLEY!J352+STALBAN!J352+ABRETS!J352+PONT!J352+FRANCIN!J352+VIVIERS!J352</f>
        <v>0</v>
      </c>
      <c r="K352" s="15">
        <f>CHAMNORD!K352+AIX!K352+BELLEY!K352+STALBAN!K352+ABRETS!K352+PONT!K352+FRANCIN!K352+VIVIERS!K352</f>
        <v>0</v>
      </c>
      <c r="L352" s="15">
        <f>CHAMNORD!L352+AIX!L352+BELLEY!L352+STALBAN!L352+ABRETS!L352+PONT!L352+FRANCIN!L352+VIVIERS!L352</f>
        <v>0</v>
      </c>
      <c r="M352" s="15">
        <f>CHAMNORD!M352+AIX!M352+BELLEY!M352+STALBAN!M352+ABRETS!M352+PONT!M352+FRANCIN!M352+VIVIERS!M352</f>
        <v>0</v>
      </c>
      <c r="N352" s="16" t="str">
        <f t="shared" si="25"/>
        <v/>
      </c>
      <c r="O352" s="17" t="str">
        <f t="shared" si="28"/>
        <v/>
      </c>
      <c r="P352" s="17" t="str">
        <f t="shared" si="29"/>
        <v/>
      </c>
      <c r="Q352" s="18" t="str">
        <f t="shared" si="26"/>
        <v/>
      </c>
      <c r="R352" s="18" t="e">
        <f t="shared" si="27"/>
        <v>#DIV/0!</v>
      </c>
      <c r="S352" s="37" t="e">
        <f>(S351-SUM(F346:F352))/(SUM(F346:F352))</f>
        <v>#DIV/0!</v>
      </c>
      <c r="T352" s="47" t="e">
        <f>SUM(M346:M352)/SUM(I346:I352)</f>
        <v>#DIV/0!</v>
      </c>
      <c r="U352" s="1739"/>
    </row>
    <row r="353" spans="1:25" ht="17" customHeight="1" thickTop="1">
      <c r="A353" s="10" t="s">
        <v>9</v>
      </c>
      <c r="B353" s="905">
        <v>46005</v>
      </c>
      <c r="C353" s="76">
        <f>IF(G353=0,0,CHAMNORD!C353+AIX!C353+BELLEY!C353+STALBAN!C353+ABRETS!C353+PONT!C353+FRANCIN!C353+VIVIERS!C353)</f>
        <v>0</v>
      </c>
      <c r="D353" s="76">
        <f>IF(H353=0,0,CHAMNORD!D353+AIX!D353+BELLEY!D353+STALBAN!D353+ABRETS!D353+PONT!D353+FRANCIN!D353+VIVIERS!D353)</f>
        <v>0</v>
      </c>
      <c r="E353" s="76">
        <f>IF(I353=0,0,CHAMNORD!E353+AIX!E353+BELLEY!E353+STALBAN!E353+ABRETS!E353+PONT!E353+FRANCIN!E353+VIVIERS!E353)</f>
        <v>0</v>
      </c>
      <c r="F353" s="20">
        <f>IF(J353=0,0,CHAMNORD!F353+AIX!F353+BELLEY!F353+STALBAN!F353+ABRETS!F353+PONT!F353+FRANCIN!F353+VIVIERS!F353)</f>
        <v>0</v>
      </c>
      <c r="G353" s="40">
        <f>IF(I353=0,0,CHAMNORD!G353+AIX!G353+BELLEY!G353+STALBAN!G353+ABRETS!G353+PONT!G353+FRANCIN!G353+VIVIERS!G353)</f>
        <v>0</v>
      </c>
      <c r="H353" s="42">
        <f>CHAMNORD!H353+AIX!H353+BELLEY!H353+STALBAN!H353+ABRETS!H353+PONT!H353+FRANCIN!H353+VIVIERS!H353</f>
        <v>0</v>
      </c>
      <c r="I353" s="13">
        <f>CHAMNORD!I353+AIX!I353+BELLEY!I353+STALBAN!I353+ABRETS!I353+PONT!I353+FRANCIN!I353+VIVIERS!I353</f>
        <v>0</v>
      </c>
      <c r="J353" s="14">
        <f>CHAMNORD!J353+AIX!J353+BELLEY!J353+STALBAN!J353+ABRETS!J353+PONT!J353+FRANCIN!J353+VIVIERS!J353</f>
        <v>0</v>
      </c>
      <c r="K353" s="15">
        <f>CHAMNORD!K353+AIX!K353+BELLEY!K353+STALBAN!K353+ABRETS!K353+PONT!K353+FRANCIN!K353+VIVIERS!K353</f>
        <v>0</v>
      </c>
      <c r="L353" s="15">
        <f>CHAMNORD!L353+AIX!L353+BELLEY!L353+STALBAN!L353+ABRETS!L353+PONT!L353+FRANCIN!L353+VIVIERS!L353</f>
        <v>0</v>
      </c>
      <c r="M353" s="15">
        <f>CHAMNORD!M353+AIX!M353+BELLEY!M353+STALBAN!M353+ABRETS!M353+PONT!M353+FRANCIN!M353+VIVIERS!M353</f>
        <v>0</v>
      </c>
      <c r="N353" s="16" t="str">
        <f t="shared" si="25"/>
        <v/>
      </c>
      <c r="O353" s="17" t="str">
        <f t="shared" si="28"/>
        <v/>
      </c>
      <c r="P353" s="17" t="str">
        <f t="shared" si="29"/>
        <v/>
      </c>
      <c r="Q353" s="18" t="str">
        <f t="shared" si="26"/>
        <v/>
      </c>
      <c r="R353" s="18" t="e">
        <f t="shared" si="27"/>
        <v>#DIV/0!</v>
      </c>
      <c r="S353" s="33" t="s">
        <v>39</v>
      </c>
      <c r="T353" s="31" t="s">
        <v>42</v>
      </c>
      <c r="U353" s="1737" t="s">
        <v>133</v>
      </c>
    </row>
    <row r="354" spans="1:25">
      <c r="A354" s="10" t="s">
        <v>11</v>
      </c>
      <c r="B354" s="905">
        <v>46006</v>
      </c>
      <c r="C354" s="76">
        <f>IF(G354=0,0,CHAMNORD!C354+AIX!C354+BELLEY!C354+STALBAN!C354+ABRETS!C354+PONT!C354+FRANCIN!C354+VIVIERS!C354)</f>
        <v>0</v>
      </c>
      <c r="D354" s="76">
        <f>IF(H354=0,0,CHAMNORD!D354+AIX!D354+BELLEY!D354+STALBAN!D354+ABRETS!D354+PONT!D354+FRANCIN!D354+VIVIERS!D354)</f>
        <v>0</v>
      </c>
      <c r="E354" s="76">
        <f>IF(I354=0,0,CHAMNORD!E354+AIX!E354+BELLEY!E354+STALBAN!E354+ABRETS!E354+PONT!E354+FRANCIN!E354+VIVIERS!E354)</f>
        <v>0</v>
      </c>
      <c r="F354" s="20">
        <f>IF(J354=0,0,CHAMNORD!F354+AIX!F354+BELLEY!F354+STALBAN!F354+ABRETS!F354+PONT!F354+FRANCIN!F354+VIVIERS!F354)</f>
        <v>0</v>
      </c>
      <c r="G354" s="40">
        <f>IF(I354=0,0,CHAMNORD!G354+AIX!G354+BELLEY!G354+STALBAN!G354+ABRETS!G354+PONT!G354+FRANCIN!G354+VIVIERS!G354)</f>
        <v>0</v>
      </c>
      <c r="H354" s="42">
        <f>CHAMNORD!H354+AIX!H354+BELLEY!H354+STALBAN!H354+ABRETS!H354+PONT!H354+FRANCIN!H354+VIVIERS!H354</f>
        <v>0</v>
      </c>
      <c r="I354" s="13">
        <f>CHAMNORD!I354+AIX!I354+BELLEY!I354+STALBAN!I354+ABRETS!I354+PONT!I354+FRANCIN!I354+VIVIERS!I354</f>
        <v>0</v>
      </c>
      <c r="J354" s="14">
        <f>CHAMNORD!J354+AIX!J354+BELLEY!J354+STALBAN!J354+ABRETS!J354+PONT!J354+FRANCIN!J354+VIVIERS!J354</f>
        <v>0</v>
      </c>
      <c r="K354" s="15">
        <f>CHAMNORD!K354+AIX!K354+BELLEY!K354+STALBAN!K354+ABRETS!K354+PONT!K354+FRANCIN!K354+VIVIERS!K354</f>
        <v>0</v>
      </c>
      <c r="L354" s="15">
        <f>CHAMNORD!L354+AIX!L354+BELLEY!L354+STALBAN!L354+ABRETS!L354+PONT!L354+FRANCIN!L354+VIVIERS!L354</f>
        <v>0</v>
      </c>
      <c r="M354" s="15">
        <f>CHAMNORD!M354+AIX!M354+BELLEY!M354+STALBAN!M354+ABRETS!M354+PONT!M354+FRANCIN!M354+VIVIERS!M354</f>
        <v>0</v>
      </c>
      <c r="N354" s="16" t="str">
        <f t="shared" si="25"/>
        <v/>
      </c>
      <c r="O354" s="17" t="str">
        <f t="shared" si="28"/>
        <v/>
      </c>
      <c r="P354" s="17" t="str">
        <f t="shared" si="29"/>
        <v/>
      </c>
      <c r="Q354" s="18" t="str">
        <f t="shared" si="26"/>
        <v/>
      </c>
      <c r="R354" s="18" t="e">
        <f t="shared" si="27"/>
        <v>#DIV/0!</v>
      </c>
      <c r="S354" s="34">
        <f>SUM(I353:I359)</f>
        <v>0</v>
      </c>
      <c r="T354" s="45" t="s">
        <v>41</v>
      </c>
      <c r="U354" s="1738"/>
      <c r="W354" s="202">
        <f>+S354</f>
        <v>0</v>
      </c>
      <c r="X354" s="202">
        <f>SUM(CHAMNORD!E353:E359)+SUM(AIX!E353:E359)+SUM(BELLEY!E353:E359)+SUM(STALBAN!E353:E359)+SUM(ABRETS!E353:E359)+SUM(PONT!E353:E359)+SUM(FRANCIN!E353:E359)+SUM(VIVIERS!E353:E359)</f>
        <v>0</v>
      </c>
      <c r="Y354" s="1051">
        <f>+W354-X354</f>
        <v>0</v>
      </c>
    </row>
    <row r="355" spans="1:25">
      <c r="A355" s="10" t="s">
        <v>12</v>
      </c>
      <c r="B355" s="905">
        <v>46007</v>
      </c>
      <c r="C355" s="76">
        <f>IF(G355=0,0,CHAMNORD!C355+AIX!C355+BELLEY!C355+STALBAN!C355+ABRETS!C355+PONT!C355+FRANCIN!C355+VIVIERS!C355)</f>
        <v>0</v>
      </c>
      <c r="D355" s="76">
        <f>IF(H355=0,0,CHAMNORD!D355+AIX!D355+BELLEY!D355+STALBAN!D355+ABRETS!D355+PONT!D355+FRANCIN!D355+VIVIERS!D355)</f>
        <v>0</v>
      </c>
      <c r="E355" s="76">
        <f>IF(I355=0,0,CHAMNORD!E355+AIX!E355+BELLEY!E355+STALBAN!E355+ABRETS!E355+PONT!E355+FRANCIN!E355+VIVIERS!E355)</f>
        <v>0</v>
      </c>
      <c r="F355" s="20">
        <f>IF(J355=0,0,CHAMNORD!F355+AIX!F355+BELLEY!F355+STALBAN!F355+ABRETS!F355+PONT!F355+FRANCIN!F355+VIVIERS!F355)</f>
        <v>0</v>
      </c>
      <c r="G355" s="40">
        <f>IF(I355=0,0,CHAMNORD!G355+AIX!G355+BELLEY!G355+STALBAN!G355+ABRETS!G355+PONT!G355+FRANCIN!G355+VIVIERS!G355)</f>
        <v>0</v>
      </c>
      <c r="H355" s="42">
        <f>CHAMNORD!H355+AIX!H355+BELLEY!H355+STALBAN!H355+ABRETS!H355+PONT!H355+FRANCIN!H355+VIVIERS!H355</f>
        <v>0</v>
      </c>
      <c r="I355" s="13">
        <f>CHAMNORD!I355+AIX!I355+BELLEY!I355+STALBAN!I355+ABRETS!I355+PONT!I355+FRANCIN!I355+VIVIERS!I355</f>
        <v>0</v>
      </c>
      <c r="J355" s="14">
        <f>CHAMNORD!J355+AIX!J355+BELLEY!J355+STALBAN!J355+ABRETS!J355+PONT!J355+FRANCIN!J355+VIVIERS!J355</f>
        <v>0</v>
      </c>
      <c r="K355" s="15">
        <f>CHAMNORD!K355+AIX!K355+BELLEY!K355+STALBAN!K355+ABRETS!K355+PONT!K355+FRANCIN!K355+VIVIERS!K355</f>
        <v>0</v>
      </c>
      <c r="L355" s="15">
        <f>CHAMNORD!L355+AIX!L355+BELLEY!L355+STALBAN!L355+ABRETS!L355+PONT!L355+FRANCIN!L355+VIVIERS!L355</f>
        <v>0</v>
      </c>
      <c r="M355" s="15">
        <f>CHAMNORD!M355+AIX!M355+BELLEY!M355+STALBAN!M355+ABRETS!M355+PONT!M355+FRANCIN!M355+VIVIERS!M355</f>
        <v>0</v>
      </c>
      <c r="N355" s="16" t="str">
        <f t="shared" si="25"/>
        <v/>
      </c>
      <c r="O355" s="17" t="str">
        <f t="shared" si="28"/>
        <v/>
      </c>
      <c r="P355" s="17" t="str">
        <f t="shared" si="29"/>
        <v/>
      </c>
      <c r="Q355" s="18" t="str">
        <f t="shared" si="26"/>
        <v/>
      </c>
      <c r="R355" s="18" t="e">
        <f t="shared" si="27"/>
        <v>#DIV/0!</v>
      </c>
      <c r="S355" s="35" t="e">
        <f>(S354-SUM(E353:E359))/(SUM(E353:E359))</f>
        <v>#DIV/0!</v>
      </c>
      <c r="T355" s="48" t="e">
        <f>SUM(I353:I359)/SUM(K353:K359)</f>
        <v>#DIV/0!</v>
      </c>
      <c r="U355" s="1738"/>
    </row>
    <row r="356" spans="1:25">
      <c r="A356" s="10" t="s">
        <v>13</v>
      </c>
      <c r="B356" s="905">
        <v>46008</v>
      </c>
      <c r="C356" s="76">
        <f>IF(G356=0,0,CHAMNORD!C356+AIX!C356+BELLEY!C356+STALBAN!C356+ABRETS!C356+PONT!C356+FRANCIN!C356+VIVIERS!C356)</f>
        <v>0</v>
      </c>
      <c r="D356" s="76">
        <f>IF(H356=0,0,CHAMNORD!D356+AIX!D356+BELLEY!D356+STALBAN!D356+ABRETS!D356+PONT!D356+FRANCIN!D356+VIVIERS!D356)</f>
        <v>0</v>
      </c>
      <c r="E356" s="76">
        <f>IF(I356=0,0,CHAMNORD!E356+AIX!E356+BELLEY!E356+STALBAN!E356+ABRETS!E356+PONT!E356+FRANCIN!E356+VIVIERS!E356)</f>
        <v>0</v>
      </c>
      <c r="F356" s="20">
        <f>IF(J356=0,0,CHAMNORD!F356+AIX!F356+BELLEY!F356+STALBAN!F356+ABRETS!F356+PONT!F356+FRANCIN!F356+VIVIERS!F356)</f>
        <v>0</v>
      </c>
      <c r="G356" s="40">
        <f>IF(I356=0,0,CHAMNORD!G356+AIX!G356+BELLEY!G356+STALBAN!G356+ABRETS!G356+PONT!G356+FRANCIN!G356+VIVIERS!G356)</f>
        <v>0</v>
      </c>
      <c r="H356" s="42">
        <f>CHAMNORD!H356+AIX!H356+BELLEY!H356+STALBAN!H356+ABRETS!H356+PONT!H356+FRANCIN!H356+VIVIERS!H356</f>
        <v>0</v>
      </c>
      <c r="I356" s="13">
        <f>CHAMNORD!I356+AIX!I356+BELLEY!I356+STALBAN!I356+ABRETS!I356+PONT!I356+FRANCIN!I356+VIVIERS!I356</f>
        <v>0</v>
      </c>
      <c r="J356" s="14">
        <f>CHAMNORD!J356+AIX!J356+BELLEY!J356+STALBAN!J356+ABRETS!J356+PONT!J356+FRANCIN!J356+VIVIERS!J356</f>
        <v>0</v>
      </c>
      <c r="K356" s="15">
        <f>CHAMNORD!K356+AIX!K356+BELLEY!K356+STALBAN!K356+ABRETS!K356+PONT!K356+FRANCIN!K356+VIVIERS!K356</f>
        <v>0</v>
      </c>
      <c r="L356" s="15">
        <f>CHAMNORD!L356+AIX!L356+BELLEY!L356+STALBAN!L356+ABRETS!L356+PONT!L356+FRANCIN!L356+VIVIERS!L356</f>
        <v>0</v>
      </c>
      <c r="M356" s="15">
        <f>CHAMNORD!M356+AIX!M356+BELLEY!M356+STALBAN!M356+ABRETS!M356+PONT!M356+FRANCIN!M356+VIVIERS!M356</f>
        <v>0</v>
      </c>
      <c r="N356" s="16" t="str">
        <f t="shared" si="25"/>
        <v/>
      </c>
      <c r="O356" s="17" t="str">
        <f t="shared" si="28"/>
        <v/>
      </c>
      <c r="P356" s="17" t="str">
        <f t="shared" si="29"/>
        <v/>
      </c>
      <c r="Q356" s="18" t="str">
        <f t="shared" si="26"/>
        <v/>
      </c>
      <c r="R356" s="18" t="e">
        <f t="shared" si="27"/>
        <v>#DIV/0!</v>
      </c>
      <c r="S356" s="34"/>
      <c r="T356" s="29" t="s">
        <v>8</v>
      </c>
      <c r="U356" s="1738"/>
    </row>
    <row r="357" spans="1:25">
      <c r="A357" s="10" t="s">
        <v>14</v>
      </c>
      <c r="B357" s="905">
        <v>46009</v>
      </c>
      <c r="C357" s="76">
        <f>IF(G357=0,0,CHAMNORD!C357+AIX!C357+BELLEY!C357+STALBAN!C357+ABRETS!C357+PONT!C357+FRANCIN!C357+VIVIERS!C357)</f>
        <v>0</v>
      </c>
      <c r="D357" s="76">
        <f>IF(H357=0,0,CHAMNORD!D357+AIX!D357+BELLEY!D357+STALBAN!D357+ABRETS!D357+PONT!D357+FRANCIN!D357+VIVIERS!D357)</f>
        <v>0</v>
      </c>
      <c r="E357" s="76">
        <f>IF(I357=0,0,CHAMNORD!E357+AIX!E357+BELLEY!E357+STALBAN!E357+ABRETS!E357+PONT!E357+FRANCIN!E357+VIVIERS!E357)</f>
        <v>0</v>
      </c>
      <c r="F357" s="20">
        <f>IF(J357=0,0,CHAMNORD!F357+AIX!F357+BELLEY!F357+STALBAN!F357+ABRETS!F357+PONT!F357+FRANCIN!F357+VIVIERS!F357)</f>
        <v>0</v>
      </c>
      <c r="G357" s="40">
        <f>IF(I357=0,0,CHAMNORD!G357+AIX!G357+BELLEY!G357+STALBAN!G357+ABRETS!G357+PONT!G357+FRANCIN!G357+VIVIERS!G357)</f>
        <v>0</v>
      </c>
      <c r="H357" s="42">
        <f>CHAMNORD!H357+AIX!H357+BELLEY!H357+STALBAN!H357+ABRETS!H357+PONT!H357+FRANCIN!H357+VIVIERS!H357</f>
        <v>0</v>
      </c>
      <c r="I357" s="13">
        <f>CHAMNORD!I357+AIX!I357+BELLEY!I357+STALBAN!I357+ABRETS!I357+PONT!I357+FRANCIN!I357+VIVIERS!I357</f>
        <v>0</v>
      </c>
      <c r="J357" s="14">
        <f>CHAMNORD!J357+AIX!J357+BELLEY!J357+STALBAN!J357+ABRETS!J357+PONT!J357+FRANCIN!J357+VIVIERS!J357</f>
        <v>0</v>
      </c>
      <c r="K357" s="15">
        <f>CHAMNORD!K357+AIX!K357+BELLEY!K357+STALBAN!K357+ABRETS!K357+PONT!K357+FRANCIN!K357+VIVIERS!K357</f>
        <v>0</v>
      </c>
      <c r="L357" s="15">
        <f>CHAMNORD!L357+AIX!L357+BELLEY!L357+STALBAN!L357+ABRETS!L357+PONT!L357+FRANCIN!L357+VIVIERS!L357</f>
        <v>0</v>
      </c>
      <c r="M357" s="15">
        <f>CHAMNORD!M357+AIX!M357+BELLEY!M357+STALBAN!M357+ABRETS!M357+PONT!M357+FRANCIN!M357+VIVIERS!M357</f>
        <v>0</v>
      </c>
      <c r="N357" s="16" t="str">
        <f t="shared" si="25"/>
        <v/>
      </c>
      <c r="O357" s="17" t="str">
        <f t="shared" si="28"/>
        <v/>
      </c>
      <c r="P357" s="17" t="str">
        <f t="shared" si="29"/>
        <v/>
      </c>
      <c r="Q357" s="18" t="str">
        <f t="shared" si="26"/>
        <v/>
      </c>
      <c r="R357" s="18" t="e">
        <f t="shared" si="27"/>
        <v>#DIV/0!</v>
      </c>
      <c r="S357" s="36" t="s">
        <v>40</v>
      </c>
      <c r="T357" s="48" t="e">
        <f>SUM(I353:I359)/SUM(L353:L359)</f>
        <v>#DIV/0!</v>
      </c>
      <c r="U357" s="1738"/>
    </row>
    <row r="358" spans="1:25">
      <c r="A358" s="10" t="s">
        <v>15</v>
      </c>
      <c r="B358" s="905">
        <v>46010</v>
      </c>
      <c r="C358" s="76">
        <f>IF(G358=0,0,CHAMNORD!C358+AIX!C358+BELLEY!C358+STALBAN!C358+ABRETS!C358+PONT!C358+FRANCIN!C358+VIVIERS!C358)</f>
        <v>0</v>
      </c>
      <c r="D358" s="76">
        <f>IF(H358=0,0,CHAMNORD!D358+AIX!D358+BELLEY!D358+STALBAN!D358+ABRETS!D358+PONT!D358+FRANCIN!D358+VIVIERS!D358)</f>
        <v>0</v>
      </c>
      <c r="E358" s="76">
        <f>IF(I358=0,0,CHAMNORD!E358+AIX!E358+BELLEY!E358+STALBAN!E358+ABRETS!E358+PONT!E358+FRANCIN!E358+VIVIERS!E358)</f>
        <v>0</v>
      </c>
      <c r="F358" s="20">
        <f>IF(J358=0,0,CHAMNORD!F358+AIX!F358+BELLEY!F358+STALBAN!F358+ABRETS!F358+PONT!F358+FRANCIN!F358+VIVIERS!F358)</f>
        <v>0</v>
      </c>
      <c r="G358" s="40">
        <f>IF(I358=0,0,CHAMNORD!G358+AIX!G358+BELLEY!G358+STALBAN!G358+ABRETS!G358+PONT!G358+FRANCIN!G358+VIVIERS!G358)</f>
        <v>0</v>
      </c>
      <c r="H358" s="42">
        <f>CHAMNORD!H358+AIX!H358+BELLEY!H358+STALBAN!H358+ABRETS!H358+PONT!H358+FRANCIN!H358+VIVIERS!H358</f>
        <v>0</v>
      </c>
      <c r="I358" s="13">
        <f>CHAMNORD!I358+AIX!I358+BELLEY!I358+STALBAN!I358+ABRETS!I358+PONT!I358+FRANCIN!I358+VIVIERS!I358</f>
        <v>0</v>
      </c>
      <c r="J358" s="14">
        <f>CHAMNORD!J358+AIX!J358+BELLEY!J358+STALBAN!J358+ABRETS!J358+PONT!J358+FRANCIN!J358+VIVIERS!J358</f>
        <v>0</v>
      </c>
      <c r="K358" s="15">
        <f>CHAMNORD!K358+AIX!K358+BELLEY!K358+STALBAN!K358+ABRETS!K358+PONT!K358+FRANCIN!K358+VIVIERS!K358</f>
        <v>0</v>
      </c>
      <c r="L358" s="15">
        <f>CHAMNORD!L358+AIX!L358+BELLEY!L358+STALBAN!L358+ABRETS!L358+PONT!L358+FRANCIN!L358+VIVIERS!L358</f>
        <v>0</v>
      </c>
      <c r="M358" s="15">
        <f>CHAMNORD!M358+AIX!M358+BELLEY!M358+STALBAN!M358+ABRETS!M358+PONT!M358+FRANCIN!M358+VIVIERS!M358</f>
        <v>0</v>
      </c>
      <c r="N358" s="16" t="str">
        <f t="shared" si="25"/>
        <v/>
      </c>
      <c r="O358" s="17" t="str">
        <f t="shared" si="28"/>
        <v/>
      </c>
      <c r="P358" s="17" t="str">
        <f t="shared" si="29"/>
        <v/>
      </c>
      <c r="Q358" s="18" t="str">
        <f t="shared" si="26"/>
        <v/>
      </c>
      <c r="R358" s="18" t="e">
        <f t="shared" si="27"/>
        <v>#DIV/0!</v>
      </c>
      <c r="S358" s="36">
        <f>SUM(J353:J359)</f>
        <v>0</v>
      </c>
      <c r="T358" s="30" t="s">
        <v>3</v>
      </c>
      <c r="U358" s="1738"/>
    </row>
    <row r="359" spans="1:25" ht="18" thickBot="1">
      <c r="A359" s="10" t="s">
        <v>16</v>
      </c>
      <c r="B359" s="905">
        <v>46011</v>
      </c>
      <c r="C359" s="76">
        <f>IF(G359=0,0,CHAMNORD!C359+AIX!C359+BELLEY!C359+STALBAN!C359+ABRETS!C359+PONT!C359+FRANCIN!C359+VIVIERS!C359)</f>
        <v>0</v>
      </c>
      <c r="D359" s="76">
        <f>IF(H359=0,0,CHAMNORD!D359+AIX!D359+BELLEY!D359+STALBAN!D359+ABRETS!D359+PONT!D359+FRANCIN!D359+VIVIERS!D359)</f>
        <v>0</v>
      </c>
      <c r="E359" s="76">
        <f>IF(I359=0,0,CHAMNORD!E359+AIX!E359+BELLEY!E359+STALBAN!E359+ABRETS!E359+PONT!E359+FRANCIN!E359+VIVIERS!E359)</f>
        <v>0</v>
      </c>
      <c r="F359" s="20">
        <f>IF(J359=0,0,CHAMNORD!F359+AIX!F359+BELLEY!F359+STALBAN!F359+ABRETS!F359+PONT!F359+FRANCIN!F359+VIVIERS!F359)</f>
        <v>0</v>
      </c>
      <c r="G359" s="40">
        <f>IF(I359=0,0,CHAMNORD!G359+AIX!G359+BELLEY!G359+STALBAN!G359+ABRETS!G359+PONT!G359+FRANCIN!G359+VIVIERS!G359)</f>
        <v>0</v>
      </c>
      <c r="H359" s="42">
        <f>CHAMNORD!H359+AIX!H359+BELLEY!H359+STALBAN!H359+ABRETS!H359+PONT!H359+FRANCIN!H359+VIVIERS!H359</f>
        <v>0</v>
      </c>
      <c r="I359" s="13">
        <f>CHAMNORD!I359+AIX!I359+BELLEY!I359+STALBAN!I359+ABRETS!I359+PONT!I359+FRANCIN!I359+VIVIERS!I359</f>
        <v>0</v>
      </c>
      <c r="J359" s="14">
        <f>CHAMNORD!J359+AIX!J359+BELLEY!J359+STALBAN!J359+ABRETS!J359+PONT!J359+FRANCIN!J359+VIVIERS!J359</f>
        <v>0</v>
      </c>
      <c r="K359" s="15">
        <f>CHAMNORD!K359+AIX!K359+BELLEY!K359+STALBAN!K359+ABRETS!K359+PONT!K359+FRANCIN!K359+VIVIERS!K359</f>
        <v>0</v>
      </c>
      <c r="L359" s="15">
        <f>CHAMNORD!L359+AIX!L359+BELLEY!L359+STALBAN!L359+ABRETS!L359+PONT!L359+FRANCIN!L359+VIVIERS!L359</f>
        <v>0</v>
      </c>
      <c r="M359" s="15">
        <f>CHAMNORD!M359+AIX!M359+BELLEY!M359+STALBAN!M359+ABRETS!M359+PONT!M359+FRANCIN!M359+VIVIERS!M359</f>
        <v>0</v>
      </c>
      <c r="N359" s="16" t="str">
        <f t="shared" si="25"/>
        <v/>
      </c>
      <c r="O359" s="17" t="str">
        <f t="shared" si="28"/>
        <v/>
      </c>
      <c r="P359" s="17" t="str">
        <f t="shared" si="29"/>
        <v/>
      </c>
      <c r="Q359" s="18" t="str">
        <f t="shared" si="26"/>
        <v/>
      </c>
      <c r="R359" s="18" t="e">
        <f t="shared" si="27"/>
        <v>#DIV/0!</v>
      </c>
      <c r="S359" s="37" t="e">
        <f>(S358-SUM(F353:F359))/(SUM(F353:F359))</f>
        <v>#DIV/0!</v>
      </c>
      <c r="T359" s="47" t="e">
        <f>SUM(M353:M359)/SUM(I353:I359)</f>
        <v>#DIV/0!</v>
      </c>
      <c r="U359" s="1739"/>
    </row>
    <row r="360" spans="1:25" ht="17" customHeight="1" thickTop="1">
      <c r="A360" s="10" t="s">
        <v>9</v>
      </c>
      <c r="B360" s="905">
        <v>46012</v>
      </c>
      <c r="C360" s="76">
        <f>IF(G360=0,0,CHAMNORD!C360+AIX!C360+BELLEY!C360+STALBAN!C360+ABRETS!C360+PONT!C360+FRANCIN!C360+VIVIERS!C360)</f>
        <v>0</v>
      </c>
      <c r="D360" s="76">
        <f>IF(H360=0,0,CHAMNORD!D360+AIX!D360+BELLEY!D360+STALBAN!D360+ABRETS!D360+PONT!D360+FRANCIN!D360+VIVIERS!D360)</f>
        <v>0</v>
      </c>
      <c r="E360" s="76">
        <f>IF(I360=0,0,CHAMNORD!E360+AIX!E360+BELLEY!E360+STALBAN!E360+ABRETS!E360+PONT!E360+FRANCIN!E360+VIVIERS!E360)</f>
        <v>0</v>
      </c>
      <c r="F360" s="20">
        <f>IF(J360=0,0,CHAMNORD!F360+AIX!F360+BELLEY!F360+STALBAN!F360+ABRETS!F360+PONT!F360+FRANCIN!F360+VIVIERS!F360)</f>
        <v>0</v>
      </c>
      <c r="G360" s="40">
        <f>IF(I360=0,0,CHAMNORD!G360+AIX!G360+BELLEY!G360+STALBAN!G360+ABRETS!G360+PONT!G360+FRANCIN!G360+VIVIERS!G360)</f>
        <v>0</v>
      </c>
      <c r="H360" s="42">
        <f>CHAMNORD!H360+AIX!H360+BELLEY!H360+STALBAN!H360+ABRETS!H360+PONT!H360+FRANCIN!H360+VIVIERS!H360</f>
        <v>0</v>
      </c>
      <c r="I360" s="13">
        <f>CHAMNORD!I360+AIX!I360+BELLEY!I360+STALBAN!I360+ABRETS!I360+PONT!I360+FRANCIN!I360+VIVIERS!I360</f>
        <v>0</v>
      </c>
      <c r="J360" s="14">
        <f>CHAMNORD!J360+AIX!J360+BELLEY!J360+STALBAN!J360+ABRETS!J360+PONT!J360+FRANCIN!J360+VIVIERS!J360</f>
        <v>0</v>
      </c>
      <c r="K360" s="15">
        <f>CHAMNORD!K360+AIX!K360+BELLEY!K360+STALBAN!K360+ABRETS!K360+PONT!K360+FRANCIN!K360+VIVIERS!K360</f>
        <v>0</v>
      </c>
      <c r="L360" s="15">
        <f>CHAMNORD!L360+AIX!L360+BELLEY!L360+STALBAN!L360+ABRETS!L360+PONT!L360+FRANCIN!L360+VIVIERS!L360</f>
        <v>0</v>
      </c>
      <c r="M360" s="15">
        <f>CHAMNORD!M360+AIX!M360+BELLEY!M360+STALBAN!M360+ABRETS!M360+PONT!M360+FRANCIN!M360+VIVIERS!M360</f>
        <v>0</v>
      </c>
      <c r="N360" s="16" t="str">
        <f t="shared" si="25"/>
        <v/>
      </c>
      <c r="O360" s="17" t="str">
        <f t="shared" si="28"/>
        <v/>
      </c>
      <c r="P360" s="17" t="str">
        <f t="shared" si="29"/>
        <v/>
      </c>
      <c r="Q360" s="18" t="str">
        <f t="shared" si="26"/>
        <v/>
      </c>
      <c r="R360" s="18" t="e">
        <f t="shared" si="27"/>
        <v>#DIV/0!</v>
      </c>
      <c r="S360" s="33" t="s">
        <v>39</v>
      </c>
      <c r="T360" s="31" t="s">
        <v>42</v>
      </c>
      <c r="U360" s="1737" t="s">
        <v>134</v>
      </c>
    </row>
    <row r="361" spans="1:25">
      <c r="A361" s="10" t="s">
        <v>11</v>
      </c>
      <c r="B361" s="905">
        <v>46013</v>
      </c>
      <c r="C361" s="76">
        <f>IF(G361=0,0,CHAMNORD!C361+AIX!C361+BELLEY!C361+STALBAN!C361+ABRETS!C361+PONT!C361+FRANCIN!C361+VIVIERS!C361)</f>
        <v>0</v>
      </c>
      <c r="D361" s="76">
        <f>IF(H361=0,0,CHAMNORD!D361+AIX!D361+BELLEY!D361+STALBAN!D361+ABRETS!D361+PONT!D361+FRANCIN!D361+VIVIERS!D361)</f>
        <v>0</v>
      </c>
      <c r="E361" s="76">
        <f>IF(I361=0,0,CHAMNORD!E361+AIX!E361+BELLEY!E361+STALBAN!E361+ABRETS!E361+PONT!E361+FRANCIN!E361+VIVIERS!E361)</f>
        <v>0</v>
      </c>
      <c r="F361" s="20">
        <f>IF(J361=0,0,CHAMNORD!F361+AIX!F361+BELLEY!F361+STALBAN!F361+ABRETS!F361+PONT!F361+FRANCIN!F361+VIVIERS!F361)</f>
        <v>0</v>
      </c>
      <c r="G361" s="40">
        <f>IF(I361=0,0,CHAMNORD!G361+AIX!G361+BELLEY!G361+STALBAN!G361+ABRETS!G361+PONT!G361+FRANCIN!G361+VIVIERS!G361)</f>
        <v>0</v>
      </c>
      <c r="H361" s="42">
        <f>CHAMNORD!H361+AIX!H361+BELLEY!H361+STALBAN!H361+ABRETS!H361+PONT!H361+FRANCIN!H361+VIVIERS!H361</f>
        <v>0</v>
      </c>
      <c r="I361" s="13">
        <f>CHAMNORD!I361+AIX!I361+BELLEY!I361+STALBAN!I361+ABRETS!I361+PONT!I361+FRANCIN!I361+VIVIERS!I361</f>
        <v>0</v>
      </c>
      <c r="J361" s="14">
        <f>CHAMNORD!J361+AIX!J361+BELLEY!J361+STALBAN!J361+ABRETS!J361+PONT!J361+FRANCIN!J361+VIVIERS!J361</f>
        <v>0</v>
      </c>
      <c r="K361" s="15">
        <f>CHAMNORD!K361+AIX!K361+BELLEY!K361+STALBAN!K361+ABRETS!K361+PONT!K361+FRANCIN!K361+VIVIERS!K361</f>
        <v>0</v>
      </c>
      <c r="L361" s="15">
        <f>CHAMNORD!L361+AIX!L361+BELLEY!L361+STALBAN!L361+ABRETS!L361+PONT!L361+FRANCIN!L361+VIVIERS!L361</f>
        <v>0</v>
      </c>
      <c r="M361" s="15">
        <f>CHAMNORD!M361+AIX!M361+BELLEY!M361+STALBAN!M361+ABRETS!M361+PONT!M361+FRANCIN!M361+VIVIERS!M361</f>
        <v>0</v>
      </c>
      <c r="N361" s="16" t="str">
        <f t="shared" si="25"/>
        <v/>
      </c>
      <c r="O361" s="17" t="str">
        <f t="shared" si="28"/>
        <v/>
      </c>
      <c r="P361" s="17" t="str">
        <f t="shared" si="29"/>
        <v/>
      </c>
      <c r="Q361" s="18" t="str">
        <f t="shared" si="26"/>
        <v/>
      </c>
      <c r="R361" s="18" t="e">
        <f t="shared" si="27"/>
        <v>#DIV/0!</v>
      </c>
      <c r="S361" s="34">
        <f>SUM(I360:I366)</f>
        <v>0</v>
      </c>
      <c r="T361" s="45" t="s">
        <v>41</v>
      </c>
      <c r="U361" s="1738"/>
      <c r="W361" s="202">
        <f>+S361</f>
        <v>0</v>
      </c>
      <c r="X361" s="202">
        <f>SUM(CHAMNORD!E360:E366)+SUM(AIX!E360:E366)+SUM(BELLEY!E360:E366)+SUM(STALBAN!E360:E366)+SUM(ABRETS!E360:E366)+SUM(PONT!E360:E366)+SUM(FRANCIN!E360:E366)+SUM(VIVIERS!E360:E366)</f>
        <v>0</v>
      </c>
      <c r="Y361" s="1051">
        <f>+W361-X361</f>
        <v>0</v>
      </c>
    </row>
    <row r="362" spans="1:25">
      <c r="A362" s="10" t="s">
        <v>12</v>
      </c>
      <c r="B362" s="905">
        <v>46014</v>
      </c>
      <c r="C362" s="76">
        <f>IF(G362=0,0,CHAMNORD!C362+AIX!C362+BELLEY!C362+STALBAN!C362+ABRETS!C362+PONT!C362+FRANCIN!C362+VIVIERS!C362)</f>
        <v>0</v>
      </c>
      <c r="D362" s="76">
        <f>IF(H362=0,0,CHAMNORD!D362+AIX!D362+BELLEY!D362+STALBAN!D362+ABRETS!D362+PONT!D362+FRANCIN!D362+VIVIERS!D362)</f>
        <v>0</v>
      </c>
      <c r="E362" s="76">
        <f>IF(I362=0,0,CHAMNORD!E362+AIX!E362+BELLEY!E362+STALBAN!E362+ABRETS!E362+PONT!E362+FRANCIN!E362+VIVIERS!E362)</f>
        <v>0</v>
      </c>
      <c r="F362" s="20">
        <f>IF(J362=0,0,CHAMNORD!F362+AIX!F362+BELLEY!F362+STALBAN!F362+ABRETS!F362+PONT!F362+FRANCIN!F362+VIVIERS!F362)</f>
        <v>0</v>
      </c>
      <c r="G362" s="40">
        <f>IF(I362=0,0,CHAMNORD!G362+AIX!G362+BELLEY!G362+STALBAN!G362+ABRETS!G362+PONT!G362+FRANCIN!G362+VIVIERS!G362)</f>
        <v>0</v>
      </c>
      <c r="H362" s="42">
        <f>CHAMNORD!H362+AIX!H362+BELLEY!H362+STALBAN!H362+ABRETS!H362+PONT!H362+FRANCIN!H362+VIVIERS!H362</f>
        <v>0</v>
      </c>
      <c r="I362" s="13">
        <f>CHAMNORD!I362+AIX!I362+BELLEY!I362+STALBAN!I362+ABRETS!I362+PONT!I362+FRANCIN!I362+VIVIERS!I362</f>
        <v>0</v>
      </c>
      <c r="J362" s="14">
        <f>CHAMNORD!J362+AIX!J362+BELLEY!J362+STALBAN!J362+ABRETS!J362+PONT!J362+FRANCIN!J362+VIVIERS!J362</f>
        <v>0</v>
      </c>
      <c r="K362" s="15">
        <f>CHAMNORD!K362+AIX!K362+BELLEY!K362+STALBAN!K362+ABRETS!K362+PONT!K362+FRANCIN!K362+VIVIERS!K362</f>
        <v>0</v>
      </c>
      <c r="L362" s="15">
        <f>CHAMNORD!L362+AIX!L362+BELLEY!L362+STALBAN!L362+ABRETS!L362+PONT!L362+FRANCIN!L362+VIVIERS!L362</f>
        <v>0</v>
      </c>
      <c r="M362" s="15">
        <f>CHAMNORD!M362+AIX!M362+BELLEY!M362+STALBAN!M362+ABRETS!M362+PONT!M362+FRANCIN!M362+VIVIERS!M362</f>
        <v>0</v>
      </c>
      <c r="N362" s="16" t="str">
        <f t="shared" si="25"/>
        <v/>
      </c>
      <c r="O362" s="17" t="str">
        <f t="shared" si="28"/>
        <v/>
      </c>
      <c r="P362" s="17" t="str">
        <f t="shared" si="29"/>
        <v/>
      </c>
      <c r="Q362" s="18" t="str">
        <f t="shared" si="26"/>
        <v/>
      </c>
      <c r="R362" s="18" t="e">
        <f t="shared" si="27"/>
        <v>#DIV/0!</v>
      </c>
      <c r="S362" s="35" t="e">
        <f>(S361-SUM(E360:E366))/(SUM(E360:E366))</f>
        <v>#DIV/0!</v>
      </c>
      <c r="T362" s="48" t="e">
        <f>SUM(I360:I366)/SUM(K360:K366)</f>
        <v>#DIV/0!</v>
      </c>
      <c r="U362" s="1738"/>
    </row>
    <row r="363" spans="1:25">
      <c r="A363" s="10" t="s">
        <v>13</v>
      </c>
      <c r="B363" s="905">
        <v>46015</v>
      </c>
      <c r="C363" s="76">
        <f>IF(G363=0,0,CHAMNORD!C363+AIX!C363+BELLEY!C363+STALBAN!C363+ABRETS!C363+PONT!C363+FRANCIN!C363+VIVIERS!C363)</f>
        <v>0</v>
      </c>
      <c r="D363" s="76">
        <f>IF(H363=0,0,CHAMNORD!D363+AIX!D363+BELLEY!D363+STALBAN!D363+ABRETS!D363+PONT!D363+FRANCIN!D363+VIVIERS!D363)</f>
        <v>0</v>
      </c>
      <c r="E363" s="76">
        <f>IF(I363=0,0,CHAMNORD!E363+AIX!E363+BELLEY!E363+STALBAN!E363+ABRETS!E363+PONT!E363+FRANCIN!E363+VIVIERS!E363)</f>
        <v>0</v>
      </c>
      <c r="F363" s="20">
        <f>IF(J363=0,0,CHAMNORD!F363+AIX!F363+BELLEY!F363+STALBAN!F363+ABRETS!F363+PONT!F363+FRANCIN!F363+VIVIERS!F363)</f>
        <v>0</v>
      </c>
      <c r="G363" s="40">
        <f>IF(I363=0,0,CHAMNORD!G363+AIX!G363+BELLEY!G363+STALBAN!G363+ABRETS!G363+PONT!G363+FRANCIN!G363+VIVIERS!G363)</f>
        <v>0</v>
      </c>
      <c r="H363" s="42">
        <f>CHAMNORD!H363+AIX!H363+BELLEY!H363+STALBAN!H363+ABRETS!H363+PONT!H363+FRANCIN!H363+VIVIERS!H363</f>
        <v>0</v>
      </c>
      <c r="I363" s="13">
        <f>CHAMNORD!I363+AIX!I363+BELLEY!I363+STALBAN!I363+ABRETS!I363+PONT!I363+FRANCIN!I363+VIVIERS!I363</f>
        <v>0</v>
      </c>
      <c r="J363" s="14">
        <f>CHAMNORD!J363+AIX!J363+BELLEY!J363+STALBAN!J363+ABRETS!J363+PONT!J363+FRANCIN!J363+VIVIERS!J363</f>
        <v>0</v>
      </c>
      <c r="K363" s="15">
        <f>CHAMNORD!K363+AIX!K363+BELLEY!K363+STALBAN!K363+ABRETS!K363+PONT!K363+FRANCIN!K363+VIVIERS!K363</f>
        <v>0</v>
      </c>
      <c r="L363" s="15">
        <f>CHAMNORD!L363+AIX!L363+BELLEY!L363+STALBAN!L363+ABRETS!L363+PONT!L363+FRANCIN!L363+VIVIERS!L363</f>
        <v>0</v>
      </c>
      <c r="M363" s="15">
        <f>CHAMNORD!M363+AIX!M363+BELLEY!M363+STALBAN!M363+ABRETS!M363+PONT!M363+FRANCIN!M363+VIVIERS!M363</f>
        <v>0</v>
      </c>
      <c r="N363" s="16" t="str">
        <f t="shared" si="25"/>
        <v/>
      </c>
      <c r="O363" s="17" t="str">
        <f t="shared" si="28"/>
        <v/>
      </c>
      <c r="P363" s="17" t="str">
        <f t="shared" si="29"/>
        <v/>
      </c>
      <c r="Q363" s="18" t="str">
        <f t="shared" si="26"/>
        <v/>
      </c>
      <c r="R363" s="18" t="e">
        <f t="shared" si="27"/>
        <v>#DIV/0!</v>
      </c>
      <c r="S363" s="34"/>
      <c r="T363" s="29" t="s">
        <v>8</v>
      </c>
      <c r="U363" s="1738"/>
    </row>
    <row r="364" spans="1:25">
      <c r="A364" s="10" t="s">
        <v>14</v>
      </c>
      <c r="B364" s="905">
        <v>46016</v>
      </c>
      <c r="C364" s="76">
        <f>IF(G364=0,0,CHAMNORD!C364+AIX!C364+BELLEY!C364+STALBAN!C364+ABRETS!C364+PONT!C364+FRANCIN!C364+VIVIERS!C364)</f>
        <v>0</v>
      </c>
      <c r="D364" s="76">
        <f>IF(H364=0,0,CHAMNORD!D364+AIX!D364+BELLEY!D364+STALBAN!D364+ABRETS!D364+PONT!D364+FRANCIN!D364+VIVIERS!D364)</f>
        <v>0</v>
      </c>
      <c r="E364" s="76">
        <f>IF(I364=0,0,CHAMNORD!E364+AIX!E364+BELLEY!E364+STALBAN!E364+ABRETS!E364+PONT!E364+FRANCIN!E364+VIVIERS!E364)</f>
        <v>0</v>
      </c>
      <c r="F364" s="20">
        <f>IF(J364=0,0,CHAMNORD!F364+AIX!F364+BELLEY!F364+STALBAN!F364+ABRETS!F364+PONT!F364+FRANCIN!F364+VIVIERS!F364)</f>
        <v>0</v>
      </c>
      <c r="G364" s="40">
        <f>IF(I364=0,0,CHAMNORD!G364+AIX!G364+BELLEY!G364+STALBAN!G364+ABRETS!G364+PONT!G364+FRANCIN!G364+VIVIERS!G364)</f>
        <v>0</v>
      </c>
      <c r="H364" s="42">
        <f>CHAMNORD!H364+AIX!H364+BELLEY!H364+STALBAN!H364+ABRETS!H364+PONT!H364+FRANCIN!H364+VIVIERS!H364</f>
        <v>0</v>
      </c>
      <c r="I364" s="13">
        <f>CHAMNORD!I364+AIX!I364+BELLEY!I364+STALBAN!I364+ABRETS!I364+PONT!I364+FRANCIN!I364+VIVIERS!I364</f>
        <v>0</v>
      </c>
      <c r="J364" s="14">
        <f>CHAMNORD!J364+AIX!J364+BELLEY!J364+STALBAN!J364+ABRETS!J364+PONT!J364+FRANCIN!J364+VIVIERS!J364</f>
        <v>0</v>
      </c>
      <c r="K364" s="15">
        <f>CHAMNORD!K364+AIX!K364+BELLEY!K364+STALBAN!K364+ABRETS!K364+PONT!K364+FRANCIN!K364+VIVIERS!K364</f>
        <v>0</v>
      </c>
      <c r="L364" s="15">
        <f>CHAMNORD!L364+AIX!L364+BELLEY!L364+STALBAN!L364+ABRETS!L364+PONT!L364+FRANCIN!L364+VIVIERS!L364</f>
        <v>0</v>
      </c>
      <c r="M364" s="15">
        <f>CHAMNORD!M364+AIX!M364+BELLEY!M364+STALBAN!M364+ABRETS!M364+PONT!M364+FRANCIN!M364+VIVIERS!M364</f>
        <v>0</v>
      </c>
      <c r="N364" s="16" t="str">
        <f t="shared" si="25"/>
        <v/>
      </c>
      <c r="O364" s="17" t="str">
        <f t="shared" si="28"/>
        <v/>
      </c>
      <c r="P364" s="17" t="str">
        <f t="shared" si="29"/>
        <v/>
      </c>
      <c r="Q364" s="18" t="str">
        <f t="shared" si="26"/>
        <v/>
      </c>
      <c r="R364" s="18" t="e">
        <f t="shared" si="27"/>
        <v>#DIV/0!</v>
      </c>
      <c r="S364" s="36" t="s">
        <v>40</v>
      </c>
      <c r="T364" s="48" t="e">
        <f>SUM(I360:I366)/SUM(L360:L366)</f>
        <v>#DIV/0!</v>
      </c>
      <c r="U364" s="1738"/>
    </row>
    <row r="365" spans="1:25">
      <c r="A365" s="10" t="s">
        <v>15</v>
      </c>
      <c r="B365" s="905">
        <v>46017</v>
      </c>
      <c r="C365" s="76">
        <f>IF(G365=0,0,CHAMNORD!C365+AIX!C365+BELLEY!C365+STALBAN!C365+ABRETS!C365+PONT!C365+FRANCIN!C365+VIVIERS!C365)</f>
        <v>0</v>
      </c>
      <c r="D365" s="76">
        <f>IF(H365=0,0,CHAMNORD!D365+AIX!D365+BELLEY!D365+STALBAN!D365+ABRETS!D365+PONT!D365+FRANCIN!D365+VIVIERS!D365)</f>
        <v>0</v>
      </c>
      <c r="E365" s="76">
        <f>IF(I365=0,0,CHAMNORD!E365+AIX!E365+BELLEY!E365+STALBAN!E365+ABRETS!E365+PONT!E365+FRANCIN!E365+VIVIERS!E365)</f>
        <v>0</v>
      </c>
      <c r="F365" s="20">
        <f>IF(J365=0,0,CHAMNORD!F365+AIX!F365+BELLEY!F365+STALBAN!F365+ABRETS!F365+PONT!F365+FRANCIN!F365+VIVIERS!F365)</f>
        <v>0</v>
      </c>
      <c r="G365" s="40">
        <f>IF(I365=0,0,CHAMNORD!G365+AIX!G365+BELLEY!G365+STALBAN!G365+ABRETS!G365+PONT!G365+FRANCIN!G365+VIVIERS!G365)</f>
        <v>0</v>
      </c>
      <c r="H365" s="42">
        <f>CHAMNORD!H365+AIX!H365+BELLEY!H365+STALBAN!H365+ABRETS!H365+PONT!H365+FRANCIN!H365+VIVIERS!H365</f>
        <v>0</v>
      </c>
      <c r="I365" s="13">
        <f>CHAMNORD!I365+AIX!I365+BELLEY!I365+STALBAN!I365+ABRETS!I365+PONT!I365+FRANCIN!I365+VIVIERS!I365</f>
        <v>0</v>
      </c>
      <c r="J365" s="14">
        <f>CHAMNORD!J365+AIX!J365+BELLEY!J365+STALBAN!J365+ABRETS!J365+PONT!J365+FRANCIN!J365+VIVIERS!J365</f>
        <v>0</v>
      </c>
      <c r="K365" s="15">
        <f>CHAMNORD!K365+AIX!K365+BELLEY!K365+STALBAN!K365+ABRETS!K365+PONT!K365+FRANCIN!K365+VIVIERS!K365</f>
        <v>0</v>
      </c>
      <c r="L365" s="15">
        <f>CHAMNORD!L365+AIX!L365+BELLEY!L365+STALBAN!L365+ABRETS!L365+PONT!L365+FRANCIN!L365+VIVIERS!L365</f>
        <v>0</v>
      </c>
      <c r="M365" s="15">
        <f>CHAMNORD!M365+AIX!M365+BELLEY!M365+STALBAN!M365+ABRETS!M365+PONT!M365+FRANCIN!M365+VIVIERS!M365</f>
        <v>0</v>
      </c>
      <c r="N365" s="16" t="str">
        <f t="shared" si="25"/>
        <v/>
      </c>
      <c r="O365" s="17" t="str">
        <f t="shared" si="28"/>
        <v/>
      </c>
      <c r="P365" s="17" t="str">
        <f t="shared" si="29"/>
        <v/>
      </c>
      <c r="Q365" s="18" t="str">
        <f t="shared" si="26"/>
        <v/>
      </c>
      <c r="R365" s="18" t="e">
        <f t="shared" si="27"/>
        <v>#DIV/0!</v>
      </c>
      <c r="S365" s="36">
        <f>SUM(J360:J366)</f>
        <v>0</v>
      </c>
      <c r="T365" s="30" t="s">
        <v>3</v>
      </c>
      <c r="U365" s="1738"/>
    </row>
    <row r="366" spans="1:25" ht="18" thickBot="1">
      <c r="A366" s="10" t="s">
        <v>16</v>
      </c>
      <c r="B366" s="905">
        <v>46018</v>
      </c>
      <c r="C366" s="76">
        <f>IF(G366=0,0,CHAMNORD!C366+AIX!C366+BELLEY!C366+STALBAN!C366+ABRETS!C366+PONT!C366+FRANCIN!C366+VIVIERS!C366)</f>
        <v>0</v>
      </c>
      <c r="D366" s="76">
        <f>IF(H366=0,0,CHAMNORD!D366+AIX!D366+BELLEY!D366+STALBAN!D366+ABRETS!D366+PONT!D366+FRANCIN!D366+VIVIERS!D366)</f>
        <v>0</v>
      </c>
      <c r="E366" s="76">
        <f>IF(I366=0,0,CHAMNORD!E366+AIX!E366+BELLEY!E366+STALBAN!E366+ABRETS!E366+PONT!E366+FRANCIN!E366+VIVIERS!E366)</f>
        <v>0</v>
      </c>
      <c r="F366" s="20">
        <f>IF(J366=0,0,CHAMNORD!F366+AIX!F366+BELLEY!F366+STALBAN!F366+ABRETS!F366+PONT!F366+FRANCIN!F366+VIVIERS!F366)</f>
        <v>0</v>
      </c>
      <c r="G366" s="40">
        <f>IF(I366=0,0,CHAMNORD!G366+AIX!G366+BELLEY!G366+STALBAN!G366+ABRETS!G366+PONT!G366+FRANCIN!G366+VIVIERS!G366)</f>
        <v>0</v>
      </c>
      <c r="H366" s="42">
        <f>CHAMNORD!H366+AIX!H366+BELLEY!H366+STALBAN!H366+ABRETS!H366+PONT!H366+FRANCIN!H366+VIVIERS!H366</f>
        <v>0</v>
      </c>
      <c r="I366" s="13">
        <f>CHAMNORD!I366+AIX!I366+BELLEY!I366+STALBAN!I366+ABRETS!I366+PONT!I366+FRANCIN!I366+VIVIERS!I366</f>
        <v>0</v>
      </c>
      <c r="J366" s="14">
        <f>CHAMNORD!J366+AIX!J366+BELLEY!J366+STALBAN!J366+ABRETS!J366+PONT!J366+FRANCIN!J366+VIVIERS!J366</f>
        <v>0</v>
      </c>
      <c r="K366" s="15">
        <f>CHAMNORD!K366+AIX!K366+BELLEY!K366+STALBAN!K366+ABRETS!K366+PONT!K366+FRANCIN!K366+VIVIERS!K366</f>
        <v>0</v>
      </c>
      <c r="L366" s="15">
        <f>CHAMNORD!L366+AIX!L366+BELLEY!L366+STALBAN!L366+ABRETS!L366+PONT!L366+FRANCIN!L366+VIVIERS!L366</f>
        <v>0</v>
      </c>
      <c r="M366" s="15">
        <f>CHAMNORD!M366+AIX!M366+BELLEY!M366+STALBAN!M366+ABRETS!M366+PONT!M366+FRANCIN!M366+VIVIERS!M366</f>
        <v>0</v>
      </c>
      <c r="N366" s="16" t="str">
        <f t="shared" si="25"/>
        <v/>
      </c>
      <c r="O366" s="17" t="str">
        <f t="shared" si="28"/>
        <v/>
      </c>
      <c r="P366" s="17" t="str">
        <f t="shared" si="29"/>
        <v/>
      </c>
      <c r="Q366" s="18" t="str">
        <f t="shared" si="26"/>
        <v/>
      </c>
      <c r="R366" s="18" t="e">
        <f t="shared" si="27"/>
        <v>#DIV/0!</v>
      </c>
      <c r="S366" s="37" t="e">
        <f>(S365-SUM(F360:F366))/(SUM(F360:F366))</f>
        <v>#DIV/0!</v>
      </c>
      <c r="T366" s="47" t="e">
        <f>SUM(M360:M366)/SUM(I360:I366)</f>
        <v>#DIV/0!</v>
      </c>
      <c r="U366" s="1739"/>
    </row>
    <row r="367" spans="1:25" ht="18" thickTop="1">
      <c r="A367" s="10" t="s">
        <v>9</v>
      </c>
      <c r="B367" s="905">
        <v>46019</v>
      </c>
      <c r="C367" s="76">
        <f>IF(G367=0,0,CHAMNORD!C367+AIX!C367+BELLEY!C367+STALBAN!C367+ABRETS!C367+PONT!C367+FRANCIN!C367+VIVIERS!C367)</f>
        <v>0</v>
      </c>
      <c r="D367" s="76">
        <f>IF(H367=0,0,CHAMNORD!D367+AIX!D367+BELLEY!D367+STALBAN!D367+ABRETS!D367+PONT!D367+FRANCIN!D367+VIVIERS!D367)</f>
        <v>0</v>
      </c>
      <c r="E367" s="76">
        <f>IF(I367=0,0,CHAMNORD!E367+AIX!E367+BELLEY!E367+STALBAN!E367+ABRETS!E367+PONT!E367+FRANCIN!E367+VIVIERS!E367)</f>
        <v>0</v>
      </c>
      <c r="F367" s="20">
        <f>IF(J367=0,0,CHAMNORD!F367+AIX!F367+BELLEY!F367+STALBAN!F367+ABRETS!F367+PONT!F367+FRANCIN!F367+VIVIERS!F367)</f>
        <v>0</v>
      </c>
      <c r="G367" s="40">
        <f>IF(I367=0,0,CHAMNORD!G367+AIX!G367+BELLEY!G367+STALBAN!G367+ABRETS!G367+PONT!G367+FRANCIN!G367+VIVIERS!G367)</f>
        <v>0</v>
      </c>
      <c r="H367" s="42">
        <f>CHAMNORD!H367+AIX!H367+BELLEY!H367+STALBAN!H367+ABRETS!H367+PONT!H367+FRANCIN!H367+VIVIERS!H367</f>
        <v>0</v>
      </c>
      <c r="I367" s="13">
        <f>CHAMNORD!I367+AIX!I367+BELLEY!I367+STALBAN!I367+ABRETS!I367+PONT!I367+FRANCIN!I367+VIVIERS!I367</f>
        <v>0</v>
      </c>
      <c r="J367" s="14">
        <f>CHAMNORD!J367+AIX!J367+BELLEY!J367+STALBAN!J367+ABRETS!J367+PONT!J367+FRANCIN!J367+VIVIERS!J367</f>
        <v>0</v>
      </c>
      <c r="K367" s="15">
        <f>CHAMNORD!K367+AIX!K367+BELLEY!K367+STALBAN!K367+ABRETS!K367+PONT!K367+FRANCIN!K367+VIVIERS!K367</f>
        <v>0</v>
      </c>
      <c r="L367" s="15">
        <f>CHAMNORD!L367+AIX!L367+BELLEY!L367+STALBAN!L367+ABRETS!L367+PONT!L367+FRANCIN!L367+VIVIERS!L367</f>
        <v>0</v>
      </c>
      <c r="M367" s="15">
        <f>CHAMNORD!M367+AIX!M367+BELLEY!M367+STALBAN!M367+ABRETS!M367+PONT!M367+FRANCIN!M367+VIVIERS!M367</f>
        <v>0</v>
      </c>
      <c r="N367" s="16" t="str">
        <f t="shared" si="25"/>
        <v/>
      </c>
      <c r="O367" s="17" t="str">
        <f t="shared" si="28"/>
        <v/>
      </c>
      <c r="P367" s="17" t="str">
        <f t="shared" si="29"/>
        <v/>
      </c>
      <c r="Q367" s="18" t="str">
        <f t="shared" si="26"/>
        <v/>
      </c>
      <c r="R367" s="18" t="e">
        <f t="shared" si="27"/>
        <v>#DIV/0!</v>
      </c>
      <c r="S367" s="33" t="s">
        <v>39</v>
      </c>
      <c r="T367" s="31" t="s">
        <v>42</v>
      </c>
      <c r="U367" s="1737" t="s">
        <v>135</v>
      </c>
    </row>
    <row r="368" spans="1:25">
      <c r="A368" s="10" t="s">
        <v>11</v>
      </c>
      <c r="B368" s="905">
        <v>46020</v>
      </c>
      <c r="C368" s="76">
        <f>IF(G368=0,0,CHAMNORD!C368+AIX!C368+BELLEY!C368+STALBAN!C368+ABRETS!C368+PONT!C368+FRANCIN!C368+VIVIERS!C368)</f>
        <v>0</v>
      </c>
      <c r="D368" s="76">
        <f>IF(H368=0,0,CHAMNORD!D368+AIX!D368+BELLEY!D368+STALBAN!D368+ABRETS!D368+PONT!D368+FRANCIN!D368+VIVIERS!D368)</f>
        <v>0</v>
      </c>
      <c r="E368" s="76">
        <f>IF(I368=0,0,CHAMNORD!E368+AIX!E368+BELLEY!E368+STALBAN!E368+ABRETS!E368+PONT!E368+FRANCIN!E368+VIVIERS!E368)</f>
        <v>0</v>
      </c>
      <c r="F368" s="20">
        <f>IF(J368=0,0,CHAMNORD!F368+AIX!F368+BELLEY!F368+STALBAN!F368+ABRETS!F368+PONT!F368+FRANCIN!F368+VIVIERS!F368)</f>
        <v>0</v>
      </c>
      <c r="G368" s="40">
        <f>IF(I368=0,0,CHAMNORD!G368+AIX!G368+BELLEY!G368+STALBAN!G368+ABRETS!G368+PONT!G368+FRANCIN!G368+VIVIERS!G368)</f>
        <v>0</v>
      </c>
      <c r="H368" s="42">
        <f>CHAMNORD!H368+AIX!H368+BELLEY!H368+STALBAN!H368+ABRETS!H368+PONT!H368+FRANCIN!H368+VIVIERS!H368</f>
        <v>0</v>
      </c>
      <c r="I368" s="13">
        <f>CHAMNORD!I368+AIX!I368+BELLEY!I368+STALBAN!I368+ABRETS!I368+PONT!I368+FRANCIN!I368+VIVIERS!I368</f>
        <v>0</v>
      </c>
      <c r="J368" s="14">
        <f>CHAMNORD!J368+AIX!J368+BELLEY!J368+STALBAN!J368+ABRETS!J368+PONT!J368+FRANCIN!J368+VIVIERS!J368</f>
        <v>0</v>
      </c>
      <c r="K368" s="15">
        <f>CHAMNORD!K368+AIX!K368+BELLEY!K368+STALBAN!K368+ABRETS!K368+PONT!K368+FRANCIN!K368+VIVIERS!K368</f>
        <v>0</v>
      </c>
      <c r="L368" s="15">
        <f>CHAMNORD!L368+AIX!L368+BELLEY!L368+STALBAN!L368+ABRETS!L368+PONT!L368+FRANCIN!L368+VIVIERS!L368</f>
        <v>0</v>
      </c>
      <c r="M368" s="15">
        <f>CHAMNORD!M368+AIX!M368+BELLEY!M368+STALBAN!M368+ABRETS!M368+PONT!M368+FRANCIN!M368+VIVIERS!M368</f>
        <v>0</v>
      </c>
      <c r="N368" s="17" t="str">
        <f t="shared" si="25"/>
        <v/>
      </c>
      <c r="O368" s="17" t="str">
        <f t="shared" si="28"/>
        <v/>
      </c>
      <c r="P368" s="17" t="str">
        <f t="shared" si="29"/>
        <v/>
      </c>
      <c r="Q368" s="18" t="str">
        <f t="shared" si="26"/>
        <v/>
      </c>
      <c r="R368" s="18" t="e">
        <f t="shared" si="27"/>
        <v>#DIV/0!</v>
      </c>
      <c r="S368" s="34">
        <f>SUM(I367:I373)</f>
        <v>0</v>
      </c>
      <c r="T368" s="45" t="s">
        <v>41</v>
      </c>
      <c r="U368" s="1738"/>
      <c r="W368" s="202">
        <f>+S368</f>
        <v>0</v>
      </c>
      <c r="X368" s="202">
        <f>SUM(CHAMNORD!E367:E373)+SUM(AIX!E367:E373)+SUM(BELLEY!E367:E373)+SUM(STALBAN!E367:E373)+SUM(ABRETS!E367:E373)+SUM(PONT!E367:E373)+SUM(FRANCIN!E367:E373)+SUM(VIVIERS!E367:E373)</f>
        <v>0</v>
      </c>
      <c r="Y368" s="1051">
        <f>+W368-X368</f>
        <v>0</v>
      </c>
    </row>
    <row r="369" spans="1:26">
      <c r="A369" s="63" t="s">
        <v>12</v>
      </c>
      <c r="B369" s="906">
        <v>46021</v>
      </c>
      <c r="C369" s="76">
        <f>IF(G369=0,0,CHAMNORD!C369+AIX!C369+BELLEY!C369+STALBAN!C369+ABRETS!C369+PONT!C369+FRANCIN!C369+VIVIERS!C369)</f>
        <v>0</v>
      </c>
      <c r="D369" s="76"/>
      <c r="E369" s="76"/>
      <c r="F369" s="20"/>
      <c r="G369" s="40"/>
      <c r="H369" s="42"/>
      <c r="I369" s="13"/>
      <c r="J369" s="14"/>
      <c r="K369" s="60"/>
      <c r="L369" s="60"/>
      <c r="M369" s="60"/>
      <c r="N369" s="17"/>
      <c r="O369" s="17"/>
      <c r="Q369" s="18"/>
      <c r="R369" s="61"/>
      <c r="S369" s="35" t="e">
        <f>(S368-SUM(E367:E373))/(SUM(E367:E373))</f>
        <v>#DIV/0!</v>
      </c>
      <c r="T369" s="48" t="e">
        <f>SUM(I367:I373)/SUM(K367:K373)</f>
        <v>#DIV/0!</v>
      </c>
      <c r="U369" s="1738"/>
    </row>
    <row r="370" spans="1:26">
      <c r="A370" s="63" t="s">
        <v>13</v>
      </c>
      <c r="B370" s="906">
        <v>46022</v>
      </c>
      <c r="C370" s="76">
        <f>IF(G370=0,0,CHAMNORD!C370+AIX!C370+BELLEY!C370+STALBAN!C370+ABRETS!C370+PONT!C370+FRANCIN!C370+VIVIERS!C370)</f>
        <v>0</v>
      </c>
      <c r="D370" s="76"/>
      <c r="E370" s="76"/>
      <c r="F370" s="20"/>
      <c r="G370" s="40"/>
      <c r="H370" s="42"/>
      <c r="I370" s="13"/>
      <c r="J370" s="14"/>
      <c r="K370" s="60"/>
      <c r="L370" s="60"/>
      <c r="M370" s="60"/>
      <c r="N370" s="17"/>
      <c r="O370" s="17"/>
      <c r="Q370" s="18"/>
      <c r="R370" s="61"/>
      <c r="S370" s="34"/>
      <c r="T370" s="29" t="s">
        <v>8</v>
      </c>
      <c r="U370" s="1738"/>
    </row>
    <row r="371" spans="1:26" ht="17" customHeight="1">
      <c r="A371" s="63" t="s">
        <v>14</v>
      </c>
      <c r="B371" s="906">
        <v>46023</v>
      </c>
      <c r="C371" s="76">
        <f>IF(G371=0,0,CHAMNORD!C371+AIX!C371+BELLEY!C371+STALBAN!C371+ABRETS!C371+PONT!C371+FRANCIN!C371+VIVIERS!C371)</f>
        <v>0</v>
      </c>
      <c r="D371" s="76"/>
      <c r="E371" s="76"/>
      <c r="F371" s="20"/>
      <c r="G371" s="40"/>
      <c r="H371" s="42"/>
      <c r="I371" s="13"/>
      <c r="J371" s="14"/>
      <c r="K371" s="60"/>
      <c r="L371" s="60"/>
      <c r="M371" s="60"/>
      <c r="N371" s="17"/>
      <c r="O371" s="17"/>
      <c r="Q371" s="18"/>
      <c r="R371" s="61"/>
      <c r="S371" s="36" t="s">
        <v>40</v>
      </c>
      <c r="T371" s="48" t="e">
        <f>SUM(I367:I373)/SUM(L367:L373)</f>
        <v>#DIV/0!</v>
      </c>
      <c r="U371" s="1738"/>
    </row>
    <row r="372" spans="1:26">
      <c r="A372" s="63" t="s">
        <v>15</v>
      </c>
      <c r="B372" s="906">
        <v>46024</v>
      </c>
      <c r="C372" s="76">
        <f>IF(G372=0,0,CHAMNORD!C372+AIX!C372+BELLEY!C372+STALBAN!C372+ABRETS!C372+PONT!C372+FRANCIN!C372+VIVIERS!C372)</f>
        <v>0</v>
      </c>
      <c r="D372" s="76"/>
      <c r="E372" s="76"/>
      <c r="F372" s="20"/>
      <c r="G372" s="40"/>
      <c r="H372" s="42"/>
      <c r="I372" s="13"/>
      <c r="J372" s="14"/>
      <c r="K372" s="60"/>
      <c r="L372" s="60"/>
      <c r="M372" s="60"/>
      <c r="N372" s="17"/>
      <c r="O372" s="17"/>
      <c r="Q372" s="18"/>
      <c r="R372" s="61"/>
      <c r="S372" s="36">
        <f>SUM(J367:J373)</f>
        <v>0</v>
      </c>
      <c r="T372" s="30" t="s">
        <v>3</v>
      </c>
      <c r="U372" s="1738"/>
    </row>
    <row r="373" spans="1:26" ht="18" thickBot="1">
      <c r="A373" s="63" t="s">
        <v>16</v>
      </c>
      <c r="B373" s="906">
        <v>46025</v>
      </c>
      <c r="C373" s="76">
        <f>IF(G373=0,0,CHAMNORD!C373+AIX!C373+BELLEY!C373+STALBAN!C373+ABRETS!C373+PONT!C373+FRANCIN!C373+VIVIERS!C373)</f>
        <v>0</v>
      </c>
      <c r="D373" s="77"/>
      <c r="E373" s="77"/>
      <c r="F373" s="21"/>
      <c r="G373" s="41"/>
      <c r="H373" s="43"/>
      <c r="I373" s="22"/>
      <c r="J373" s="23"/>
      <c r="K373" s="24"/>
      <c r="L373" s="24"/>
      <c r="M373" s="24"/>
      <c r="N373" s="25"/>
      <c r="O373" s="25"/>
      <c r="P373" s="25"/>
      <c r="Q373" s="26"/>
      <c r="R373" s="62"/>
      <c r="S373" s="37" t="e">
        <f>(S372-SUM(F367:F373))/(SUM(F367:F373))</f>
        <v>#DIV/0!</v>
      </c>
      <c r="T373" s="47" t="e">
        <f>SUM(M367:M373)/SUM(I367:I373)</f>
        <v>#DIV/0!</v>
      </c>
      <c r="U373" s="1739"/>
    </row>
    <row r="374" spans="1:26" ht="17" customHeight="1">
      <c r="D374" s="13"/>
    </row>
    <row r="375" spans="1:26" ht="16" customHeight="1" thickBot="1"/>
    <row r="376" spans="1:26" ht="32" customHeight="1">
      <c r="B376" s="907"/>
      <c r="C376" s="911"/>
      <c r="D376" s="909" t="s">
        <v>323</v>
      </c>
      <c r="E376" s="103"/>
      <c r="F376" s="101" t="s">
        <v>7</v>
      </c>
      <c r="G376" s="103" t="s">
        <v>165</v>
      </c>
      <c r="H376" s="95" t="s">
        <v>483</v>
      </c>
      <c r="I376" s="95" t="s">
        <v>484</v>
      </c>
      <c r="J376" s="95" t="s">
        <v>486</v>
      </c>
      <c r="K376" s="95" t="s">
        <v>413</v>
      </c>
      <c r="L376" s="95" t="s">
        <v>485</v>
      </c>
      <c r="M376" s="95" t="s">
        <v>482</v>
      </c>
      <c r="N376" s="95" t="s">
        <v>40</v>
      </c>
      <c r="O376" s="95" t="s">
        <v>43</v>
      </c>
      <c r="P376" s="95" t="s">
        <v>44</v>
      </c>
      <c r="Q376" s="95" t="s">
        <v>3</v>
      </c>
      <c r="R376" s="95" t="s">
        <v>136</v>
      </c>
      <c r="S376" s="95" t="s">
        <v>137</v>
      </c>
      <c r="T376" s="95" t="s">
        <v>161</v>
      </c>
      <c r="U376" s="27"/>
      <c r="V376" s="1501" t="s">
        <v>487</v>
      </c>
      <c r="W376" s="1501" t="s">
        <v>488</v>
      </c>
      <c r="X376" s="1501" t="s">
        <v>489</v>
      </c>
      <c r="Y376" s="1501" t="s">
        <v>40</v>
      </c>
      <c r="Z376" s="1225"/>
    </row>
    <row r="377" spans="1:26" ht="17" customHeight="1">
      <c r="B377" s="98" t="s">
        <v>10</v>
      </c>
      <c r="C377" s="204"/>
      <c r="D377" s="84">
        <f>SUM(C$6:C$36)</f>
        <v>2994733.13</v>
      </c>
      <c r="E377" s="104"/>
      <c r="F377" s="102">
        <v>94</v>
      </c>
      <c r="G377" s="105">
        <f>M377/F377</f>
        <v>31600.357659574471</v>
      </c>
      <c r="H377" s="84">
        <f>SUM(D$6:D$36)</f>
        <v>2955725.04</v>
      </c>
      <c r="I377" s="84">
        <f t="shared" ref="I377:Q377" si="30">SUM(E$6:E$36)</f>
        <v>2917768.5699999994</v>
      </c>
      <c r="J377" s="89">
        <f>SUM(F$6:F$36)</f>
        <v>158636</v>
      </c>
      <c r="K377" s="84">
        <f t="shared" si="30"/>
        <v>3022100</v>
      </c>
      <c r="L377" s="84">
        <f t="shared" si="30"/>
        <v>3007539.8200000003</v>
      </c>
      <c r="M377" s="84">
        <f t="shared" si="30"/>
        <v>2970433.62</v>
      </c>
      <c r="N377" s="89">
        <f t="shared" si="30"/>
        <v>150448</v>
      </c>
      <c r="O377" s="89">
        <f t="shared" si="30"/>
        <v>30096.799999999996</v>
      </c>
      <c r="P377" s="89">
        <f t="shared" si="30"/>
        <v>34397.439000000006</v>
      </c>
      <c r="Q377" s="87">
        <f t="shared" si="30"/>
        <v>15113.46</v>
      </c>
      <c r="R377" s="87">
        <f>CHAMNORD!R377+AIX!R377+BELLEY!R377+STALBAN!R377+ABRETS!R377+PONT!R377+FRANCIN!R377+VIVIERS!R377</f>
        <v>8589.4700000000012</v>
      </c>
      <c r="S377" s="87">
        <f>CHAMNORD!S377+AIX!S377+BELLEY!S377+STALBAN!S377+ABRETS!S377+PONT!S377+FRANCIN!S377+VIVIERS!S377</f>
        <v>-667.05</v>
      </c>
      <c r="T377" s="87">
        <f>CHAMNORD!T377+AIX!T377+BELLEY!T377+STALBAN!T377+ABRETS!T377+PONT!T377+FRANCIN!T377+VIVIERS!T377</f>
        <v>828.3599999999999</v>
      </c>
      <c r="U377" s="27"/>
      <c r="V377" s="1502">
        <f>(L377-D377)/D377</f>
        <v>4.2764044220529292E-3</v>
      </c>
      <c r="W377" s="1502">
        <f>(L377-H377)/H377</f>
        <v>1.7530311276856881E-2</v>
      </c>
      <c r="X377" s="1502">
        <f>(M377-I377)/I377</f>
        <v>1.804976945104346E-2</v>
      </c>
      <c r="Y377" s="1502">
        <f>(N377-J377)/J377</f>
        <v>-5.1615018028694622E-2</v>
      </c>
      <c r="Z377" s="1224"/>
    </row>
    <row r="378" spans="1:26" ht="17" customHeight="1">
      <c r="B378" s="98" t="s">
        <v>25</v>
      </c>
      <c r="C378" s="204"/>
      <c r="D378" s="84">
        <f>SUM(C$37:C$64)</f>
        <v>2838138.93</v>
      </c>
      <c r="E378" s="104"/>
      <c r="F378" s="102">
        <v>94</v>
      </c>
      <c r="G378" s="105">
        <f t="shared" ref="G378:G388" si="31">M378/F378</f>
        <v>29285.433191489363</v>
      </c>
      <c r="H378" s="83">
        <f>SUM(D$37:D$64)</f>
        <v>2832801.6100000003</v>
      </c>
      <c r="I378" s="83">
        <f t="shared" ref="I378:Q378" si="32">SUM(E$37:E$64)</f>
        <v>2801718.8899999997</v>
      </c>
      <c r="J378" s="89">
        <f t="shared" si="32"/>
        <v>150481</v>
      </c>
      <c r="K378" s="84">
        <f t="shared" si="32"/>
        <v>2846500</v>
      </c>
      <c r="L378" s="88">
        <f t="shared" si="32"/>
        <v>2787947.3190000011</v>
      </c>
      <c r="M378" s="88">
        <f t="shared" si="32"/>
        <v>2752830.72</v>
      </c>
      <c r="N378" s="93">
        <f t="shared" si="32"/>
        <v>139767</v>
      </c>
      <c r="O378" s="93">
        <f t="shared" si="32"/>
        <v>27877.780000000002</v>
      </c>
      <c r="P378" s="93">
        <f t="shared" si="32"/>
        <v>31935.56</v>
      </c>
      <c r="Q378" s="87">
        <f t="shared" si="32"/>
        <v>13612.25</v>
      </c>
      <c r="R378" s="87">
        <f>CHAMNORD!R378+AIX!R378+BELLEY!R378+STALBAN!R378+ABRETS!R378+PONT!R378+FRANCIN!R378+VIVIERS!R378</f>
        <v>10532.720000000001</v>
      </c>
      <c r="S378" s="87">
        <f>CHAMNORD!S378+AIX!S378+BELLEY!S378+STALBAN!S378+ABRETS!S378+PONT!S378+FRANCIN!S378+VIVIERS!S378</f>
        <v>-38097.889999999992</v>
      </c>
      <c r="T378" s="87">
        <f>CHAMNORD!T378+AIX!T378+BELLEY!T378+STALBAN!T378+ABRETS!T378+PONT!T378+FRANCIN!T378+VIVIERS!T378</f>
        <v>646.42999999999995</v>
      </c>
      <c r="U378" s="27"/>
      <c r="V378" s="1502">
        <f t="shared" ref="V378:V388" si="33">(L378-D378)/D378</f>
        <v>-1.7684691355119499E-2</v>
      </c>
      <c r="W378" s="1502">
        <f t="shared" ref="W378:Y388" si="34">(L378-H378)/H378</f>
        <v>-1.5833897736311744E-2</v>
      </c>
      <c r="X378" s="1502">
        <f t="shared" si="34"/>
        <v>-1.7449348746047633E-2</v>
      </c>
      <c r="Y378" s="1502">
        <f t="shared" si="34"/>
        <v>-7.1198357267694926E-2</v>
      </c>
      <c r="Z378" s="1224"/>
    </row>
    <row r="379" spans="1:26">
      <c r="B379" s="98" t="s">
        <v>17</v>
      </c>
      <c r="C379" s="204"/>
      <c r="D379" s="84">
        <f>SUM(C$65:C$95)</f>
        <v>3017294.0200000005</v>
      </c>
      <c r="E379" s="104"/>
      <c r="F379" s="102">
        <v>94</v>
      </c>
      <c r="G379" s="105">
        <f t="shared" si="31"/>
        <v>30544.194042553194</v>
      </c>
      <c r="H379" s="83">
        <f>SUM(D$65:D$95)</f>
        <v>2965243.8200000003</v>
      </c>
      <c r="I379" s="83">
        <f t="shared" ref="I379:Q379" si="35">SUM(E$65:E$95)</f>
        <v>2925777.9699999997</v>
      </c>
      <c r="J379" s="90">
        <f t="shared" si="35"/>
        <v>158579</v>
      </c>
      <c r="K379" s="83">
        <f t="shared" si="35"/>
        <v>2955350</v>
      </c>
      <c r="L379" s="83">
        <f t="shared" si="35"/>
        <v>2911766.5300000003</v>
      </c>
      <c r="M379" s="83">
        <f t="shared" si="35"/>
        <v>2871154.24</v>
      </c>
      <c r="N379" s="90">
        <f t="shared" si="35"/>
        <v>147604</v>
      </c>
      <c r="O379" s="90">
        <f t="shared" si="35"/>
        <v>29201.02</v>
      </c>
      <c r="P379" s="90">
        <f t="shared" si="35"/>
        <v>33122.43</v>
      </c>
      <c r="Q379" s="83">
        <f t="shared" si="35"/>
        <v>15464.39</v>
      </c>
      <c r="R379" s="87">
        <f>CHAMNORD!R379+AIX!R379+BELLEY!R379+STALBAN!R379+ABRETS!R379+PONT!R379+FRANCIN!R379+VIVIERS!R379</f>
        <v>8850.7800000000007</v>
      </c>
      <c r="S379" s="87">
        <f>CHAMNORD!S379+AIX!S379+BELLEY!S379+STALBAN!S379+ABRETS!S379+PONT!S379+FRANCIN!S379+VIVIERS!S379</f>
        <v>-18967.830000000002</v>
      </c>
      <c r="T379" s="87">
        <f>CHAMNORD!T379+AIX!T379+BELLEY!T379+STALBAN!T379+ABRETS!T379+PONT!T379+FRANCIN!T379+VIVIERS!T379</f>
        <v>871.55999999999983</v>
      </c>
      <c r="U379" s="27"/>
      <c r="V379" s="1502">
        <f t="shared" si="33"/>
        <v>-3.4974215075002937E-2</v>
      </c>
      <c r="W379" s="1502">
        <f t="shared" si="34"/>
        <v>-1.8034702454923262E-2</v>
      </c>
      <c r="X379" s="1502">
        <f t="shared" si="34"/>
        <v>-1.866981382732864E-2</v>
      </c>
      <c r="Y379" s="1502">
        <f t="shared" si="34"/>
        <v>-6.920840716614432E-2</v>
      </c>
      <c r="Z379" s="1224"/>
    </row>
    <row r="380" spans="1:26">
      <c r="B380" s="98" t="s">
        <v>18</v>
      </c>
      <c r="C380" s="204"/>
      <c r="D380" s="84">
        <f>SUM(C$96:C$125)</f>
        <v>3054144.4699999997</v>
      </c>
      <c r="E380" s="104"/>
      <c r="F380" s="102">
        <v>94</v>
      </c>
      <c r="G380" s="105">
        <f t="shared" si="31"/>
        <v>30477.373510638292</v>
      </c>
      <c r="H380" s="83">
        <f>SUM(D$96:D$125)</f>
        <v>3110287.0599999996</v>
      </c>
      <c r="I380" s="83">
        <f t="shared" ref="I380:Q380" si="36">SUM(E$96:E$125)</f>
        <v>3068855.3800000004</v>
      </c>
      <c r="J380" s="90">
        <f t="shared" si="36"/>
        <v>166502</v>
      </c>
      <c r="K380" s="83">
        <f t="shared" si="36"/>
        <v>3088245</v>
      </c>
      <c r="L380" s="83">
        <f t="shared" si="36"/>
        <v>2918471.88</v>
      </c>
      <c r="M380" s="83">
        <f t="shared" si="36"/>
        <v>2864873.1099999994</v>
      </c>
      <c r="N380" s="90">
        <f t="shared" si="36"/>
        <v>148882</v>
      </c>
      <c r="O380" s="90">
        <f t="shared" si="36"/>
        <v>28397.696</v>
      </c>
      <c r="P380" s="90">
        <f t="shared" si="36"/>
        <v>32139.040000000001</v>
      </c>
      <c r="Q380" s="83">
        <f t="shared" si="36"/>
        <v>13997.35</v>
      </c>
      <c r="R380" s="87">
        <f>CHAMNORD!R380+AIX!R380+BELLEY!R380+STALBAN!R380+ABRETS!R380+PONT!R380+FRANCIN!R380+VIVIERS!R380</f>
        <v>7613.84</v>
      </c>
      <c r="S380" s="87">
        <f>CHAMNORD!S380+AIX!S380+BELLEY!S380+STALBAN!S380+ABRETS!S380+PONT!S380+FRANCIN!S380+VIVIERS!S380</f>
        <v>-26089.93</v>
      </c>
      <c r="T380" s="87">
        <f>CHAMNORD!T380+AIX!T380+BELLEY!T380+STALBAN!T380+ABRETS!T380+PONT!T380+FRANCIN!T380+VIVIERS!T380</f>
        <v>987.2</v>
      </c>
      <c r="U380" s="27"/>
      <c r="V380" s="1502">
        <f t="shared" si="33"/>
        <v>-4.4422453270522549E-2</v>
      </c>
      <c r="W380" s="1502">
        <f t="shared" si="34"/>
        <v>-6.1671214360516202E-2</v>
      </c>
      <c r="X380" s="1502">
        <f t="shared" si="34"/>
        <v>-6.6468518304697993E-2</v>
      </c>
      <c r="Y380" s="1502">
        <f t="shared" si="34"/>
        <v>-0.10582455466000408</v>
      </c>
      <c r="Z380" s="1224"/>
    </row>
    <row r="381" spans="1:26" ht="17" customHeight="1">
      <c r="B381" s="98" t="s">
        <v>19</v>
      </c>
      <c r="C381" s="204"/>
      <c r="D381" s="84">
        <f>SUM(C$126:C$156)</f>
        <v>3075633.23</v>
      </c>
      <c r="E381" s="104"/>
      <c r="F381" s="102">
        <v>94</v>
      </c>
      <c r="G381" s="105">
        <f t="shared" si="31"/>
        <v>31083.361276595748</v>
      </c>
      <c r="H381" s="84">
        <f>SUM(D$126:D$156)</f>
        <v>3086859.94</v>
      </c>
      <c r="I381" s="84">
        <f t="shared" ref="I381:Q381" si="37">SUM(E$126:E$156)</f>
        <v>3055102.6400000006</v>
      </c>
      <c r="J381" s="89">
        <f t="shared" si="37"/>
        <v>166099</v>
      </c>
      <c r="K381" s="84">
        <f t="shared" si="37"/>
        <v>3145100</v>
      </c>
      <c r="L381" s="84">
        <f t="shared" si="37"/>
        <v>2965553.18</v>
      </c>
      <c r="M381" s="84">
        <f t="shared" si="37"/>
        <v>2921835.9600000004</v>
      </c>
      <c r="N381" s="89">
        <f t="shared" si="37"/>
        <v>154609</v>
      </c>
      <c r="O381" s="89">
        <f t="shared" si="37"/>
        <v>29983.010000000006</v>
      </c>
      <c r="P381" s="89">
        <f t="shared" si="37"/>
        <v>33844.26</v>
      </c>
      <c r="Q381" s="87">
        <f t="shared" si="37"/>
        <v>16307.89</v>
      </c>
      <c r="R381" s="87">
        <f>CHAMNORD!R381+AIX!R381+BELLEY!R381+STALBAN!R381+ABRETS!R381+PONT!R381+FRANCIN!R381+VIVIERS!R381</f>
        <v>8663.380000000001</v>
      </c>
      <c r="S381" s="87">
        <f>CHAMNORD!S381+AIX!S381+BELLEY!S381+STALBAN!S381+ABRETS!S381+PONT!S381+FRANCIN!S381+VIVIERS!S381</f>
        <v>-5385.1500000000015</v>
      </c>
      <c r="T381" s="87">
        <f>CHAMNORD!T381+AIX!T381+BELLEY!T381+STALBAN!T381+ABRETS!T381+PONT!T381+FRANCIN!T381+VIVIERS!T381</f>
        <v>1082.69</v>
      </c>
      <c r="U381" s="27"/>
      <c r="V381" s="1502">
        <f t="shared" si="33"/>
        <v>-3.5791019854470689E-2</v>
      </c>
      <c r="W381" s="1502">
        <f t="shared" si="34"/>
        <v>-3.9297785567815484E-2</v>
      </c>
      <c r="X381" s="1502">
        <f t="shared" si="34"/>
        <v>-4.3621015626499587E-2</v>
      </c>
      <c r="Y381" s="1502">
        <f t="shared" si="34"/>
        <v>-6.9175612134931577E-2</v>
      </c>
      <c r="Z381" s="1224"/>
    </row>
    <row r="382" spans="1:26" ht="17" customHeight="1">
      <c r="B382" s="98" t="s">
        <v>20</v>
      </c>
      <c r="C382" s="204"/>
      <c r="D382" s="84">
        <f>SUM(C$157:C$186)</f>
        <v>737445.78999999992</v>
      </c>
      <c r="E382" s="104"/>
      <c r="F382" s="102">
        <v>94</v>
      </c>
      <c r="G382" s="105">
        <f>M382/F382</f>
        <v>7222.5157446808507</v>
      </c>
      <c r="H382" s="84">
        <f>SUM(D$157:D$186)</f>
        <v>721134.53</v>
      </c>
      <c r="I382" s="84">
        <f t="shared" ref="I382:Q382" si="38">SUM(E$157:E$186)</f>
        <v>713179.13</v>
      </c>
      <c r="J382" s="89">
        <f t="shared" si="38"/>
        <v>38519</v>
      </c>
      <c r="K382" s="84">
        <f t="shared" si="38"/>
        <v>707500</v>
      </c>
      <c r="L382" s="84">
        <f t="shared" si="38"/>
        <v>689605.66</v>
      </c>
      <c r="M382" s="84">
        <f t="shared" si="38"/>
        <v>678916.48</v>
      </c>
      <c r="N382" s="89">
        <f t="shared" si="38"/>
        <v>35988</v>
      </c>
      <c r="O382" s="89">
        <f t="shared" si="38"/>
        <v>7000.33</v>
      </c>
      <c r="P382" s="89">
        <f t="shared" si="38"/>
        <v>7896.9499999999989</v>
      </c>
      <c r="Q382" s="87" t="e">
        <f t="shared" si="38"/>
        <v>#VALUE!</v>
      </c>
      <c r="R382" s="87">
        <f>CHAMNORD!R382+AIX!R382+BELLEY!R382+STALBAN!R382+ABRETS!R382+PONT!R382+FRANCIN!R382+VIVIERS!R382</f>
        <v>1542.9799999999998</v>
      </c>
      <c r="S382" s="87">
        <f>CHAMNORD!S382+AIX!S382+BELLEY!S382+STALBAN!S382+ABRETS!S382+PONT!S382+FRANCIN!S382+VIVIERS!S382</f>
        <v>11.430000000000005</v>
      </c>
      <c r="T382" s="87">
        <f>CHAMNORD!T382+AIX!T382+BELLEY!T382+STALBAN!T382+ABRETS!T382+PONT!T382+FRANCIN!T382+VIVIERS!T382</f>
        <v>150.83999999999997</v>
      </c>
      <c r="U382" s="27"/>
      <c r="V382" s="1502">
        <f t="shared" si="33"/>
        <v>-6.4872741357706973E-2</v>
      </c>
      <c r="W382" s="1502">
        <f t="shared" si="34"/>
        <v>-4.3721204142034349E-2</v>
      </c>
      <c r="X382" s="1502">
        <f t="shared" si="34"/>
        <v>-4.804213774455237E-2</v>
      </c>
      <c r="Y382" s="1502">
        <f t="shared" si="34"/>
        <v>-6.5707832498247618E-2</v>
      </c>
      <c r="Z382" s="1224"/>
    </row>
    <row r="383" spans="1:26">
      <c r="B383" s="98" t="s">
        <v>21</v>
      </c>
      <c r="C383" s="204"/>
      <c r="D383" s="84">
        <f>SUM(C$187:C$217)</f>
        <v>0</v>
      </c>
      <c r="E383" s="104"/>
      <c r="F383" s="102">
        <v>94</v>
      </c>
      <c r="G383" s="105">
        <f t="shared" si="31"/>
        <v>0</v>
      </c>
      <c r="H383" s="84">
        <f>SUM(D$187:D$217)</f>
        <v>0</v>
      </c>
      <c r="I383" s="84">
        <f t="shared" ref="I383:Q383" si="39">SUM(E$187:E$217)</f>
        <v>0</v>
      </c>
      <c r="J383" s="89">
        <f t="shared" si="39"/>
        <v>0</v>
      </c>
      <c r="K383" s="84">
        <f t="shared" si="39"/>
        <v>0</v>
      </c>
      <c r="L383" s="84">
        <f t="shared" si="39"/>
        <v>0</v>
      </c>
      <c r="M383" s="84">
        <f t="shared" si="39"/>
        <v>0</v>
      </c>
      <c r="N383" s="89">
        <f t="shared" si="39"/>
        <v>0</v>
      </c>
      <c r="O383" s="89">
        <f t="shared" si="39"/>
        <v>0</v>
      </c>
      <c r="P383" s="89">
        <f t="shared" si="39"/>
        <v>0</v>
      </c>
      <c r="Q383" s="87">
        <f t="shared" si="39"/>
        <v>0</v>
      </c>
      <c r="R383" s="87">
        <f>CHAMNORD!R383+AIX!R383+BELLEY!R383+STALBAN!R383+ABRETS!R383+PONT!R383+FRANCIN!R383+VIVIERS!R383</f>
        <v>0</v>
      </c>
      <c r="S383" s="87">
        <f>CHAMNORD!S383+AIX!S383+BELLEY!S383+STALBAN!S383+ABRETS!S383+PONT!S383+FRANCIN!S383+VIVIERS!S383</f>
        <v>0</v>
      </c>
      <c r="T383" s="87">
        <f>CHAMNORD!T383+AIX!T383+BELLEY!T383+STALBAN!T383+ABRETS!T383+PONT!T383+FRANCIN!T383+VIVIERS!T383</f>
        <v>0</v>
      </c>
      <c r="U383" s="27"/>
      <c r="V383" s="1502" t="e">
        <f t="shared" si="33"/>
        <v>#DIV/0!</v>
      </c>
      <c r="W383" s="1502" t="e">
        <f t="shared" si="34"/>
        <v>#DIV/0!</v>
      </c>
      <c r="X383" s="1502" t="e">
        <f t="shared" si="34"/>
        <v>#DIV/0!</v>
      </c>
      <c r="Y383" s="1502" t="e">
        <f t="shared" si="34"/>
        <v>#DIV/0!</v>
      </c>
      <c r="Z383" s="1224"/>
    </row>
    <row r="384" spans="1:26" ht="17" customHeight="1">
      <c r="B384" s="98" t="s">
        <v>26</v>
      </c>
      <c r="C384" s="204"/>
      <c r="D384" s="84">
        <f>SUM(C$218:C$248)</f>
        <v>0</v>
      </c>
      <c r="E384" s="104"/>
      <c r="F384" s="102">
        <v>94</v>
      </c>
      <c r="G384" s="105">
        <f t="shared" si="31"/>
        <v>0</v>
      </c>
      <c r="H384" s="84">
        <f>SUM(D$218:D$248)</f>
        <v>0</v>
      </c>
      <c r="I384" s="84">
        <f t="shared" ref="I384:Q384" si="40">SUM(E$218:E$248)</f>
        <v>0</v>
      </c>
      <c r="J384" s="89">
        <f t="shared" si="40"/>
        <v>0</v>
      </c>
      <c r="K384" s="84">
        <f t="shared" si="40"/>
        <v>0</v>
      </c>
      <c r="L384" s="84">
        <f t="shared" si="40"/>
        <v>0</v>
      </c>
      <c r="M384" s="84">
        <f t="shared" si="40"/>
        <v>0</v>
      </c>
      <c r="N384" s="89">
        <f t="shared" si="40"/>
        <v>0</v>
      </c>
      <c r="O384" s="89">
        <f t="shared" si="40"/>
        <v>0</v>
      </c>
      <c r="P384" s="89">
        <f t="shared" si="40"/>
        <v>0</v>
      </c>
      <c r="Q384" s="84">
        <f t="shared" si="40"/>
        <v>0</v>
      </c>
      <c r="R384" s="87">
        <f>CHAMNORD!R384+AIX!R384+BELLEY!R384+STALBAN!R384+ABRETS!R384+PONT!R384+FRANCIN!R384+VIVIERS!R384</f>
        <v>0</v>
      </c>
      <c r="S384" s="87">
        <f>CHAMNORD!S384+AIX!S384+BELLEY!S384+STALBAN!S384+ABRETS!S384+PONT!S384+FRANCIN!S384+VIVIERS!S384</f>
        <v>0</v>
      </c>
      <c r="T384" s="87">
        <f>CHAMNORD!T384+AIX!T384+BELLEY!T384+STALBAN!T384+ABRETS!T384+PONT!T384+FRANCIN!T384+VIVIERS!T384</f>
        <v>0</v>
      </c>
      <c r="U384" s="27"/>
      <c r="V384" s="1502" t="e">
        <f t="shared" si="33"/>
        <v>#DIV/0!</v>
      </c>
      <c r="W384" s="1502" t="e">
        <f t="shared" si="34"/>
        <v>#DIV/0!</v>
      </c>
      <c r="X384" s="1502" t="e">
        <f t="shared" si="34"/>
        <v>#DIV/0!</v>
      </c>
      <c r="Y384" s="1502" t="e">
        <f t="shared" si="34"/>
        <v>#DIV/0!</v>
      </c>
      <c r="Z384" s="1224"/>
    </row>
    <row r="385" spans="2:26" ht="17" customHeight="1">
      <c r="B385" s="98" t="s">
        <v>22</v>
      </c>
      <c r="C385" s="204"/>
      <c r="D385" s="84">
        <f>SUM(C$249:C$278)</f>
        <v>0</v>
      </c>
      <c r="E385" s="104"/>
      <c r="F385" s="102">
        <v>94</v>
      </c>
      <c r="G385" s="105">
        <f t="shared" si="31"/>
        <v>0</v>
      </c>
      <c r="H385" s="85">
        <f>SUM(D$249:D$278)</f>
        <v>0</v>
      </c>
      <c r="I385" s="85">
        <f t="shared" ref="I385:Q385" si="41">SUM(E$249:E$278)</f>
        <v>0</v>
      </c>
      <c r="J385" s="91">
        <f t="shared" si="41"/>
        <v>0</v>
      </c>
      <c r="K385" s="85">
        <f t="shared" si="41"/>
        <v>0</v>
      </c>
      <c r="L385" s="85">
        <f t="shared" si="41"/>
        <v>0</v>
      </c>
      <c r="M385" s="85">
        <f t="shared" si="41"/>
        <v>0</v>
      </c>
      <c r="N385" s="91">
        <f t="shared" si="41"/>
        <v>0</v>
      </c>
      <c r="O385" s="91">
        <f t="shared" si="41"/>
        <v>0</v>
      </c>
      <c r="P385" s="91">
        <f t="shared" si="41"/>
        <v>0</v>
      </c>
      <c r="Q385" s="85">
        <f t="shared" si="41"/>
        <v>0</v>
      </c>
      <c r="R385" s="87">
        <f>CHAMNORD!R385+AIX!R385+BELLEY!R385+STALBAN!R385+ABRETS!R385+PONT!R385+FRANCIN!R385+VIVIERS!R385</f>
        <v>0</v>
      </c>
      <c r="S385" s="87">
        <f>CHAMNORD!S385+AIX!S385+BELLEY!S385+STALBAN!S385+ABRETS!S385+PONT!S385+FRANCIN!S385+VIVIERS!S385</f>
        <v>0</v>
      </c>
      <c r="T385" s="87">
        <f>CHAMNORD!T385+AIX!T385+BELLEY!T385+STALBAN!T385+ABRETS!T385+PONT!T385+FRANCIN!T385+VIVIERS!T385</f>
        <v>0</v>
      </c>
      <c r="U385" s="27"/>
      <c r="V385" s="1502" t="e">
        <f t="shared" si="33"/>
        <v>#DIV/0!</v>
      </c>
      <c r="W385" s="1502" t="e">
        <f t="shared" si="34"/>
        <v>#DIV/0!</v>
      </c>
      <c r="X385" s="1502" t="e">
        <f t="shared" si="34"/>
        <v>#DIV/0!</v>
      </c>
      <c r="Y385" s="1502" t="e">
        <f t="shared" si="34"/>
        <v>#DIV/0!</v>
      </c>
      <c r="Z385" s="1224"/>
    </row>
    <row r="386" spans="2:26">
      <c r="B386" s="98" t="s">
        <v>23</v>
      </c>
      <c r="C386" s="204"/>
      <c r="D386" s="84">
        <f>SUM(C$279:C$309)</f>
        <v>0</v>
      </c>
      <c r="E386" s="104"/>
      <c r="F386" s="102">
        <v>94</v>
      </c>
      <c r="G386" s="105">
        <f t="shared" si="31"/>
        <v>0</v>
      </c>
      <c r="H386" s="84">
        <f>SUM(D$279:D$309)</f>
        <v>0</v>
      </c>
      <c r="I386" s="84">
        <f t="shared" ref="I386:Q386" si="42">SUM(E$279:E$309)</f>
        <v>0</v>
      </c>
      <c r="J386" s="89">
        <f t="shared" si="42"/>
        <v>0</v>
      </c>
      <c r="K386" s="84">
        <f t="shared" si="42"/>
        <v>0</v>
      </c>
      <c r="L386" s="84">
        <f t="shared" si="42"/>
        <v>0</v>
      </c>
      <c r="M386" s="84">
        <f t="shared" si="42"/>
        <v>0</v>
      </c>
      <c r="N386" s="89">
        <f t="shared" si="42"/>
        <v>0</v>
      </c>
      <c r="O386" s="89">
        <f t="shared" si="42"/>
        <v>0</v>
      </c>
      <c r="P386" s="89">
        <f t="shared" si="42"/>
        <v>0</v>
      </c>
      <c r="Q386" s="84">
        <f t="shared" si="42"/>
        <v>0</v>
      </c>
      <c r="R386" s="87">
        <f>CHAMNORD!R386+AIX!R386+BELLEY!R386+STALBAN!R386+ABRETS!R386+PONT!R386+FRANCIN!R386+VIVIERS!R386</f>
        <v>0</v>
      </c>
      <c r="S386" s="87">
        <f>CHAMNORD!S386+AIX!S386+BELLEY!S386+STALBAN!S386+ABRETS!S386+PONT!S386+FRANCIN!S386+VIVIERS!S386</f>
        <v>0</v>
      </c>
      <c r="T386" s="87">
        <f>CHAMNORD!T386+AIX!T386+BELLEY!T386+STALBAN!T386+ABRETS!T386+PONT!T386+FRANCIN!T386+VIVIERS!T386</f>
        <v>0</v>
      </c>
      <c r="U386" s="27"/>
      <c r="V386" s="1502" t="e">
        <f t="shared" si="33"/>
        <v>#DIV/0!</v>
      </c>
      <c r="W386" s="1502" t="e">
        <f t="shared" si="34"/>
        <v>#DIV/0!</v>
      </c>
      <c r="X386" s="1502" t="e">
        <f t="shared" si="34"/>
        <v>#DIV/0!</v>
      </c>
      <c r="Y386" s="1502" t="e">
        <f t="shared" si="34"/>
        <v>#DIV/0!</v>
      </c>
      <c r="Z386" s="1224"/>
    </row>
    <row r="387" spans="2:26">
      <c r="B387" s="98" t="s">
        <v>24</v>
      </c>
      <c r="C387" s="204"/>
      <c r="D387" s="84">
        <f>SUM(C$310:C$339)</f>
        <v>0</v>
      </c>
      <c r="E387" s="104"/>
      <c r="F387" s="102">
        <v>94</v>
      </c>
      <c r="G387" s="105">
        <f t="shared" si="31"/>
        <v>0</v>
      </c>
      <c r="H387" s="86">
        <f>SUM(D$310:D$339)</f>
        <v>0</v>
      </c>
      <c r="I387" s="86">
        <f t="shared" ref="I387:Q387" si="43">SUM(E$310:E$339)</f>
        <v>0</v>
      </c>
      <c r="J387" s="92">
        <f t="shared" si="43"/>
        <v>0</v>
      </c>
      <c r="K387" s="86">
        <f t="shared" si="43"/>
        <v>0</v>
      </c>
      <c r="L387" s="86">
        <f t="shared" si="43"/>
        <v>0</v>
      </c>
      <c r="M387" s="86">
        <f t="shared" si="43"/>
        <v>0</v>
      </c>
      <c r="N387" s="92">
        <f t="shared" si="43"/>
        <v>0</v>
      </c>
      <c r="O387" s="92">
        <f t="shared" si="43"/>
        <v>0</v>
      </c>
      <c r="P387" s="92">
        <f t="shared" si="43"/>
        <v>0</v>
      </c>
      <c r="Q387" s="86">
        <f t="shared" si="43"/>
        <v>0</v>
      </c>
      <c r="R387" s="87">
        <f>CHAMNORD!R387+AIX!R387+BELLEY!R387+STALBAN!R387+ABRETS!R387+PONT!R387+FRANCIN!R387+VIVIERS!R387</f>
        <v>0</v>
      </c>
      <c r="S387" s="87">
        <f>CHAMNORD!S387+AIX!S387+BELLEY!S387+STALBAN!S387+ABRETS!S387+PONT!S387+FRANCIN!S387+VIVIERS!S387</f>
        <v>0</v>
      </c>
      <c r="T387" s="87">
        <f>CHAMNORD!T387+AIX!T387+BELLEY!T387+STALBAN!T387+ABRETS!T387+PONT!T387+FRANCIN!T387+VIVIERS!T387</f>
        <v>0</v>
      </c>
      <c r="V387" s="1502" t="e">
        <f t="shared" si="33"/>
        <v>#DIV/0!</v>
      </c>
      <c r="W387" s="1502" t="e">
        <f t="shared" si="34"/>
        <v>#DIV/0!</v>
      </c>
      <c r="X387" s="1502" t="e">
        <f t="shared" si="34"/>
        <v>#DIV/0!</v>
      </c>
      <c r="Y387" s="1502" t="e">
        <f t="shared" si="34"/>
        <v>#DIV/0!</v>
      </c>
      <c r="Z387" s="1224"/>
    </row>
    <row r="388" spans="2:26" ht="17" customHeight="1">
      <c r="B388" s="98" t="s">
        <v>27</v>
      </c>
      <c r="C388" s="204"/>
      <c r="D388" s="84">
        <f>SUM(C$340:C$370)</f>
        <v>0</v>
      </c>
      <c r="E388" s="104"/>
      <c r="F388" s="102">
        <v>94</v>
      </c>
      <c r="G388" s="105">
        <f t="shared" si="31"/>
        <v>0</v>
      </c>
      <c r="H388" s="84">
        <f>SUM(D$340:D$370)</f>
        <v>0</v>
      </c>
      <c r="I388" s="84">
        <f t="shared" ref="I388:Q388" si="44">SUM(E$340:E$370)</f>
        <v>0</v>
      </c>
      <c r="J388" s="89">
        <f t="shared" si="44"/>
        <v>0</v>
      </c>
      <c r="K388" s="84">
        <f t="shared" si="44"/>
        <v>0</v>
      </c>
      <c r="L388" s="84">
        <f t="shared" si="44"/>
        <v>0</v>
      </c>
      <c r="M388" s="84">
        <f t="shared" si="44"/>
        <v>0</v>
      </c>
      <c r="N388" s="89">
        <f t="shared" si="44"/>
        <v>0</v>
      </c>
      <c r="O388" s="89">
        <f t="shared" si="44"/>
        <v>0</v>
      </c>
      <c r="P388" s="89">
        <f t="shared" si="44"/>
        <v>0</v>
      </c>
      <c r="Q388" s="84">
        <f t="shared" si="44"/>
        <v>0</v>
      </c>
      <c r="R388" s="87">
        <f>CHAMNORD!R388+AIX!R388+BELLEY!R388+STALBAN!R388+ABRETS!R388+PONT!R388+FRANCIN!R388+VIVIERS!R388</f>
        <v>0</v>
      </c>
      <c r="S388" s="87">
        <f>CHAMNORD!S388+AIX!S388+BELLEY!S388+STALBAN!S388+ABRETS!S388+PONT!S388+FRANCIN!S388+VIVIERS!S388</f>
        <v>0</v>
      </c>
      <c r="T388" s="87">
        <f>CHAMNORD!T388+AIX!T388+BELLEY!T388+STALBAN!T388+ABRETS!T388+PONT!T388+FRANCIN!T388+VIVIERS!T388</f>
        <v>0</v>
      </c>
      <c r="V388" s="1502" t="e">
        <f t="shared" si="33"/>
        <v>#DIV/0!</v>
      </c>
      <c r="W388" s="1502" t="e">
        <f t="shared" si="34"/>
        <v>#DIV/0!</v>
      </c>
      <c r="X388" s="1502" t="e">
        <f t="shared" si="34"/>
        <v>#DIV/0!</v>
      </c>
      <c r="Y388" s="1502" t="e">
        <f t="shared" si="34"/>
        <v>#DIV/0!</v>
      </c>
      <c r="Z388" s="1224"/>
    </row>
    <row r="389" spans="2:26" ht="18" customHeight="1" thickBot="1">
      <c r="B389" s="908" t="s">
        <v>45</v>
      </c>
      <c r="C389" s="912"/>
      <c r="D389" s="910">
        <f>SUM(D377:D388)</f>
        <v>15717389.57</v>
      </c>
      <c r="E389" s="106"/>
      <c r="F389" s="121">
        <f>AVERAGE(F377:F388)</f>
        <v>94</v>
      </c>
      <c r="G389" s="106">
        <f>SUM(G377:G388)</f>
        <v>160213.23542553192</v>
      </c>
      <c r="H389" s="96">
        <f>SUM(H377:H388)</f>
        <v>15672052</v>
      </c>
      <c r="I389" s="96">
        <f t="shared" ref="I389:T389" si="45">SUM(I377:I388)</f>
        <v>15482402.580000002</v>
      </c>
      <c r="J389" s="97">
        <f t="shared" si="45"/>
        <v>838816</v>
      </c>
      <c r="K389" s="96">
        <f t="shared" si="45"/>
        <v>15764795</v>
      </c>
      <c r="L389" s="96">
        <f t="shared" si="45"/>
        <v>15280884.389000002</v>
      </c>
      <c r="M389" s="96">
        <f t="shared" si="45"/>
        <v>15060044.130000001</v>
      </c>
      <c r="N389" s="97">
        <f t="shared" si="45"/>
        <v>777298</v>
      </c>
      <c r="O389" s="97">
        <f t="shared" si="45"/>
        <v>152556.636</v>
      </c>
      <c r="P389" s="97">
        <f t="shared" si="45"/>
        <v>173335.67900000003</v>
      </c>
      <c r="Q389" s="96" t="e">
        <f t="shared" si="45"/>
        <v>#VALUE!</v>
      </c>
      <c r="R389" s="96">
        <f t="shared" si="45"/>
        <v>45793.170000000006</v>
      </c>
      <c r="S389" s="96">
        <f t="shared" si="45"/>
        <v>-89196.420000000013</v>
      </c>
      <c r="T389" s="96">
        <f t="shared" si="45"/>
        <v>4567.08</v>
      </c>
      <c r="V389" s="1502">
        <f>(L389-D389)/D389</f>
        <v>-2.7772116931755735E-2</v>
      </c>
      <c r="W389" s="1502">
        <f>(L389-H389)/H389</f>
        <v>-2.4959565665044866E-2</v>
      </c>
      <c r="X389" s="1502">
        <f>(M389-I389)/I389</f>
        <v>-2.7279903607828875E-2</v>
      </c>
      <c r="Y389" s="1502">
        <f>(N389-J389)/J389</f>
        <v>-7.3339087475680007E-2</v>
      </c>
      <c r="Z389" s="1224"/>
    </row>
    <row r="390" spans="2:26">
      <c r="T390" s="28"/>
      <c r="U390" s="38"/>
    </row>
  </sheetData>
  <mergeCells count="55">
    <mergeCell ref="U73:U79"/>
    <mergeCell ref="U80:U86"/>
    <mergeCell ref="U66:U72"/>
    <mergeCell ref="A1:A2"/>
    <mergeCell ref="D1:T1"/>
    <mergeCell ref="U3:U9"/>
    <mergeCell ref="U10:U16"/>
    <mergeCell ref="U17:U23"/>
    <mergeCell ref="U24:U30"/>
    <mergeCell ref="U31:U37"/>
    <mergeCell ref="U38:U44"/>
    <mergeCell ref="U45:U51"/>
    <mergeCell ref="U52:U58"/>
    <mergeCell ref="U59:U65"/>
    <mergeCell ref="U87:U93"/>
    <mergeCell ref="U94:U100"/>
    <mergeCell ref="U101:U107"/>
    <mergeCell ref="U227:U233"/>
    <mergeCell ref="U150:U156"/>
    <mergeCell ref="U108:U114"/>
    <mergeCell ref="U115:U121"/>
    <mergeCell ref="U122:U128"/>
    <mergeCell ref="U129:U135"/>
    <mergeCell ref="U136:U142"/>
    <mergeCell ref="U143:U149"/>
    <mergeCell ref="U192:U198"/>
    <mergeCell ref="U199:U205"/>
    <mergeCell ref="U206:U212"/>
    <mergeCell ref="U213:U219"/>
    <mergeCell ref="U220:U226"/>
    <mergeCell ref="U304:U310"/>
    <mergeCell ref="U367:U373"/>
    <mergeCell ref="U311:U317"/>
    <mergeCell ref="U339:U345"/>
    <mergeCell ref="U346:U352"/>
    <mergeCell ref="U353:U359"/>
    <mergeCell ref="U360:U366"/>
    <mergeCell ref="U325:U331"/>
    <mergeCell ref="U332:U338"/>
    <mergeCell ref="U318:U324"/>
    <mergeCell ref="U297:U303"/>
    <mergeCell ref="U248:U254"/>
    <mergeCell ref="U255:U261"/>
    <mergeCell ref="U262:U268"/>
    <mergeCell ref="U269:U275"/>
    <mergeCell ref="U157:U163"/>
    <mergeCell ref="U164:U170"/>
    <mergeCell ref="U171:U177"/>
    <mergeCell ref="U178:U184"/>
    <mergeCell ref="U185:U191"/>
    <mergeCell ref="U241:U247"/>
    <mergeCell ref="U276:U282"/>
    <mergeCell ref="U283:U289"/>
    <mergeCell ref="U290:U296"/>
    <mergeCell ref="U234:U240"/>
  </mergeCells>
  <conditionalFormatting sqref="N3:N367">
    <cfRule type="cellIs" dxfId="327" priority="1" operator="lessThan">
      <formula>0.006</formula>
    </cfRule>
    <cfRule type="cellIs" dxfId="326" priority="2" operator="greaterThan">
      <formula>0.006</formula>
    </cfRule>
  </conditionalFormatting>
  <conditionalFormatting sqref="O3:P373">
    <cfRule type="cellIs" dxfId="325" priority="3" operator="lessThan">
      <formula>0</formula>
    </cfRule>
    <cfRule type="cellIs" dxfId="324" priority="4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4454B-670E-1D4B-9B04-34F15F3A8CCC}">
  <sheetPr codeName="Feuil2"/>
  <dimension ref="B2:AI112"/>
  <sheetViews>
    <sheetView showGridLines="0" topLeftCell="A7" zoomScale="81" zoomScaleNormal="200" workbookViewId="0">
      <selection activeCell="O34" sqref="O34"/>
    </sheetView>
  </sheetViews>
  <sheetFormatPr baseColWidth="10" defaultColWidth="15.6640625" defaultRowHeight="17"/>
  <cols>
    <col min="1" max="2" width="2.83203125" style="959" customWidth="1"/>
    <col min="3" max="3" width="16.33203125" style="959" bestFit="1" customWidth="1"/>
    <col min="4" max="4" width="8.1640625" style="1651" bestFit="1" customWidth="1"/>
    <col min="5" max="5" width="13.5" style="959" customWidth="1"/>
    <col min="6" max="6" width="14.83203125" style="959" bestFit="1" customWidth="1"/>
    <col min="7" max="7" width="15.6640625" style="959" bestFit="1" customWidth="1"/>
    <col min="8" max="8" width="17" style="959" bestFit="1" customWidth="1"/>
    <col min="9" max="9" width="15.5" style="959" bestFit="1" customWidth="1"/>
    <col min="10" max="10" width="14.83203125" style="959" bestFit="1" customWidth="1"/>
    <col min="11" max="11" width="4" style="959" bestFit="1" customWidth="1"/>
    <col min="12" max="12" width="3" style="959" customWidth="1"/>
    <col min="13" max="13" width="14.83203125" style="959" bestFit="1" customWidth="1"/>
    <col min="14" max="14" width="8.1640625" style="959" bestFit="1" customWidth="1"/>
    <col min="15" max="15" width="12.6640625" style="959" bestFit="1" customWidth="1"/>
    <col min="16" max="18" width="14.83203125" style="959" bestFit="1" customWidth="1"/>
    <col min="19" max="19" width="15.6640625" style="959"/>
    <col min="20" max="20" width="9.6640625" style="959" bestFit="1" customWidth="1"/>
    <col min="21" max="21" width="4" style="959" bestFit="1" customWidth="1"/>
    <col min="22" max="22" width="3" style="959" customWidth="1"/>
    <col min="23" max="23" width="18.5" style="959" bestFit="1" customWidth="1"/>
    <col min="24" max="24" width="8.1640625" style="1651" bestFit="1" customWidth="1"/>
    <col min="25" max="26" width="12.6640625" style="959" bestFit="1" customWidth="1"/>
    <col min="27" max="27" width="14.83203125" style="959" bestFit="1" customWidth="1"/>
    <col min="28" max="28" width="18" style="959" bestFit="1" customWidth="1"/>
    <col min="29" max="30" width="12.6640625" style="959" bestFit="1" customWidth="1"/>
    <col min="31" max="31" width="7.5" style="959" customWidth="1"/>
    <col min="32" max="32" width="14.83203125" style="959" bestFit="1" customWidth="1"/>
    <col min="33" max="33" width="13.6640625" style="959" bestFit="1" customWidth="1"/>
    <col min="34" max="34" width="2.83203125" style="959" customWidth="1"/>
    <col min="35" max="35" width="6.5" style="959" bestFit="1" customWidth="1"/>
    <col min="36" max="37" width="14.83203125" style="959" bestFit="1" customWidth="1"/>
    <col min="38" max="39" width="15.6640625" style="959"/>
    <col min="40" max="40" width="13.5" style="959" bestFit="1" customWidth="1"/>
    <col min="41" max="16384" width="15.6640625" style="959"/>
  </cols>
  <sheetData>
    <row r="2" spans="2:35" ht="18" thickBot="1">
      <c r="B2" s="1353"/>
      <c r="C2" s="1353"/>
      <c r="D2" s="1355"/>
      <c r="E2" s="1353"/>
      <c r="F2" s="1353"/>
      <c r="G2" s="1353"/>
      <c r="H2" s="1353"/>
      <c r="I2" s="1353"/>
      <c r="J2" s="1353"/>
      <c r="K2" s="1353"/>
      <c r="L2" s="1353"/>
      <c r="M2" s="1353"/>
      <c r="N2" s="1353"/>
      <c r="O2" s="1353"/>
      <c r="P2" s="1353"/>
      <c r="Q2" s="1353"/>
      <c r="R2" s="1353"/>
      <c r="S2" s="1353"/>
      <c r="T2" s="1353"/>
      <c r="U2" s="1353"/>
      <c r="V2" s="1353"/>
      <c r="W2" s="1353"/>
      <c r="X2" s="1355"/>
      <c r="Y2" s="1353"/>
      <c r="Z2" s="1353"/>
      <c r="AA2" s="1353"/>
      <c r="AB2" s="1353"/>
      <c r="AC2" s="1353"/>
      <c r="AD2" s="1353"/>
      <c r="AE2" s="1353"/>
      <c r="AF2" s="1353"/>
      <c r="AG2" s="1353"/>
      <c r="AH2" s="1353"/>
    </row>
    <row r="3" spans="2:35" ht="20">
      <c r="B3" s="1353"/>
      <c r="C3" s="1744" t="s">
        <v>335</v>
      </c>
      <c r="D3" s="1745"/>
      <c r="E3" s="1745"/>
      <c r="F3" s="1745"/>
      <c r="G3" s="1746"/>
      <c r="H3" s="1353"/>
      <c r="I3" s="1348" t="s">
        <v>415</v>
      </c>
      <c r="J3" s="1261">
        <v>0.3</v>
      </c>
      <c r="K3" s="1353"/>
      <c r="L3" s="1353"/>
      <c r="M3" s="1744" t="s">
        <v>252</v>
      </c>
      <c r="N3" s="1745"/>
      <c r="O3" s="1745"/>
      <c r="P3" s="1745"/>
      <c r="Q3" s="1746"/>
      <c r="R3" s="1353"/>
      <c r="S3" s="1353"/>
      <c r="T3" s="1353"/>
      <c r="U3" s="1353"/>
      <c r="V3" s="1353"/>
      <c r="W3" s="1348" t="s">
        <v>336</v>
      </c>
      <c r="X3" s="1669"/>
      <c r="Y3" s="1248" t="s">
        <v>412</v>
      </c>
      <c r="Z3" s="1248" t="s">
        <v>413</v>
      </c>
      <c r="AA3" s="1248">
        <v>2025</v>
      </c>
      <c r="AB3" s="1248" t="s">
        <v>414</v>
      </c>
      <c r="AC3" s="1249" t="s">
        <v>413</v>
      </c>
      <c r="AD3" s="1249">
        <v>2024</v>
      </c>
      <c r="AE3" s="1249" t="s">
        <v>432</v>
      </c>
      <c r="AF3" s="1271"/>
      <c r="AG3" s="1272"/>
      <c r="AH3" s="1353"/>
    </row>
    <row r="4" spans="2:35" ht="19">
      <c r="B4" s="1353"/>
      <c r="C4" s="1361" t="s">
        <v>444</v>
      </c>
      <c r="D4" s="1641"/>
      <c r="E4" s="960">
        <f>'INDICES CA 💵'!T66</f>
        <v>19.374865405545879</v>
      </c>
      <c r="F4" s="1572">
        <v>18.738748113479186</v>
      </c>
      <c r="G4" s="1260">
        <f t="shared" ref="G4:G9" si="0">IF(E4-F4=0,"=",E4-F4)</f>
        <v>0.6361172920666931</v>
      </c>
      <c r="H4" s="1353"/>
      <c r="I4" s="1264" t="s">
        <v>37</v>
      </c>
      <c r="J4" s="1336">
        <v>-4.3999999999999997E-2</v>
      </c>
      <c r="K4" s="1353"/>
      <c r="L4" s="1353"/>
      <c r="M4" s="1264" t="s">
        <v>447</v>
      </c>
      <c r="N4" s="1652"/>
      <c r="O4" s="963">
        <f>'DIGITAL 💻'!L6</f>
        <v>0.15448227798250375</v>
      </c>
      <c r="P4" s="1575">
        <v>0.20843517549199961</v>
      </c>
      <c r="Q4" s="1263">
        <f>O4-P4</f>
        <v>-5.3952897509495862E-2</v>
      </c>
      <c r="R4" s="1353"/>
      <c r="S4" s="1353"/>
      <c r="T4" s="1353"/>
      <c r="U4" s="1353"/>
      <c r="V4" s="1353"/>
      <c r="W4" s="1264" t="s">
        <v>28</v>
      </c>
      <c r="X4" s="1675"/>
      <c r="Y4" s="958">
        <f>CHAMNORD!M389</f>
        <v>3109515.92</v>
      </c>
      <c r="Z4" s="958">
        <f>CHAMNORD!K389</f>
        <v>3410800</v>
      </c>
      <c r="AA4" s="958">
        <f>CHAMNORD!I389</f>
        <v>3327955.5</v>
      </c>
      <c r="AB4" s="958">
        <f>'PREV 2026'!B7</f>
        <v>7408262</v>
      </c>
      <c r="AC4" s="1273">
        <f t="shared" ref="AC4:AC13" si="1">Y4-Z4</f>
        <v>-301284.08000000007</v>
      </c>
      <c r="AD4" s="1273">
        <f t="shared" ref="AD4:AD11" si="2">Y4-AA4</f>
        <v>-218439.58000000007</v>
      </c>
      <c r="AE4" s="1274">
        <f>+'INDICES CA 💵'!E50</f>
        <v>-0.11580061133317658</v>
      </c>
      <c r="AF4" s="1450" t="str">
        <f t="shared" ref="AF4:AF11" si="3">INDEX($W$34:$W$41,MATCH(AG4,$AE$4:$AE$11,0))</f>
        <v>CHAMNORD</v>
      </c>
      <c r="AG4" s="812">
        <f>LARGE($AE$4:$AE$11,8)</f>
        <v>-0.11580061133317658</v>
      </c>
      <c r="AH4" s="1353"/>
      <c r="AI4" s="1608">
        <f>AD4/Y4</f>
        <v>-7.0248741482564936E-2</v>
      </c>
    </row>
    <row r="5" spans="2:35" ht="19">
      <c r="B5" s="1353"/>
      <c r="C5" s="1361" t="s">
        <v>332</v>
      </c>
      <c r="D5" s="1641"/>
      <c r="E5" s="960">
        <f>'INDICES CA 💵'!U111</f>
        <v>20.683198135724421</v>
      </c>
      <c r="F5" s="1573">
        <v>20.036221645235617</v>
      </c>
      <c r="G5" s="1244">
        <f t="shared" si="0"/>
        <v>0.64697649048880379</v>
      </c>
      <c r="H5" s="1353"/>
      <c r="I5" s="1264" t="s">
        <v>337</v>
      </c>
      <c r="J5" s="1336">
        <v>-4.4999999999999998E-2</v>
      </c>
      <c r="K5" s="1353"/>
      <c r="L5" s="1353"/>
      <c r="M5" s="1264" t="s">
        <v>448</v>
      </c>
      <c r="N5" s="1652"/>
      <c r="O5" s="963">
        <f>'DIGITAL 💻'!J6</f>
        <v>8.3227032390579256E-2</v>
      </c>
      <c r="P5" s="1576">
        <v>0.13541701756848018</v>
      </c>
      <c r="Q5" s="1250">
        <f>O5-P5</f>
        <v>-5.2189985177900924E-2</v>
      </c>
      <c r="R5" s="1353"/>
      <c r="S5" s="1353"/>
      <c r="T5" s="1353"/>
      <c r="U5" s="1353"/>
      <c r="V5" s="1353"/>
      <c r="W5" s="1264" t="s">
        <v>29</v>
      </c>
      <c r="X5" s="1675"/>
      <c r="Y5" s="958">
        <f>AIX!M389</f>
        <v>2149146.19</v>
      </c>
      <c r="Z5" s="958">
        <f>AIX!K389</f>
        <v>2247845</v>
      </c>
      <c r="AA5" s="958">
        <f>AIX!I389</f>
        <v>2216159.0500000003</v>
      </c>
      <c r="AB5" s="958">
        <f>'PREV 2026'!E7</f>
        <v>5152000</v>
      </c>
      <c r="AC5" s="1273">
        <f t="shared" si="1"/>
        <v>-98698.810000000056</v>
      </c>
      <c r="AD5" s="1273">
        <f t="shared" si="2"/>
        <v>-67012.860000000335</v>
      </c>
      <c r="AE5" s="1274">
        <f>+'INDICES CA 💵'!G50</f>
        <v>-6.2624284423018983E-2</v>
      </c>
      <c r="AF5" s="1450" t="str">
        <f t="shared" si="3"/>
        <v>LES ABRETS</v>
      </c>
      <c r="AG5" s="812">
        <f>LARGE($AE$4:$AE$11,7)</f>
        <v>-7.6267617496771301E-2</v>
      </c>
      <c r="AH5" s="1353"/>
      <c r="AI5" s="1608">
        <f t="shared" ref="AI5:AI11" si="4">AD5/Y5</f>
        <v>-3.1181154782216253E-2</v>
      </c>
    </row>
    <row r="6" spans="2:35" ht="20" thickBot="1">
      <c r="B6" s="1353"/>
      <c r="C6" s="1361" t="s">
        <v>333</v>
      </c>
      <c r="D6" s="1641"/>
      <c r="E6" s="960">
        <f>'DIGITAL 💻'!U36</f>
        <v>28.576348089116397</v>
      </c>
      <c r="F6" s="1573">
        <v>27.306428918621606</v>
      </c>
      <c r="G6" s="1244">
        <f t="shared" si="0"/>
        <v>1.2699191704947914</v>
      </c>
      <c r="H6" s="1353"/>
      <c r="I6" s="1265" t="s">
        <v>338</v>
      </c>
      <c r="J6" s="1337">
        <v>-4.3999999999999997E-2</v>
      </c>
      <c r="K6" s="1353"/>
      <c r="L6" s="1353"/>
      <c r="M6" s="1264" t="s">
        <v>250</v>
      </c>
      <c r="N6" s="1652"/>
      <c r="O6" s="963">
        <f>'DIGITAL 💻'!I6</f>
        <v>6.4296802134519437E-2</v>
      </c>
      <c r="P6" s="1576">
        <v>6.3069361600464238E-2</v>
      </c>
      <c r="Q6" s="1250">
        <f>O6-P6</f>
        <v>1.2274405340551992E-3</v>
      </c>
      <c r="R6" s="1353"/>
      <c r="S6" s="1353"/>
      <c r="T6" s="1353"/>
      <c r="U6" s="1353"/>
      <c r="V6" s="1353"/>
      <c r="W6" s="1264" t="s">
        <v>30</v>
      </c>
      <c r="X6" s="1675"/>
      <c r="Y6" s="958">
        <f>BELLEY!M389</f>
        <v>1845548.15</v>
      </c>
      <c r="Z6" s="958">
        <f>BELLEY!K389</f>
        <v>1902600</v>
      </c>
      <c r="AA6" s="958">
        <f>BELLEY!I389</f>
        <v>1877531.5000000002</v>
      </c>
      <c r="AB6" s="958">
        <f>'PREV 2026'!H7</f>
        <v>4500046</v>
      </c>
      <c r="AC6" s="1273">
        <f t="shared" si="1"/>
        <v>-57051.850000000093</v>
      </c>
      <c r="AD6" s="1273">
        <f t="shared" si="2"/>
        <v>-31983.350000000326</v>
      </c>
      <c r="AE6" s="1274">
        <f>+'INDICES CA 💵'!I50</f>
        <v>-6.8710041758628909E-2</v>
      </c>
      <c r="AF6" s="1450" t="str">
        <f t="shared" si="3"/>
        <v>PDB</v>
      </c>
      <c r="AG6" s="812">
        <f>LARGE($AE$4:$AE$11,6)</f>
        <v>-7.2878086419753088E-2</v>
      </c>
      <c r="AH6" s="1353"/>
      <c r="AI6" s="1608">
        <f t="shared" si="4"/>
        <v>-1.7330000303703984E-2</v>
      </c>
    </row>
    <row r="7" spans="2:35" ht="20" thickBot="1">
      <c r="B7" s="1353"/>
      <c r="C7" s="1361" t="s">
        <v>445</v>
      </c>
      <c r="D7" s="1641"/>
      <c r="E7" s="961">
        <f>'DIGITAL 💻'!U66</f>
        <v>27.540877907228552</v>
      </c>
      <c r="F7" s="1573">
        <v>27.563205892941596</v>
      </c>
      <c r="G7" s="1244">
        <f t="shared" si="0"/>
        <v>-2.2327985713044285E-2</v>
      </c>
      <c r="H7" s="1353"/>
      <c r="I7" s="1353"/>
      <c r="J7" s="1353"/>
      <c r="K7" s="1353"/>
      <c r="L7" s="1353"/>
      <c r="M7" s="1265" t="s">
        <v>267</v>
      </c>
      <c r="N7" s="1653"/>
      <c r="O7" s="1262">
        <f>'DIGITAL 💻'!K6</f>
        <v>7.0604819668612746E-3</v>
      </c>
      <c r="P7" s="1577">
        <v>1.0076148081236613E-2</v>
      </c>
      <c r="Q7" s="1251">
        <f>O7-P7</f>
        <v>-3.0156661143753384E-3</v>
      </c>
      <c r="R7" s="1353"/>
      <c r="S7" s="1353"/>
      <c r="T7" s="1353"/>
      <c r="U7" s="1353"/>
      <c r="V7" s="1353"/>
      <c r="W7" s="1264" t="s">
        <v>31</v>
      </c>
      <c r="X7" s="1675"/>
      <c r="Y7" s="958">
        <f>+STALBAN!M389</f>
        <v>2368816.65</v>
      </c>
      <c r="Z7" s="958">
        <f>+STALBAN!K389</f>
        <v>2420550</v>
      </c>
      <c r="AA7" s="958">
        <f>STALBAN!I389</f>
        <v>2373301.71</v>
      </c>
      <c r="AB7" s="958">
        <f>'PREV 2026'!K7</f>
        <v>5535000</v>
      </c>
      <c r="AC7" s="1273">
        <f t="shared" si="1"/>
        <v>-51733.350000000093</v>
      </c>
      <c r="AD7" s="1273">
        <f t="shared" si="2"/>
        <v>-4485.0600000000559</v>
      </c>
      <c r="AE7" s="1274">
        <f>+'INDICES CA 💵'!K50</f>
        <v>-4.9896922673263615E-2</v>
      </c>
      <c r="AF7" s="1450" t="str">
        <f t="shared" si="3"/>
        <v>BELLEY</v>
      </c>
      <c r="AG7" s="812">
        <f>LARGE($AE$4:$AE$11,5)</f>
        <v>-6.8710041758628909E-2</v>
      </c>
      <c r="AH7" s="1353"/>
      <c r="AI7" s="1608">
        <f t="shared" si="4"/>
        <v>-1.8933757494485933E-3</v>
      </c>
    </row>
    <row r="8" spans="2:35" ht="19">
      <c r="B8" s="1353"/>
      <c r="C8" s="1361" t="s">
        <v>446</v>
      </c>
      <c r="D8" s="1641"/>
      <c r="E8" s="961">
        <f>'DIGITAL 💻'!U96</f>
        <v>31.172425556408285</v>
      </c>
      <c r="F8" s="1573">
        <v>30.615460837058926</v>
      </c>
      <c r="G8" s="1244">
        <f t="shared" si="0"/>
        <v>0.55696471934935943</v>
      </c>
      <c r="H8" s="1353"/>
      <c r="I8" s="1353"/>
      <c r="J8" s="1353"/>
      <c r="K8" s="1353"/>
      <c r="L8" s="1353"/>
      <c r="M8" s="1353"/>
      <c r="N8" s="1353"/>
      <c r="O8" s="1353"/>
      <c r="P8" s="1353"/>
      <c r="Q8" s="1353"/>
      <c r="R8" s="1353"/>
      <c r="S8" s="1353"/>
      <c r="T8" s="1353"/>
      <c r="U8" s="1353"/>
      <c r="V8" s="1353"/>
      <c r="W8" s="1264" t="s">
        <v>32</v>
      </c>
      <c r="X8" s="1675"/>
      <c r="Y8" s="958">
        <f>+ABRETS!M389</f>
        <v>1436890.0200000003</v>
      </c>
      <c r="Z8" s="958">
        <f>+ABRETS!K389</f>
        <v>1495300</v>
      </c>
      <c r="AA8" s="958">
        <f>ABRETS!I389</f>
        <v>1470056.52</v>
      </c>
      <c r="AB8" s="958">
        <f>'PREV 2026'!N7</f>
        <v>3594300</v>
      </c>
      <c r="AC8" s="1273">
        <f t="shared" si="1"/>
        <v>-58409.979999999749</v>
      </c>
      <c r="AD8" s="1273">
        <f t="shared" si="2"/>
        <v>-33166.499999999767</v>
      </c>
      <c r="AE8" s="1274">
        <f>+'INDICES CA 💵'!M50</f>
        <v>-7.6267617496771301E-2</v>
      </c>
      <c r="AF8" s="1450" t="str">
        <f t="shared" si="3"/>
        <v>AIX LES BAINS</v>
      </c>
      <c r="AG8" s="812">
        <f>LARGE($AE$4:$AE$11,4)</f>
        <v>-6.2624284423018983E-2</v>
      </c>
      <c r="AH8" s="1353"/>
      <c r="AI8" s="1608">
        <f t="shared" si="4"/>
        <v>-2.3082142361876633E-2</v>
      </c>
    </row>
    <row r="9" spans="2:35" ht="20" thickBot="1">
      <c r="B9" s="1353"/>
      <c r="C9" s="1362" t="s">
        <v>334</v>
      </c>
      <c r="D9" s="1642"/>
      <c r="E9" s="1246">
        <f>'DIGITAL 💻'!U126</f>
        <v>13.92498297537978</v>
      </c>
      <c r="F9" s="1574">
        <v>13.698121915820026</v>
      </c>
      <c r="G9" s="1247">
        <f t="shared" si="0"/>
        <v>0.226861059559754</v>
      </c>
      <c r="H9" s="1353"/>
      <c r="I9" s="1353"/>
      <c r="J9" s="1353"/>
      <c r="K9" s="1353"/>
      <c r="L9" s="1353"/>
      <c r="M9" s="1353"/>
      <c r="N9" s="1353"/>
      <c r="O9" s="1353"/>
      <c r="P9" s="1353"/>
      <c r="Q9" s="1353"/>
      <c r="R9" s="1353"/>
      <c r="S9" s="1353"/>
      <c r="T9" s="1353"/>
      <c r="U9" s="1353"/>
      <c r="V9" s="1353"/>
      <c r="W9" s="1264" t="s">
        <v>253</v>
      </c>
      <c r="X9" s="1675"/>
      <c r="Y9" s="958">
        <f>PONT!M389</f>
        <v>1480903</v>
      </c>
      <c r="Z9" s="958">
        <f>PONT!K389</f>
        <v>1548900</v>
      </c>
      <c r="AA9" s="958">
        <f>PONT!I389</f>
        <v>1518962</v>
      </c>
      <c r="AB9" s="958">
        <f>'PREV 2026'!Q7</f>
        <v>3635300</v>
      </c>
      <c r="AC9" s="1273">
        <f t="shared" si="1"/>
        <v>-67997</v>
      </c>
      <c r="AD9" s="1273">
        <f t="shared" si="2"/>
        <v>-38059</v>
      </c>
      <c r="AE9" s="1274">
        <f>+'INDICES CA 💵'!O50</f>
        <v>-7.2878086419753088E-2</v>
      </c>
      <c r="AF9" s="1450" t="str">
        <f t="shared" si="3"/>
        <v>VIVIERS DU LAC</v>
      </c>
      <c r="AG9" s="812">
        <f>LARGE($AE$4:$AE$11,3)</f>
        <v>-5.7642439060531972E-2</v>
      </c>
      <c r="AH9" s="1353"/>
      <c r="AI9" s="1608">
        <f t="shared" si="4"/>
        <v>-2.56998601528932E-2</v>
      </c>
    </row>
    <row r="10" spans="2:35" ht="20" thickBot="1">
      <c r="B10" s="1353"/>
      <c r="C10" s="1353"/>
      <c r="D10" s="1355"/>
      <c r="E10" s="1353"/>
      <c r="F10" s="1353"/>
      <c r="G10" s="1353"/>
      <c r="H10" s="1353"/>
      <c r="I10" s="1353"/>
      <c r="J10" s="1353"/>
      <c r="K10" s="1353"/>
      <c r="L10" s="1353"/>
      <c r="M10" s="1353"/>
      <c r="N10" s="1353"/>
      <c r="O10" s="1353"/>
      <c r="P10" s="1353"/>
      <c r="Q10" s="1353"/>
      <c r="R10" s="1353"/>
      <c r="S10" s="1353"/>
      <c r="T10" s="1353"/>
      <c r="U10" s="1353"/>
      <c r="V10" s="1353"/>
      <c r="W10" s="1264" t="s">
        <v>34</v>
      </c>
      <c r="X10" s="1675"/>
      <c r="Y10" s="958">
        <f>FRANCIN!M389</f>
        <v>1428749.8199999998</v>
      </c>
      <c r="Z10" s="958">
        <f>FRANCIN!K389</f>
        <v>1459600</v>
      </c>
      <c r="AA10" s="958">
        <f>FRANCIN!I389</f>
        <v>1441956.71</v>
      </c>
      <c r="AB10" s="958">
        <f>'PREV 2026'!T7</f>
        <v>3392200</v>
      </c>
      <c r="AC10" s="1273">
        <f t="shared" si="1"/>
        <v>-30850.180000000168</v>
      </c>
      <c r="AD10" s="1273">
        <f t="shared" si="2"/>
        <v>-13206.89000000013</v>
      </c>
      <c r="AE10" s="1274">
        <f>+'INDICES CA 💵'!Q50</f>
        <v>-4.489874691553742E-2</v>
      </c>
      <c r="AF10" s="1450" t="str">
        <f t="shared" si="3"/>
        <v>ST ALBAN</v>
      </c>
      <c r="AG10" s="812">
        <f>LARGE($AE$4:$AE$11,2)</f>
        <v>-4.9896922673263615E-2</v>
      </c>
      <c r="AH10" s="1353"/>
      <c r="AI10" s="1608">
        <f t="shared" si="4"/>
        <v>-9.2436687061140856E-3</v>
      </c>
    </row>
    <row r="11" spans="2:35" ht="20">
      <c r="B11" s="1353"/>
      <c r="C11" s="1660" t="s">
        <v>47</v>
      </c>
      <c r="D11" s="1661" t="s">
        <v>499</v>
      </c>
      <c r="E11" s="1747" t="s">
        <v>440</v>
      </c>
      <c r="F11" s="1748"/>
      <c r="G11" s="1748"/>
      <c r="H11" s="1748"/>
      <c r="I11" s="1748"/>
      <c r="J11" s="1748"/>
      <c r="K11" s="1749"/>
      <c r="L11" s="1353"/>
      <c r="M11" s="1660" t="s">
        <v>47</v>
      </c>
      <c r="N11" s="1661" t="s">
        <v>499</v>
      </c>
      <c r="O11" s="1747" t="s">
        <v>420</v>
      </c>
      <c r="P11" s="1748"/>
      <c r="Q11" s="1748"/>
      <c r="R11" s="1748"/>
      <c r="S11" s="1748"/>
      <c r="T11" s="1748"/>
      <c r="U11" s="1749"/>
      <c r="V11" s="1353"/>
      <c r="W11" s="1264" t="s">
        <v>308</v>
      </c>
      <c r="X11" s="1675"/>
      <c r="Y11" s="958">
        <f>VIVIERS!M389</f>
        <v>1240474.3799999999</v>
      </c>
      <c r="Z11" s="958">
        <f>VIVIERS!K389</f>
        <v>1294200</v>
      </c>
      <c r="AA11" s="958">
        <f>VIVIERS!I389</f>
        <v>1256479.5900000001</v>
      </c>
      <c r="AB11" s="958">
        <f>'PREV 2026'!W7</f>
        <v>3050000</v>
      </c>
      <c r="AC11" s="1273">
        <f t="shared" si="1"/>
        <v>-53725.620000000112</v>
      </c>
      <c r="AD11" s="1273">
        <f t="shared" si="2"/>
        <v>-16005.210000000196</v>
      </c>
      <c r="AE11" s="1274">
        <f>+'INDICES CA 💵'!S50</f>
        <v>-5.7642439060531972E-2</v>
      </c>
      <c r="AF11" s="1450" t="str">
        <f t="shared" si="3"/>
        <v>FRANCIN</v>
      </c>
      <c r="AG11" s="812">
        <f>LARGE($AE$4:$AE$11,1)</f>
        <v>-4.489874691553742E-2</v>
      </c>
      <c r="AH11" s="1353"/>
      <c r="AI11" s="1608">
        <f t="shared" si="4"/>
        <v>-1.2902491383981826E-2</v>
      </c>
    </row>
    <row r="12" spans="2:35" ht="19">
      <c r="B12" s="1353"/>
      <c r="C12" s="1363" t="s">
        <v>69</v>
      </c>
      <c r="D12" s="1643">
        <v>300</v>
      </c>
      <c r="E12" s="1254">
        <f>'INDICES QSP 🍔'!D17</f>
        <v>248</v>
      </c>
      <c r="F12" s="1634">
        <v>277</v>
      </c>
      <c r="G12" s="1293" t="str" cm="1">
        <f t="array" ref="G12">INDEX($C$12:$C$20,SMALL(IF($E$12:$E$20=H12,ROW($E$12:$E$20)-ROW($E$12)+1),COUNTIF($H$12:H12,H12)))</f>
        <v>FRANCIN</v>
      </c>
      <c r="H12" s="1294">
        <f>LARGE($E$12:$E$20,1)</f>
        <v>356</v>
      </c>
      <c r="I12" s="1295">
        <f>IF(G12=C12,F12,IF(G12=C13,F13,IF(G12=C14,F14,IF(G12=C15,F15,IF(G12=C16,F16,IF(G12=C17,F17,IF(G12=C18,F18,IF(G12=C19,F19,IF(G12=C20,F20)))))))))</f>
        <v>321</v>
      </c>
      <c r="J12" s="1626">
        <f>H12-I12</f>
        <v>35</v>
      </c>
      <c r="K12" s="1694" t="str">
        <f>IF(VLOOKUP(G12,G12:H20,2,FALSE)&gt;(VLOOKUP(G12,C12:D20,2,FALSE)),"🔴","🟢")</f>
        <v>🔴</v>
      </c>
      <c r="L12" s="1353"/>
      <c r="M12" s="1363" t="s">
        <v>69</v>
      </c>
      <c r="N12" s="1643">
        <v>300</v>
      </c>
      <c r="O12" s="1254">
        <f>'INDICES QSP 🍔'!D24</f>
        <v>287</v>
      </c>
      <c r="P12" s="1636">
        <f>+'[10]INDICES QSP 🍔'!$D$24</f>
        <v>387</v>
      </c>
      <c r="Q12" s="1293" t="str" cm="1">
        <f t="array" ref="Q12">INDEX($M$12:$M$19,
SMALL(
IF($O$12:$O$19=R12,
ROW($O$12:$O$19)-ROW($O$12)+1),
COUNTIF($R$12:R12,R12)
)
)</f>
        <v>FRANCIN</v>
      </c>
      <c r="R12" s="1294">
        <f>LARGE($O$12:$O$19,1)</f>
        <v>334</v>
      </c>
      <c r="S12" s="1295">
        <f>IF(Q12=M12,P12,IF(Q12=M13,P13,IF(Q12=M14,P14,IF(Q12=M15,P15,IF(Q12=M16,P16,IF(Q12=M17,P17,IF(Q12=M18,P18,IF(Q12=M19,P19))))))))</f>
        <v>382</v>
      </c>
      <c r="T12" s="1626">
        <f>R12-S12</f>
        <v>-48</v>
      </c>
      <c r="U12" s="1694" t="str">
        <f>IF(VLOOKUP(Q12,Q12:R20,2,FALSE)&gt;(VLOOKUP(Q12,M12:N20,2,FALSE)),"🔴","🟢")</f>
        <v>🔴</v>
      </c>
      <c r="V12" s="1353"/>
      <c r="W12" s="1264" t="s">
        <v>418</v>
      </c>
      <c r="X12" s="1675"/>
      <c r="Y12" s="958">
        <f>Y5+Y6+Y8+Y9</f>
        <v>6912487.3600000003</v>
      </c>
      <c r="Z12" s="958">
        <f>Z5+Z6+Z8+Z9</f>
        <v>7194645</v>
      </c>
      <c r="AA12" s="958"/>
      <c r="AB12" s="1606">
        <f>Y12-Z12</f>
        <v>-282157.63999999966</v>
      </c>
      <c r="AC12" s="1273">
        <f t="shared" si="1"/>
        <v>-282157.63999999966</v>
      </c>
      <c r="AD12" s="1605">
        <f>AD5+AD6+AD8+AD9</f>
        <v>-170221.71000000043</v>
      </c>
      <c r="AF12" s="1259"/>
      <c r="AG12" s="1266"/>
      <c r="AH12" s="1353"/>
    </row>
    <row r="13" spans="2:35" ht="20" thickBot="1">
      <c r="B13" s="1353"/>
      <c r="C13" s="1363" t="s">
        <v>29</v>
      </c>
      <c r="D13" s="1644">
        <v>290</v>
      </c>
      <c r="E13" s="957">
        <f>'INDICES QSP 🍔'!F17</f>
        <v>307</v>
      </c>
      <c r="F13" s="1634">
        <v>349</v>
      </c>
      <c r="G13" s="1293" t="str" cm="1">
        <f t="array" ref="G13">INDEX($C$12:$C$20,SMALL(IF($E$12:$E$20=H13,ROW($E$12:$E$20)-ROW($E$12)+1),COUNTIF($H$12:H13,H13)))</f>
        <v>LES ABRETS</v>
      </c>
      <c r="H13" s="1294">
        <f>LARGE($E$12:$E$20,2)</f>
        <v>351</v>
      </c>
      <c r="I13" s="1295">
        <f>IF(G13=C13,F13,IF(G13=C14,F14,IF(G13=C15,F15,IF(G13=C16,F16,IF(G13=C17,F17,IF(G13=C18,F18,IF(G13=C19,F19,IF(G13=C20,F20,IF(G13=C12,F12)))))))))</f>
        <v>334</v>
      </c>
      <c r="J13" s="1626">
        <f t="shared" ref="J13:J20" si="5">H13-I13</f>
        <v>17</v>
      </c>
      <c r="K13" s="1694" t="str">
        <f>IF(VLOOKUP(G13,G12:H20,2,FALSE)&gt;(VLOOKUP(G13,C12:D20,2,FALSE)),"🔴","🟢")</f>
        <v>🔴</v>
      </c>
      <c r="L13" s="1353"/>
      <c r="M13" s="1363" t="s">
        <v>29</v>
      </c>
      <c r="N13" s="1644">
        <v>290</v>
      </c>
      <c r="O13" s="957">
        <f>'INDICES QSP 🍔'!F24</f>
        <v>255</v>
      </c>
      <c r="P13" s="1636">
        <f>+'[10]INDICES QSP 🍔'!$F$24</f>
        <v>253</v>
      </c>
      <c r="Q13" s="1293" t="str" cm="1">
        <f t="array" ref="Q13">INDEX($M$12:$M$19,
SMALL(
IF($O$12:$O$19=R13,
ROW($O$12:$O$19)-ROW($O$12)+1),
COUNTIF($R$12:R13,R13)
)
)</f>
        <v>LES ABRETS</v>
      </c>
      <c r="R13" s="1294">
        <f>LARGE($O$12:$O$19,2)</f>
        <v>318</v>
      </c>
      <c r="S13" s="1295">
        <f>IF(Q13=M13,P13,IF(Q13=M14,P14,IF(Q13=M15,P15,IF(Q13=M16,P16,IF(Q13=M17,P17,IF(Q13=M18,P18,IF(Q13=M19,P19,IF(Q13=M12,P12))))))))</f>
        <v>317</v>
      </c>
      <c r="T13" s="1626">
        <f t="shared" ref="T13:T19" si="6">R13-S13</f>
        <v>1</v>
      </c>
      <c r="U13" s="1694" t="str">
        <f>IF(VLOOKUP(Q13,Q12:R20,2,FALSE)&gt;(VLOOKUP(Q13,M12:N20,2,FALSE)),"🔴","🟢")</f>
        <v>🔴</v>
      </c>
      <c r="V13" s="1353"/>
      <c r="W13" s="1265" t="s">
        <v>443</v>
      </c>
      <c r="X13" s="1676"/>
      <c r="Y13" s="1275">
        <f>Y4+Y7+Y10+Y11</f>
        <v>8147556.7700000005</v>
      </c>
      <c r="Z13" s="1275">
        <f>Z4+Z7+Z10+Z11</f>
        <v>8585150</v>
      </c>
      <c r="AA13" s="1275"/>
      <c r="AB13" s="1607">
        <f>Y13-Z13</f>
        <v>-437593.22999999952</v>
      </c>
      <c r="AC13" s="1276">
        <f t="shared" si="1"/>
        <v>-437593.22999999952</v>
      </c>
      <c r="AD13" s="1277">
        <f>AD4+AD7+AD10+AD11</f>
        <v>-252136.74000000046</v>
      </c>
      <c r="AE13" s="1256"/>
      <c r="AF13" s="1258"/>
      <c r="AG13" s="1267"/>
      <c r="AH13" s="1353"/>
    </row>
    <row r="14" spans="2:35" ht="20" thickBot="1">
      <c r="B14" s="1353"/>
      <c r="C14" s="1363" t="s">
        <v>30</v>
      </c>
      <c r="D14" s="1644">
        <v>300</v>
      </c>
      <c r="E14" s="1056">
        <f>'INDICES QSP 🍔'!H17</f>
        <v>273</v>
      </c>
      <c r="F14" s="1634">
        <v>324</v>
      </c>
      <c r="G14" s="1293" t="str" cm="1">
        <f t="array" ref="G14">INDEX($C$12:$C$20,SMALL(IF($E$12:$E$20=H14,ROW($E$12:$E$20)-ROW($E$12)+1),COUNTIF($H$12:H14,H14)))</f>
        <v>VIVIERS DU LAC</v>
      </c>
      <c r="H14" s="1294">
        <f>LARGE($E$12:$E$20,3)</f>
        <v>328</v>
      </c>
      <c r="I14" s="1295">
        <f>IF(G14=C14,F14,IF(G14=C15,F15,IF(G14=C16,F16,IF(G14=C17,F17,IF(G14=C18,F18,IF(G14=C19,F19,IF(G14=C20,F20,IF(G14=C12,F12,IF(G14=C13,F13)))))))))</f>
        <v>285</v>
      </c>
      <c r="J14" s="1626">
        <f t="shared" si="5"/>
        <v>43</v>
      </c>
      <c r="K14" s="1694" t="str">
        <f>IF(VLOOKUP(G14,G12:H20,2,FALSE)&gt;(VLOOKUP(G14,C12:D20,2,FALSE)),"🔴","🟢")</f>
        <v>🔴</v>
      </c>
      <c r="L14" s="1353"/>
      <c r="M14" s="1363" t="s">
        <v>30</v>
      </c>
      <c r="N14" s="1644">
        <v>300</v>
      </c>
      <c r="O14" s="1056">
        <f>'INDICES QSP 🍔'!H24</f>
        <v>303</v>
      </c>
      <c r="P14" s="1636">
        <f>+'[10]INDICES QSP 🍔'!$H$24</f>
        <v>352</v>
      </c>
      <c r="Q14" s="1293" t="str" cm="1">
        <f t="array" ref="Q14">INDEX($M$12:$M$19,
SMALL(
IF($O$12:$O$19=R14,
ROW($O$12:$O$19)-ROW($O$12)+1),
COUNTIF($R$12:R14,R14)
)
)</f>
        <v>BELLEY</v>
      </c>
      <c r="R14" s="1294">
        <f>LARGE($O$12:$O$19,3)</f>
        <v>303</v>
      </c>
      <c r="S14" s="1295">
        <f>IF(Q14=M14,P14,IF(Q14=M15,P15,IF(Q14=M16,P16,IF(Q14=M17,P17,IF(Q14=M18,P18,IF(Q14=M19,P19,IF(Q14=M12,P12,IF(Q14=M13,P13))))))))</f>
        <v>352</v>
      </c>
      <c r="T14" s="1626">
        <f t="shared" si="6"/>
        <v>-49</v>
      </c>
      <c r="U14" s="1694" t="str">
        <f>IF(VLOOKUP(Q14,Q12:R20,2,FALSE)&gt;(VLOOKUP(Q14,M12:N20,2,FALSE)),"🔴","🟢")</f>
        <v>🔴</v>
      </c>
      <c r="V14" s="1353"/>
      <c r="W14" s="1353"/>
      <c r="X14" s="1355"/>
      <c r="Y14" s="1353"/>
      <c r="Z14" s="1353"/>
      <c r="AA14" s="1353"/>
      <c r="AB14" s="1353"/>
      <c r="AC14" s="1353"/>
      <c r="AD14" s="1353"/>
      <c r="AE14" s="1353"/>
      <c r="AF14" s="1353"/>
      <c r="AG14" s="1353"/>
      <c r="AH14" s="1353"/>
    </row>
    <row r="15" spans="2:35" ht="21" thickBot="1">
      <c r="B15" s="1353"/>
      <c r="C15" s="1363" t="s">
        <v>31</v>
      </c>
      <c r="D15" s="1644">
        <v>300</v>
      </c>
      <c r="E15" s="957">
        <f>'INDICES QSP 🍔'!J17</f>
        <v>250</v>
      </c>
      <c r="F15" s="1634">
        <v>252</v>
      </c>
      <c r="G15" s="1293" t="str" cm="1">
        <f t="array" ref="G15">INDEX($C$12:$C$20,SMALL(IF($E$12:$E$20=H15,ROW($E$12:$E$20)-ROW($E$12)+1),COUNTIF($H$12:H15,H15)))</f>
        <v>AIX LES BAINS</v>
      </c>
      <c r="H15" s="1294">
        <f>LARGE($E$12:$E$20,4)</f>
        <v>307</v>
      </c>
      <c r="I15" s="1295">
        <f>IF(G15=C15,F15,IF(G15=C16,F16,IF(G15=C17,F17,IF(G15=C18,F18,IF(G15=C19,F19,IF(G15=C20,F20,IF(G15=C12,F12,IF(G15=C13,F13,IF(G15=C14,F14)))))))))</f>
        <v>349</v>
      </c>
      <c r="J15" s="1626">
        <f t="shared" si="5"/>
        <v>-42</v>
      </c>
      <c r="K15" s="1694" t="str">
        <f>IF(VLOOKUP(G15,G12:H20,2,FALSE)&gt;(VLOOKUP(G15,C12:D20,2,FALSE)),"🔴","🟢")</f>
        <v>🔴</v>
      </c>
      <c r="L15" s="1353"/>
      <c r="M15" s="1363" t="s">
        <v>31</v>
      </c>
      <c r="N15" s="1644">
        <v>300</v>
      </c>
      <c r="O15" s="957">
        <f>'INDICES QSP 🍔'!J24</f>
        <v>266</v>
      </c>
      <c r="P15" s="1636">
        <f>+'[10]INDICES QSP 🍔'!$J$24</f>
        <v>355</v>
      </c>
      <c r="Q15" s="1293" t="str" cm="1">
        <f t="array" ref="Q15">INDEX($M$12:$M$19,
SMALL(
IF($O$12:$O$19=R15,
ROW($O$12:$O$19)-ROW($O$12)+1),
COUNTIF($R$12:R15,R15)
)
)</f>
        <v>CHAMNORD</v>
      </c>
      <c r="R15" s="1294">
        <f>LARGE($O$12:$O$19,4)</f>
        <v>287</v>
      </c>
      <c r="S15" s="1295">
        <f>IF(Q15=M15,P15,IF(Q15=M16,P16,IF(Q15=M17,P17,IF(Q15=M18,P18,IF(Q15=M19,P19,IF(Q15=M12,P12,IF(Q15=M13,P13,IF(Q15=M14,P14))))))))</f>
        <v>387</v>
      </c>
      <c r="T15" s="1626">
        <f t="shared" si="6"/>
        <v>-100</v>
      </c>
      <c r="U15" s="1694" t="str">
        <f>IF(VLOOKUP(Q15,Q12:R20,2,FALSE)&gt;(VLOOKUP(Q15,M12:N20,2,FALSE)),"🔴","🟢")</f>
        <v>🟢</v>
      </c>
      <c r="V15" s="1353"/>
      <c r="W15" s="1348" t="s">
        <v>339</v>
      </c>
      <c r="X15" s="1637"/>
      <c r="Y15" s="1750" t="s">
        <v>450</v>
      </c>
      <c r="Z15" s="1751"/>
      <c r="AA15" s="1751"/>
      <c r="AB15" s="1751"/>
      <c r="AC15" s="1751"/>
      <c r="AD15" s="1752"/>
      <c r="AE15" s="1353"/>
      <c r="AF15" s="1353"/>
      <c r="AG15" s="1353"/>
      <c r="AH15" s="1353"/>
    </row>
    <row r="16" spans="2:35" ht="19">
      <c r="B16" s="1353"/>
      <c r="C16" s="1363" t="s">
        <v>32</v>
      </c>
      <c r="D16" s="1644">
        <v>290</v>
      </c>
      <c r="E16" s="957">
        <f>'INDICES QSP 🍔'!L17</f>
        <v>351</v>
      </c>
      <c r="F16" s="1634">
        <v>334</v>
      </c>
      <c r="G16" s="1293" t="str" cm="1">
        <f t="array" ref="G16">INDEX($C$12:$C$20,SMALL(IF($E$12:$E$20=H16,ROW($E$12:$E$20)-ROW($E$12)+1),COUNTIF($H$12:H16,H16)))</f>
        <v>BELLEY</v>
      </c>
      <c r="H16" s="1294">
        <f>LARGE($E$12:$E$20,5)</f>
        <v>273</v>
      </c>
      <c r="I16" s="1295">
        <f>IF(G16=C16,F16,IF(G16=C17,F17,IF(G16=C18,F18,IF(G16=C19,F19,IF(G16=C20,F20,IF(G16=C12,F12,IF(G16=C13,F13,IF(G16=C14,F14,IF(G16=C15,F15)))))))))</f>
        <v>324</v>
      </c>
      <c r="J16" s="1626">
        <f t="shared" si="5"/>
        <v>-51</v>
      </c>
      <c r="K16" s="1694" t="str">
        <f>IF(VLOOKUP(G16,G12:H20,2,FALSE)&gt;(VLOOKUP(G16,C12:D20,2,FALSE)),"🔴","🟢")</f>
        <v>🟢</v>
      </c>
      <c r="L16" s="1353"/>
      <c r="M16" s="1363" t="s">
        <v>32</v>
      </c>
      <c r="N16" s="1644">
        <v>290</v>
      </c>
      <c r="O16" s="957">
        <f>'INDICES QSP 🍔'!L24</f>
        <v>318</v>
      </c>
      <c r="P16" s="1636">
        <f>+'[10]INDICES QSP 🍔'!$L$24</f>
        <v>317</v>
      </c>
      <c r="Q16" s="1293" t="str" cm="1">
        <f t="array" ref="Q16">INDEX($M$12:$M$19,
SMALL(
IF($O$12:$O$19=R16,
ROW($O$12:$O$19)-ROW($O$12)+1),
COUNTIF($R$12:R16,R16)
)
)</f>
        <v>ST ALBAN</v>
      </c>
      <c r="R16" s="1294">
        <f>LARGE($O$12:$O$19,5)</f>
        <v>266</v>
      </c>
      <c r="S16" s="1295">
        <f>IF(Q16=M16,P16,IF(Q16=M17,P17,IF(Q16=M18,P18,IF(Q16=M19,P19,IF(Q16=M12,P12,IF(Q16=M13,P13,IF(Q16=M14,P14,IF(Q16=M15,P15))))))))</f>
        <v>355</v>
      </c>
      <c r="T16" s="1626">
        <f t="shared" si="6"/>
        <v>-89</v>
      </c>
      <c r="U16" s="1694" t="str">
        <f>IF(VLOOKUP(Q16,Q12:R20,2,FALSE)&gt;(VLOOKUP(Q16,M12:N20,2,FALSE)),"🔴","🟢")</f>
        <v>🟢</v>
      </c>
      <c r="V16" s="1353"/>
      <c r="W16" s="1264" t="s">
        <v>500</v>
      </c>
      <c r="X16" s="1677"/>
      <c r="Y16" s="1254">
        <v>198</v>
      </c>
      <c r="Z16" s="1242">
        <v>250</v>
      </c>
      <c r="AA16" s="1280">
        <f t="shared" ref="AA16:AA25" si="7">IF(Y16-Z16=0,"=",Y16-Z16)</f>
        <v>-52</v>
      </c>
      <c r="AB16" s="1313" t="e">
        <f t="shared" ref="AB16:AB27" si="8">INDEX($W$16:$W$27,MATCH(AC16,$Y$16:$Y$27,0))</f>
        <v>#NUM!</v>
      </c>
      <c r="AC16" s="1178" t="e">
        <f>LARGE($Y$16:$Y$27,12)</f>
        <v>#NUM!</v>
      </c>
      <c r="AD16" s="1281" t="e">
        <f>IF(AB16=W25,AA25,IF(AB16=W16,AA16,IF(AB16=W17,AA17,IF(AB16=W18,AA18,IF(AB16=W19,AA19,IF(AB16=W20,AA20,IF(AB16=W21,AA21,IF(AB16=W22,AA22,IF(AB16=W23,AA23,IF(AB16=W24,AA24,IF(AB16=W26,AA26,IF(AB16=W27,AA27))))))))))))</f>
        <v>#NUM!</v>
      </c>
      <c r="AE16" s="1353"/>
      <c r="AF16" s="1610" t="str">
        <f>INDEX($W$34:$W$41,MATCH(AI4,$AI$4:$AI$11,0))</f>
        <v>CHAMNORD</v>
      </c>
      <c r="AG16" s="1611">
        <f>LARGE($AI$4:$AI$11,8)</f>
        <v>-7.0248741482564936E-2</v>
      </c>
      <c r="AH16" s="1353"/>
    </row>
    <row r="17" spans="2:34" ht="19">
      <c r="B17" s="1353"/>
      <c r="C17" s="1363" t="s">
        <v>253</v>
      </c>
      <c r="D17" s="1644">
        <v>270</v>
      </c>
      <c r="E17" s="957">
        <f>'INDICES QSP 🍔'!N17</f>
        <v>227</v>
      </c>
      <c r="F17" s="1634">
        <v>240</v>
      </c>
      <c r="G17" s="1293" t="str" cm="1">
        <f t="array" ref="G17">INDEX($C$12:$C$20,SMALL(IF($E$12:$E$20=H17,ROW($E$12:$E$20)-ROW($E$12)+1),COUNTIF($H$12:H17,H17)))</f>
        <v>ST ALBAN</v>
      </c>
      <c r="H17" s="1294">
        <f>LARGE($E$12:$E$20,6)</f>
        <v>250</v>
      </c>
      <c r="I17" s="1295">
        <f>IF(G17=C17,F17,IF(G17=C18,F18,IF(G17=C19,F19,IF(G17=C20,F20,IF(G17=C12,F12,IF(G17=C13,F13,IF(G17=C14,F14,IF(G17=C15,F15,IF(G17=C16,F16)))))))))</f>
        <v>252</v>
      </c>
      <c r="J17" s="1626">
        <f t="shared" si="5"/>
        <v>-2</v>
      </c>
      <c r="K17" s="1694" t="str">
        <f>IF(VLOOKUP(G17,G12:H20,2,FALSE)&gt;(VLOOKUP(G17,C12:D20,2,FALSE)),"🔴","🟢")</f>
        <v>🟢</v>
      </c>
      <c r="L17" s="1353"/>
      <c r="M17" s="1363" t="s">
        <v>253</v>
      </c>
      <c r="N17" s="1644">
        <v>270</v>
      </c>
      <c r="O17" s="957">
        <f>'INDICES QSP 🍔'!N24</f>
        <v>225</v>
      </c>
      <c r="P17" s="1636">
        <f>+'[10]INDICES QSP 🍔'!$N$24</f>
        <v>210</v>
      </c>
      <c r="Q17" s="1293" t="str" cm="1">
        <f t="array" ref="Q17">INDEX($M$12:$M$19,
SMALL(
IF($O$12:$O$19=R17,
ROW($O$12:$O$19)-ROW($O$12)+1),
COUNTIF($R$12:R17,R17)
)
)</f>
        <v>VIVIERS DU LAC</v>
      </c>
      <c r="R17" s="1294">
        <f>LARGE($O$12:$O$19,6)</f>
        <v>263</v>
      </c>
      <c r="S17" s="1295">
        <f>IF(Q17=M17,P17,IF(Q17=M18,P18,IF(Q17=M19,P19,IF(Q17=M12,P12,IF(Q17=M13,P13,IF(Q17=M14,P14,IF(Q17=M15,P15,IF(Q17=M16,P16))))))))</f>
        <v>248</v>
      </c>
      <c r="T17" s="1626">
        <f t="shared" si="6"/>
        <v>15</v>
      </c>
      <c r="U17" s="1694" t="str">
        <f>IF(VLOOKUP(Q17,Q12:R20,2,FALSE)&gt;(VLOOKUP(Q17,M12:N20,2,FALSE)),"🔴","🟢")</f>
        <v>🟢</v>
      </c>
      <c r="V17" s="1353"/>
      <c r="W17" s="1264" t="s">
        <v>340</v>
      </c>
      <c r="X17" s="1675"/>
      <c r="Y17" s="957">
        <v>244</v>
      </c>
      <c r="Z17" s="1242">
        <v>244</v>
      </c>
      <c r="AA17" s="1280" t="str">
        <f t="shared" si="7"/>
        <v>=</v>
      </c>
      <c r="AB17" s="1313" t="e">
        <f t="shared" si="8"/>
        <v>#NUM!</v>
      </c>
      <c r="AC17" s="1178" t="e">
        <f>LARGE($Y$16:$Y$27,11)</f>
        <v>#NUM!</v>
      </c>
      <c r="AD17" s="1281" t="e">
        <f>IF(AB17=W26,AA26,IF(AB17=W17,AA17,IF(AB17=W18,AA18,IF(AB17=W19,AA19,IF(AB17=W20,AA20,IF(AB17=W21,AA21,IF(AB17=W22,AA22,IF(AB17=W23,AA23,IF(AB17=W24,AA24,IF(AB17=W25,AA25,IF(AB17=W27,AA27,IF(AB17=W16,AA16))))))))))))</f>
        <v>#NUM!</v>
      </c>
      <c r="AE17" s="1353"/>
      <c r="AF17" s="1313" t="str">
        <f>INDEX($W$34:$W$41,MATCH(AI5,$AI$4:$AI$11,0))</f>
        <v>AIX LES BAINS</v>
      </c>
      <c r="AG17" s="1609">
        <f>LARGE($AI$4:$AI$11,7)</f>
        <v>-3.1181154782216253E-2</v>
      </c>
      <c r="AH17" s="1353"/>
    </row>
    <row r="18" spans="2:34" ht="19">
      <c r="B18" s="1353"/>
      <c r="C18" s="1363" t="s">
        <v>34</v>
      </c>
      <c r="D18" s="1644">
        <v>300</v>
      </c>
      <c r="E18" s="957">
        <f>'INDICES QSP 🍔'!P17</f>
        <v>356</v>
      </c>
      <c r="F18" s="1634">
        <v>321</v>
      </c>
      <c r="G18" s="1293" t="str" cm="1">
        <f t="array" ref="G18">INDEX($C$12:$C$20,SMALL(IF($E$12:$E$20=H18,ROW($E$12:$E$20)-ROW($E$12)+1),COUNTIF($H$12:H18,H18)))</f>
        <v>CHAMNORD</v>
      </c>
      <c r="H18" s="1294">
        <f>LARGE($E$12:$E$20,7)</f>
        <v>248</v>
      </c>
      <c r="I18" s="1295">
        <f>IF(G18=C18,F18,IF(G18=C19,F19,IF(G18=C20,F20,IF(G18=C12,F12,IF(G18=C13,F13,IF(G18=C14,F14,IF(G18=C15,F15,IF(G18=C16,F16,IF(G18=C17,F17)))))))))</f>
        <v>277</v>
      </c>
      <c r="J18" s="1626">
        <f t="shared" si="5"/>
        <v>-29</v>
      </c>
      <c r="K18" s="1694" t="str">
        <f>IF(VLOOKUP(G18,G12:H20,2,FALSE)&gt;(VLOOKUP(G18,C12:D20,2,FALSE)),"🔴","🟢")</f>
        <v>🟢</v>
      </c>
      <c r="L18" s="1353"/>
      <c r="M18" s="1363" t="s">
        <v>34</v>
      </c>
      <c r="N18" s="1644">
        <v>300</v>
      </c>
      <c r="O18" s="957">
        <f>'INDICES QSP 🍔'!P24</f>
        <v>334</v>
      </c>
      <c r="P18" s="1636">
        <f>+'[10]INDICES QSP 🍔'!$P$24</f>
        <v>382</v>
      </c>
      <c r="Q18" s="1293" t="str" cm="1">
        <f t="array" ref="Q18">INDEX($M$12:$M$19,
SMALL(
IF($O$12:$O$19=R18,
ROW($O$12:$O$19)-ROW($O$12)+1),
COUNTIF($R$12:R18,R18)
)
)</f>
        <v>AIX LES BAINS</v>
      </c>
      <c r="R18" s="1294">
        <f>LARGE($O$12:$O$19,7)</f>
        <v>255</v>
      </c>
      <c r="S18" s="1295">
        <f>IF(Q18=M18,P18,IF(Q18=M19,P19,IF(Q18=M12,P12,IF(Q18=M13,P13,IF(Q18=M14,P14,IF(Q18=M15,P15,IF(Q18=M16,P16,IF(Q18=M17,P17))))))))</f>
        <v>253</v>
      </c>
      <c r="T18" s="1626">
        <f t="shared" si="6"/>
        <v>2</v>
      </c>
      <c r="U18" s="1694" t="str">
        <f>IF(VLOOKUP(Q18,Q12:R20,2,FALSE)&gt;(VLOOKUP(Q18,M12:N20,2,FALSE)),"🔴","🟢")</f>
        <v>🟢</v>
      </c>
      <c r="V18" s="1353"/>
      <c r="W18" s="1264" t="s">
        <v>437</v>
      </c>
      <c r="X18" s="1675"/>
      <c r="Y18" s="957">
        <v>315</v>
      </c>
      <c r="Z18" s="1242">
        <v>382</v>
      </c>
      <c r="AA18" s="1280">
        <f t="shared" si="7"/>
        <v>-67</v>
      </c>
      <c r="AB18" s="1313" t="e">
        <f t="shared" si="8"/>
        <v>#NUM!</v>
      </c>
      <c r="AC18" s="1178" t="e">
        <f>LARGE($Y$16:$Y$27,10)</f>
        <v>#NUM!</v>
      </c>
      <c r="AD18" s="1281" t="e">
        <f>IF(AB18=W27,AA27,IF(AB18=W18,AA18,IF(AB18=W19,AA19,IF(AB18=W20,AA20,IF(AB18=W21,AA21,IF(AB18=W22,AA22,IF(AB18=W23,AA23,IF(AB18=W24,AA24,IF(AB18=W25,AA25,IF(AB18=W26,AA26,IF(AB18=W17,AA17,IF(AB18=W16,AA16))))))))))))</f>
        <v>#NUM!</v>
      </c>
      <c r="AE18" s="1353"/>
      <c r="AF18" s="1313" t="str">
        <f t="shared" ref="AF18:AF23" si="9">INDEX($W$34:$W$41,MATCH(AI6,$AI$4:$AI$11,0))</f>
        <v>BELLEY</v>
      </c>
      <c r="AG18" s="1609">
        <f>LARGE($AI$4:$AI$11,6)</f>
        <v>-2.56998601528932E-2</v>
      </c>
      <c r="AH18" s="1353"/>
    </row>
    <row r="19" spans="2:34" ht="19">
      <c r="B19" s="1353"/>
      <c r="C19" s="1363" t="s">
        <v>411</v>
      </c>
      <c r="D19" s="1644">
        <v>300</v>
      </c>
      <c r="E19" s="957">
        <f>'INDICES QSP 🍔'!R17</f>
        <v>328</v>
      </c>
      <c r="F19" s="1634">
        <v>285</v>
      </c>
      <c r="G19" s="1293" t="str" cm="1">
        <f t="array" ref="G19">INDEX($C$12:$C$20,SMALL(IF($E$12:$E$20=H19,ROW($E$12:$E$20)-ROW($E$12)+1),COUNTIF($H$12:H19,H19)))</f>
        <v>PDB</v>
      </c>
      <c r="H19" s="1294">
        <f>LARGE($E$12:$E$20,8)</f>
        <v>227</v>
      </c>
      <c r="I19" s="1295">
        <f>IF(G19=C19,F19,IF(G19=C20,F20,IF(G19=C12,F12,IF(G19=C13,F13,IF(G19=C14,F14,IF(G19=C15,F15,IF(G19=C16,F16,IF(G19=C17,F17,IF(G19=C18,F18)))))))))</f>
        <v>240</v>
      </c>
      <c r="J19" s="1626">
        <f t="shared" si="5"/>
        <v>-13</v>
      </c>
      <c r="K19" s="1694" t="str">
        <f>IF(VLOOKUP(G19,G12:H20,2,FALSE)&gt;(VLOOKUP(G19,C12:D20,2,FALSE)),"🔴","🟢")</f>
        <v>🟢</v>
      </c>
      <c r="L19" s="1353"/>
      <c r="M19" s="1363" t="s">
        <v>411</v>
      </c>
      <c r="N19" s="1644">
        <v>300</v>
      </c>
      <c r="O19" s="957">
        <f>'INDICES QSP 🍔'!R24</f>
        <v>263</v>
      </c>
      <c r="P19" s="1636">
        <v>248</v>
      </c>
      <c r="Q19" s="1293" t="str" cm="1">
        <f t="array" ref="Q19">INDEX($M$12:$M$19,
SMALL(
IF($O$12:$O$19=R19,
ROW($O$12:$O$19)-ROW($O$12)+1),
COUNTIF($R$12:R19,R19)
)
)</f>
        <v>PDB</v>
      </c>
      <c r="R19" s="1294">
        <f>LARGE($O$12:$O$19,8)</f>
        <v>225</v>
      </c>
      <c r="S19" s="1295">
        <f>IF(Q19=M19,P19,IF(Q19=M12,P12,IF(Q19=M13,P13,IF(Q19=M14,P14,IF(Q19=M15,P15,IF(Q19=M16,P16,IF(Q19=M17,P17,IF(Q19=M18,P18))))))))</f>
        <v>210</v>
      </c>
      <c r="T19" s="1626">
        <f t="shared" si="6"/>
        <v>15</v>
      </c>
      <c r="U19" s="1694" t="str">
        <f>IF(VLOOKUP(Q19,Q12:R20,2,FALSE)&gt;(VLOOKUP(Q19,M12:N20,2,FALSE)),"🔴","🟢")</f>
        <v>🟢</v>
      </c>
      <c r="V19" s="1353"/>
      <c r="W19" s="1264" t="s">
        <v>492</v>
      </c>
      <c r="X19" s="1675"/>
      <c r="Y19" s="957">
        <v>530</v>
      </c>
      <c r="Z19" s="1242">
        <v>463</v>
      </c>
      <c r="AA19" s="1280">
        <f t="shared" si="7"/>
        <v>67</v>
      </c>
      <c r="AB19" s="1313" t="str">
        <f t="shared" si="8"/>
        <v>BO FILET</v>
      </c>
      <c r="AC19" s="1397">
        <f>LARGE($Y$16:$Y$27,9)</f>
        <v>24</v>
      </c>
      <c r="AD19" s="1398">
        <f>IF(AB19=W18,AA18,IF(AB19=W19,AA19,IF(AB19=W20,AA20,IF(AB19=W21,AA21,IF(AB19=W22,AA22,IF(AB19=W23,AA23,IF(AB19=W24,AA24,IF(AB19=W25,AA25,IF(AB19=W26,AA26,IF(AB19=W27,AA27,IF(AB19=W17,AA17,IF(AB19=W16,AA16))))))))))))</f>
        <v>13</v>
      </c>
      <c r="AE19" s="1353"/>
      <c r="AF19" s="1313" t="str">
        <f t="shared" si="9"/>
        <v>ST ALBAN</v>
      </c>
      <c r="AG19" s="1609">
        <f>LARGE($AI$4:$AI$11,5)</f>
        <v>-2.3082142361876633E-2</v>
      </c>
      <c r="AH19" s="1353"/>
    </row>
    <row r="20" spans="2:34" ht="20" thickBot="1">
      <c r="B20" s="1353"/>
      <c r="C20" s="1364" t="s">
        <v>48</v>
      </c>
      <c r="D20" s="1645">
        <v>280</v>
      </c>
      <c r="E20" s="1252">
        <f>'INDICES QSP 🍔'!T17</f>
        <v>0</v>
      </c>
      <c r="F20" s="1291">
        <v>339</v>
      </c>
      <c r="G20" s="1296" t="str" cm="1">
        <f t="array" ref="G20">INDEX($C$12:$C$20,SMALL(IF($E$12:$E$20=H20,ROW($E$12:$E$20)-ROW($E$12)+1),COUNTIF($H$12:H20,H20)))</f>
        <v>FRANCE</v>
      </c>
      <c r="H20" s="1297">
        <f>LARGE($E$12:$E$20,9)</f>
        <v>0</v>
      </c>
      <c r="I20" s="1298">
        <f>IF(G20=C20,F20,IF(G20=C12,F12,IF(G20=C13,F13,IF(G20=C14,F14,IF(G20=C15,F15,IF(G20=C16,F16,IF(G20=C17,F17,IF(G20=C18,F18,IF(G20=C19,F19)))))))))</f>
        <v>339</v>
      </c>
      <c r="J20" s="1633">
        <f t="shared" si="5"/>
        <v>-339</v>
      </c>
      <c r="K20" s="1695" t="str">
        <f>IF(VLOOKUP(G20,G12:H20,2,FALSE)&gt;(VLOOKUP(G20,C12:D20,2,FALSE)),"🔴","🟢")</f>
        <v>🟢</v>
      </c>
      <c r="L20" s="1353"/>
      <c r="M20" s="1364"/>
      <c r="N20" s="1645"/>
      <c r="O20" s="1252"/>
      <c r="P20" s="1635"/>
      <c r="Q20" s="1296"/>
      <c r="R20" s="1297"/>
      <c r="S20" s="1298"/>
      <c r="T20" s="1633"/>
      <c r="U20" s="1695"/>
      <c r="V20" s="1353"/>
      <c r="W20" s="1264" t="s">
        <v>493</v>
      </c>
      <c r="X20" s="1675"/>
      <c r="Y20" s="957">
        <v>380</v>
      </c>
      <c r="Z20" s="1242">
        <v>383</v>
      </c>
      <c r="AA20" s="1280">
        <f t="shared" si="7"/>
        <v>-3</v>
      </c>
      <c r="AB20" s="1313" t="str">
        <f t="shared" si="8"/>
        <v>BO McCHICKEN</v>
      </c>
      <c r="AC20" s="1178">
        <f>LARGE($Y$16:$Y$27,8)</f>
        <v>56</v>
      </c>
      <c r="AD20" s="1281">
        <f>IF(AB20=W18,AA18,IF(AB20=W20,AA20,IF(AB20=W21,AA21,IF(AB20=W22,AA22,IF(AB20=W23,AA23,IF(AB20=W24,AA24,IF(AB20=W25,AA25,IF(AB20=W26,AA26,IF(AB20=W27,AA27,IF(AB20=W19,AA19,IF(AB20=W17,AA17,IF(AB20=W16,AA16))))))))))))</f>
        <v>13</v>
      </c>
      <c r="AE20" s="1353"/>
      <c r="AF20" s="1313" t="str">
        <f t="shared" si="9"/>
        <v>LES ABRETS</v>
      </c>
      <c r="AG20" s="1609">
        <f>LARGE($AI$4:$AI$11,4)</f>
        <v>-1.7330000303703984E-2</v>
      </c>
      <c r="AH20" s="1353"/>
    </row>
    <row r="21" spans="2:34" ht="20" thickBot="1">
      <c r="B21" s="1353"/>
      <c r="C21" s="1665"/>
      <c r="D21" s="1666"/>
      <c r="E21" s="1353"/>
      <c r="F21" s="1353"/>
      <c r="G21" s="1353"/>
      <c r="H21" s="1353"/>
      <c r="I21" s="1353"/>
      <c r="J21" s="1353"/>
      <c r="K21" s="1353"/>
      <c r="L21" s="1353"/>
      <c r="M21" s="1353"/>
      <c r="N21" s="1353"/>
      <c r="O21" s="1353"/>
      <c r="P21" s="1353"/>
      <c r="Q21" s="1353"/>
      <c r="R21" s="1353"/>
      <c r="S21" s="1353"/>
      <c r="T21" s="1353"/>
      <c r="U21" s="1353"/>
      <c r="V21" s="1353"/>
      <c r="W21" s="1264" t="s">
        <v>504</v>
      </c>
      <c r="X21" s="1675"/>
      <c r="Y21" s="957">
        <f>46+52+12+2+51+5</f>
        <v>168</v>
      </c>
      <c r="Z21" s="1242">
        <v>150</v>
      </c>
      <c r="AA21" s="1280">
        <f t="shared" si="7"/>
        <v>18</v>
      </c>
      <c r="AB21" s="1313" t="str">
        <f t="shared" si="8"/>
        <v>BO DOUBLE</v>
      </c>
      <c r="AC21" s="1178">
        <f>LARGE($Y$16:$Y$27,7)</f>
        <v>81</v>
      </c>
      <c r="AD21" s="1281">
        <f>IF(AB21=W18,AA18,IF(AB21=W21,AA21,IF(AB21=W22,AA22,IF(AB21=W23,AA23,IF(AB21=W24,AA24,IF(AB21=W25,AA25,IF(AB21=W26,AA26,IF(AB21=W27,AA27,IF(AB21=W20,AA20,IF(AB21=W19,AA19,IF(AB21=W17,AA17,IF(AB21=W16,AA16))))))))))))</f>
        <v>32</v>
      </c>
      <c r="AE21" s="1353"/>
      <c r="AF21" s="1313" t="str">
        <f t="shared" si="9"/>
        <v>PDB</v>
      </c>
      <c r="AG21" s="1609">
        <f>LARGE($AI$4:$AI$11,3)</f>
        <v>-1.2902491383981826E-2</v>
      </c>
      <c r="AH21" s="1353"/>
    </row>
    <row r="22" spans="2:34" ht="20">
      <c r="B22" s="1353"/>
      <c r="C22" s="1660" t="s">
        <v>49</v>
      </c>
      <c r="D22" s="1661" t="s">
        <v>499</v>
      </c>
      <c r="E22" s="1747" t="s">
        <v>440</v>
      </c>
      <c r="F22" s="1748"/>
      <c r="G22" s="1748"/>
      <c r="H22" s="1748"/>
      <c r="I22" s="1748"/>
      <c r="J22" s="1748"/>
      <c r="K22" s="1749"/>
      <c r="L22" s="1353"/>
      <c r="M22" s="1660" t="s">
        <v>49</v>
      </c>
      <c r="N22" s="1661" t="s">
        <v>499</v>
      </c>
      <c r="O22" s="1747" t="s">
        <v>420</v>
      </c>
      <c r="P22" s="1748"/>
      <c r="Q22" s="1748" t="s">
        <v>420</v>
      </c>
      <c r="R22" s="1748"/>
      <c r="S22" s="1748"/>
      <c r="T22" s="1748"/>
      <c r="U22" s="1749"/>
      <c r="V22" s="1353"/>
      <c r="W22" s="1264" t="s">
        <v>501</v>
      </c>
      <c r="X22" s="1675"/>
      <c r="Y22" s="957">
        <v>81</v>
      </c>
      <c r="Z22" s="1242">
        <v>49</v>
      </c>
      <c r="AA22" s="1280">
        <f t="shared" si="7"/>
        <v>32</v>
      </c>
      <c r="AB22" s="1313" t="str">
        <f t="shared" si="8"/>
        <v>CRAZY SUMMER</v>
      </c>
      <c r="AC22" s="1178">
        <f>LARGE($Y$16:$Y$27,6)</f>
        <v>168</v>
      </c>
      <c r="AD22" s="1281">
        <f>IF(AB22=W19,AA19,IF(AB22=W22,AA22,IF(AB22=W23,AA23,IF(AB22=W24,AA24,IF(AB22=W25,AA25,IF(AB22=W26,AA26,IF(AB22=W27,AA27,IF(AB22=W16,AA16,IF(AB22=W21,AA21,IF(AB22=W20,AA20,IF(AB22=W18,AA18,IF(AB22=W17,AA17))))))))))))</f>
        <v>18</v>
      </c>
      <c r="AE22" s="1353"/>
      <c r="AF22" s="1313" t="str">
        <f t="shared" si="9"/>
        <v>FRANCIN</v>
      </c>
      <c r="AG22" s="1609">
        <f>LARGE($AI$4:$AI$11,2)</f>
        <v>-9.2436687061140856E-3</v>
      </c>
      <c r="AH22" s="1353"/>
    </row>
    <row r="23" spans="2:34" ht="20" thickBot="1">
      <c r="B23" s="1353"/>
      <c r="C23" s="1363" t="s">
        <v>69</v>
      </c>
      <c r="D23" s="1643">
        <v>300</v>
      </c>
      <c r="E23" s="1254">
        <f>'INDICES QSP 🍔'!E17</f>
        <v>237</v>
      </c>
      <c r="F23" s="1634">
        <v>282</v>
      </c>
      <c r="G23" s="1293" t="str" cm="1">
        <f t="array" ref="G23">INDEX($C$23:$C$31,
SMALL(
IF($E$23:$E$31=H23,
ROW($E$23:$E$31)-ROW($E$23)+1),
COUNTIF($H$23:H23,H23)
)
)</f>
        <v>FRANCIN</v>
      </c>
      <c r="H23" s="1294">
        <f>LARGE($E$23:$E$31,1)</f>
        <v>335</v>
      </c>
      <c r="I23" s="1295">
        <f>IF(G23=C23,F23,IF(G23=C24,F24,IF(G23=C25,F25,IF(G23=C26,F26,IF(G23=C27,F27,IF(G23=C28,F28,IF(G23=C29,F29,IF(G23=C30,F30,IF(G23=C31,F31)))))))))</f>
        <v>304</v>
      </c>
      <c r="J23" s="1626">
        <f>H23-I23</f>
        <v>31</v>
      </c>
      <c r="K23" s="1694" t="str">
        <f>IF(VLOOKUP(G23,G23:H31,2,FALSE)&gt;(VLOOKUP(G23,C23:D31,2,FALSE)),"🔴","🟢")</f>
        <v>🔴</v>
      </c>
      <c r="L23" s="1353"/>
      <c r="M23" s="1363" t="s">
        <v>69</v>
      </c>
      <c r="N23" s="1643">
        <v>300</v>
      </c>
      <c r="O23" s="1254">
        <f>'INDICES QSP 🍔'!E24</f>
        <v>275</v>
      </c>
      <c r="P23" s="1636">
        <f>+'[10]INDICES QSP 🍔'!$E$24</f>
        <v>376</v>
      </c>
      <c r="Q23" s="1293" t="str" cm="1">
        <f t="array" ref="Q23">INDEX($M$23:$M$30,
SMALL(
IF($O$23:$O$30=R23,
ROW($O$23:$O$30)-ROW($O$23)+1),
COUNTIF($R$23:R23,R23)
)
)</f>
        <v>FRANCIN</v>
      </c>
      <c r="R23" s="1294">
        <f>LARGE($O$23:$O$30,1)</f>
        <v>314</v>
      </c>
      <c r="S23" s="1295">
        <f>IF(Q23=M23,P23,IF(Q23=M24,P24,IF(Q23=M25,P25,IF(Q23=M26,P26,IF(Q23=M27,P27,IF(Q23=M28,P28,IF(Q23=M29,P29,IF(Q23=M30,P30))))))))</f>
        <v>384</v>
      </c>
      <c r="T23" s="1626">
        <f>R23-S23</f>
        <v>-70</v>
      </c>
      <c r="U23" s="1694" t="str">
        <f>IF(VLOOKUP(Q23,Q23:R31,2,FALSE)&gt;(VLOOKUP(Q23,M23:N31,2,FALSE)),"🔴","🟢")</f>
        <v>🔴</v>
      </c>
      <c r="V23" s="1353"/>
      <c r="W23" s="1264" t="s">
        <v>502</v>
      </c>
      <c r="X23" s="1675"/>
      <c r="Y23" s="957">
        <v>56</v>
      </c>
      <c r="Z23" s="1242">
        <v>43</v>
      </c>
      <c r="AA23" s="1280">
        <f t="shared" si="7"/>
        <v>13</v>
      </c>
      <c r="AB23" s="1313" t="str">
        <f t="shared" si="8"/>
        <v>McDEAL</v>
      </c>
      <c r="AC23" s="1178">
        <f>LARGE($Y$16:$Y$27,5)</f>
        <v>198</v>
      </c>
      <c r="AD23" s="1281">
        <f>IF(AB23=W20,AA20,IF(AB23=W23,AA23,IF(AB23=W24,AA24,IF(AB23=W25,AA25,IF(AB23=W26,AA26,IF(AB23=W27,AA27,IF(AB23=W16,AA16,IF(AB23=W17,AA17,IF(AB23=W22,AA22,IF(AB23=W21,AA21,IF(AB23=W19,AA19,IF(AB23=W18,AA18))))))))))))</f>
        <v>-52</v>
      </c>
      <c r="AE23" s="1353"/>
      <c r="AF23" s="1314" t="str">
        <f t="shared" si="9"/>
        <v>VIVIERS DU LAC</v>
      </c>
      <c r="AG23" s="1612">
        <f>LARGE($AI$4:$AI$11,1)</f>
        <v>-1.8933757494485933E-3</v>
      </c>
      <c r="AH23" s="1353"/>
    </row>
    <row r="24" spans="2:34" ht="19">
      <c r="B24" s="1353"/>
      <c r="C24" s="1363" t="s">
        <v>29</v>
      </c>
      <c r="D24" s="1644">
        <v>290</v>
      </c>
      <c r="E24" s="957">
        <f>'INDICES QSP 🍔'!G17</f>
        <v>260</v>
      </c>
      <c r="F24" s="1634">
        <v>302</v>
      </c>
      <c r="G24" s="1293" t="str" cm="1">
        <f t="array" ref="G24">INDEX($C$23:$C$31,
SMALL(
IF($E$23:$E$31=H24,
ROW($E$23:$E$31)-ROW($E$23)+1),
COUNTIF($H$23:H24,H24)
)
)</f>
        <v>VIVIERS DU LAC</v>
      </c>
      <c r="H24" s="1294">
        <f>LARGE($E$23:$E$31,2)</f>
        <v>320</v>
      </c>
      <c r="I24" s="1295">
        <f>IF(G24=C24,F24,IF(G24=C25,F25,IF(G24=C26,F26,IF(G24=C27,F27,IF(G24=C28,F28,IF(G24=C29,F29,IF(G24=C30,F30,IF(G24=C31,F31,IF(G24=C23,F23)))))))))</f>
        <v>291</v>
      </c>
      <c r="J24" s="1626">
        <f t="shared" ref="J24:J31" si="10">H24-I24</f>
        <v>29</v>
      </c>
      <c r="K24" s="1694" t="str">
        <f>IF(VLOOKUP(G24,G23:H31,2,FALSE)&gt;(VLOOKUP(G24,C23:D31,2,FALSE)),"🔴","🟢")</f>
        <v>🔴</v>
      </c>
      <c r="L24" s="1353"/>
      <c r="M24" s="1363" t="s">
        <v>29</v>
      </c>
      <c r="N24" s="1644">
        <v>290</v>
      </c>
      <c r="O24" s="957">
        <f>'INDICES QSP 🍔'!G24</f>
        <v>225</v>
      </c>
      <c r="P24" s="1636">
        <f>+'[10]INDICES QSP 🍔'!$G$24</f>
        <v>262</v>
      </c>
      <c r="Q24" s="1293" t="str" cm="1">
        <f t="array" ref="Q24">INDEX($M$23:$M$30,
SMALL(
IF($O$23:$O$30=R24,
ROW($O$23:$O$30)-ROW($O$23)+1),
COUNTIF($R$23:R24,R24)
)
)</f>
        <v>LES ABRETS</v>
      </c>
      <c r="R24" s="1294">
        <f>LARGE($O$23:$O$30,2)</f>
        <v>297</v>
      </c>
      <c r="S24" s="1295">
        <f>IF(Q24=M24,P24,IF(Q24=M25,P25,IF(Q24=M26,P26,IF(Q24=M27,P27,IF(Q24=M28,P28,IF(Q24=M29,P29,IF(Q24=M30,P30,IF(Q24=M23,P23))))))))</f>
        <v>336</v>
      </c>
      <c r="T24" s="1626">
        <f t="shared" ref="T24:T30" si="11">R24-S24</f>
        <v>-39</v>
      </c>
      <c r="U24" s="1694" t="str">
        <f>IF(VLOOKUP(Q24,Q23:R31,2,FALSE)&gt;(VLOOKUP(Q24,M23:N31,2,FALSE)),"🔴","🟢")</f>
        <v>🔴</v>
      </c>
      <c r="V24" s="1353"/>
      <c r="W24" s="1264" t="s">
        <v>503</v>
      </c>
      <c r="X24" s="1675"/>
      <c r="Y24" s="1056">
        <v>24</v>
      </c>
      <c r="Z24" s="1242">
        <v>11</v>
      </c>
      <c r="AA24" s="1280">
        <f t="shared" si="7"/>
        <v>13</v>
      </c>
      <c r="AB24" s="1313" t="str">
        <f t="shared" si="8"/>
        <v>HAPPY MEAL</v>
      </c>
      <c r="AC24" s="1178">
        <f>LARGE($Y$16:$Y$27,4)</f>
        <v>244</v>
      </c>
      <c r="AD24" s="1281" t="str">
        <f>IF(AB24=W21,AA21,IF(AB24=W24,AA24,IF(AB24=W25,AA25,IF(AB24=W26,AA26,IF(AB24=W27,AA27,IF(AB24=W16,AA16,IF(AB24=W17,AA17,IF(AB24=W18,AA18,IF(AB24=W23,AA23,IF(AB24=W22,AA22,IF(AB24=W20,AA20,IF(AB24=W19,AA19))))))))))))</f>
        <v>=</v>
      </c>
      <c r="AE24" s="1353"/>
      <c r="AF24" s="1353"/>
      <c r="AG24" s="1353"/>
      <c r="AH24" s="1353"/>
    </row>
    <row r="25" spans="2:34" ht="19">
      <c r="B25" s="1353"/>
      <c r="C25" s="1363" t="s">
        <v>30</v>
      </c>
      <c r="D25" s="1644">
        <v>300</v>
      </c>
      <c r="E25" s="1056">
        <f>'INDICES QSP 🍔'!I17</f>
        <v>233</v>
      </c>
      <c r="F25" s="1634">
        <v>302</v>
      </c>
      <c r="G25" s="1293" t="str" cm="1">
        <f t="array" ref="G25">INDEX($C$23:$C$31,
SMALL(
IF($E$23:$E$31=H25,
ROW($E$23:$E$31)-ROW($E$23)+1),
COUNTIF($H$23:H25,H25)
)
)</f>
        <v>LES ABRETS</v>
      </c>
      <c r="H25" s="1294">
        <f>LARGE($E$23:$E$31,3)</f>
        <v>317</v>
      </c>
      <c r="I25" s="1295">
        <f>IF(G25=C25,F25,IF(G25=C26,F26,IF(G25=C27,F27,IF(G25=C28,F28,IF(G25=C29,F29,IF(G25=C30,F30,IF(G25=C31,F31,IF(G25=C23,F23,IF(G25=C24,F24)))))))))</f>
        <v>327</v>
      </c>
      <c r="J25" s="1626">
        <f t="shared" si="10"/>
        <v>-10</v>
      </c>
      <c r="K25" s="1694" t="str">
        <f>IF(VLOOKUP(G25,G23:H31,2,FALSE)&gt;(VLOOKUP(G25,C23:D31,2,FALSE)),"🔴","🟢")</f>
        <v>🔴</v>
      </c>
      <c r="L25" s="1353"/>
      <c r="M25" s="1363" t="s">
        <v>30</v>
      </c>
      <c r="N25" s="1644">
        <v>300</v>
      </c>
      <c r="O25" s="1056">
        <f>'INDICES QSP 🍔'!I24</f>
        <v>275</v>
      </c>
      <c r="P25" s="1636">
        <f>+'[10]INDICES QSP 🍔'!$I$24</f>
        <v>332</v>
      </c>
      <c r="Q25" s="1293" t="str" cm="1">
        <f t="array" ref="Q25">INDEX($M$23:$M$30,
SMALL(
IF($O$23:$O$30=R25,
ROW($O$23:$O$30)-ROW($O$23)+1),
COUNTIF($R$23:R25,R25)
)
)</f>
        <v>CHAMNORD</v>
      </c>
      <c r="R25" s="1294">
        <f>LARGE($O$23:$O$30,3)</f>
        <v>275</v>
      </c>
      <c r="S25" s="1295">
        <f>IF(Q25=M25,P25,IF(Q25=M26,P26,IF(Q25=M27,P27,IF(Q25=M28,P28,IF(Q25=M29,P29,IF(Q25=M30,P30,IF(Q25=M23,P23,IF(Q25=M24,P24))))))))</f>
        <v>376</v>
      </c>
      <c r="T25" s="1626">
        <f t="shared" si="11"/>
        <v>-101</v>
      </c>
      <c r="U25" s="1694" t="str">
        <f>IF(VLOOKUP(Q25,Q23:R31,2,FALSE)&gt;(VLOOKUP(Q25,M23:N31,2,FALSE)),"🔴","🟢")</f>
        <v>🟢</v>
      </c>
      <c r="V25" s="1353"/>
      <c r="W25" s="1264"/>
      <c r="X25" s="1675"/>
      <c r="Y25" s="957"/>
      <c r="Z25" s="1242"/>
      <c r="AA25" s="1280" t="str">
        <f t="shared" si="7"/>
        <v>=</v>
      </c>
      <c r="AB25" s="1313" t="str">
        <f t="shared" si="8"/>
        <v>GLACES</v>
      </c>
      <c r="AC25" s="1178">
        <f>LARGE($Y$16:$Y$27,3)</f>
        <v>315</v>
      </c>
      <c r="AD25" s="1281">
        <f>IF(AB25=W22,AA22,IF(AB25=W25,AA25,IF(AB25=W26,AA26,IF(AB25=W27,AA27,IF(AB25=W16,AA16,IF(AB25=W17,AA17,IF(AB25=W18,AA18,IF(AB25=W19,AA19,IF(AB25=W24,AA24,IF(AB25=W23,AA23,IF(AB25=W21,AA21,IF(AB25=W20,AA20))))))))))))</f>
        <v>-67</v>
      </c>
      <c r="AE25" s="1353"/>
      <c r="AF25" s="1353"/>
      <c r="AG25" s="1353"/>
      <c r="AH25" s="1353"/>
    </row>
    <row r="26" spans="2:34" ht="19">
      <c r="B26" s="1353"/>
      <c r="C26" s="1363" t="s">
        <v>31</v>
      </c>
      <c r="D26" s="1644">
        <v>300</v>
      </c>
      <c r="E26" s="957">
        <f>'INDICES QSP 🍔'!K17</f>
        <v>225</v>
      </c>
      <c r="F26" s="1634">
        <v>234</v>
      </c>
      <c r="G26" s="1293" t="str" cm="1">
        <f t="array" ref="G26">INDEX($C$23:$C$31,
SMALL(
IF($E$23:$E$31=H26,
ROW($E$23:$E$31)-ROW($E$23)+1),
COUNTIF($H$23:H26,H26)
)
)</f>
        <v>AIX LES BAINS</v>
      </c>
      <c r="H26" s="1294">
        <f>LARGE($E$23:$E$31,4)</f>
        <v>260</v>
      </c>
      <c r="I26" s="1295">
        <f>IF(G26=C26,F26,IF(G26=C27,F27,IF(G26=C28,F28,IF(G26=C29,F29,IF(G26=C30,F30,IF(G26=C31,F31,IF(G26=C23,F23,IF(G26=C24,F24,IF(G26=C25,F25)))))))))</f>
        <v>302</v>
      </c>
      <c r="J26" s="1626">
        <f t="shared" si="10"/>
        <v>-42</v>
      </c>
      <c r="K26" s="1694" t="str">
        <f>IF(VLOOKUP(G26,G23:H31,2,FALSE)&gt;(VLOOKUP(G26,C23:D31,2,FALSE)),"🔴","🟢")</f>
        <v>🟢</v>
      </c>
      <c r="L26" s="1353"/>
      <c r="M26" s="1363" t="s">
        <v>31</v>
      </c>
      <c r="N26" s="1644">
        <v>300</v>
      </c>
      <c r="O26" s="957">
        <f>'INDICES QSP 🍔'!K24</f>
        <v>229</v>
      </c>
      <c r="P26" s="1636">
        <f>+'[10]INDICES QSP 🍔'!$K$24</f>
        <v>341</v>
      </c>
      <c r="Q26" s="1293" t="str" cm="1">
        <f t="array" ref="Q26">INDEX($M$23:$M$30,
SMALL(
IF($O$23:$O$30=R26,
ROW($O$23:$O$30)-ROW($O$23)+1),
COUNTIF($R$23:R26,R26)
)
)</f>
        <v>BELLEY</v>
      </c>
      <c r="R26" s="1294">
        <f>LARGE($O$23:$O$30,4)</f>
        <v>275</v>
      </c>
      <c r="S26" s="1295">
        <f>IF(Q26=M26,P26,IF(Q26=M27,P27,IF(Q26=M28,P28,IF(Q26=M29,P29,IF(Q26=M30,P30,IF(Q26=M23,P23,IF(Q26=M24,P24,IF(Q26=M25,P25))))))))</f>
        <v>332</v>
      </c>
      <c r="T26" s="1626">
        <f t="shared" si="11"/>
        <v>-57</v>
      </c>
      <c r="U26" s="1694" t="str">
        <f>IF(VLOOKUP(Q26,Q23:R31,2,FALSE)&gt;(VLOOKUP(Q26,M23:N31,2,FALSE)),"🔴","🟢")</f>
        <v>🟢</v>
      </c>
      <c r="V26" s="1353"/>
      <c r="W26" s="1264"/>
      <c r="X26" s="1675"/>
      <c r="Y26" s="957"/>
      <c r="Z26" s="1242"/>
      <c r="AA26" s="1280" t="str">
        <f>IF(Y26-Z26=0,"=",Y26-Z26)</f>
        <v>=</v>
      </c>
      <c r="AB26" s="1313" t="str">
        <f t="shared" si="8"/>
        <v>PREMIUM</v>
      </c>
      <c r="AC26" s="1178">
        <f>LARGE($Y$16:$Y$27,2)</f>
        <v>380</v>
      </c>
      <c r="AD26" s="1281">
        <f>IF(AB26=W23,AA23,IF(AB26=W26,AA26,IF(AB26=W27,AA27,IF(AB26=W16,AA16,IF(AB26=W17,AA17,IF(AB26=W18,AA18,IF(AB26=W19,AA19,IF(AB26=W20,AA20,IF(AB26=W25,AA25,IF(AB26=W24,AA24,IF(AB26=W22,AA22,IF(AB26=W21,AA21))))))))))))</f>
        <v>-3</v>
      </c>
      <c r="AE26" s="1353"/>
      <c r="AF26" s="1353"/>
      <c r="AG26" s="1353"/>
      <c r="AH26" s="1353"/>
    </row>
    <row r="27" spans="2:34" ht="20" thickBot="1">
      <c r="B27" s="1353"/>
      <c r="C27" s="1363" t="s">
        <v>32</v>
      </c>
      <c r="D27" s="1644">
        <v>290</v>
      </c>
      <c r="E27" s="957">
        <f>'INDICES QSP 🍔'!M17</f>
        <v>317</v>
      </c>
      <c r="F27" s="1634">
        <v>327</v>
      </c>
      <c r="G27" s="1293" t="str" cm="1">
        <f t="array" ref="G27">INDEX($C$23:$C$31,
SMALL(
IF($E$23:$E$31=H27,
ROW($E$23:$E$31)-ROW($E$23)+1),
COUNTIF($H$23:H27,H27)
)
)</f>
        <v>CHAMNORD</v>
      </c>
      <c r="H27" s="1294">
        <f>LARGE($E$23:$E$31,5)</f>
        <v>237</v>
      </c>
      <c r="I27" s="1295">
        <f>IF(G27=C27,F27,IF(G27=C28,F28,IF(G27=C29,F29,IF(G27=C30,F30,IF(G27=C31,F31,IF(G27=C23,F23,IF(G27=C24,F24,IF(G27=C25,F25,IF(G27=C26,F26)))))))))</f>
        <v>282</v>
      </c>
      <c r="J27" s="1626">
        <f t="shared" si="10"/>
        <v>-45</v>
      </c>
      <c r="K27" s="1694" t="str">
        <f>IF(VLOOKUP(G27,G23:H31,2,FALSE)&gt;(VLOOKUP(G27,C23:D31,2,FALSE)),"🔴","🟢")</f>
        <v>🟢</v>
      </c>
      <c r="L27" s="1353"/>
      <c r="M27" s="1363" t="s">
        <v>32</v>
      </c>
      <c r="N27" s="1644">
        <v>290</v>
      </c>
      <c r="O27" s="957">
        <f>'INDICES QSP 🍔'!M24</f>
        <v>297</v>
      </c>
      <c r="P27" s="1636">
        <f>+'[10]INDICES QSP 🍔'!$M$24</f>
        <v>336</v>
      </c>
      <c r="Q27" s="1293" t="str" cm="1">
        <f t="array" ref="Q27">INDEX($M$23:$M$30,
SMALL(
IF($O$23:$O$30=R27,
ROW($O$23:$O$30)-ROW($O$23)+1),
COUNTIF($R$23:R27,R27)
)
)</f>
        <v>VIVIERS DU LAC</v>
      </c>
      <c r="R27" s="1294">
        <f>LARGE($O$23:$O$30,5)</f>
        <v>264</v>
      </c>
      <c r="S27" s="1295">
        <f>IF(Q27=M27,P27,IF(Q27=M28,P28,IF(Q27=M29,P29,IF(Q27=M30,P30,IF(Q27=M23,P23,IF(Q27=M24,P24,IF(Q27=M25,P25,IF(Q27=M26,P26))))))))</f>
        <v>315</v>
      </c>
      <c r="T27" s="1626">
        <f t="shared" si="11"/>
        <v>-51</v>
      </c>
      <c r="U27" s="1694" t="str">
        <f>IF(VLOOKUP(Q27,Q23:R31,2,FALSE)&gt;(VLOOKUP(Q27,M23:N31,2,FALSE)),"🔴","🟢")</f>
        <v>🟢</v>
      </c>
      <c r="V27" s="1353"/>
      <c r="W27" s="1265"/>
      <c r="X27" s="1676"/>
      <c r="Y27" s="1252"/>
      <c r="Z27" s="1253"/>
      <c r="AA27" s="1282" t="str">
        <f>IF(Y27-Z27=0,"=",Y27-Z27)</f>
        <v>=</v>
      </c>
      <c r="AB27" s="1314" t="str">
        <f t="shared" si="8"/>
        <v>CORE</v>
      </c>
      <c r="AC27" s="1179">
        <f>LARGE($Y$16:$Y$27,1)</f>
        <v>530</v>
      </c>
      <c r="AD27" s="1283">
        <f>IF(AB27=W24,AA24,IF(AB27=W27,AA27,IF(AB27=W16,AA16,IF(AB27=W17,AA17,IF(AB27=W18,AA18,IF(AB27=W19,AA19,IF(AB27=W20,AA20,IF(AB27=W21,AA21,IF(AB27=W26,AA26,IF(AB27=W25,AA25,IF(AB27=W23,AA23,IF(AB27=W22,AA22))))))))))))</f>
        <v>67</v>
      </c>
      <c r="AE27" s="1353"/>
      <c r="AF27" s="1353"/>
      <c r="AG27" s="1353"/>
      <c r="AH27" s="1353"/>
    </row>
    <row r="28" spans="2:34" ht="19">
      <c r="B28" s="1353"/>
      <c r="C28" s="1363" t="s">
        <v>253</v>
      </c>
      <c r="D28" s="1644">
        <v>270</v>
      </c>
      <c r="E28" s="957">
        <f>'INDICES QSP 🍔'!O17</f>
        <v>198</v>
      </c>
      <c r="F28" s="1634">
        <v>214</v>
      </c>
      <c r="G28" s="1293" t="str" cm="1">
        <f t="array" ref="G28">INDEX($C$23:$C$31,
SMALL(
IF($E$23:$E$31=H28,
ROW($E$23:$E$31)-ROW($E$23)+1),
COUNTIF($H$23:H28,H28)
)
)</f>
        <v>BELLEY</v>
      </c>
      <c r="H28" s="1294">
        <f>LARGE($E$23:$E$31,6)</f>
        <v>233</v>
      </c>
      <c r="I28" s="1295">
        <f>IF(G28=C28,F28,IF(G28=C29,F29,IF(G28=C30,F30,IF(G28=C31,F31,IF(G28=C23,F23,IF(G28=C24,F24,IF(G28=C25,F25,IF(G28=C26,F26,IF(G28=C27,F27)))))))))</f>
        <v>302</v>
      </c>
      <c r="J28" s="1626">
        <f t="shared" si="10"/>
        <v>-69</v>
      </c>
      <c r="K28" s="1694" t="str">
        <f>IF(VLOOKUP(G28,G23:H31,2,FALSE)&gt;(VLOOKUP(G28,C23:D31,2,FALSE)),"🔴","🟢")</f>
        <v>🟢</v>
      </c>
      <c r="L28" s="1353"/>
      <c r="M28" s="1363" t="s">
        <v>253</v>
      </c>
      <c r="N28" s="1644">
        <v>270</v>
      </c>
      <c r="O28" s="957">
        <f>'INDICES QSP 🍔'!O24</f>
        <v>206</v>
      </c>
      <c r="P28" s="1636">
        <f>+'[10]INDICES QSP 🍔'!$O$24</f>
        <v>241</v>
      </c>
      <c r="Q28" s="1293" t="str" cm="1">
        <f t="array" ref="Q28">INDEX($M$23:$M$30,
SMALL(
IF($O$23:$O$30=R28,
ROW($O$23:$O$30)-ROW($O$23)+1),
COUNTIF($R$23:R28,R28)
)
)</f>
        <v>ST ALBAN</v>
      </c>
      <c r="R28" s="1294">
        <f>LARGE($O$23:$O$30,6)</f>
        <v>229</v>
      </c>
      <c r="S28" s="1295">
        <f>IF(Q28=M28,P28,IF(Q28=M29,P29,IF(Q28=M30,P30,IF(Q28=M23,P23,IF(Q28=M24,P24,IF(Q28=M25,P25,IF(Q28=M26,P26,IF(Q28=M27,P27))))))))</f>
        <v>341</v>
      </c>
      <c r="T28" s="1626">
        <f t="shared" si="11"/>
        <v>-112</v>
      </c>
      <c r="U28" s="1694" t="str">
        <f>IF(VLOOKUP(Q28,Q23:R31,2,FALSE)&gt;(VLOOKUP(Q28,M23:N31,2,FALSE)),"🔴","🟢")</f>
        <v>🟢</v>
      </c>
      <c r="V28" s="1353"/>
      <c r="W28" s="1353"/>
      <c r="X28" s="1355"/>
      <c r="Y28" s="1353"/>
      <c r="Z28" s="1353"/>
      <c r="AA28" s="1353"/>
      <c r="AB28" s="1353"/>
      <c r="AC28" s="1353"/>
      <c r="AD28" s="1353"/>
      <c r="AE28" s="1353"/>
      <c r="AF28" s="1353"/>
      <c r="AG28" s="1353"/>
      <c r="AH28" s="1353"/>
    </row>
    <row r="29" spans="2:34" ht="19">
      <c r="B29" s="1353"/>
      <c r="C29" s="1363" t="s">
        <v>34</v>
      </c>
      <c r="D29" s="1644">
        <v>300</v>
      </c>
      <c r="E29" s="957">
        <f>'INDICES QSP 🍔'!Q17</f>
        <v>335</v>
      </c>
      <c r="F29" s="1634">
        <v>304</v>
      </c>
      <c r="G29" s="1293" t="str" cm="1">
        <f t="array" ref="G29">INDEX($C$23:$C$31,
SMALL(
IF($E$23:$E$31=H29,
ROW($E$23:$E$31)-ROW($E$23)+1),
COUNTIF($H$23:H29,H29)
)
)</f>
        <v>ST ALBAN</v>
      </c>
      <c r="H29" s="1294">
        <f>LARGE($E$23:$E$31,7)</f>
        <v>225</v>
      </c>
      <c r="I29" s="1295">
        <f>IF(G29=C29,F29,IF(G29=C30,F30,IF(G29=C31,F31,IF(G29=C23,F23,IF(G29=C24,F24,IF(G29=C25,F25,IF(G29=C26,F26,IF(G29=C27,F27,IF(G29=C28,F28)))))))))</f>
        <v>234</v>
      </c>
      <c r="J29" s="1626">
        <f t="shared" si="10"/>
        <v>-9</v>
      </c>
      <c r="K29" s="1694" t="str">
        <f>IF(VLOOKUP(G29,G23:H31,2,FALSE)&gt;(VLOOKUP(G29,C23:D31,2,FALSE)),"🔴","🟢")</f>
        <v>🟢</v>
      </c>
      <c r="L29" s="1353"/>
      <c r="M29" s="1363" t="s">
        <v>34</v>
      </c>
      <c r="N29" s="1644">
        <v>300</v>
      </c>
      <c r="O29" s="957">
        <f>'INDICES QSP 🍔'!Q24</f>
        <v>314</v>
      </c>
      <c r="P29" s="1636">
        <f>+'[10]INDICES QSP 🍔'!$Q$24</f>
        <v>384</v>
      </c>
      <c r="Q29" s="1293" t="str" cm="1">
        <f t="array" ref="Q29">INDEX($M$23:$M$30,
SMALL(
IF($O$23:$O$30=R29,
ROW($O$23:$O$30)-ROW($O$23)+1),
COUNTIF($R$23:R29,R29)
)
)</f>
        <v>AIX LES BAINS</v>
      </c>
      <c r="R29" s="1294">
        <f>LARGE($O$23:$O$30,7)</f>
        <v>225</v>
      </c>
      <c r="S29" s="1295">
        <f>IF(Q29=M29,P29,IF(Q29=M30,P30,IF(Q29=M23,P23,IF(Q29=M24,P24,IF(Q29=M25,P25,IF(Q29=M26,P26,IF(Q29=M27,P27,IF(Q29=M28,P28))))))))</f>
        <v>262</v>
      </c>
      <c r="T29" s="1626">
        <f t="shared" si="11"/>
        <v>-37</v>
      </c>
      <c r="U29" s="1694" t="str">
        <f>IF(VLOOKUP(Q29,Q23:R31,2,FALSE)&gt;(VLOOKUP(Q29,M23:N31,2,FALSE)),"🔴","🟢")</f>
        <v>🟢</v>
      </c>
      <c r="V29" s="1353"/>
      <c r="W29" s="1353"/>
      <c r="X29" s="1355"/>
      <c r="Y29" s="1353"/>
      <c r="Z29" s="1353"/>
      <c r="AA29" s="1353"/>
      <c r="AB29" s="1353"/>
      <c r="AC29" s="1353"/>
      <c r="AD29" s="1353"/>
      <c r="AE29" s="1353"/>
      <c r="AF29" s="1353"/>
      <c r="AG29" s="1353"/>
      <c r="AH29" s="1353"/>
    </row>
    <row r="30" spans="2:34" ht="19">
      <c r="B30" s="1353"/>
      <c r="C30" s="1363" t="s">
        <v>411</v>
      </c>
      <c r="D30" s="1644">
        <v>300</v>
      </c>
      <c r="E30" s="957">
        <f>'INDICES QSP 🍔'!S17</f>
        <v>320</v>
      </c>
      <c r="F30" s="1634">
        <v>291</v>
      </c>
      <c r="G30" s="1293" t="str" cm="1">
        <f t="array" ref="G30">INDEX($C$23:$C$31,
SMALL(
IF($E$23:$E$31=H30,
ROW($E$23:$E$31)-ROW($E$23)+1),
COUNTIF($H$23:H30,H30)
)
)</f>
        <v>PDB</v>
      </c>
      <c r="H30" s="1294">
        <f>LARGE($E$23:$E$31,8)</f>
        <v>198</v>
      </c>
      <c r="I30" s="1295">
        <f>IF(G30=C30,F30,IF(G30=C31,F31,IF(G30=C23,F23,IF(G30=C24,F24,IF(G30=C25,F25,IF(G30=C26,F26,IF(G30=C27,F27,IF(G30=C28,F28,IF(G30=C29,F29)))))))))</f>
        <v>214</v>
      </c>
      <c r="J30" s="1626">
        <f t="shared" si="10"/>
        <v>-16</v>
      </c>
      <c r="K30" s="1694" t="str">
        <f>IF(VLOOKUP(G30,G23:H31,2,FALSE)&gt;(VLOOKUP(G30,C23:D31,2,FALSE)),"🔴","🟢")</f>
        <v>🟢</v>
      </c>
      <c r="L30" s="1353"/>
      <c r="M30" s="1363" t="s">
        <v>411</v>
      </c>
      <c r="N30" s="1644">
        <v>300</v>
      </c>
      <c r="O30" s="957">
        <f>'INDICES QSP 🍔'!S24</f>
        <v>264</v>
      </c>
      <c r="P30" s="1636">
        <f>+'[10]INDICES QSP 🍔'!$S$24</f>
        <v>315</v>
      </c>
      <c r="Q30" s="1293" t="str" cm="1">
        <f t="array" ref="Q30">INDEX($M$23:$M$30,
SMALL(
IF($O$23:$O$30=R30,
ROW($O$23:$O$30)-ROW($O$23)+1),
COUNTIF($R$23:R30,R30)
)
)</f>
        <v>PDB</v>
      </c>
      <c r="R30" s="1294">
        <f>LARGE($O$23:$O$30,8)</f>
        <v>206</v>
      </c>
      <c r="S30" s="1295">
        <f>IF(Q30=M30,P30,IF(Q30=M23,P23,IF(Q30=M24,P24,IF(Q30=M25,P25,IF(Q30=M26,P26,IF(Q30=M27,P27,IF(Q30=M28,P28,IF(Q30=M29,P29))))))))</f>
        <v>241</v>
      </c>
      <c r="T30" s="1626">
        <f t="shared" si="11"/>
        <v>-35</v>
      </c>
      <c r="U30" s="1694" t="str">
        <f>IF(VLOOKUP(Q30,Q23:R31,2,FALSE)&gt;(VLOOKUP(Q30,M23:N31,2,FALSE)),"🔴","🟢")</f>
        <v>🟢</v>
      </c>
      <c r="V30" s="1353"/>
      <c r="W30" s="1353"/>
      <c r="X30" s="1355"/>
      <c r="Y30" s="1353"/>
      <c r="Z30" s="1353"/>
      <c r="AA30" s="1353"/>
      <c r="AB30" s="1353"/>
      <c r="AC30" s="1353"/>
      <c r="AD30" s="1353"/>
      <c r="AE30" s="1353"/>
      <c r="AF30" s="1353"/>
      <c r="AG30" s="1353"/>
      <c r="AH30" s="1353"/>
    </row>
    <row r="31" spans="2:34" ht="20" thickBot="1">
      <c r="B31" s="1353"/>
      <c r="C31" s="1364" t="s">
        <v>48</v>
      </c>
      <c r="D31" s="1645">
        <v>280</v>
      </c>
      <c r="E31" s="1252">
        <f>+'INDICES QSP 🍔'!U17</f>
        <v>0</v>
      </c>
      <c r="F31" s="1291">
        <v>291</v>
      </c>
      <c r="G31" s="1296" t="str" cm="1">
        <f t="array" ref="G31">INDEX($C$23:$C$31,
SMALL(
IF($E$23:$E$31=H31,
ROW($E$23:$E$31)-ROW($E$23)+1),
COUNTIF($H$23:H31,H31)
)
)</f>
        <v>FRANCE</v>
      </c>
      <c r="H31" s="1297">
        <f>LARGE($E$23:$E$31,9)</f>
        <v>0</v>
      </c>
      <c r="I31" s="1298">
        <f>IF(G31=C31,F31,IF(G31=C23,F23,IF(G31=C24,F24,IF(G31=C25,F25,IF(G31=C26,F26,IF(G31=C27,F27,IF(G31=C28,F28,IF(G31=C29,F29,IF(G31=C30,F30)))))))))</f>
        <v>291</v>
      </c>
      <c r="J31" s="1633">
        <f t="shared" si="10"/>
        <v>-291</v>
      </c>
      <c r="K31" s="1695" t="str">
        <f>IF(VLOOKUP(G31,G23:H31,2,FALSE)&gt;(VLOOKUP(G31,C23:D31,2,FALSE)),"🔴","🟢")</f>
        <v>🟢</v>
      </c>
      <c r="L31" s="1353"/>
      <c r="M31" s="1364"/>
      <c r="N31" s="1645"/>
      <c r="O31" s="1252"/>
      <c r="P31" s="1635"/>
      <c r="Q31" s="1296"/>
      <c r="R31" s="1297"/>
      <c r="S31" s="1298"/>
      <c r="T31" s="1633"/>
      <c r="U31" s="1695"/>
      <c r="V31" s="1353"/>
      <c r="W31" s="1353"/>
      <c r="X31" s="1355"/>
      <c r="Y31" s="1353"/>
      <c r="Z31" s="1353"/>
      <c r="AA31" s="1353"/>
      <c r="AB31" s="1353"/>
      <c r="AC31" s="1353"/>
      <c r="AD31" s="1353"/>
      <c r="AE31" s="1353"/>
      <c r="AF31" s="1353"/>
      <c r="AG31" s="1353"/>
      <c r="AH31" s="1353"/>
    </row>
    <row r="32" spans="2:34" ht="18" thickBot="1">
      <c r="B32" s="1353"/>
      <c r="C32" s="1353"/>
      <c r="D32" s="1355"/>
      <c r="E32" s="1353"/>
      <c r="F32" s="1353"/>
      <c r="G32" s="1353"/>
      <c r="H32" s="1353"/>
      <c r="I32" s="1353"/>
      <c r="J32" s="1353"/>
      <c r="K32" s="1353"/>
      <c r="L32" s="1353"/>
      <c r="M32" s="1353"/>
      <c r="N32" s="1353"/>
      <c r="O32" s="1353"/>
      <c r="P32" s="1353"/>
      <c r="Q32" s="1353"/>
      <c r="R32" s="1353"/>
      <c r="S32" s="1353"/>
      <c r="T32" s="1353"/>
      <c r="U32" s="1353"/>
      <c r="V32" s="1353"/>
      <c r="W32" s="1353"/>
      <c r="X32" s="1355"/>
      <c r="Y32" s="1353"/>
      <c r="Z32" s="1353"/>
      <c r="AA32" s="1353"/>
      <c r="AB32" s="1353"/>
      <c r="AC32" s="1353"/>
      <c r="AD32" s="1353"/>
      <c r="AE32" s="1353"/>
      <c r="AF32" s="1353"/>
      <c r="AG32" s="1353"/>
      <c r="AH32" s="1353"/>
    </row>
    <row r="33" spans="2:34" ht="20">
      <c r="B33" s="1353"/>
      <c r="C33" s="1660" t="s">
        <v>449</v>
      </c>
      <c r="D33" s="1661"/>
      <c r="E33" s="1747" t="s">
        <v>420</v>
      </c>
      <c r="F33" s="1748"/>
      <c r="G33" s="1748"/>
      <c r="H33" s="1748"/>
      <c r="I33" s="1748"/>
      <c r="J33" s="1749"/>
      <c r="K33" s="1625"/>
      <c r="L33" s="1353"/>
      <c r="M33" s="1660" t="s">
        <v>449</v>
      </c>
      <c r="N33" s="1661"/>
      <c r="O33" s="1747" t="s">
        <v>440</v>
      </c>
      <c r="P33" s="1748"/>
      <c r="Q33" s="1748"/>
      <c r="R33" s="1748"/>
      <c r="S33" s="1748"/>
      <c r="T33" s="1749"/>
      <c r="U33" s="1625"/>
      <c r="V33" s="1353"/>
      <c r="W33" s="1660" t="s">
        <v>3</v>
      </c>
      <c r="X33" s="1661" t="s">
        <v>499</v>
      </c>
      <c r="Y33" s="1747" t="s">
        <v>440</v>
      </c>
      <c r="Z33" s="1748"/>
      <c r="AA33" s="1748"/>
      <c r="AB33" s="1748"/>
      <c r="AC33" s="1748"/>
      <c r="AD33" s="1748"/>
      <c r="AE33" s="1749"/>
      <c r="AF33" s="1353"/>
      <c r="AG33" s="1353"/>
      <c r="AH33" s="1353"/>
    </row>
    <row r="34" spans="2:34" ht="19">
      <c r="B34" s="1353"/>
      <c r="C34" s="1363" t="s">
        <v>69</v>
      </c>
      <c r="D34" s="1698"/>
      <c r="E34" s="1269">
        <f>'INDICES RH 🤝'!D48</f>
        <v>34.83</v>
      </c>
      <c r="F34" s="1333">
        <v>34.83</v>
      </c>
      <c r="G34" s="1292" t="str" cm="1">
        <f t="array" ref="G34">INDEX(C34:C41,
SMALL(
IF(E34:E41=H34,
ROW(E34:E41)-ROW(E34)+1),
COUNTIF(H$34:$H34,H34)
)
)</f>
        <v>VIVIERS DU LAC</v>
      </c>
      <c r="H34" s="1315">
        <f>LARGE($E$34:$E$41,8)</f>
        <v>30.19</v>
      </c>
      <c r="I34" s="1332">
        <f>IF(G34=C34,F34,IF(G34=C35,F35,IF(G34=C36,F36,IF(G34=C37,F37,IF(G34=C38,F38,IF(G34=C39,F39,IF(G34=C40,F40,IF(G34=C41,F41))))))))</f>
        <v>30.09</v>
      </c>
      <c r="J34" s="1379">
        <f>H34-I34</f>
        <v>0.10000000000000142</v>
      </c>
      <c r="K34" s="1631"/>
      <c r="L34" s="1353"/>
      <c r="M34" s="1363" t="s">
        <v>69</v>
      </c>
      <c r="N34" s="1698"/>
      <c r="O34" s="1269">
        <f>'INDICES RH 🤝'!D41</f>
        <v>34.869999999999997</v>
      </c>
      <c r="P34" s="1333">
        <v>34.79</v>
      </c>
      <c r="Q34" s="1292" t="str" cm="1">
        <f t="array" ref="Q34">INDEX(M34:M41,
SMALL(
IF(O34:O41=R34,
ROW(O34:O41)-ROW(O34)+1),
COUNTIF($R$34:R34,R34)
)
)</f>
        <v>AIX LES BAINS</v>
      </c>
      <c r="R34" s="1315">
        <f>LARGE($O$34:$O$41,8)</f>
        <v>29.73</v>
      </c>
      <c r="S34" s="1332">
        <f>IF(Q34=M34,P34,IF(Q34=M35,P35,IF(Q34=M36,P36,IF(Q34=M37,P37,IF(Q34=M38,P38,IF(Q34=M39,P39,IF(Q34=M40,P40,IF(Q34=M41,P41))))))))</f>
        <v>37.020000000000003</v>
      </c>
      <c r="T34" s="1379">
        <f>R34-S34</f>
        <v>-7.2900000000000027</v>
      </c>
      <c r="U34" s="1631"/>
      <c r="V34" s="1353"/>
      <c r="W34" s="1363" t="s">
        <v>69</v>
      </c>
      <c r="X34" s="1678">
        <v>5.0000000000000001E-3</v>
      </c>
      <c r="Y34" s="1284">
        <f>'INDICES FINANCIERS 📈'!E40</f>
        <v>-4.2045167162576766E-3</v>
      </c>
      <c r="Z34" s="1670">
        <v>8.7519472017665439E-3</v>
      </c>
      <c r="AA34" s="1671" t="str" cm="1">
        <f t="array" ref="AA34">INDEX($W$34:$W$41,
SMALL(
IF($Y$34:$Y$41=AB34,
ROW($Y$34:$Y$41)-ROW($Y$34)+1),
COUNTIF($AB$34:AB34,AB34)
)
)</f>
        <v>BELLEY</v>
      </c>
      <c r="AB34" s="1287">
        <f>LARGE($Y$34:$Y$41,1)</f>
        <v>6.4295407655856705E-3</v>
      </c>
      <c r="AC34" s="1498">
        <f>IF(AA34=W34,Z34,IF(AA34=W35,Z35,IF(AA34=W36,Z36,IF(AA34=W37,Z37,IF(AA34=W38,Z38,IF(AA34=W39,Z39,IF(AA34=W40,Z40,IF(AA34=W41,Z41))))))))</f>
        <v>2.984470237098687E-3</v>
      </c>
      <c r="AD34" s="1672">
        <f>AB34-AC34</f>
        <v>3.4450705284869835E-3</v>
      </c>
      <c r="AE34" s="1674" t="str">
        <f>IF(VLOOKUP(AA34,AA34:AB41,2,FALSE)&gt;(VLOOKUP(AA34,W34:X41,2,FALSE)),"🔴","🟢")</f>
        <v>🔴</v>
      </c>
      <c r="AF34" s="1353"/>
      <c r="AG34" s="1353"/>
      <c r="AH34" s="1353"/>
    </row>
    <row r="35" spans="2:34" ht="19">
      <c r="B35" s="1353"/>
      <c r="C35" s="1363" t="s">
        <v>29</v>
      </c>
      <c r="D35" s="1691"/>
      <c r="E35" s="995">
        <f>'INDICES RH 🤝'!F48</f>
        <v>34.43</v>
      </c>
      <c r="F35" s="1333">
        <v>34.69</v>
      </c>
      <c r="G35" s="1293" t="str" cm="1">
        <f t="array" ref="G35">INDEX(C34:C41,
SMALL(
IF(E34:E41=H35,
ROW(E34:E41)-ROW(E34)+1),
COUNTIF(H$34:$H35,H35)
)
)</f>
        <v>FRANCIN</v>
      </c>
      <c r="H35" s="1316">
        <f>LARGE($E$34:$E$41,7)</f>
        <v>32.19</v>
      </c>
      <c r="I35" s="1325">
        <f>IF(G35=C35,F35,IF(G35=C36,F36,IF(G35=C37,F37,IF(G35=C38,F38,IF(G35=C39,F39,IF(G35=C40,F40,IF(G35=C41,F41,IF(G35=C34,F34))))))))</f>
        <v>32.19</v>
      </c>
      <c r="J35" s="1380">
        <f t="shared" ref="J35:J41" si="12">H35-I35</f>
        <v>0</v>
      </c>
      <c r="K35" s="1631"/>
      <c r="L35" s="1353"/>
      <c r="M35" s="1363" t="s">
        <v>29</v>
      </c>
      <c r="N35" s="1691"/>
      <c r="O35" s="995">
        <f>'INDICES RH 🤝'!F41</f>
        <v>29.73</v>
      </c>
      <c r="P35" s="1333">
        <v>37.020000000000003</v>
      </c>
      <c r="Q35" s="1293" t="str" cm="1">
        <f t="array" ref="Q35">INDEX($M$34:$M$41,
SMALL(
IF($O$34:$O$41=R35,
ROW($O$34:$O$41)-ROW($O$34)+1),
COUNTIF($R$34:R35,R35)
)
)</f>
        <v>BELLEY</v>
      </c>
      <c r="R35" s="1316">
        <f>LARGE($O$34:$O$41,7)</f>
        <v>31.23</v>
      </c>
      <c r="S35" s="1325">
        <f>IF(Q35=M35,P35,IF(Q35=M36,P36,IF(Q35=M37,P37,IF(Q35=M38,P38,IF(Q35=M39,P39,IF(Q35=M40,P40,IF(Q35=M41,P41,IF(Q35=M34,P34))))))))</f>
        <v>34.96</v>
      </c>
      <c r="T35" s="1380">
        <f t="shared" ref="T35:T41" si="13">R35-S35</f>
        <v>-3.7300000000000004</v>
      </c>
      <c r="U35" s="1631"/>
      <c r="V35" s="1353"/>
      <c r="W35" s="1363" t="s">
        <v>29</v>
      </c>
      <c r="X35" s="1679">
        <v>5.4999999999999997E-3</v>
      </c>
      <c r="Y35" s="963">
        <f>'INDICES FINANCIERS 📈'!G40</f>
        <v>5.8890110269859217E-3</v>
      </c>
      <c r="Z35" s="1670">
        <v>5.1450953055124709E-3</v>
      </c>
      <c r="AA35" s="1497" t="str" cm="1">
        <f t="array" ref="AA35">INDEX($W$34:$W$41,
SMALL(
IF($Y$34:$Y$41=AB35,
ROW($Y$34:$Y$41)-ROW($Y$34)+1),
COUNTIF($AB$34:AB35,AB35)
)
)</f>
        <v>AIX LES BAINS</v>
      </c>
      <c r="AB35" s="1287">
        <f>LARGE($Y$34:$Y$41,2)</f>
        <v>5.8890110269859217E-3</v>
      </c>
      <c r="AC35" s="1498">
        <f>IF(AA35=W34,Z34,IF(AA35=W35,Z35,IF(AA35=W36,Z36,IF(AA35=W37,Z37,IF(AA35=W38,Z38,IF(AA35=W39,Z39,IF(AA35=W40,Z40,IF(AA35=W41,Z41))))))))</f>
        <v>5.1450953055124709E-3</v>
      </c>
      <c r="AD35" s="1672">
        <f t="shared" ref="AD35:AD41" si="14">AB35-AC35</f>
        <v>7.439157214734508E-4</v>
      </c>
      <c r="AE35" s="1339" t="str">
        <f>IF(VLOOKUP(AA35,AA34:AB41,2,FALSE)&gt;(VLOOKUP(AA35,W34:X41,2,FALSE)),"🔴","🟢")</f>
        <v>🔴</v>
      </c>
      <c r="AF35" s="1353"/>
      <c r="AG35" s="1353"/>
      <c r="AH35" s="1353"/>
    </row>
    <row r="36" spans="2:34" ht="19">
      <c r="B36" s="1353"/>
      <c r="C36" s="1363" t="s">
        <v>30</v>
      </c>
      <c r="D36" s="1691"/>
      <c r="E36" s="995">
        <f>'INDICES RH 🤝'!H48</f>
        <v>32.5</v>
      </c>
      <c r="F36" s="1333">
        <v>32.57</v>
      </c>
      <c r="G36" s="1293" t="str" cm="1">
        <f t="array" ref="G36">INDEX(C34:C41,
SMALL(
IF(E34:E41=H36,
ROW(E34:E41)-ROW(E34)+1),
COUNTIF(H$34:$H36,H36)
)
)</f>
        <v>BELLEY</v>
      </c>
      <c r="H36" s="1316">
        <f>LARGE($E$34:$E$41,6)</f>
        <v>32.5</v>
      </c>
      <c r="I36" s="1325">
        <f>IF(G36=C36,F36,IF(G36=C37,F37,IF(G36=C38,F38,IF(G36=C39,F39,IF(G36=C40,F40,IF(G36=C41,F41,IF(G36=C34,F34,IF(G36=C35,F35))))))))</f>
        <v>32.57</v>
      </c>
      <c r="J36" s="1380">
        <f t="shared" si="12"/>
        <v>-7.0000000000000284E-2</v>
      </c>
      <c r="K36" s="1631"/>
      <c r="L36" s="1353"/>
      <c r="M36" s="1363" t="s">
        <v>30</v>
      </c>
      <c r="N36" s="1691"/>
      <c r="O36" s="995">
        <f>'INDICES RH 🤝'!H41</f>
        <v>31.23</v>
      </c>
      <c r="P36" s="1333">
        <v>34.96</v>
      </c>
      <c r="Q36" s="1293" t="str" cm="1">
        <f t="array" ref="Q36">INDEX($M$34:$M$41,
SMALL(
IF($O$34:$O$41=R36,
ROW($O$34:$O$41)-ROW($O$34)+1),
COUNTIF($R$34:R36,R36)
)
)</f>
        <v>FRANCIN</v>
      </c>
      <c r="R36" s="1316">
        <f>LARGE($O$34:$O$41,6)</f>
        <v>32.17</v>
      </c>
      <c r="S36" s="1325">
        <f>IF(Q36=M36,P36,IF(Q36=M37,P37,IF(Q36=M38,P38,IF(Q36=M39,P39,IF(Q36=M40,P40,IF(Q36=M41,P41,IF(Q36=M34,P34,IF(Q36=M35,P35))))))))</f>
        <v>32.1</v>
      </c>
      <c r="T36" s="1380">
        <f t="shared" si="13"/>
        <v>7.0000000000000284E-2</v>
      </c>
      <c r="U36" s="1631"/>
      <c r="V36" s="1353"/>
      <c r="W36" s="1363" t="s">
        <v>30</v>
      </c>
      <c r="X36" s="1679">
        <v>5.0000000000000001E-3</v>
      </c>
      <c r="Y36" s="963">
        <f>'INDICES FINANCIERS 📈'!I40</f>
        <v>6.4295407655856705E-3</v>
      </c>
      <c r="Z36" s="1670">
        <v>2.984470237098687E-3</v>
      </c>
      <c r="AA36" s="1497" t="str" cm="1">
        <f t="array" ref="AA36">INDEX($W$34:$W$41,
SMALL(
IF($Y$34:$Y$41=AB36,
ROW($Y$34:$Y$41)-ROW($Y$34)+1),
COUNTIF($AB$34:AB36,AB36)
)
)</f>
        <v>VIVIERS DU LAC</v>
      </c>
      <c r="AB36" s="1287">
        <f>LARGE($Y$34:$Y$41,3)</f>
        <v>5.7896501542662304E-3</v>
      </c>
      <c r="AC36" s="1498">
        <f>IF(AA36=W34,Z34,IF(AA36=W35,Z35,IF(AA36=W36,Z36,IF(AA36=W37,Z37,IF(AA36=W38,Z38,IF(AA36=W39,Z39,IF(AA36=W40,Z40,IF(AA36=W41,Z41))))))))</f>
        <v>4.8223334706810313E-3</v>
      </c>
      <c r="AD36" s="1672">
        <f t="shared" si="14"/>
        <v>9.6731668358519905E-4</v>
      </c>
      <c r="AE36" s="1339" t="str">
        <f>IF(VLOOKUP(AA36,AA34:AB41,2,FALSE)&gt;(VLOOKUP(AA36,W34:X41,2,FALSE)),"🔴","🟢")</f>
        <v>🟢</v>
      </c>
      <c r="AF36" s="1353"/>
      <c r="AG36" s="1353"/>
      <c r="AH36" s="1353"/>
    </row>
    <row r="37" spans="2:34" ht="19">
      <c r="B37" s="1353"/>
      <c r="C37" s="1363" t="s">
        <v>31</v>
      </c>
      <c r="D37" s="1691"/>
      <c r="E37" s="1268">
        <f>'INDICES RH 🤝'!J48</f>
        <v>33.04</v>
      </c>
      <c r="F37" s="1334">
        <v>32.99</v>
      </c>
      <c r="G37" s="1293" t="str" cm="1">
        <f t="array" ref="G37">INDEX(C34:C41,
SMALL(
IF(E34:E41=H37,
ROW(E34:E41)-ROW(E34)+1),
COUNTIF(H$34:$H37,H37)
)
)</f>
        <v>ST ALBAN</v>
      </c>
      <c r="H37" s="1316">
        <f>LARGE($E$34:$E$41,5)</f>
        <v>33.04</v>
      </c>
      <c r="I37" s="1325">
        <f>IF(G37=C37,F37,IF(G37=C38,F38,IF(G37=C39,F39,IF(G37=C40,F40,IF(G37=C41,F41,IF(G37=C34,F34,IF(G37=C35,F35,IF(G37=C36,F36))))))))</f>
        <v>32.99</v>
      </c>
      <c r="J37" s="1380">
        <f t="shared" si="12"/>
        <v>4.9999999999997158E-2</v>
      </c>
      <c r="K37" s="1631"/>
      <c r="L37" s="1353"/>
      <c r="M37" s="1363" t="s">
        <v>31</v>
      </c>
      <c r="N37" s="1691"/>
      <c r="O37" s="1268">
        <f>'INDICES RH 🤝'!J41</f>
        <v>34.18</v>
      </c>
      <c r="P37" s="1334">
        <v>31.8</v>
      </c>
      <c r="Q37" s="1293" t="str" cm="1">
        <f t="array" ref="Q37">INDEX($M$34:$M$41,
SMALL(
IF($O$34:$O$41=R37,
ROW($O$34:$O$41)-ROW($O$34)+1),
COUNTIF($R$34:R37,R37)
)
)</f>
        <v>VIVIERS DU LAC</v>
      </c>
      <c r="R37" s="1316">
        <f>LARGE($O$34:$O$41,5)</f>
        <v>32.340000000000003</v>
      </c>
      <c r="S37" s="1325">
        <f>IF(Q37=M37,P37,IF(Q37=M38,P38,IF(Q37=M39,P39,IF(Q37=M40,P40,IF(Q37=M41,P41,IF(Q37=M34,P34,IF(Q37=M35,P35,IF(Q37=M36,P36))))))))</f>
        <v>33.200000000000003</v>
      </c>
      <c r="T37" s="1380">
        <f t="shared" si="13"/>
        <v>-0.85999999999999943</v>
      </c>
      <c r="U37" s="1631"/>
      <c r="V37" s="1353"/>
      <c r="W37" s="1363" t="s">
        <v>31</v>
      </c>
      <c r="X37" s="1679">
        <v>6.0000000000000001E-3</v>
      </c>
      <c r="Y37" s="963">
        <f>'INDICES FINANCIERS 📈'!K40</f>
        <v>5.2386629632195881E-3</v>
      </c>
      <c r="Z37" s="1670">
        <v>6.8542506241144616E-3</v>
      </c>
      <c r="AA37" s="1497" t="str" cm="1">
        <f t="array" ref="AA37">INDEX($W$34:$W$41,
SMALL(
IF($Y$34:$Y$41=AB37,
ROW($Y$34:$Y$41)-ROW($Y$34)+1),
COUNTIF($AB$34:AB37,AB37)
)
)</f>
        <v>LES ABRETS</v>
      </c>
      <c r="AB37" s="1287">
        <f>LARGE($Y$34:$Y$41,4)</f>
        <v>5.3304561514790644E-3</v>
      </c>
      <c r="AC37" s="1498">
        <f>IF(AA37=W34,Z34,IF(AA37=W35,Z35,IF(AA37=W36,Z36,IF(AA37=W37,Z37,IF(AA37=W38,Z38,IF(AA37=W39,Z39,IF(AA37=W40,Z40,IF(AA37=W41,Z41))))))))</f>
        <v>4.8249706688659969E-3</v>
      </c>
      <c r="AD37" s="1672">
        <f t="shared" si="14"/>
        <v>5.0548548261306753E-4</v>
      </c>
      <c r="AE37" s="1339" t="str">
        <f>IF(VLOOKUP(AA37,AA34:AB41,2,FALSE)&gt;(VLOOKUP(AA37,W34:X41,2,FALSE)),"🔴","🟢")</f>
        <v>🔴</v>
      </c>
      <c r="AF37" s="1353"/>
      <c r="AG37" s="1353"/>
      <c r="AH37" s="1353"/>
    </row>
    <row r="38" spans="2:34" ht="19">
      <c r="B38" s="1353"/>
      <c r="C38" s="1363" t="s">
        <v>32</v>
      </c>
      <c r="D38" s="1691"/>
      <c r="E38" s="995">
        <f>'INDICES RH 🤝'!L48</f>
        <v>33.1</v>
      </c>
      <c r="F38" s="1333">
        <v>33.06</v>
      </c>
      <c r="G38" s="1293" t="str" cm="1">
        <f t="array" ref="G38">INDEX(C34:C41,
SMALL(
IF(E34:E41=H38,
ROW(E34:E41)-ROW(E34)+1),
COUNTIF(H$34:$H38,H38)
)
)</f>
        <v>LES ABRETS</v>
      </c>
      <c r="H38" s="1316">
        <f>LARGE($E$34:$E$41,4)</f>
        <v>33.1</v>
      </c>
      <c r="I38" s="1325">
        <f>IF(G38=C38,F38,IF(G38=C39,F39,IF(G38=C40,F40,IF(G38=C41,F41,IF(G38=C34,F34,IF(G38=C35,F35,IF(G38=C36,F36,IF(G38=C37,F37))))))))</f>
        <v>33.06</v>
      </c>
      <c r="J38" s="1380">
        <f t="shared" si="12"/>
        <v>3.9999999999999147E-2</v>
      </c>
      <c r="K38" s="1631"/>
      <c r="L38" s="1353"/>
      <c r="M38" s="1363" t="s">
        <v>32</v>
      </c>
      <c r="N38" s="1691"/>
      <c r="O38" s="995">
        <f>'INDICES RH 🤝'!L41</f>
        <v>33.83</v>
      </c>
      <c r="P38" s="1333">
        <v>35.58</v>
      </c>
      <c r="Q38" s="1293" t="str" cm="1">
        <f t="array" ref="Q38">INDEX($M$34:$M$41,
SMALL(
IF($O$34:$O$41=R38,
ROW($O$34:$O$41)-ROW($O$34)+1),
COUNTIF($R$34:R38,R38)
)
)</f>
        <v>LES ABRETS</v>
      </c>
      <c r="R38" s="1316">
        <f>LARGE($O$34:$O$41,4)</f>
        <v>33.83</v>
      </c>
      <c r="S38" s="1325">
        <f>IF(Q38=M38,P38,IF(Q38=M39,P39,IF(Q38=M40,P40,IF(Q38=M41,P41,IF(Q38=M34,P34,IF(Q38=M35,P35,IF(Q38=M36,P36,IF(Q38=M37,P37))))))))</f>
        <v>35.58</v>
      </c>
      <c r="T38" s="1380">
        <f t="shared" si="13"/>
        <v>-1.75</v>
      </c>
      <c r="U38" s="1631"/>
      <c r="V38" s="1353"/>
      <c r="W38" s="1363" t="s">
        <v>32</v>
      </c>
      <c r="X38" s="1679">
        <v>5.0000000000000001E-3</v>
      </c>
      <c r="Y38" s="963">
        <f>'INDICES FINANCIERS 📈'!M40</f>
        <v>5.3304561514790644E-3</v>
      </c>
      <c r="Z38" s="1670">
        <v>4.8249706688659969E-3</v>
      </c>
      <c r="AA38" s="1497" t="str" cm="1">
        <f t="array" ref="AA38">INDEX($W$34:$W$41,
SMALL(
IF($Y$34:$Y$41=AB38,
ROW($Y$34:$Y$41)-ROW($Y$34)+1),
COUNTIF($AB$34:AB38,AB38)
)
)</f>
        <v>ST ALBAN</v>
      </c>
      <c r="AB38" s="1287">
        <f>LARGE($Y$34:$Y$41,5)</f>
        <v>5.2386629632195881E-3</v>
      </c>
      <c r="AC38" s="1498">
        <f>IF(AA38=W34,Z34,IF(AA38=W35,Z35,IF(AA38=W36,Z36,IF(AA38=W37,Z37,IF(AA38=W38,Z38,IF(AA38=W39,Z39,IF(AA38=W40,Z40,IF(AA38=W41,Z41))))))))</f>
        <v>6.8542506241144616E-3</v>
      </c>
      <c r="AD38" s="1672">
        <f t="shared" si="14"/>
        <v>-1.6155876608948735E-3</v>
      </c>
      <c r="AE38" s="1339" t="str">
        <f>IF(VLOOKUP(AA38,AA34:AB41,2,FALSE)&gt;(VLOOKUP(AA38,W34:X41,2,FALSE)),"🔴","🟢")</f>
        <v>🟢</v>
      </c>
      <c r="AF38" s="1353"/>
      <c r="AG38" s="1353"/>
      <c r="AH38" s="1353"/>
    </row>
    <row r="39" spans="2:34" ht="19">
      <c r="B39" s="1353"/>
      <c r="C39" s="1363" t="s">
        <v>253</v>
      </c>
      <c r="D39" s="1691"/>
      <c r="E39" s="995">
        <f>'INDICES RH 🤝'!N48</f>
        <v>34.5</v>
      </c>
      <c r="F39" s="1333">
        <v>34.43</v>
      </c>
      <c r="G39" s="1293" t="str" cm="1">
        <f t="array" ref="G39">INDEX(C34:C41,
SMALL(
IF(E34:E41=H39,
ROW(E34:E41)-ROW(E34)+1),
COUNTIF(H$34:$H39,H39)
)
)</f>
        <v>AIX LES BAINS</v>
      </c>
      <c r="H39" s="1316">
        <f>LARGE($E$34:$E$41,3)</f>
        <v>34.43</v>
      </c>
      <c r="I39" s="1325">
        <f>IF(G39=C39,F39,IF(G39=C40,F40,IF(G39=C41,F41,IF(G39=C34,F34,IF(G39=C35,F35,IF(G39=C36,F36,IF(G39=C37,F37,IF(G39=C38,F38))))))))</f>
        <v>34.69</v>
      </c>
      <c r="J39" s="1380">
        <f t="shared" si="12"/>
        <v>-0.25999999999999801</v>
      </c>
      <c r="K39" s="1631"/>
      <c r="L39" s="1353"/>
      <c r="M39" s="1363" t="s">
        <v>253</v>
      </c>
      <c r="N39" s="1691"/>
      <c r="O39" s="995">
        <f>'INDICES RH 🤝'!N41</f>
        <v>36.14</v>
      </c>
      <c r="P39" s="1333">
        <v>34.450000000000003</v>
      </c>
      <c r="Q39" s="1293" t="str" cm="1">
        <f t="array" ref="Q39">INDEX($M$34:$M$41,
SMALL(
IF($O$34:$O$41=R39,
ROW($O$34:$O$41)-ROW($O$34)+1),
COUNTIF($R$34:R39,R39)
)
)</f>
        <v>ST ALBAN</v>
      </c>
      <c r="R39" s="1316">
        <f>LARGE($O$34:$O$41,3)</f>
        <v>34.18</v>
      </c>
      <c r="S39" s="1325">
        <f>IF(Q39=M39,P39,IF(Q39=M40,P40,IF(Q39=M41,P41,IF(Q39=M34,P34,IF(Q39=M35,P35,IF(Q39=M36,P36,IF(Q39=M37,P37,IF(Q39=M38,P38))))))))</f>
        <v>31.8</v>
      </c>
      <c r="T39" s="1380">
        <f t="shared" si="13"/>
        <v>2.379999999999999</v>
      </c>
      <c r="U39" s="1631"/>
      <c r="V39" s="1353"/>
      <c r="W39" s="1363" t="s">
        <v>253</v>
      </c>
      <c r="X39" s="1679">
        <v>5.0000000000000001E-3</v>
      </c>
      <c r="Y39" s="963">
        <f>'INDICES FINANCIERS 📈'!O40</f>
        <v>3.939592908732764E-3</v>
      </c>
      <c r="Z39" s="1670">
        <v>5.0481700808387101E-3</v>
      </c>
      <c r="AA39" s="1497" t="str" cm="1">
        <f t="array" ref="AA39">INDEX($W$34:$W$41,
SMALL(
IF($Y$34:$Y$41=AB39,
ROW($Y$34:$Y$41)-ROW($Y$34)+1),
COUNTIF($AB$34:AB39,AB39)
)
)</f>
        <v>PDB</v>
      </c>
      <c r="AB39" s="1287">
        <f>LARGE($Y$34:$Y$41,6)</f>
        <v>3.939592908732764E-3</v>
      </c>
      <c r="AC39" s="1498">
        <f>IF(AA39=W34,Z34,IF(AA39=W35,Z35,IF(AA39=W36,Z36,IF(AA39=W37,Z37,IF(AA39=W38,Z38,IF(AA39=W39,Z39,IF(AA39=W40,Z40,IF(AA39=W41,Z41))))))))</f>
        <v>5.0481700808387101E-3</v>
      </c>
      <c r="AD39" s="1672">
        <f t="shared" si="14"/>
        <v>-1.1085771721059462E-3</v>
      </c>
      <c r="AE39" s="1339" t="str">
        <f>IF(VLOOKUP(AA39,AA34:AB41,2,FALSE)&gt;(VLOOKUP(AA39,W34:X41,2,FALSE)),"🔴","🟢")</f>
        <v>🟢</v>
      </c>
      <c r="AF39" s="1353"/>
      <c r="AG39" s="1353"/>
      <c r="AH39" s="1353"/>
    </row>
    <row r="40" spans="2:34" ht="19">
      <c r="B40" s="1353"/>
      <c r="C40" s="1363" t="s">
        <v>34</v>
      </c>
      <c r="D40" s="1691"/>
      <c r="E40" s="995">
        <f>'INDICES RH 🤝'!P48</f>
        <v>32.19</v>
      </c>
      <c r="F40" s="1333">
        <v>32.19</v>
      </c>
      <c r="G40" s="1293" t="str" cm="1">
        <f t="array" ref="G40">INDEX(C34:C41,
SMALL(
IF(E34:E41=H40,
ROW(E34:E41)-ROW(E34)+1),
COUNTIF(H$34:$H40,H40)
)
)</f>
        <v>PDB</v>
      </c>
      <c r="H40" s="1316">
        <f>LARGE($E$34:$E$41,2)</f>
        <v>34.5</v>
      </c>
      <c r="I40" s="1325">
        <f>IF(G40=C40,F40,IF(G40=C41,F41,IF(G40=C34,F34,IF(G40=C35,F35,IF(G40=C36,F36,IF(G40=C37,F37,IF(G40=C38,F38,IF(G40=C39,F39))))))))</f>
        <v>34.43</v>
      </c>
      <c r="J40" s="1380">
        <f t="shared" si="12"/>
        <v>7.0000000000000284E-2</v>
      </c>
      <c r="K40" s="1631"/>
      <c r="L40" s="1353"/>
      <c r="M40" s="1363" t="s">
        <v>34</v>
      </c>
      <c r="N40" s="1691"/>
      <c r="O40" s="995">
        <f>'INDICES RH 🤝'!P41</f>
        <v>32.17</v>
      </c>
      <c r="P40" s="1333">
        <v>32.1</v>
      </c>
      <c r="Q40" s="1293" t="str" cm="1">
        <f t="array" ref="Q40">INDEX($M$34:$M$41,
SMALL(
IF($O$34:$O$41=R40,
ROW($O$34:$O$41)-ROW($O$34)+1),
COUNTIF($R$34:R40,R40)
)
)</f>
        <v>CHAMNORD</v>
      </c>
      <c r="R40" s="1316">
        <f>LARGE($O$34:$O$41,2)</f>
        <v>34.869999999999997</v>
      </c>
      <c r="S40" s="1325">
        <f>IF(Q40=M40,P40,IF(Q40=M41,P41,IF(Q40=M34,P34,IF(Q40=M35,P35,IF(Q40=M36,P36,IF(Q40=M37,P37,IF(Q40=M38,P38,IF(Q40=M39,P39))))))))</f>
        <v>34.79</v>
      </c>
      <c r="T40" s="1380">
        <f t="shared" si="13"/>
        <v>7.9999999999998295E-2</v>
      </c>
      <c r="U40" s="1631"/>
      <c r="V40" s="1353"/>
      <c r="W40" s="1363" t="s">
        <v>34</v>
      </c>
      <c r="X40" s="1679">
        <v>5.4999999999999997E-3</v>
      </c>
      <c r="Y40" s="963">
        <f>'INDICES FINANCIERS 📈'!Q40</f>
        <v>3.764442365430669E-3</v>
      </c>
      <c r="Z40" s="1670">
        <v>3.2470892563094332E-3</v>
      </c>
      <c r="AA40" s="1497" t="str" cm="1">
        <f t="array" ref="AA40">INDEX($W$34:$W$41,
SMALL(
IF($Y$34:$Y$41=AB40,
ROW($Y$34:$Y$41)-ROW($Y$34)+1),
COUNTIF($AB$34:AB40,AB40)
)
)</f>
        <v>FRANCIN</v>
      </c>
      <c r="AB40" s="1287">
        <f>LARGE($Y$34:$Y$41,7)</f>
        <v>3.764442365430669E-3</v>
      </c>
      <c r="AC40" s="1498">
        <f>IF(AA40=W34,Z34,IF(AA40=W35,Z35,IF(AA40=W36,Z36,IF(AA40=W37,Z37,IF(AA40=W38,Z38,IF(AA40=W39,Z39,IF(AA40=W40,Z40,IF(AA40=W41,Z41))))))))</f>
        <v>3.2470892563094332E-3</v>
      </c>
      <c r="AD40" s="1672">
        <f t="shared" si="14"/>
        <v>5.1735310912123583E-4</v>
      </c>
      <c r="AE40" s="1339" t="str">
        <f>IF(VLOOKUP(AA40,AA34:AB41,2,FALSE)&gt;(VLOOKUP(AA40,W34:X41,2,FALSE)),"🔴","🟢")</f>
        <v>🟢</v>
      </c>
      <c r="AF40" s="1353"/>
      <c r="AG40" s="1353"/>
      <c r="AH40" s="1353"/>
    </row>
    <row r="41" spans="2:34" ht="20" thickBot="1">
      <c r="B41" s="1353"/>
      <c r="C41" s="1654" t="s">
        <v>411</v>
      </c>
      <c r="D41" s="1692"/>
      <c r="E41" s="1270">
        <f>'INDICES RH 🤝'!R48</f>
        <v>30.19</v>
      </c>
      <c r="F41" s="1335">
        <v>30.09</v>
      </c>
      <c r="G41" s="1296" t="str" cm="1">
        <f t="array" ref="G41">INDEX(C34:C41,
SMALL(
IF(E34:E41=H41,
ROW(E34:E41)-ROW(E34)+1),
COUNTIF(H$34:$H41,H41)
)
)</f>
        <v>CHAMNORD</v>
      </c>
      <c r="H41" s="1317">
        <f>LARGE($E$34:$E$41,1)</f>
        <v>34.83</v>
      </c>
      <c r="I41" s="1326">
        <f>IF(G41=C41,F41,IF(G41=C34,F34,IF(G41=C35,F35,IF(G41=C36,F36,IF(G41=C37,F37,IF(G41=C38,F38,IF(G41=C39,F39,IF(G41=C40,F40))))))))</f>
        <v>34.83</v>
      </c>
      <c r="J41" s="1381">
        <f t="shared" si="12"/>
        <v>0</v>
      </c>
      <c r="K41" s="1631"/>
      <c r="L41" s="1353"/>
      <c r="M41" s="1654" t="s">
        <v>411</v>
      </c>
      <c r="N41" s="1692"/>
      <c r="O41" s="1270">
        <f>'INDICES RH 🤝'!R41</f>
        <v>32.340000000000003</v>
      </c>
      <c r="P41" s="1335">
        <v>33.200000000000003</v>
      </c>
      <c r="Q41" s="1296" t="str" cm="1">
        <f t="array" ref="Q41">INDEX($M$34:$M$41,
SMALL(
IF($O$34:$O$41=R41,
ROW($O$34:$O$41)-ROW($O$34)+1),
COUNTIF($R$34:R41,R41)
)
)</f>
        <v>PDB</v>
      </c>
      <c r="R41" s="1317">
        <f>LARGE($O$34:$O$41,1)</f>
        <v>36.14</v>
      </c>
      <c r="S41" s="1326">
        <f>IF(Q41=M41,P41,IF(Q41=M34,P34,IF(Q41=M35,P35,IF(Q41=M36,P36,IF(Q41=M37,P37,IF(Q41=M38,P38,IF(Q41=M39,P39,IF(Q41=M40,P40))))))))</f>
        <v>34.450000000000003</v>
      </c>
      <c r="T41" s="1381">
        <f t="shared" si="13"/>
        <v>1.6899999999999977</v>
      </c>
      <c r="U41" s="1631"/>
      <c r="V41" s="1353"/>
      <c r="W41" s="1654" t="s">
        <v>411</v>
      </c>
      <c r="X41" s="1684">
        <v>7.0000000000000001E-3</v>
      </c>
      <c r="Y41" s="1262">
        <f>'INDICES FINANCIERS 📈'!S40</f>
        <v>5.7896501542662304E-3</v>
      </c>
      <c r="Z41" s="1366">
        <v>4.8223334706810313E-3</v>
      </c>
      <c r="AA41" s="1499" t="str" cm="1">
        <f t="array" ref="AA41">INDEX($W$34:$W$41,
SMALL(
IF($Y$34:$Y$41=AB41,
ROW($Y$34:$Y$41)-ROW($Y$34)+1),
COUNTIF($AB$34:AB41,AB41)
)
)</f>
        <v>CHAMNORD</v>
      </c>
      <c r="AB41" s="1288">
        <f>LARGE($Y$34:$Y$41,8)</f>
        <v>-4.2045167162576766E-3</v>
      </c>
      <c r="AC41" s="1500">
        <f>IF(AA41=W34,Z34,IF(AA41=W35,Z35,IF(AA41=W36,Z36,IF(AA41=W37,Z37,IF(AA41=W38,Z38,IF(AA41=W39,Z39,IF(AA41=W40,Z40,IF(AA41=W41,Z41))))))))</f>
        <v>8.7519472017665439E-3</v>
      </c>
      <c r="AD41" s="1673">
        <f t="shared" si="14"/>
        <v>-1.2956463918024221E-2</v>
      </c>
      <c r="AE41" s="1340" t="str">
        <f>IF(VLOOKUP(AA41,AA34:AB41,2,FALSE)&gt;(VLOOKUP(AA41,W34:X41,2,FALSE)),"🔴","🟢")</f>
        <v>🟢</v>
      </c>
      <c r="AF41" s="1353"/>
      <c r="AG41" s="1353"/>
      <c r="AH41" s="1353"/>
    </row>
    <row r="42" spans="2:34" ht="18" thickBot="1">
      <c r="B42" s="1353"/>
      <c r="C42" s="1353"/>
      <c r="D42" s="1355"/>
      <c r="E42" s="1353"/>
      <c r="F42" s="1353"/>
      <c r="G42" s="1353"/>
      <c r="H42" s="1353"/>
      <c r="I42" s="1353"/>
      <c r="J42" s="1353"/>
      <c r="K42" s="1353"/>
      <c r="L42" s="1353"/>
      <c r="M42" s="1353"/>
      <c r="N42" s="1353"/>
      <c r="O42" s="1353"/>
      <c r="P42" s="1353"/>
      <c r="Q42" s="1353"/>
      <c r="R42" s="1353"/>
      <c r="S42" s="1353"/>
      <c r="T42" s="1353"/>
      <c r="U42" s="1353"/>
      <c r="V42" s="1353"/>
      <c r="W42" s="1353"/>
      <c r="X42" s="1355"/>
      <c r="Y42" s="1353"/>
      <c r="Z42" s="1353"/>
      <c r="AA42" s="1359"/>
      <c r="AB42" s="1353"/>
      <c r="AC42" s="1353"/>
      <c r="AD42" s="1353"/>
      <c r="AE42" s="1353"/>
      <c r="AF42" s="1353"/>
      <c r="AG42" s="1353"/>
      <c r="AH42" s="1353"/>
    </row>
    <row r="43" spans="2:34" ht="20">
      <c r="B43" s="1353"/>
      <c r="C43" s="1660" t="s">
        <v>416</v>
      </c>
      <c r="D43" s="1661" t="s">
        <v>499</v>
      </c>
      <c r="E43" s="1747" t="s">
        <v>440</v>
      </c>
      <c r="F43" s="1748"/>
      <c r="G43" s="1748"/>
      <c r="H43" s="1748"/>
      <c r="I43" s="1748"/>
      <c r="J43" s="1748"/>
      <c r="K43" s="1749"/>
      <c r="L43" s="1353"/>
      <c r="M43" s="1660" t="s">
        <v>416</v>
      </c>
      <c r="N43" s="1661" t="s">
        <v>499</v>
      </c>
      <c r="O43" s="1747" t="s">
        <v>420</v>
      </c>
      <c r="P43" s="1748"/>
      <c r="Q43" s="1748"/>
      <c r="R43" s="1748"/>
      <c r="S43" s="1748"/>
      <c r="T43" s="1748"/>
      <c r="U43" s="1624"/>
      <c r="V43" s="1353"/>
      <c r="W43" s="1660" t="s">
        <v>419</v>
      </c>
      <c r="X43" s="1702" t="s">
        <v>499</v>
      </c>
      <c r="Y43" s="1747" t="s">
        <v>420</v>
      </c>
      <c r="Z43" s="1748"/>
      <c r="AA43" s="1748"/>
      <c r="AB43" s="1748"/>
      <c r="AC43" s="1748"/>
      <c r="AD43" s="1748"/>
      <c r="AE43" s="1749"/>
      <c r="AF43" s="1353"/>
      <c r="AG43" s="1353"/>
      <c r="AH43" s="1353"/>
    </row>
    <row r="44" spans="2:34" ht="19">
      <c r="B44" s="1353"/>
      <c r="C44" s="1363" t="s">
        <v>69</v>
      </c>
      <c r="D44" s="1662">
        <v>0.97</v>
      </c>
      <c r="E44" s="962" t="str">
        <f>'INDICES QSP 🍔'!D95</f>
        <v/>
      </c>
      <c r="F44" s="1302"/>
      <c r="G44" s="1293" t="e" cm="1">
        <f t="array" ref="G44">INDEX($C$44:$C$51,
SMALL(
IF($E$44:$E$51=H44,
ROW($E$44:$E$51)-ROW($E$44)+1),
COUNTIF($H$44:H44,H44)
)
)</f>
        <v>#NUM!</v>
      </c>
      <c r="H44" s="1299" t="e">
        <f>LARGE($E$44:$E$51,8)</f>
        <v>#NUM!</v>
      </c>
      <c r="I44" s="1371" t="e">
        <f>IF(G44=C44,F44,IF(G44=C45,F45,IF(G44=C46,F46,IF(G44=C47,F47,IF(G44=C48,F48,IF(G44=C49,F49,IF(G44=C50,F50,IF(G44=C51,F51))))))))</f>
        <v>#NUM!</v>
      </c>
      <c r="J44" s="1628" t="e">
        <f>H44-I44</f>
        <v>#NUM!</v>
      </c>
      <c r="K44" s="1339" t="str">
        <f>IFERROR(IF(VLOOKUP(G44,G44:H51,2,FALSE)&lt;(VLOOKUP(G44,C44:D51,2,FALSE)),"🔴","🟢"),"")</f>
        <v/>
      </c>
      <c r="L44" s="1353"/>
      <c r="M44" s="1363" t="s">
        <v>69</v>
      </c>
      <c r="N44" s="1662">
        <v>0.97</v>
      </c>
      <c r="O44" s="1278">
        <f>IFERROR('INDICES QSP 🍔'!D102,"")</f>
        <v>0.88571428571428568</v>
      </c>
      <c r="P44" s="1460">
        <v>0.8902439024390244</v>
      </c>
      <c r="Q44" s="1293" t="str" cm="1">
        <f t="array" ref="Q44">INDEX($M$44:$M$51,
SMALL(
IF($O$44:$O$51=R44,
ROW($O$44:$O$51)-ROW($O$44)+1),
COUNTIF($R$44:R44,R44)
)
)</f>
        <v>CHAMNORD</v>
      </c>
      <c r="R44" s="1299">
        <f>LARGE($O$44:$O$51,8)</f>
        <v>0.88571428571428568</v>
      </c>
      <c r="S44" s="1371">
        <f>IF(Q44=M44,P44,IF(Q44=M45,P45,IF(Q44=M46,P46,IF(Q44=M47,P47,IF(Q44=M48,P48,IF(Q44=M49,P49,IF(Q44=M50,P50,IF(Q44=M51,P51))))))))</f>
        <v>0.8902439024390244</v>
      </c>
      <c r="T44" s="1628">
        <f>R44-S44</f>
        <v>-4.5296167247387276E-3</v>
      </c>
      <c r="U44" s="1694" t="str">
        <f>IFERROR(IF(VLOOKUP(Q44,Q44:R51,2,FALSE)&lt;(VLOOKUP(Q44,M44:N51,2,FALSE)),"🔴","🟢"),"")</f>
        <v>🔴</v>
      </c>
      <c r="V44" s="1353"/>
      <c r="W44" s="1363" t="s">
        <v>69</v>
      </c>
      <c r="X44" s="1703">
        <f>+'PREV 2026'!C13</f>
        <v>0.76231517130468651</v>
      </c>
      <c r="Y44" s="1284">
        <f>'GLOBAL 26'!D13</f>
        <v>0.76310489770459122</v>
      </c>
      <c r="Z44" s="994">
        <v>0.7584425161649202</v>
      </c>
      <c r="AA44" s="1313" t="str">
        <f t="shared" ref="AA44:AA51" si="15">INDEX($W$44:$W$51,MATCH(AB44,$Y$44:$Y$51,0))</f>
        <v>VIVIERS DU LAC</v>
      </c>
      <c r="AB44" s="1287">
        <f>LARGE($Y$44:$Y$51,8)</f>
        <v>0.76108674515732933</v>
      </c>
      <c r="AC44" s="1349">
        <f>IF(AA44=W44,Z44,IF(AA44=W45,Z45,IF(AA44=W46,Z46,IF(AA44=W47,Z47,IF(AA44=W48,Z48,IF(AA44=W49,Z49,IF(AA44=W50,Z50,IF(AA44=W51,Z51))))))))</f>
        <v>0.75558264443253087</v>
      </c>
      <c r="AD44" s="1672">
        <f>AB44-AC44</f>
        <v>5.5041007247984552E-3</v>
      </c>
      <c r="AE44" s="1674" t="str">
        <f>IF(VLOOKUP(AA44,AA44:AB51,2,FALSE)&lt;(VLOOKUP(AA44,W44:X51,2,FALSE)),"🔴","🟢")</f>
        <v>🟢</v>
      </c>
      <c r="AF44" s="1353"/>
      <c r="AG44" s="1353"/>
      <c r="AH44" s="1353"/>
    </row>
    <row r="45" spans="2:34" ht="19">
      <c r="B45" s="1353"/>
      <c r="C45" s="1363" t="s">
        <v>29</v>
      </c>
      <c r="D45" s="1663">
        <v>0.97</v>
      </c>
      <c r="E45" s="962" t="str">
        <f>'INDICES QSP 🍔'!F95</f>
        <v/>
      </c>
      <c r="F45" s="1302"/>
      <c r="G45" s="1293" t="e" cm="1">
        <f t="array" ref="G45">INDEX($C$44:$C$51,
SMALL(
IF($E$44:$E$51=H45,
ROW($E$44:$E$51)-ROW($E$44)+1),
COUNTIF($H$44:H45,H45)
)
)</f>
        <v>#NUM!</v>
      </c>
      <c r="H45" s="1299" t="e">
        <f>LARGE($E$44:$E$51,7)</f>
        <v>#NUM!</v>
      </c>
      <c r="I45" s="1371" t="e">
        <f>IF(G45=C45,F45,IF(G45=C46,F46,IF(G45=C47,F47,IF(G45=C48,F48,IF(G45=C49,F49,IF(G45=C50,F50,IF(G45=C51,F51,IF(G45=C44,F44))))))))</f>
        <v>#NUM!</v>
      </c>
      <c r="J45" s="1628" t="e">
        <f t="shared" ref="J45:J51" si="16">H45-I45</f>
        <v>#NUM!</v>
      </c>
      <c r="K45" s="1339" t="str">
        <f>IFERROR(IF(VLOOKUP(G45,G44:H51,2,FALSE)&lt;(VLOOKUP(G45,C44:D51,2,FALSE)),"🔴","🟢"),"")</f>
        <v/>
      </c>
      <c r="L45" s="1353"/>
      <c r="M45" s="1363" t="s">
        <v>29</v>
      </c>
      <c r="N45" s="1662">
        <v>0.97</v>
      </c>
      <c r="O45" s="1278">
        <f>IFERROR('INDICES QSP 🍔'!F102,"")</f>
        <v>0.94285714285714284</v>
      </c>
      <c r="P45" s="1460">
        <v>0.91666666666666663</v>
      </c>
      <c r="Q45" s="1293" t="str" cm="1">
        <f t="array" ref="Q45">INDEX($M$44:$M$51,
SMALL(
IF($O$44:$O$51=R45,
ROW($O$44:$O$51)-ROW($O$44)+1),
COUNTIF($R$44:R45,R45)
)
)</f>
        <v>BELLEY</v>
      </c>
      <c r="R45" s="1299">
        <f>LARGE($O$44:$O$51,7)</f>
        <v>0.88888888888888884</v>
      </c>
      <c r="S45" s="1371">
        <f>IF(Q45=M45,P45,IF(Q45=M46,P46,IF(Q45=M47,P47,IF(Q45=M48,P48,IF(Q45=M49,P49,IF(Q45=M50,P50,IF(Q45=M51,P51,IF(Q45=M44,P44))))))))</f>
        <v>0.92982456140350878</v>
      </c>
      <c r="T45" s="1628">
        <f t="shared" ref="T45:T51" si="17">R45-S45</f>
        <v>-4.0935672514619936E-2</v>
      </c>
      <c r="U45" s="1694" t="str">
        <f>IFERROR(IF(VLOOKUP(Q45,Q44:R51,2,FALSE)&lt;(VLOOKUP(Q45,M44:N51,2,FALSE)),"🔴","🟢"),"")</f>
        <v>🔴</v>
      </c>
      <c r="V45" s="1353"/>
      <c r="W45" s="1363" t="s">
        <v>29</v>
      </c>
      <c r="X45" s="1704">
        <f>+'PREV 2026'!F13</f>
        <v>0.76396955874741201</v>
      </c>
      <c r="Y45" s="963">
        <f>'GLOBAL 26'!G13</f>
        <v>0.76663501327507755</v>
      </c>
      <c r="Z45" s="994">
        <v>0.76183563577488822</v>
      </c>
      <c r="AA45" s="1313" t="str">
        <f t="shared" si="15"/>
        <v>FRANCIN</v>
      </c>
      <c r="AB45" s="1287">
        <f>LARGE($Y$44:$Y$51,7)</f>
        <v>0.76145754678510302</v>
      </c>
      <c r="AC45" s="1349">
        <f>IF(AA45=W44,Z44,IF(AA45=W45,Z45,IF(AA45=W46,Z46,IF(AA45=W47,Z47,IF(AA45=W48,Z48,IF(AA45=W49,Z49,IF(AA45=W50,Z50,IF(AA45=W51,Z51))))))))</f>
        <v>0.75614211895746219</v>
      </c>
      <c r="AD45" s="1672">
        <f t="shared" ref="AD45:AD51" si="18">AB45-AC45</f>
        <v>5.3154278276408284E-3</v>
      </c>
      <c r="AE45" s="1339" t="str">
        <f>IF(VLOOKUP(AA45,AA44:AB51,2,FALSE)&lt;(VLOOKUP(AA45,W44:X51,2,FALSE)),"🔴","🟢")</f>
        <v>🟢</v>
      </c>
      <c r="AF45" s="1353"/>
      <c r="AG45" s="1353"/>
      <c r="AH45" s="1353"/>
    </row>
    <row r="46" spans="2:34" ht="19">
      <c r="B46" s="1353"/>
      <c r="C46" s="1363" t="s">
        <v>30</v>
      </c>
      <c r="D46" s="1663">
        <v>0.97</v>
      </c>
      <c r="E46" s="962" t="str">
        <f>'INDICES QSP 🍔'!H95</f>
        <v/>
      </c>
      <c r="F46" s="1302"/>
      <c r="G46" s="1293" t="e" cm="1">
        <f t="array" ref="G46">INDEX($C$44:$C$51,
SMALL(
IF($E$44:$E$51=H46,
ROW($E$44:$E$51)-ROW($E$44)+1),
COUNTIF($H$44:H46,H46)
)
)</f>
        <v>#NUM!</v>
      </c>
      <c r="H46" s="1299" t="e">
        <f>LARGE($E$44:$E$51,6)</f>
        <v>#NUM!</v>
      </c>
      <c r="I46" s="1371" t="e">
        <f>IF(G46=C46,F46,IF(G46=C47,F47,IF(G46=C48,F48,IF(G46=C49,F49,IF(G46=C50,F50,IF(G46=C51,F51,IF(G46=C44,F44,IF(G46=C45,F45))))))))</f>
        <v>#NUM!</v>
      </c>
      <c r="J46" s="1628" t="e">
        <f t="shared" si="16"/>
        <v>#NUM!</v>
      </c>
      <c r="K46" s="1339" t="str">
        <f>IFERROR(IF(VLOOKUP(G46,G44:H51,2,FALSE)&lt;(VLOOKUP(G46,C44:D51,2,FALSE)),"🔴","🟢"),"")</f>
        <v/>
      </c>
      <c r="L46" s="1353"/>
      <c r="M46" s="1363" t="s">
        <v>30</v>
      </c>
      <c r="N46" s="1663">
        <v>0.97</v>
      </c>
      <c r="O46" s="962">
        <f>IFERROR('INDICES QSP 🍔'!H102,"")</f>
        <v>0.88888888888888884</v>
      </c>
      <c r="P46" s="1460">
        <v>0.92982456140350878</v>
      </c>
      <c r="Q46" s="1293" t="str" cm="1">
        <f t="array" ref="Q46">INDEX($M$44:$M$51,
SMALL(
IF($O$44:$O$51=R46,
ROW($O$44:$O$51)-ROW($O$44)+1),
COUNTIF($R$44:R46,R46)
)
)</f>
        <v>LES ABRETS</v>
      </c>
      <c r="R46" s="1299">
        <f>LARGE($O$44:$O$51,6)</f>
        <v>0.92</v>
      </c>
      <c r="S46" s="1371">
        <f>IF(Q46=M46,P46,IF(Q46=M47,P47,IF(Q46=M48,P48,IF(Q46=M49,P49,IF(Q46=M50,P50,IF(Q46=M51,P51,IF(Q46=M44,P44,IF(Q46=M45,P45))))))))</f>
        <v>0.91549295774647887</v>
      </c>
      <c r="T46" s="1628">
        <f t="shared" si="17"/>
        <v>4.5070422535211652E-3</v>
      </c>
      <c r="U46" s="1694" t="str">
        <f>IFERROR(IF(VLOOKUP(Q46,Q44:R51,2,FALSE)&lt;(VLOOKUP(Q46,M44:N51,2,FALSE)),"🔴","🟢"),"")</f>
        <v>🔴</v>
      </c>
      <c r="V46" s="1353"/>
      <c r="W46" s="1363" t="s">
        <v>30</v>
      </c>
      <c r="X46" s="1704">
        <f>+'PREV 2026'!I13</f>
        <v>0.7645648294854468</v>
      </c>
      <c r="Y46" s="963">
        <f>'GLOBAL 26'!J13</f>
        <v>0.77097864705595864</v>
      </c>
      <c r="Z46" s="994">
        <v>0.76399469739031134</v>
      </c>
      <c r="AA46" s="1313" t="str">
        <f t="shared" si="15"/>
        <v>LES ABRETS</v>
      </c>
      <c r="AB46" s="1287">
        <f>LARGE($Y$44:$Y$51,6)</f>
        <v>0.76158544246315418</v>
      </c>
      <c r="AC46" s="1349">
        <f>IF(AA46=W44,Z44,IF(AA46=W45,Z45,IF(AA46=W46,Z46,IF(AA46=W47,Z47,IF(AA46=W48,Z48,IF(AA46=W49,Z49,IF(AA46=W50,Z50,IF(AA46=W51,Z51))))))))</f>
        <v>0.75309484864949072</v>
      </c>
      <c r="AD46" s="1672">
        <f t="shared" si="18"/>
        <v>8.4905938136634607E-3</v>
      </c>
      <c r="AE46" s="1339" t="str">
        <f>IF(VLOOKUP(AA46,AA44:AB51,2,FALSE)&lt;(VLOOKUP(AA46,W44:X51,2,FALSE)),"🔴","🟢")</f>
        <v>🟢</v>
      </c>
      <c r="AF46" s="1353"/>
      <c r="AG46" s="1353"/>
      <c r="AH46" s="1353"/>
    </row>
    <row r="47" spans="2:34" ht="19">
      <c r="B47" s="1353"/>
      <c r="C47" s="1363" t="s">
        <v>31</v>
      </c>
      <c r="D47" s="1663">
        <v>0.97</v>
      </c>
      <c r="E47" s="962" t="str">
        <f>'INDICES QSP 🍔'!J95</f>
        <v/>
      </c>
      <c r="F47" s="1302"/>
      <c r="G47" s="1293" t="e" cm="1">
        <f t="array" ref="G47">INDEX($C$44:$C$51,
SMALL(
IF($E$44:$E$51=H47,
ROW($E$44:$E$51)-ROW($E$44)+1),
COUNTIF($H$44:H47,H47)
)
)</f>
        <v>#NUM!</v>
      </c>
      <c r="H47" s="1299" t="e">
        <f>LARGE($E$44:$E$51,5)</f>
        <v>#NUM!</v>
      </c>
      <c r="I47" s="1371" t="e">
        <f>IF(G47=C47,F47,IF(G47=C48,F48,IF(G47=C49,F49,IF(G47=C50,F50,IF(G47=C51,F51,IF(G47=C44,F44,IF(G47=C45,F45,IF(G47=C46,F46))))))))</f>
        <v>#NUM!</v>
      </c>
      <c r="J47" s="1628" t="e">
        <f t="shared" si="16"/>
        <v>#NUM!</v>
      </c>
      <c r="K47" s="1339" t="str">
        <f>IFERROR(IF(VLOOKUP(G47,G44:H51,2,FALSE)&lt;(VLOOKUP(G47,C44:D51,2,FALSE)),"🔴","🟢"),"")</f>
        <v/>
      </c>
      <c r="L47" s="1353"/>
      <c r="M47" s="1363" t="s">
        <v>31</v>
      </c>
      <c r="N47" s="1663">
        <v>0.97</v>
      </c>
      <c r="O47" s="962">
        <f>IFERROR('INDICES QSP 🍔'!J102,"")</f>
        <v>1</v>
      </c>
      <c r="P47" s="1460">
        <v>0.98275862068965514</v>
      </c>
      <c r="Q47" s="1293" t="str" cm="1">
        <f t="array" ref="Q47">INDEX($M$44:$M$51,
SMALL(
IF($O$44:$O$51=R47,
ROW($O$44:$O$51)-ROW($O$44)+1),
COUNTIF($R$44:R47,R47)
)
)</f>
        <v>FRANCIN</v>
      </c>
      <c r="R47" s="1299">
        <f>LARGE($O$44:$O$51,5)</f>
        <v>0.9333433333333333</v>
      </c>
      <c r="S47" s="1371">
        <f>IF(Q47=M47,P47,IF(Q47=M48,P48,IF(Q47=M49,P49,IF(Q47=M50,P50,IF(Q47=M51,P51,IF(Q47=M44,P44,IF(Q47=M45,P45,IF(Q47=M46,P46))))))))</f>
        <v>0.98508462686567155</v>
      </c>
      <c r="T47" s="1628">
        <f t="shared" si="17"/>
        <v>-5.1741293532338251E-2</v>
      </c>
      <c r="U47" s="1694" t="str">
        <f>IFERROR(IF(VLOOKUP(Q47,Q44:R51,2,FALSE)&lt;(VLOOKUP(Q47,M44:N51,2,FALSE)),"🔴","🟢"),"")</f>
        <v>🔴</v>
      </c>
      <c r="V47" s="1353"/>
      <c r="W47" s="1363" t="s">
        <v>31</v>
      </c>
      <c r="X47" s="1704">
        <f>+'PREV 2026'!L13</f>
        <v>0.75996431797651331</v>
      </c>
      <c r="Y47" s="963">
        <f>'GLOBAL 26'!M13</f>
        <v>0.76649315603143753</v>
      </c>
      <c r="Z47" s="994">
        <v>0.75582393351613841</v>
      </c>
      <c r="AA47" s="1313" t="str">
        <f t="shared" si="15"/>
        <v>PDB</v>
      </c>
      <c r="AB47" s="1287">
        <f>LARGE($Y$44:$Y$51,5)</f>
        <v>0.76295058507118751</v>
      </c>
      <c r="AC47" s="1349">
        <f>IF(AA47=W44,Z44,IF(AA47=W45,Z45,IF(AA47=W46,Z46,IF(AA47=W47,Z47,IF(AA47=W48,Z48,IF(AA47=W49,Z49,IF(AA47=W50,Z50,IF(AA47=W51,Z51))))))))</f>
        <v>0.75816142858790403</v>
      </c>
      <c r="AD47" s="1672">
        <f t="shared" si="18"/>
        <v>4.7891564832834854E-3</v>
      </c>
      <c r="AE47" s="1339" t="str">
        <f>IF(VLOOKUP(AA47,AA44:AB51,2,FALSE)&lt;(VLOOKUP(AA47,W44:X51,2,FALSE)),"🔴","🟢")</f>
        <v>🟢</v>
      </c>
      <c r="AF47" s="1353"/>
      <c r="AG47" s="1353"/>
      <c r="AH47" s="1353"/>
    </row>
    <row r="48" spans="2:34" ht="19">
      <c r="B48" s="1353"/>
      <c r="C48" s="1363" t="s">
        <v>32</v>
      </c>
      <c r="D48" s="1663">
        <v>0.97</v>
      </c>
      <c r="E48" s="962" t="str">
        <f>'INDICES QSP 🍔'!L95</f>
        <v/>
      </c>
      <c r="F48" s="1302"/>
      <c r="G48" s="1293" t="e" cm="1">
        <f t="array" ref="G48">INDEX($C$44:$C$51,
SMALL(
IF($E$44:$E$51=H48,
ROW($E$44:$E$51)-ROW($E$44)+1),
COUNTIF($H$44:H48,H48)
)
)</f>
        <v>#NUM!</v>
      </c>
      <c r="H48" s="1299" t="e">
        <f>LARGE($E$44:$E$51,4)</f>
        <v>#NUM!</v>
      </c>
      <c r="I48" s="1371" t="e">
        <f>IF(G48=C48,F48,IF(G48=C49,F49,IF(G48=C50,F50,IF(G48=C51,F51,IF(G48=C44,F44,IF(G48=C45,F45,IF(G48=C46,F46,IF(G48=C47,F47))))))))</f>
        <v>#NUM!</v>
      </c>
      <c r="J48" s="1628" t="e">
        <f t="shared" si="16"/>
        <v>#NUM!</v>
      </c>
      <c r="K48" s="1339" t="str">
        <f>IFERROR(IF(VLOOKUP(G48,G44:H51,2,FALSE)&lt;(VLOOKUP(G48,C44:D51,2,FALSE)),"🔴","🟢"),"")</f>
        <v/>
      </c>
      <c r="L48" s="1353"/>
      <c r="M48" s="1363" t="s">
        <v>32</v>
      </c>
      <c r="N48" s="1663">
        <v>0.97</v>
      </c>
      <c r="O48" s="962">
        <f>IFERROR('INDICES QSP 🍔'!L102,"")</f>
        <v>0.92</v>
      </c>
      <c r="P48" s="1460">
        <v>0.91549295774647887</v>
      </c>
      <c r="Q48" s="1293" t="str" cm="1">
        <f t="array" ref="Q48">INDEX($M$44:$M$51,
SMALL(
IF($O$44:$O$51=R48,
ROW($O$44:$O$51)-ROW($O$44)+1),
COUNTIF($R$44:R48,R48)
)
)</f>
        <v>VIVIERS DU LAC</v>
      </c>
      <c r="R48" s="1299">
        <f>LARGE($O$44:$O$51,4)</f>
        <v>0.93548387096774188</v>
      </c>
      <c r="S48" s="1371">
        <f>IF(Q48=M48,P48,IF(Q48=M49,P49,IF(Q48=M50,P50,IF(Q48=M51,P51,IF(Q48=M44,P44,IF(Q48=M45,P45,IF(Q48=M46,P46,IF(Q48=M47,P47))))))))</f>
        <v>0.9242424242424242</v>
      </c>
      <c r="T48" s="1628">
        <f t="shared" si="17"/>
        <v>1.1241446725317683E-2</v>
      </c>
      <c r="U48" s="1694" t="str">
        <f>IFERROR(IF(VLOOKUP(Q48,Q44:R51,2,FALSE)&lt;(VLOOKUP(Q48,M44:N51,2,FALSE)),"🔴","🟢"),"")</f>
        <v>🔴</v>
      </c>
      <c r="V48" s="1353"/>
      <c r="W48" s="1363" t="s">
        <v>32</v>
      </c>
      <c r="X48" s="1704">
        <f>+'PREV 2026'!O13</f>
        <v>0.75808951673483016</v>
      </c>
      <c r="Y48" s="963">
        <f>'GLOBAL 26'!P13</f>
        <v>0.76158544246315418</v>
      </c>
      <c r="Z48" s="994">
        <v>0.75309484864949072</v>
      </c>
      <c r="AA48" s="1313" t="str">
        <f t="shared" si="15"/>
        <v>CHAMNORD</v>
      </c>
      <c r="AB48" s="1287">
        <f>LARGE($Y$44:$Y$51,4)</f>
        <v>0.76310489770459122</v>
      </c>
      <c r="AC48" s="1349">
        <f>IF(AA48=W44,Z44,IF(AA48=W45,Z45,IF(AA48=W46,Z46,IF(AA48=W47,Z47,IF(AA48=W48,Z48,IF(AA48=W49,Z49,IF(AA48=W50,Z50,IF(AA48=W51,Z51))))))))</f>
        <v>0.7584425161649202</v>
      </c>
      <c r="AD48" s="1672">
        <f t="shared" si="18"/>
        <v>4.6623815396710233E-3</v>
      </c>
      <c r="AE48" s="1339" t="str">
        <f>IF(VLOOKUP(AA48,AA44:AB51,2,FALSE)&lt;(VLOOKUP(AA48,W44:X51,2,FALSE)),"🔴","🟢")</f>
        <v>🟢</v>
      </c>
      <c r="AF48" s="1353"/>
      <c r="AG48" s="1353"/>
      <c r="AH48" s="1353"/>
    </row>
    <row r="49" spans="2:34" ht="19">
      <c r="B49" s="1353"/>
      <c r="C49" s="1363" t="s">
        <v>253</v>
      </c>
      <c r="D49" s="1663">
        <v>0.97</v>
      </c>
      <c r="E49" s="962" t="str">
        <f>'INDICES QSP 🍔'!N95</f>
        <v/>
      </c>
      <c r="F49" s="1302"/>
      <c r="G49" s="1293" t="e" cm="1">
        <f t="array" ref="G49">INDEX($C$44:$C$51,
SMALL(
IF($E$44:$E$51=H49,
ROW($E$44:$E$51)-ROW($E$44)+1),
COUNTIF($H$44:H49,H49)
)
)</f>
        <v>#NUM!</v>
      </c>
      <c r="H49" s="1299" t="e">
        <f>LARGE($E$44:$E$51,3)</f>
        <v>#NUM!</v>
      </c>
      <c r="I49" s="1371" t="e">
        <f>IF(G49=C49,F49,IF(G49=C50,F50,IF(G49=C51,F51,IF(G49=C44,F44,IF(G49=C45,F45,IF(G49=C46,F46,IF(G49=C47,F47,IF(G49=C48,F48))))))))</f>
        <v>#NUM!</v>
      </c>
      <c r="J49" s="1628" t="e">
        <f t="shared" si="16"/>
        <v>#NUM!</v>
      </c>
      <c r="K49" s="1339" t="str">
        <f>IFERROR(IF(VLOOKUP(G49,G44:H51,2,FALSE)&lt;(VLOOKUP(G49,C44:D51,2,FALSE)),"🔴","🟢"),"")</f>
        <v/>
      </c>
      <c r="L49" s="1353"/>
      <c r="M49" s="1363" t="s">
        <v>253</v>
      </c>
      <c r="N49" s="1663">
        <v>0.97</v>
      </c>
      <c r="O49" s="962">
        <f>IFERROR('INDICES QSP 🍔'!N102,"")</f>
        <v>1</v>
      </c>
      <c r="P49" s="1460">
        <v>0.97297297297297303</v>
      </c>
      <c r="Q49" s="1293" t="str" cm="1">
        <f t="array" ref="Q49">INDEX($M$44:$M$51,
SMALL(
IF($O$44:$O$51=R49,
ROW($O$44:$O$51)-ROW($O$44)+1),
COUNTIF($R$44:R49,R49)
)
)</f>
        <v>AIX LES BAINS</v>
      </c>
      <c r="R49" s="1299">
        <f>LARGE($O$44:$O$51,3)</f>
        <v>0.94285714285714284</v>
      </c>
      <c r="S49" s="1371">
        <f>IF(Q49=M49,P49,IF(Q49=M50,P50,IF(Q49=M51,P51,IF(Q49=M44,P44,IF(Q49=M45,P45,IF(Q49=M46,P46,IF(Q49=M47,P47,IF(Q49=M48,P48))))))))</f>
        <v>0.91666666666666663</v>
      </c>
      <c r="T49" s="1628">
        <f t="shared" si="17"/>
        <v>2.6190476190476208E-2</v>
      </c>
      <c r="U49" s="1694" t="str">
        <f>IFERROR(IF(VLOOKUP(Q49,Q44:R51,2,FALSE)&lt;(VLOOKUP(Q49,M44:N51,2,FALSE)),"🔴","🟢"),"")</f>
        <v>🔴</v>
      </c>
      <c r="V49" s="1353"/>
      <c r="W49" s="1363" t="s">
        <v>253</v>
      </c>
      <c r="X49" s="1704">
        <f>+'PREV 2026'!R13</f>
        <v>0.76111313600894936</v>
      </c>
      <c r="Y49" s="963">
        <f>'GLOBAL 26'!S13</f>
        <v>0.76295058507118751</v>
      </c>
      <c r="Z49" s="1350">
        <v>0.75816142858790403</v>
      </c>
      <c r="AA49" s="1313" t="str">
        <f t="shared" si="15"/>
        <v>ST ALBAN</v>
      </c>
      <c r="AB49" s="1287">
        <f>LARGE($Y$44:$Y$51,3)</f>
        <v>0.76649315603143753</v>
      </c>
      <c r="AC49" s="1349">
        <f>IF(AA49=W44,Z44,IF(AA49=W45,Z45,IF(AA49=W46,Z46,IF(AA49=W47,Z47,IF(AA49=W48,Z48,IF(AA49=W49,Z49,IF(AA49=W50,Z50,IF(AA49=W51,Z51))))))))</f>
        <v>0.75582393351613841</v>
      </c>
      <c r="AD49" s="1672">
        <f t="shared" si="18"/>
        <v>1.0669222515299115E-2</v>
      </c>
      <c r="AE49" s="1339" t="str">
        <f>IF(VLOOKUP(AA49,AA44:AB51,2,FALSE)&lt;(VLOOKUP(AA49,W44:X51,2,FALSE)),"🔴","🟢")</f>
        <v>🟢</v>
      </c>
      <c r="AF49" s="1353"/>
      <c r="AG49" s="1353"/>
      <c r="AH49" s="1353"/>
    </row>
    <row r="50" spans="2:34" ht="19">
      <c r="B50" s="1353"/>
      <c r="C50" s="1363" t="s">
        <v>34</v>
      </c>
      <c r="D50" s="1663">
        <v>0.97</v>
      </c>
      <c r="E50" s="962" t="str">
        <f>'INDICES QSP 🍔'!P95</f>
        <v/>
      </c>
      <c r="F50" s="1302"/>
      <c r="G50" s="1293" t="e" cm="1">
        <f t="array" ref="G50">INDEX($C$44:$C$51,
SMALL(
IF($E$44:$E$51=H50,
ROW($E$44:$E$51)-ROW($E$44)+1),
COUNTIF($H$44:H50,H50)
)
)</f>
        <v>#NUM!</v>
      </c>
      <c r="H50" s="1299" t="e">
        <f>LARGE($E$44:$E$51,2)</f>
        <v>#NUM!</v>
      </c>
      <c r="I50" s="1371" t="e">
        <f>IF(G50=C50,F50,IF(G50=C51,F51,IF(G50=C44,F44,IF(G50=C45,F45,IF(G50=C46,F46,IF(G50=C47,F47,IF(G50=C48,F48,IF(G50=C49,F49))))))))</f>
        <v>#NUM!</v>
      </c>
      <c r="J50" s="1628" t="e">
        <f t="shared" si="16"/>
        <v>#NUM!</v>
      </c>
      <c r="K50" s="1339" t="str">
        <f>IFERROR(IF(VLOOKUP(G50,G44:H51,2,FALSE)&lt;(VLOOKUP(G50,C44:D51,2,FALSE)),"🔴","🟢"),"")</f>
        <v/>
      </c>
      <c r="L50" s="1353"/>
      <c r="M50" s="1363" t="s">
        <v>34</v>
      </c>
      <c r="N50" s="1663">
        <v>0.97</v>
      </c>
      <c r="O50" s="962">
        <f>IFERROR('INDICES QSP 🍔'!P102,"")</f>
        <v>0.9333433333333333</v>
      </c>
      <c r="P50" s="1460">
        <v>0.98508462686567155</v>
      </c>
      <c r="Q50" s="1293" t="str" cm="1">
        <f t="array" ref="Q50">INDEX($M$44:$M$51,
SMALL(
IF($O$44:$O$51=R50,
ROW($O$44:$O$51)-ROW($O$44)+1),
COUNTIF($R$44:R50,R50)
)
)</f>
        <v>ST ALBAN</v>
      </c>
      <c r="R50" s="1299">
        <f>LARGE($O$44:$O$51,2)</f>
        <v>1</v>
      </c>
      <c r="S50" s="1371">
        <f>IF(Q50=M50,P50,IF(Q50=M51,P51,IF(Q50=M44,P44,IF(Q50=M45,P45,IF(Q50=M46,P46,IF(Q50=M47,P47,IF(Q50=M48,P48,IF(Q50=M49,P49))))))))</f>
        <v>0.98275862068965514</v>
      </c>
      <c r="T50" s="1628">
        <f t="shared" si="17"/>
        <v>1.7241379310344862E-2</v>
      </c>
      <c r="U50" s="1694" t="str">
        <f>IFERROR(IF(VLOOKUP(Q50,Q44:R51,2,FALSE)&lt;(VLOOKUP(Q50,M44:N51,2,FALSE)),"🔴","🟢"),"")</f>
        <v>🟢</v>
      </c>
      <c r="V50" s="1353"/>
      <c r="W50" s="1363" t="s">
        <v>34</v>
      </c>
      <c r="X50" s="1704">
        <f>+'PREV 2026'!U13</f>
        <v>0.75867342727433529</v>
      </c>
      <c r="Y50" s="963">
        <f>'GLOBAL 26'!V13</f>
        <v>0.76145754678510302</v>
      </c>
      <c r="Z50" s="994">
        <v>0.75614211895746219</v>
      </c>
      <c r="AA50" s="1313" t="str">
        <f t="shared" si="15"/>
        <v>AIX LES BAINS</v>
      </c>
      <c r="AB50" s="1287">
        <f>LARGE($Y$44:$Y$51,2)</f>
        <v>0.76663501327507755</v>
      </c>
      <c r="AC50" s="1349">
        <f>IF(AA50=W44,Z44,IF(AA50=W45,Z45,IF(AA50=W46,Z46,IF(AA50=W47,Z47,IF(AA50=W48,Z48,IF(AA50=W49,Z49,IF(AA50=W50,Z50,IF(AA50=W51,Z51))))))))</f>
        <v>0.76183563577488822</v>
      </c>
      <c r="AD50" s="1672">
        <f t="shared" si="18"/>
        <v>4.799377500189328E-3</v>
      </c>
      <c r="AE50" s="1339" t="str">
        <f>IF(VLOOKUP(AA50,AA44:AB51,2,FALSE)&lt;(VLOOKUP(AA50,W44:X51,2,FALSE)),"🔴","🟢")</f>
        <v>🟢</v>
      </c>
      <c r="AF50" s="1353"/>
      <c r="AG50" s="1353"/>
      <c r="AH50" s="1353"/>
    </row>
    <row r="51" spans="2:34" ht="20" thickBot="1">
      <c r="B51" s="1353"/>
      <c r="C51" s="1654" t="s">
        <v>411</v>
      </c>
      <c r="D51" s="1664">
        <v>0.97</v>
      </c>
      <c r="E51" s="962" t="str">
        <f>'INDICES QSP 🍔'!R95</f>
        <v/>
      </c>
      <c r="F51" s="1303"/>
      <c r="G51" s="1296" t="e" cm="1">
        <f t="array" ref="G51">INDEX($C$44:$C$51,
SMALL(
IF($E$44:$E$51=H51,
ROW($E$44:$E$51)-ROW($E$44)+1),
COUNTIF($H$44:H51,H51)
)
)</f>
        <v>#NUM!</v>
      </c>
      <c r="H51" s="1300" t="e">
        <f>LARGE($E$44:$E$51,1)</f>
        <v>#NUM!</v>
      </c>
      <c r="I51" s="1365" t="e">
        <f>IF(G51=C51,F51,IF(G51=C44,F44,IF(G51=C45,F45,IF(G51=C46,F46,IF(G51=C47,F47,IF(G51=C48,F48,IF(G51=C49,F49,IF(G51=C50,F50))))))))</f>
        <v>#NUM!</v>
      </c>
      <c r="J51" s="1667" t="e">
        <f t="shared" si="16"/>
        <v>#NUM!</v>
      </c>
      <c r="K51" s="1340" t="str">
        <f>IFERROR(IF(VLOOKUP(G51,G44:H51,2,FALSE)&lt;(VLOOKUP(G51,C44:D51,2,FALSE)),"🔴","🟢"),"")</f>
        <v/>
      </c>
      <c r="L51" s="1353"/>
      <c r="M51" s="1654" t="s">
        <v>411</v>
      </c>
      <c r="N51" s="1664">
        <v>0.97</v>
      </c>
      <c r="O51" s="1279">
        <f>IFERROR('INDICES QSP 🍔'!R102,"")</f>
        <v>0.93548387096774188</v>
      </c>
      <c r="P51" s="1461">
        <v>0.9242424242424242</v>
      </c>
      <c r="Q51" s="1296" t="str" cm="1">
        <f t="array" ref="Q51">INDEX($M$44:$M$51,
SMALL(
IF($O$44:$O$51=R51,
ROW($O$44:$O$51)-ROW($O$44)+1),
COUNTIF($R$44:R51,R51)
)
)</f>
        <v>PDB</v>
      </c>
      <c r="R51" s="1300">
        <f>LARGE($O$44:$O$51,1)</f>
        <v>1</v>
      </c>
      <c r="S51" s="1365">
        <f>IF(Q51=M51,P51,IF(Q51=M44,P44,IF(Q51=M45,P45,IF(Q51=M46,P46,IF(Q51=M47,P47,IF(Q51=M48,P48,IF(Q51=M49,P49,IF(Q51=M50,P50))))))))</f>
        <v>0.97297297297297303</v>
      </c>
      <c r="T51" s="1667">
        <f t="shared" si="17"/>
        <v>2.7027027027026973E-2</v>
      </c>
      <c r="U51" s="1695" t="str">
        <f>IFERROR(IF(VLOOKUP(Q51,Q44:R51,2,FALSE)&lt;(VLOOKUP(Q51,M44:N51,2,FALSE)),"🔴","🟢"),"")</f>
        <v>🟢</v>
      </c>
      <c r="V51" s="1353"/>
      <c r="W51" s="1654" t="s">
        <v>411</v>
      </c>
      <c r="X51" s="1705">
        <f>+'PREV 2026'!X13</f>
        <v>0.75868852459016389</v>
      </c>
      <c r="Y51" s="1262">
        <f>'GLOBAL 26'!Y13</f>
        <v>0.76108674515732933</v>
      </c>
      <c r="Z51" s="1351">
        <v>0.75558264443253087</v>
      </c>
      <c r="AA51" s="1314" t="str">
        <f t="shared" si="15"/>
        <v>BELLEY</v>
      </c>
      <c r="AB51" s="1288">
        <f>LARGE($Y$44:$Y$51,1)</f>
        <v>0.77097864705595864</v>
      </c>
      <c r="AC51" s="1352">
        <f>IF(AA51=W44,Z44,IF(AA51=W45,Z45,IF(AA51=W46,Z46,IF(AA51=W47,Z47,IF(AA51=W48,Z48,IF(AA51=W49,Z49,IF(AA51=W50,Z50,IF(AA51=W51,Z51))))))))</f>
        <v>0.76399469739031134</v>
      </c>
      <c r="AD51" s="1673">
        <f t="shared" si="18"/>
        <v>6.9839496656473044E-3</v>
      </c>
      <c r="AE51" s="1340" t="str">
        <f>IF(VLOOKUP(AA51,AA44:AB51,2,FALSE)&lt;(VLOOKUP(AA51,W44:X51,2,FALSE)),"🔴","🟢")</f>
        <v>🟢</v>
      </c>
      <c r="AF51" s="1353"/>
      <c r="AG51" s="1353"/>
      <c r="AH51" s="1353"/>
    </row>
    <row r="52" spans="2:34" ht="18" thickBot="1">
      <c r="B52" s="1353"/>
      <c r="C52" s="1353"/>
      <c r="D52" s="1355"/>
      <c r="E52" s="1353"/>
      <c r="F52" s="1353"/>
      <c r="G52" s="1353"/>
      <c r="H52" s="1353"/>
      <c r="I52" s="1353"/>
      <c r="J52" s="1353"/>
      <c r="K52" s="1353"/>
      <c r="L52" s="1353"/>
      <c r="M52" s="1353"/>
      <c r="N52" s="1353"/>
      <c r="O52" s="1353"/>
      <c r="P52" s="1353"/>
      <c r="Q52" s="1353"/>
      <c r="R52" s="1353"/>
      <c r="S52" s="1353"/>
      <c r="T52" s="1353"/>
      <c r="U52" s="1353"/>
      <c r="V52" s="1353"/>
      <c r="W52" s="1353"/>
      <c r="X52" s="1355"/>
      <c r="Y52" s="1353"/>
      <c r="Z52" s="1353"/>
      <c r="AA52" s="1359"/>
      <c r="AB52" s="1353"/>
      <c r="AC52" s="1353"/>
      <c r="AD52" s="1353"/>
      <c r="AE52" s="1353"/>
      <c r="AF52" s="1353"/>
      <c r="AG52" s="1353"/>
      <c r="AH52" s="1353"/>
    </row>
    <row r="53" spans="2:34" ht="20">
      <c r="B53" s="1353"/>
      <c r="C53" s="1660" t="s">
        <v>431</v>
      </c>
      <c r="D53" s="1661" t="s">
        <v>499</v>
      </c>
      <c r="E53" s="1747" t="s">
        <v>420</v>
      </c>
      <c r="F53" s="1748"/>
      <c r="G53" s="1748"/>
      <c r="H53" s="1748"/>
      <c r="I53" s="1748"/>
      <c r="J53" s="1748"/>
      <c r="K53" s="1624"/>
      <c r="L53" s="1353"/>
      <c r="M53" s="1660" t="s">
        <v>7</v>
      </c>
      <c r="N53" s="1661" t="s">
        <v>499</v>
      </c>
      <c r="O53" s="1747" t="s">
        <v>440</v>
      </c>
      <c r="P53" s="1748"/>
      <c r="Q53" s="1748"/>
      <c r="R53" s="1748"/>
      <c r="S53" s="1748"/>
      <c r="T53" s="1748"/>
      <c r="U53" s="1749"/>
      <c r="V53" s="1353"/>
      <c r="W53" s="1660" t="s">
        <v>293</v>
      </c>
      <c r="X53" s="1661" t="s">
        <v>499</v>
      </c>
      <c r="Y53" s="1747" t="s">
        <v>420</v>
      </c>
      <c r="Z53" s="1748"/>
      <c r="AA53" s="1748"/>
      <c r="AB53" s="1748"/>
      <c r="AC53" s="1748"/>
      <c r="AD53" s="1748"/>
      <c r="AE53" s="1749"/>
      <c r="AF53" s="1353"/>
      <c r="AG53" s="1353"/>
      <c r="AH53" s="1353"/>
    </row>
    <row r="54" spans="2:34" ht="19">
      <c r="B54" s="1353"/>
      <c r="C54" s="1363" t="s">
        <v>69</v>
      </c>
      <c r="D54" s="1668">
        <v>0.97</v>
      </c>
      <c r="E54" s="1278">
        <f>'INDICES QSP 🍔'!D87</f>
        <v>0.98899999999999999</v>
      </c>
      <c r="F54" s="1714">
        <v>0.98899999999999999</v>
      </c>
      <c r="G54" s="1293" t="str" cm="1">
        <f t="array" ref="G54">INDEX($C$54:$C$61,
SMALL(
IF($E$54:$E$61=H54,
ROW($E$54:$E$61)-ROW($E$54)+1),
COUNTIF($H$54:H54,H54)
)
)</f>
        <v>FRANCIN</v>
      </c>
      <c r="H54" s="1299">
        <f>LARGE($E$54:$E$61,8)</f>
        <v>0.86599999999999999</v>
      </c>
      <c r="I54" s="1371">
        <f>IF(G54=C54,F54,IF(G54=C55,F55,IF(G54=C56,F56,IF(G54=C57,F57,IF(G54=C58,F58,IF(G54=C59,F59,IF(G54=C60,F60,IF(G54=C61,F61))))))))</f>
        <v>0.86599999999999999</v>
      </c>
      <c r="J54" s="1628">
        <f>H54-I54</f>
        <v>0</v>
      </c>
      <c r="K54" s="1694" t="str">
        <f>IFERROR(IF(VLOOKUP(G54,G54:H61,2,FALSE)&lt;(VLOOKUP(G54,C54:D61,2,FALSE)),"🔴","🟢"),"")</f>
        <v>🔴</v>
      </c>
      <c r="L54" s="1353"/>
      <c r="M54" s="1363" t="s">
        <v>69</v>
      </c>
      <c r="N54" s="1657">
        <v>103</v>
      </c>
      <c r="O54" s="1322">
        <f>+'INDICES RH 🤝'!D25</f>
        <v>98.675362428269409</v>
      </c>
      <c r="P54" s="1327">
        <v>95.398845096201384</v>
      </c>
      <c r="Q54" s="1293" t="str" cm="1">
        <f t="array" ref="Q54">INDEX($M$54:$M$61,
SMALL(
IF($O$54:$O$61=R54,
ROW($O$54:$O$61)-ROW($O$54)+1),
COUNTIF($R$54:R54,R54)
)
)</f>
        <v>AIX LES BAINS</v>
      </c>
      <c r="R54" s="1289">
        <f>LARGE($O$54:$O$61,8)</f>
        <v>88.140673848187646</v>
      </c>
      <c r="S54" s="1656">
        <f>IF(Q54=M54,P54,IF(Q54=M55,P55,IF(Q54=M56,P56,IF(Q54=M57,P57,IF(Q54=M58,P58,IF(Q54=M59,P59,IF(Q54=M60,P60,IF(Q54=M61,P61))))))))</f>
        <v>98.249069923800988</v>
      </c>
      <c r="T54" s="1627">
        <f>R54-S54</f>
        <v>-10.108396075613342</v>
      </c>
      <c r="U54" s="1694" t="str">
        <f>IF(VLOOKUP(Q54,Q54:R62,2,FALSE)&lt;(VLOOKUP(Q54,M54:N62,2,FALSE)),"🔴","🟢")</f>
        <v>🔴</v>
      </c>
      <c r="V54" s="1353"/>
      <c r="W54" s="1363" t="s">
        <v>69</v>
      </c>
      <c r="X54" s="1678">
        <f>'PREV 2026'!C20</f>
        <v>0.23469231238038099</v>
      </c>
      <c r="Y54" s="1284">
        <f>'GLOBAL 26'!D20</f>
        <v>0.24409100864948322</v>
      </c>
      <c r="Z54" s="994">
        <f>'GLOBAL 26'!D20-'GLOBAL PREV'!D20</f>
        <v>0</v>
      </c>
      <c r="AA54" s="1313" t="str">
        <f t="shared" ref="AA54:AA61" si="19">INDEX($W$54:$W$61,MATCH(AB54,$Y$54:$Y$61,0))</f>
        <v>FRANCIN</v>
      </c>
      <c r="AB54" s="1287">
        <f>LARGE($Y$54:$Y$61,1)</f>
        <v>0.26437709467975806</v>
      </c>
      <c r="AC54" s="1349">
        <f>IF(AA54=W54,Z54,IF(AA54=W55,Z55,IF(AA54=W56,Z56,IF(AA54=W57,Z57,IF(AA54=W58,Z58,IF(AA54=W59,Z59,IF(AA54=W60,Z60,IF(AA54=W61,Z61))))))))</f>
        <v>0</v>
      </c>
      <c r="AD54" s="1672">
        <f>AB54-AC54</f>
        <v>0.26437709467975806</v>
      </c>
      <c r="AE54" s="1674" t="str">
        <f>IF(VLOOKUP(AA54,AA54:AB61,2,FALSE)&gt;(VLOOKUP(AA54,W54:X61,2,FALSE)),"🔴","🟢")</f>
        <v>🔴</v>
      </c>
      <c r="AF54" s="1353"/>
      <c r="AG54" s="1353"/>
      <c r="AH54" s="1353"/>
    </row>
    <row r="55" spans="2:34" ht="19">
      <c r="B55" s="1353"/>
      <c r="C55" s="1363" t="s">
        <v>29</v>
      </c>
      <c r="D55" s="1663">
        <v>0.97</v>
      </c>
      <c r="E55" s="962">
        <f>'INDICES QSP 🍔'!F87</f>
        <v>0.98699999999999999</v>
      </c>
      <c r="F55" s="1714">
        <v>0.98899999999999999</v>
      </c>
      <c r="G55" s="1293" t="str" cm="1">
        <f t="array" ref="G55">INDEX($C$54:$C$61,
SMALL(
IF($E$54:$E$61=H55,
ROW($E$54:$E$61)-ROW($E$54)+1),
COUNTIF($H$54:H55,H55)
)
)</f>
        <v>ST ALBAN</v>
      </c>
      <c r="H55" s="1299">
        <f>LARGE($E$54:$E$61,7)</f>
        <v>0.96599999999999997</v>
      </c>
      <c r="I55" s="1371">
        <f>IF(G55=C55,F55,IF(G55=C56,F56,IF(G55=C57,F57,IF(G55=C58,F58,IF(G55=C59,F59,IF(G55=C60,F60,IF(G55=C61,F61,IF(G55=C54,F54))))))))</f>
        <v>0.96599999999999997</v>
      </c>
      <c r="J55" s="1628">
        <f t="shared" ref="J55:J61" si="20">H55-I55</f>
        <v>0</v>
      </c>
      <c r="K55" s="1694" t="str">
        <f>IFERROR(IF(VLOOKUP(G55,G54:H61,2,FALSE)&lt;(VLOOKUP(G55,C54:D61,2,FALSE)),"🔴","🟢"),"")</f>
        <v>🔴</v>
      </c>
      <c r="L55" s="1353"/>
      <c r="M55" s="1363" t="s">
        <v>29</v>
      </c>
      <c r="N55" s="1658">
        <v>99</v>
      </c>
      <c r="O55" s="1323">
        <f>+'INDICES RH 🤝'!F25</f>
        <v>88.140673848187646</v>
      </c>
      <c r="P55" s="1327">
        <v>98.249069923800988</v>
      </c>
      <c r="Q55" s="1293" t="str" cm="1">
        <f t="array" ref="Q55">INDEX($M$54:$M$61,
SMALL(
IF($O$54:$O$61=R55,
ROW($O$54:$O$61)-ROW($O$54)+1),
COUNTIF($R$54:R55,R55)
)
)</f>
        <v>BELLEY</v>
      </c>
      <c r="R55" s="1289">
        <f>LARGE($O$54:$O$61,7)</f>
        <v>89.220627615062753</v>
      </c>
      <c r="S55" s="1330">
        <f>IF(Q55=M55,P55,IF(Q55=M56,P56,IF(Q55=M57,P57,IF(Q55=M58,P58,IF(Q55=M59,P59,IF(Q55=M60,P60,IF(Q55=M61,P61,IF(Q55=M54,P54))))))))</f>
        <v>101.86706735335335</v>
      </c>
      <c r="T55" s="1627">
        <f t="shared" ref="T55:T61" si="21">R55-S55</f>
        <v>-12.646439738290596</v>
      </c>
      <c r="U55" s="1694" t="str">
        <f>IF(VLOOKUP(Q55,Q54:R62,2,FALSE)&lt;(VLOOKUP(Q55,M54:N62,2,FALSE)),"🔴","🟢")</f>
        <v>🔴</v>
      </c>
      <c r="V55" s="1353"/>
      <c r="W55" s="1363" t="s">
        <v>29</v>
      </c>
      <c r="X55" s="1679">
        <f>'PREV 2026'!F20</f>
        <v>0.24271226232926257</v>
      </c>
      <c r="Y55" s="963">
        <f>'GLOBAL 26'!G20</f>
        <v>0.23646537817612953</v>
      </c>
      <c r="Z55" s="994">
        <f>'GLOBAL 26'!G20-'GLOBAL PREV'!G20</f>
        <v>0</v>
      </c>
      <c r="AA55" s="1313" t="str">
        <f t="shared" si="19"/>
        <v>VIVIERS DU LAC</v>
      </c>
      <c r="AB55" s="1287">
        <f>LARGE($Y$54:$Y$61,2)</f>
        <v>0.26398958172172987</v>
      </c>
      <c r="AC55" s="1349">
        <f>IF(AA55=W54,Z54,IF(AA55=W55,Z55,IF(AA55=W56,Z56,IF(AA55=W57,Z57,IF(AA55=W58,Z58,IF(AA55=W59,Z59,IF(AA55=W60,Z60,IF(AA55=W61,Z61))))))))</f>
        <v>0</v>
      </c>
      <c r="AD55" s="1672">
        <f t="shared" ref="AD55:AD61" si="22">AB55-AC55</f>
        <v>0.26398958172172987</v>
      </c>
      <c r="AE55" s="1339" t="str">
        <f>IF(VLOOKUP(AA55,AA54:AB61,2,FALSE)&gt;(VLOOKUP(AA55,W54:X61,2,FALSE)),"🔴","🟢")</f>
        <v>🟢</v>
      </c>
      <c r="AF55" s="1353"/>
      <c r="AG55" s="1353"/>
      <c r="AH55" s="1353"/>
    </row>
    <row r="56" spans="2:34" ht="19">
      <c r="B56" s="1353"/>
      <c r="C56" s="1363" t="s">
        <v>30</v>
      </c>
      <c r="D56" s="1663">
        <v>0.97</v>
      </c>
      <c r="E56" s="962">
        <f>'INDICES QSP 🍔'!H87</f>
        <v>1</v>
      </c>
      <c r="F56" s="1714">
        <v>1</v>
      </c>
      <c r="G56" s="1293" t="str" cm="1">
        <f t="array" ref="G56">INDEX($C$54:$C$61,
SMALL(
IF($E$54:$E$61=H56,
ROW($E$54:$E$61)-ROW($E$54)+1),
COUNTIF($H$54:H56,H56)
)
)</f>
        <v>AIX LES BAINS</v>
      </c>
      <c r="H56" s="1299">
        <f>LARGE($E$54:$E$61,6)</f>
        <v>0.98699999999999999</v>
      </c>
      <c r="I56" s="1371">
        <f>IF(G56=C56,F56,IF(G56=C57,F57,IF(G56=C58,F58,IF(G56=C59,F59,IF(G56=C60,F60,IF(G56=C61,F61,IF(G56=C54,F54,IF(G56=C55,F55))))))))</f>
        <v>0.98899999999999999</v>
      </c>
      <c r="J56" s="1628">
        <f t="shared" si="20"/>
        <v>-2.0000000000000018E-3</v>
      </c>
      <c r="K56" s="1694" t="str">
        <f>IFERROR(IF(VLOOKUP(G56,G54:H61,2,FALSE)&lt;(VLOOKUP(G56,C54:D61,2,FALSE)),"🔴","🟢"),"")</f>
        <v>🟢</v>
      </c>
      <c r="L56" s="1353"/>
      <c r="M56" s="1363" t="s">
        <v>30</v>
      </c>
      <c r="N56" s="1658">
        <v>98</v>
      </c>
      <c r="O56" s="1323">
        <f>+'INDICES RH 🤝'!H25</f>
        <v>89.220627615062753</v>
      </c>
      <c r="P56" s="1327">
        <v>101.86706735335335</v>
      </c>
      <c r="Q56" s="1293" t="str" cm="1">
        <f t="array" ref="Q56">INDEX($M$54:$M$61,
SMALL(
IF($O$54:$O$61=R56,
ROW($O$54:$O$61)-ROW($O$54)+1),
COUNTIF($R$54:R56,R56)
)
)</f>
        <v>ST ALBAN</v>
      </c>
      <c r="R56" s="1289">
        <f>LARGE($O$54:$O$61,6)</f>
        <v>95.349957810452239</v>
      </c>
      <c r="S56" s="1330">
        <f>IF(Q56=M56,P56,IF(Q56=M57,P57,IF(Q56=M58,P58,IF(Q56=M59,P59,IF(Q56=M60,P60,IF(Q56=M61,P61,IF(Q56=M54,P54,IF(Q56=M55,P55))))))))</f>
        <v>85.063390955421312</v>
      </c>
      <c r="T56" s="1627">
        <f t="shared" si="21"/>
        <v>10.286566855030927</v>
      </c>
      <c r="U56" s="1694" t="str">
        <f>IF(VLOOKUP(Q56,Q54:R62,2,FALSE)&lt;(VLOOKUP(Q56,M54:N62,2,FALSE)),"🔴","🟢")</f>
        <v>🔴</v>
      </c>
      <c r="V56" s="1353"/>
      <c r="W56" s="1363" t="s">
        <v>30</v>
      </c>
      <c r="X56" s="1679">
        <f>'PREV 2026'!I20</f>
        <v>0.25080056694475306</v>
      </c>
      <c r="Y56" s="963">
        <f>'GLOBAL 26'!J20</f>
        <v>0.25327291960351905</v>
      </c>
      <c r="Z56" s="994">
        <f>'GLOBAL 26'!J20-'GLOBAL PREV'!J20</f>
        <v>0</v>
      </c>
      <c r="AA56" s="1313" t="str">
        <f t="shared" si="19"/>
        <v>LES ABRETS</v>
      </c>
      <c r="AB56" s="1287">
        <f>LARGE($Y$54:$Y$61,3)</f>
        <v>0.25878280086758554</v>
      </c>
      <c r="AC56" s="1349">
        <f>IF(AA56=W54,Z54,IF(AA56=W55,Z55,IF(AA56=W56,Z56,IF(AA56=W57,Z57,IF(AA56=W58,Z58,IF(AA56=W59,Z59,IF(AA56=W60,Z60,IF(AA56=W61,Z61))))))))</f>
        <v>0</v>
      </c>
      <c r="AD56" s="1672">
        <f t="shared" si="22"/>
        <v>0.25878280086758554</v>
      </c>
      <c r="AE56" s="1339" t="str">
        <f>IF(VLOOKUP(AA56,AA54:AB61,2,FALSE)&gt;(VLOOKUP(AA56,W54:X61,2,FALSE)),"🔴","🟢")</f>
        <v>🟢</v>
      </c>
      <c r="AF56" s="1353"/>
      <c r="AG56" s="1353"/>
      <c r="AH56" s="1353"/>
    </row>
    <row r="57" spans="2:34" ht="19">
      <c r="B57" s="1353"/>
      <c r="C57" s="1363" t="s">
        <v>31</v>
      </c>
      <c r="D57" s="1663">
        <v>0.97</v>
      </c>
      <c r="E57" s="962">
        <f>'INDICES QSP 🍔'!J87</f>
        <v>0.96599999999999997</v>
      </c>
      <c r="F57" s="1714">
        <v>0.96599999999999997</v>
      </c>
      <c r="G57" s="1293" t="str" cm="1">
        <f t="array" ref="G57">INDEX($C$54:$C$61,
SMALL(
IF($E$54:$E$61=H57,
ROW($E$54:$E$61)-ROW($E$54)+1),
COUNTIF($H$54:H57,H57)
)
)</f>
        <v>VIVIERS DU LAC</v>
      </c>
      <c r="H57" s="1299">
        <f>LARGE($E$54:$E$61,5)</f>
        <v>0.98699999999999999</v>
      </c>
      <c r="I57" s="1371">
        <f>IF(G57=C57,F57,IF(G57=C58,F58,IF(G57=C59,F59,IF(G57=C60,F60,IF(G57=C61,F61,IF(G57=C54,F54,IF(G57=C55,F55,IF(G57=C56,F56))))))))</f>
        <v>0.98899999999999999</v>
      </c>
      <c r="J57" s="1628">
        <f t="shared" si="20"/>
        <v>-2.0000000000000018E-3</v>
      </c>
      <c r="K57" s="1694" t="str">
        <f>IFERROR(IF(VLOOKUP(G57,G54:H61,2,FALSE)&lt;(VLOOKUP(G57,C54:D61,2,FALSE)),"🔴","🟢"),"")</f>
        <v>🟢</v>
      </c>
      <c r="L57" s="1353"/>
      <c r="M57" s="1363" t="s">
        <v>31</v>
      </c>
      <c r="N57" s="1658">
        <v>100</v>
      </c>
      <c r="O57" s="1323">
        <f>+'INDICES RH 🤝'!J25</f>
        <v>95.349957810452239</v>
      </c>
      <c r="P57" s="1327">
        <v>85.063390955421312</v>
      </c>
      <c r="Q57" s="1293" t="str" cm="1">
        <f t="array" ref="Q57">INDEX($M$54:$M$61,
SMALL(
IF($O$54:$O$61=R57,
ROW($O$54:$O$61)-ROW($O$54)+1),
COUNTIF($R$54:R57,R57)
)
)</f>
        <v>CHAMNORD</v>
      </c>
      <c r="R57" s="1289">
        <f>LARGE($O$54:$O$61,5)</f>
        <v>98.675362428269409</v>
      </c>
      <c r="S57" s="1330">
        <f>IF(Q57=M57,P57,IF(Q57=M58,P58,IF(Q57=M59,P59,IF(Q57=M60,P60,IF(Q57=M61,P61,IF(Q57=M54,P54,IF(Q57=M55,P55,IF(Q57=M56,P56))))))))</f>
        <v>95.398845096201384</v>
      </c>
      <c r="T57" s="1627">
        <f t="shared" si="21"/>
        <v>3.2765173320680248</v>
      </c>
      <c r="U57" s="1694" t="str">
        <f>IF(VLOOKUP(Q57,Q54:R62,2,FALSE)&lt;(VLOOKUP(Q57,M54:N62,2,FALSE)),"🔴","🟢")</f>
        <v>🔴</v>
      </c>
      <c r="V57" s="1353"/>
      <c r="W57" s="1363" t="s">
        <v>31</v>
      </c>
      <c r="X57" s="1679">
        <f>'PREV 2026'!L20</f>
        <v>0.23751246616096258</v>
      </c>
      <c r="Y57" s="963">
        <f>'GLOBAL 26'!M20</f>
        <v>0.23940999856562387</v>
      </c>
      <c r="Z57" s="994">
        <f>'GLOBAL 26'!M20-'GLOBAL PREV'!M20</f>
        <v>0</v>
      </c>
      <c r="AA57" s="1313" t="str">
        <f t="shared" si="19"/>
        <v>BELLEY</v>
      </c>
      <c r="AB57" s="1287">
        <f>LARGE($Y$54:$Y$61,4)</f>
        <v>0.25327291960351905</v>
      </c>
      <c r="AC57" s="1349">
        <f>IF(AA57=W54,Z54,IF(AA57=W55,Z55,IF(AA57=W56,Z56,IF(AA57=W57,Z57,IF(AA57=W58,Z58,IF(AA57=W59,Z59,IF(AA57=W60,Z60,IF(AA57=W61,Z61))))))))</f>
        <v>0</v>
      </c>
      <c r="AD57" s="1672">
        <f t="shared" si="22"/>
        <v>0.25327291960351905</v>
      </c>
      <c r="AE57" s="1339" t="str">
        <f>IF(VLOOKUP(AA57,AA54:AB61,2,FALSE)&gt;(VLOOKUP(AA57,W54:X61,2,FALSE)),"🔴","🟢")</f>
        <v>🔴</v>
      </c>
      <c r="AF57" s="1353"/>
      <c r="AG57" s="1353"/>
      <c r="AH57" s="1353"/>
    </row>
    <row r="58" spans="2:34" ht="19">
      <c r="B58" s="1353"/>
      <c r="C58" s="1363" t="s">
        <v>32</v>
      </c>
      <c r="D58" s="1663">
        <v>0.97</v>
      </c>
      <c r="E58" s="962">
        <f>'INDICES QSP 🍔'!L87</f>
        <v>1.0000005000000001</v>
      </c>
      <c r="F58" s="1714">
        <v>1.0000009999999999</v>
      </c>
      <c r="G58" s="1293" t="str" cm="1">
        <f t="array" ref="G58">INDEX($C$54:$C$61,
SMALL(
IF($E$54:$E$61=H58,
ROW($E$54:$E$61)-ROW($E$54)+1),
COUNTIF($H$54:H58,H58)
)
)</f>
        <v>CHAMNORD</v>
      </c>
      <c r="H58" s="1299">
        <f>LARGE($E$54:$E$61,4)</f>
        <v>0.98899999999999999</v>
      </c>
      <c r="I58" s="1371">
        <f>IF(G58=C58,F58,IF(G58=C59,F59,IF(G58=C60,F60,IF(G58=C61,F61,IF(G58=C54,F54,IF(G58=C55,F55,IF(G58=C56,F56,IF(G58=C57,F57))))))))</f>
        <v>0.98899999999999999</v>
      </c>
      <c r="J58" s="1628">
        <f t="shared" si="20"/>
        <v>0</v>
      </c>
      <c r="K58" s="1694" t="str">
        <f>IFERROR(IF(VLOOKUP(G58,G54:H61,2,FALSE)&lt;(VLOOKUP(G58,C54:D61,2,FALSE)),"🔴","🟢"),"")</f>
        <v>🟢</v>
      </c>
      <c r="L58" s="1353"/>
      <c r="M58" s="1363" t="s">
        <v>32</v>
      </c>
      <c r="N58" s="1658">
        <v>98</v>
      </c>
      <c r="O58" s="1323">
        <f>+'INDICES RH 🤝'!L25</f>
        <v>110.79664353560706</v>
      </c>
      <c r="P58" s="1327">
        <v>100.425079405183</v>
      </c>
      <c r="Q58" s="1293" t="str" cm="1">
        <f t="array" ref="Q58">INDEX($M$54:$M$61,
SMALL(
IF($O$54:$O$61=R58,
ROW($O$54:$O$61)-ROW($O$54)+1),
COUNTIF($R$54:R58,R58)
)
)</f>
        <v>VIVIERS DU LAC</v>
      </c>
      <c r="R58" s="1289">
        <f>LARGE($O$54:$O$61,4)</f>
        <v>98.676203263788452</v>
      </c>
      <c r="S58" s="1330">
        <f>IF(Q58=M58,P58,IF(Q58=M59,P59,IF(Q58=M60,P60,IF(Q58=M61,P61,IF(Q58=M54,P54,IF(Q58=M55,P55,IF(Q58=M56,P56,IF(Q58=M57,P57))))))))</f>
        <v>100.48126888862781</v>
      </c>
      <c r="T58" s="1627">
        <f t="shared" si="21"/>
        <v>-1.805065624839358</v>
      </c>
      <c r="U58" s="1694" t="str">
        <f>IF(VLOOKUP(Q58,Q54:R62,2,FALSE)&lt;(VLOOKUP(Q58,M54:N62,2,FALSE)),"🔴","🟢")</f>
        <v>🟢</v>
      </c>
      <c r="V58" s="1353"/>
      <c r="W58" s="1363" t="s">
        <v>32</v>
      </c>
      <c r="X58" s="1679">
        <f>'PREV 2026'!O20</f>
        <v>0.26216759393555472</v>
      </c>
      <c r="Y58" s="963">
        <f>'GLOBAL 26'!P20</f>
        <v>0.25878280086758554</v>
      </c>
      <c r="Z58" s="994">
        <f>'GLOBAL 26'!P20-'GLOBAL PREV'!P20</f>
        <v>0</v>
      </c>
      <c r="AA58" s="1313" t="str">
        <f t="shared" si="19"/>
        <v>PDB</v>
      </c>
      <c r="AB58" s="1287">
        <f>LARGE($Y$54:$Y$61,5)</f>
        <v>0.24805251328827316</v>
      </c>
      <c r="AC58" s="1349">
        <f>IF(AA58=W54,Z54,IF(AA58=W55,Z55,IF(AA58=W56,Z56,IF(AA58=W57,Z57,IF(AA58=W58,Z58,IF(AA58=W59,Z59,IF(AA58=W60,Z60,IF(AA58=W61,Z61))))))))</f>
        <v>0</v>
      </c>
      <c r="AD58" s="1672">
        <f t="shared" si="22"/>
        <v>0.24805251328827316</v>
      </c>
      <c r="AE58" s="1339" t="str">
        <f>IF(VLOOKUP(AA58,AA54:AB61,2,FALSE)&gt;(VLOOKUP(AA58,W54:X61,2,FALSE)),"🔴","🟢")</f>
        <v>🟢</v>
      </c>
      <c r="AF58" s="1353"/>
      <c r="AG58" s="1353"/>
      <c r="AH58" s="1353"/>
    </row>
    <row r="59" spans="2:34" ht="19">
      <c r="B59" s="1353"/>
      <c r="C59" s="1363" t="s">
        <v>253</v>
      </c>
      <c r="D59" s="1663">
        <v>0.97</v>
      </c>
      <c r="E59" s="962">
        <f>'INDICES QSP 🍔'!N87</f>
        <v>1</v>
      </c>
      <c r="F59" s="1714">
        <v>1</v>
      </c>
      <c r="G59" s="1293" t="str" cm="1">
        <f t="array" ref="G59">INDEX($C$54:$C$61,
SMALL(
IF($E$54:$E$61=H59,
ROW($E$54:$E$61)-ROW($E$54)+1),
COUNTIF($H$54:H59,H59)
)
)</f>
        <v>BELLEY</v>
      </c>
      <c r="H59" s="1299">
        <f>LARGE($E$54:$E$61,3)</f>
        <v>1</v>
      </c>
      <c r="I59" s="1371">
        <f>IF(G59=C59,F59,IF(G59=C60,F60,IF(G59=C61,F61,IF(G59=C54,F54,IF(G59=C55,F55,IF(G59=C56,F56,IF(G59=C57,F57,IF(G59=C58,F58))))))))</f>
        <v>1</v>
      </c>
      <c r="J59" s="1628">
        <f t="shared" si="20"/>
        <v>0</v>
      </c>
      <c r="K59" s="1694" t="str">
        <f>IFERROR(IF(VLOOKUP(G59,G54:H61,2,FALSE)&lt;(VLOOKUP(G59,C54:D61,2,FALSE)),"🔴","🟢"),"")</f>
        <v>🟢</v>
      </c>
      <c r="L59" s="1353"/>
      <c r="M59" s="1363" t="s">
        <v>253</v>
      </c>
      <c r="N59" s="1658">
        <v>99</v>
      </c>
      <c r="O59" s="1323">
        <f>+'INDICES RH 🤝'!N25</f>
        <v>105.19937205651492</v>
      </c>
      <c r="P59" s="1327">
        <v>93.340686274509807</v>
      </c>
      <c r="Q59" s="1293" t="str" cm="1">
        <f t="array" ref="Q59">INDEX($M$54:$M$61,
SMALL(
IF($O$54:$O$61=R59,
ROW($O$54:$O$61)-ROW($O$54)+1),
COUNTIF($R$54:R59,R59)
)
)</f>
        <v>FRANCIN</v>
      </c>
      <c r="R59" s="1289">
        <f>LARGE($O$54:$O$61,3)</f>
        <v>100.4186650072851</v>
      </c>
      <c r="S59" s="1330">
        <f>IF(Q59=M59,P59,IF(Q59=M60,P60,IF(Q59=M61,P61,IF(Q59=M54,P54,IF(Q59=M55,P55,IF(Q59=M56,P56,IF(Q59=M57,P57,IF(Q59=M58,P58))))))))</f>
        <v>98.842921167054044</v>
      </c>
      <c r="T59" s="1627">
        <f t="shared" si="21"/>
        <v>1.5757438402310555</v>
      </c>
      <c r="U59" s="1694" t="str">
        <f>IF(VLOOKUP(Q59,Q54:R62,2,FALSE)&lt;(VLOOKUP(Q59,M54:N62,2,FALSE)),"🔴","🟢")</f>
        <v>🟢</v>
      </c>
      <c r="V59" s="1353"/>
      <c r="W59" s="1363" t="s">
        <v>253</v>
      </c>
      <c r="X59" s="1679">
        <f>'PREV 2026'!R20</f>
        <v>0.25162603096102981</v>
      </c>
      <c r="Y59" s="963">
        <f>'GLOBAL 26'!S20</f>
        <v>0.24805251328827316</v>
      </c>
      <c r="Z59" s="1350">
        <f>'GLOBAL 26'!S20-'GLOBAL PREV'!S20</f>
        <v>0</v>
      </c>
      <c r="AA59" s="1313" t="str">
        <f t="shared" si="19"/>
        <v>CHAMNORD</v>
      </c>
      <c r="AB59" s="1287">
        <f>LARGE($Y$54:$Y$61,6)</f>
        <v>0.24409100864948322</v>
      </c>
      <c r="AC59" s="1349">
        <f>IF(AA59=W54,Z54,IF(AA59=W55,Z55,IF(AA59=W56,Z56,IF(AA59=W57,Z57,IF(AA59=W58,Z58,IF(AA59=W59,Z59,IF(AA59=W60,Z60,IF(AA59=W61,Z61))))))))</f>
        <v>0</v>
      </c>
      <c r="AD59" s="1672">
        <f t="shared" si="22"/>
        <v>0.24409100864948322</v>
      </c>
      <c r="AE59" s="1339" t="str">
        <f>IF(VLOOKUP(AA59,AA54:AB61,2,FALSE)&gt;(VLOOKUP(AA59,W54:X61,2,FALSE)),"🔴","🟢")</f>
        <v>🔴</v>
      </c>
      <c r="AF59" s="1353"/>
      <c r="AG59" s="1353"/>
      <c r="AH59" s="1353"/>
    </row>
    <row r="60" spans="2:34" ht="19">
      <c r="B60" s="1353"/>
      <c r="C60" s="1363" t="s">
        <v>34</v>
      </c>
      <c r="D60" s="1663">
        <v>0.97</v>
      </c>
      <c r="E60" s="962">
        <f>IFERROR('INDICES QSP 🍔'!P87,"")</f>
        <v>0.86599999999999999</v>
      </c>
      <c r="F60" s="1714">
        <v>0.86599999999999999</v>
      </c>
      <c r="G60" s="1293" t="str" cm="1">
        <f t="array" ref="G60">INDEX($C$54:$C$61,
SMALL(
IF($E$54:$E$61=H60,
ROW($E$54:$E$61)-ROW($E$54)+1),
COUNTIF($H$54:H60,H60)
)
)</f>
        <v>PDB</v>
      </c>
      <c r="H60" s="1299">
        <f>LARGE($E$54:$E$61,2)</f>
        <v>1</v>
      </c>
      <c r="I60" s="1371">
        <f>IF(G60=C60,F60,IF(G60=C61,F61,IF(G60=C54,F54,IF(G60=C55,F55,IF(G60=C56,F56,IF(G60=C57,F57,IF(G60=C58,F58,IF(G60=C59,F59))))))))</f>
        <v>1</v>
      </c>
      <c r="J60" s="1628">
        <f t="shared" si="20"/>
        <v>0</v>
      </c>
      <c r="K60" s="1694" t="str">
        <f>IFERROR(IF(VLOOKUP(G60,G54:H61,2,FALSE)&lt;(VLOOKUP(G60,C54:D61,2,FALSE)),"🔴","🟢"),"")</f>
        <v>🟢</v>
      </c>
      <c r="L60" s="1353"/>
      <c r="M60" s="1363" t="s">
        <v>34</v>
      </c>
      <c r="N60" s="1658">
        <v>96</v>
      </c>
      <c r="O60" s="1323">
        <f>+'INDICES RH 🤝'!P25</f>
        <v>100.4186650072851</v>
      </c>
      <c r="P60" s="1327">
        <v>98.842921167054044</v>
      </c>
      <c r="Q60" s="1293" t="str" cm="1">
        <f t="array" ref="Q60">INDEX($M$54:$M$61,
SMALL(
IF($O$54:$O$61=R60,
ROW($O$54:$O$61)-ROW($O$54)+1),
COUNTIF($R$54:R60,R60)
)
)</f>
        <v>PDB</v>
      </c>
      <c r="R60" s="1289">
        <f>LARGE($O$54:$O$61,2)</f>
        <v>105.19937205651492</v>
      </c>
      <c r="S60" s="1330">
        <f>IF(Q60=M60,P60,IF(Q60=M61,P61,IF(Q60=M54,P54,IF(Q60=M55,P55,IF(Q60=M56,P56,IF(Q60=M57,P57,IF(Q60=M58,P58,IF(Q60=M59,P59))))))))</f>
        <v>93.340686274509807</v>
      </c>
      <c r="T60" s="1627">
        <f t="shared" si="21"/>
        <v>11.858685782005111</v>
      </c>
      <c r="U60" s="1694" t="str">
        <f>IF(VLOOKUP(Q60,Q54:R62,2,FALSE)&lt;(VLOOKUP(Q60,M54:N62,2,FALSE)),"🔴","🟢")</f>
        <v>🟢</v>
      </c>
      <c r="V60" s="1353"/>
      <c r="W60" s="1363" t="s">
        <v>34</v>
      </c>
      <c r="X60" s="1679">
        <f>'PREV 2026'!U20</f>
        <v>0.25952904611359523</v>
      </c>
      <c r="Y60" s="963">
        <f>'GLOBAL 26'!V20</f>
        <v>0.26437709467975806</v>
      </c>
      <c r="Z60" s="994">
        <f>'GLOBAL 26'!V20-'GLOBAL PREV'!V20</f>
        <v>0</v>
      </c>
      <c r="AA60" s="1313" t="str">
        <f t="shared" si="19"/>
        <v>ST ALBAN</v>
      </c>
      <c r="AB60" s="1287">
        <f>LARGE($Y$54:$Y$61,7)</f>
        <v>0.23940999856562387</v>
      </c>
      <c r="AC60" s="1349">
        <f>IF(AA60=W54,Z54,IF(AA60=W55,Z55,IF(AA60=W56,Z56,IF(AA60=W57,Z57,IF(AA60=W58,Z58,IF(AA60=W59,Z59,IF(AA60=W60,Z60,IF(AA60=W61,Z61))))))))</f>
        <v>0</v>
      </c>
      <c r="AD60" s="1672">
        <f t="shared" si="22"/>
        <v>0.23940999856562387</v>
      </c>
      <c r="AE60" s="1339" t="str">
        <f>IF(VLOOKUP(AA60,AA54:AB61,2,FALSE)&gt;(VLOOKUP(AA60,W54:X61,2,FALSE)),"🔴","🟢")</f>
        <v>🔴</v>
      </c>
      <c r="AF60" s="1353"/>
      <c r="AG60" s="1353"/>
      <c r="AH60" s="1353"/>
    </row>
    <row r="61" spans="2:34" ht="20" thickBot="1">
      <c r="B61" s="1353"/>
      <c r="C61" s="1654" t="s">
        <v>411</v>
      </c>
      <c r="D61" s="1664">
        <v>0.97</v>
      </c>
      <c r="E61" s="1279">
        <f>IFERROR('INDICES QSP 🍔'!R87,"")</f>
        <v>0.98699999999999999</v>
      </c>
      <c r="F61" s="1715">
        <v>0.98899999999999999</v>
      </c>
      <c r="G61" s="1296" t="str" cm="1">
        <f t="array" ref="G61">INDEX($C$54:$C$61,
SMALL(
IF($E$54:$E$61=H61,
ROW($E$54:$E$61)-ROW($E$54)+1),
COUNTIF($H$54:H61,H61)
)
)</f>
        <v>LES ABRETS</v>
      </c>
      <c r="H61" s="1300">
        <f>LARGE($E$54:$E$61,1)</f>
        <v>1.0000005000000001</v>
      </c>
      <c r="I61" s="1365">
        <f>IF(G61=C61,F61,IF(G61=C54,F54,IF(G61=C55,F55,IF(G61=C56,F56,IF(G61=C57,F57,IF(G61=C58,F58,IF(G61=C59,F59,IF(G61=C60,F60))))))))</f>
        <v>1.0000009999999999</v>
      </c>
      <c r="J61" s="1667">
        <f t="shared" si="20"/>
        <v>-4.9999999984784438E-7</v>
      </c>
      <c r="K61" s="1695" t="str">
        <f>IFERROR(IF(VLOOKUP(G61,G54:H61,2,FALSE)&lt;(VLOOKUP(G61,C54:D61,2,FALSE)),"🔴","🟢"),"")</f>
        <v>🟢</v>
      </c>
      <c r="L61" s="1353"/>
      <c r="M61" s="1654" t="s">
        <v>411</v>
      </c>
      <c r="N61" s="1659">
        <v>95</v>
      </c>
      <c r="O61" s="1324">
        <f>+'INDICES RH 🤝'!R25</f>
        <v>98.676203263788452</v>
      </c>
      <c r="P61" s="1328">
        <v>100.48126888862781</v>
      </c>
      <c r="Q61" s="1296" t="str" cm="1">
        <f t="array" ref="Q61">INDEX($M$54:$M$61,
SMALL(
IF($O$54:$O$61=R61,
ROW($O$54:$O$61)-ROW($O$54)+1),
COUNTIF($R$54:R61,R61)
)
)</f>
        <v>LES ABRETS</v>
      </c>
      <c r="R61" s="1290">
        <f>LARGE($O$54:$O$61,1)</f>
        <v>110.79664353560706</v>
      </c>
      <c r="S61" s="1331">
        <f>IF(Q61=M61,P61,IF(Q61=M54,P54,IF(Q61=M55,P55,IF(Q61=M56,P56,IF(Q61=M57,P57,IF(Q61=M58,P58,IF(Q61=M59,P59,IF(Q61=M60,P60))))))))</f>
        <v>100.425079405183</v>
      </c>
      <c r="T61" s="1655">
        <f t="shared" si="21"/>
        <v>10.371564130424062</v>
      </c>
      <c r="U61" s="1695" t="str">
        <f>IF(VLOOKUP(Q61,Q54:R62,2,FALSE)&lt;(VLOOKUP(Q61,M54:N62,2,FALSE)),"🔴","🟢")</f>
        <v>🟢</v>
      </c>
      <c r="V61" s="1353"/>
      <c r="W61" s="1654" t="s">
        <v>411</v>
      </c>
      <c r="X61" s="1684">
        <f>'PREV 2026'!X20</f>
        <v>0.26468420353907984</v>
      </c>
      <c r="Y61" s="1262">
        <f>'GLOBAL 26'!Y20</f>
        <v>0.26398958172172987</v>
      </c>
      <c r="Z61" s="1351">
        <f>'GLOBAL 26'!Y20-'GLOBAL PREV'!Y20</f>
        <v>0</v>
      </c>
      <c r="AA61" s="1314" t="str">
        <f t="shared" si="19"/>
        <v>AIX LES BAINS</v>
      </c>
      <c r="AB61" s="1288">
        <f>LARGE($Y$54:$Y$61,8)</f>
        <v>0.23646537817612953</v>
      </c>
      <c r="AC61" s="1352">
        <f>IF(AA61=W54,Z54,IF(AA61=W55,Z55,IF(AA61=W56,Z56,IF(AA61=W57,Z57,IF(AA61=W58,Z58,IF(AA61=W59,Z59,IF(AA61=W60,Z60,IF(AA61=W61,Z61))))))))</f>
        <v>0</v>
      </c>
      <c r="AD61" s="1673">
        <f t="shared" si="22"/>
        <v>0.23646537817612953</v>
      </c>
      <c r="AE61" s="1340" t="str">
        <f>IF(VLOOKUP(AA61,AA54:AB61,2,FALSE)&gt;(VLOOKUP(AA61,W54:X61,2,FALSE)),"🔴","🟢")</f>
        <v>🟢</v>
      </c>
      <c r="AF61" s="1353"/>
      <c r="AG61" s="1353"/>
      <c r="AH61" s="1353"/>
    </row>
    <row r="62" spans="2:34" ht="18" thickBot="1">
      <c r="B62" s="1353"/>
      <c r="C62" s="1353"/>
      <c r="D62" s="1355"/>
      <c r="E62" s="1353"/>
      <c r="F62" s="1353"/>
      <c r="G62" s="1353"/>
      <c r="H62" s="1353"/>
      <c r="I62" s="1353"/>
      <c r="J62" s="1353"/>
      <c r="K62" s="1353"/>
      <c r="L62" s="1353"/>
      <c r="M62" s="1353"/>
      <c r="N62" s="1353"/>
      <c r="O62" s="1353"/>
      <c r="P62" s="1353"/>
      <c r="Q62" s="1353"/>
      <c r="R62" s="1353"/>
      <c r="S62" s="1353"/>
      <c r="T62" s="1353"/>
      <c r="U62" s="1353"/>
      <c r="V62" s="1353"/>
      <c r="W62" s="1353"/>
      <c r="X62" s="1355"/>
      <c r="Y62" s="1353"/>
      <c r="Z62" s="1353"/>
      <c r="AA62" s="1359"/>
      <c r="AB62" s="1353"/>
      <c r="AC62" s="1353"/>
      <c r="AD62" s="1353"/>
      <c r="AE62" s="1353"/>
      <c r="AF62" s="1353"/>
      <c r="AG62" s="1353"/>
      <c r="AH62" s="1353"/>
    </row>
    <row r="63" spans="2:34" ht="20">
      <c r="B63" s="1353"/>
      <c r="C63" s="1660" t="s">
        <v>498</v>
      </c>
      <c r="D63" s="1661" t="s">
        <v>499</v>
      </c>
      <c r="E63" s="1747" t="s">
        <v>440</v>
      </c>
      <c r="F63" s="1748"/>
      <c r="G63" s="1748"/>
      <c r="H63" s="1748"/>
      <c r="I63" s="1748"/>
      <c r="J63" s="1748"/>
      <c r="K63" s="1624"/>
      <c r="L63" s="1353"/>
      <c r="M63" s="1660" t="s">
        <v>417</v>
      </c>
      <c r="N63" s="1661" t="s">
        <v>499</v>
      </c>
      <c r="O63" s="1747" t="s">
        <v>440</v>
      </c>
      <c r="P63" s="1748"/>
      <c r="Q63" s="1748"/>
      <c r="R63" s="1748"/>
      <c r="S63" s="1748"/>
      <c r="T63" s="1748"/>
      <c r="U63" s="1624"/>
      <c r="V63" s="1353"/>
      <c r="W63" s="1348" t="s">
        <v>160</v>
      </c>
      <c r="X63" s="1637"/>
      <c r="Y63" s="1747"/>
      <c r="Z63" s="1748"/>
      <c r="AA63" s="1748"/>
      <c r="AB63" s="1748"/>
      <c r="AC63" s="1748"/>
      <c r="AD63" s="1749"/>
      <c r="AE63" s="1353"/>
      <c r="AF63" s="1353"/>
      <c r="AG63" s="1353"/>
      <c r="AH63" s="1353"/>
    </row>
    <row r="64" spans="2:34" ht="19">
      <c r="B64" s="1353"/>
      <c r="C64" s="1363" t="s">
        <v>69</v>
      </c>
      <c r="D64" s="1685">
        <v>0.9</v>
      </c>
      <c r="E64" s="1284">
        <f>'INDICES QSP 🍔'!D65</f>
        <v>1</v>
      </c>
      <c r="F64" s="1689">
        <v>0.93100000000000005</v>
      </c>
      <c r="G64" s="1293" t="str" cm="1">
        <f t="array" ref="G64">INDEX($C$64:$C$71,
SMALL(
IF($E$64:$E$71=H64,
ROW($E$64:$E$71)-ROW($E$64)+1),
COUNTIF($H$64:H64,H64)
)
)</f>
        <v>ST ALBAN</v>
      </c>
      <c r="H64" s="1305">
        <f>LARGE($E$64:$E$71,8)</f>
        <v>0.871</v>
      </c>
      <c r="I64" s="1371">
        <f>IF(G64=C64,F64,IF(G64=C65,F65,IF(G64=C66,F66,IF(G64=C67,F67,IF(G64=C68,F68,IF(G64=C69,F69,IF(G64=C70,F70,IF(G64=C71,F71))))))))</f>
        <v>0.94499999999999995</v>
      </c>
      <c r="J64" s="1632">
        <f>H64-I64</f>
        <v>-7.3999999999999955E-2</v>
      </c>
      <c r="K64" s="1694" t="str">
        <f>IFERROR(IF(VLOOKUP(G64,G64:H71,2,FALSE)&lt;(VLOOKUP(G64,C64:D71,2,FALSE)),"🔴","🟢"),"")</f>
        <v>🔴</v>
      </c>
      <c r="L64" s="1353"/>
      <c r="M64" s="1363" t="s">
        <v>69</v>
      </c>
      <c r="N64" s="1643">
        <v>3.3</v>
      </c>
      <c r="O64" s="1269">
        <f>'INDICES QSP 🍔'!E65</f>
        <v>3.6</v>
      </c>
      <c r="P64" s="1333">
        <v>3.5</v>
      </c>
      <c r="Q64" s="1293" t="str" cm="1">
        <f t="array" ref="Q64">INDEX($M$64:$M$71,
SMALL(
IF($O$64:$O$71=R64,
ROW($O$64:$O$71)-ROW($O$64)+1),
COUNTIF($R$64:R64,R64)
)
)</f>
        <v>CHAMNORD</v>
      </c>
      <c r="R64" s="1321">
        <f>LARGE($O$64:$O$71,8)</f>
        <v>3.6</v>
      </c>
      <c r="S64" s="1325">
        <f>IF(Q64=M64,P64,IF(Q64=M65,P65,IF(Q64=M66,P66,IF(Q64=M67,P67,IF(Q64=M68,P68,IF(Q64=M69,P69,IF(Q64=M70,P70,IF(Q64=M71,P71))))))))</f>
        <v>3.5</v>
      </c>
      <c r="T64" s="1699">
        <f>R64-S64</f>
        <v>0.10000000000000009</v>
      </c>
      <c r="U64" s="1694" t="str">
        <f>IFERROR(IF(VLOOKUP(Q64,Q64:R71,2,FALSE)&lt;(VLOOKUP(Q64,M64:N71,2,FALSE)),"🔴","🟢"),"")</f>
        <v>🟢</v>
      </c>
      <c r="V64" s="1353"/>
      <c r="W64" s="1243" t="s">
        <v>69</v>
      </c>
      <c r="X64" s="1677"/>
      <c r="Y64" s="1284">
        <f>+'GLOBAL 26'!D34</f>
        <v>0.37859641020606349</v>
      </c>
      <c r="Z64" s="994">
        <f>'GLOBAL 26'!D34-'GLOBAL PREV'!D34</f>
        <v>0</v>
      </c>
      <c r="AA64" s="1313" t="str">
        <f t="shared" ref="AA64:AA71" si="23">INDEX($W$64:$W$71,MATCH(AB64,$Y$64:$Y$71,0))</f>
        <v>VIVIERS DU LAC</v>
      </c>
      <c r="AB64" s="1287">
        <f>LARGE($Y$64:$Y$71,8)</f>
        <v>0.33412100658127969</v>
      </c>
      <c r="AC64" s="1349">
        <f>IF(AA64=W64,Z64,IF(AA64=W65,Z65,IF(AA64=W66,Z66,IF(AA64=W67,Z67,IF(AA64=W68,Z68,IF(AA64=W69,Z69,IF(AA64=W70,Z70,IF(AA64=W71,Z71))))))))</f>
        <v>0</v>
      </c>
      <c r="AD64" s="1255"/>
      <c r="AE64" s="1353"/>
      <c r="AF64" s="1353"/>
      <c r="AG64" s="1353"/>
      <c r="AH64" s="1353"/>
    </row>
    <row r="65" spans="2:34" ht="19">
      <c r="B65" s="1353"/>
      <c r="C65" s="1363" t="s">
        <v>29</v>
      </c>
      <c r="D65" s="1686">
        <v>0.9</v>
      </c>
      <c r="E65" s="963">
        <f>'INDICES QSP 🍔'!F65</f>
        <v>0.97599999999999998</v>
      </c>
      <c r="F65" s="1689">
        <v>0.90300000000000002</v>
      </c>
      <c r="G65" s="1293" t="str" cm="1">
        <f t="array" ref="G65">INDEX($C$64:$C$71,
SMALL(
IF($E$64:$E$71=H65,
ROW($E$64:$E$71)-ROW($E$64)+1),
COUNTIF($H$64:H65,H65)
)
)</f>
        <v>LES ABRETS</v>
      </c>
      <c r="H65" s="1305">
        <f>LARGE($E$64:$E$71,7)</f>
        <v>0.93300000000000005</v>
      </c>
      <c r="I65" s="1371">
        <f>IF(G65=C65,F65,IF(G65=C66,F66,IF(G65=C67,F67,IF(G65=C68,F68,IF(G65=C69,F69,IF(G65=C70,F70,IF(G65=C71,F71,IF(G65=C64,F64))))))))</f>
        <v>0.96399999999999997</v>
      </c>
      <c r="J65" s="1632">
        <f t="shared" ref="J65:J71" si="24">H65-I65</f>
        <v>-3.0999999999999917E-2</v>
      </c>
      <c r="K65" s="1694" t="str">
        <f>IFERROR(IF(VLOOKUP(G65,G64:H71,2,FALSE)&lt;(VLOOKUP(G65,C64:D71,2,FALSE)),"🔴","🟢"),"")</f>
        <v>🟢</v>
      </c>
      <c r="L65" s="1353"/>
      <c r="M65" s="1363" t="s">
        <v>29</v>
      </c>
      <c r="N65" s="1644">
        <v>3.3</v>
      </c>
      <c r="O65" s="995">
        <f>'INDICES QSP 🍔'!G65</f>
        <v>4.8</v>
      </c>
      <c r="P65" s="1333">
        <v>3.9</v>
      </c>
      <c r="Q65" s="1293" t="str" cm="1">
        <f t="array" ref="Q65">INDEX($M$64:$M$71,
SMALL(
IF($O$64:$O$71=R65,
ROW($O$64:$O$71)-ROW($O$64)+1),
COUNTIF($R$64:R65,R65)
)
)</f>
        <v>FRANCIN</v>
      </c>
      <c r="R65" s="1321">
        <f>LARGE($O$64:$O$71,7)</f>
        <v>3.8</v>
      </c>
      <c r="S65" s="1325">
        <f>IF(Q65=M65,P65,IF(Q65=M66,P66,IF(Q65=M67,P67,IF(Q65=M68,P68,IF(Q65=M69,P69,IF(Q65=M70,P70,IF(Q65=M71,P71,IF(Q65=M64,P64))))))))</f>
        <v>3.2</v>
      </c>
      <c r="T65" s="1699">
        <f t="shared" ref="T65:T71" si="25">R65-S65</f>
        <v>0.59999999999999964</v>
      </c>
      <c r="U65" s="1694" t="str">
        <f>IFERROR(IF(VLOOKUP(Q65,Q64:R71,2,FALSE)&lt;(VLOOKUP(Q65,M64:N71,2,FALSE)),"🔴","🟢"),"")</f>
        <v>🟢</v>
      </c>
      <c r="V65" s="1353"/>
      <c r="W65" s="1243" t="s">
        <v>29</v>
      </c>
      <c r="X65" s="1675"/>
      <c r="Y65" s="963">
        <f>+'GLOBAL 26'!G34</f>
        <v>0.37980073750014332</v>
      </c>
      <c r="Z65" s="994">
        <f>'GLOBAL 26'!G34-'GLOBAL PREV'!G34</f>
        <v>0</v>
      </c>
      <c r="AA65" s="1313" t="str">
        <f t="shared" si="23"/>
        <v>LES ABRETS</v>
      </c>
      <c r="AB65" s="1287">
        <f>LARGE($Y$64:$Y$71,7)</f>
        <v>0.35486948850747657</v>
      </c>
      <c r="AC65" s="1349">
        <f>IF(AA65=W64,Z64,IF(AA65=W65,Z65,IF(AA65=W66,Z66,IF(AA65=W67,Z67,IF(AA65=W68,Z68,IF(AA65=W69,Z69,IF(AA65=W70,Z70,IF(AA65=W71,Z71))))))))</f>
        <v>0</v>
      </c>
      <c r="AD65" s="1255"/>
      <c r="AE65" s="1353"/>
      <c r="AF65" s="1353"/>
      <c r="AG65" s="1353"/>
      <c r="AH65" s="1353"/>
    </row>
    <row r="66" spans="2:34" ht="19">
      <c r="B66" s="1353"/>
      <c r="C66" s="1363" t="s">
        <v>30</v>
      </c>
      <c r="D66" s="1686">
        <v>0.9</v>
      </c>
      <c r="E66" s="963">
        <f>'INDICES QSP 🍔'!H65</f>
        <v>0.99</v>
      </c>
      <c r="F66" s="1689">
        <v>0.97099999999999997</v>
      </c>
      <c r="G66" s="1293" t="str" cm="1">
        <f t="array" ref="G66">INDEX($C$64:$C$71,
SMALL(
IF($E$64:$E$71=H66,
ROW($E$64:$E$71)-ROW($E$64)+1),
COUNTIF($H$64:H66,H66)
)
)</f>
        <v>FRANCIN</v>
      </c>
      <c r="H66" s="1305">
        <f>LARGE($E$64:$E$71,6)</f>
        <v>0.94299999999999995</v>
      </c>
      <c r="I66" s="1371">
        <f>IF(G66=C66,F66,IF(G66=C67,F67,IF(G66=C68,F68,IF(G66=C69,F69,IF(G66=C70,F70,IF(G66=C71,F71,IF(G66=C64,F64,IF(G66=C65,F65))))))))</f>
        <v>0.96</v>
      </c>
      <c r="J66" s="1632">
        <f t="shared" si="24"/>
        <v>-1.7000000000000015E-2</v>
      </c>
      <c r="K66" s="1694" t="str">
        <f>IFERROR(IF(VLOOKUP(G66,G64:H71,2,FALSE)&lt;(VLOOKUP(G66,C64:D71,2,FALSE)),"🔴","🟢"),"")</f>
        <v>🟢</v>
      </c>
      <c r="L66" s="1353"/>
      <c r="M66" s="1363" t="s">
        <v>30</v>
      </c>
      <c r="N66" s="1644">
        <v>3.3</v>
      </c>
      <c r="O66" s="995">
        <f>'INDICES QSP 🍔'!I65</f>
        <v>5</v>
      </c>
      <c r="P66" s="1333">
        <v>4.3</v>
      </c>
      <c r="Q66" s="1293" t="str" cm="1">
        <f t="array" ref="Q66">INDEX($M$64:$M$71,
SMALL(
IF($O$64:$O$71=R66,
ROW($O$64:$O$71)-ROW($O$64)+1),
COUNTIF($R$64:R66,R66)
)
)</f>
        <v>PDB</v>
      </c>
      <c r="R66" s="1321">
        <f>LARGE($O$64:$O$71,6)</f>
        <v>4.0999999999999996</v>
      </c>
      <c r="S66" s="1325">
        <f>IF(Q66=M66,P66,IF(Q66=M67,P67,IF(Q66=M68,P68,IF(Q66=M69,P69,IF(Q66=M70,P70,IF(Q66=M71,P71,IF(Q66=M64,P64,IF(Q66=M65,P65))))))))</f>
        <v>5</v>
      </c>
      <c r="T66" s="1699">
        <f t="shared" si="25"/>
        <v>-0.90000000000000036</v>
      </c>
      <c r="U66" s="1694" t="str">
        <f>IFERROR(IF(VLOOKUP(Q66,Q64:R71,2,FALSE)&lt;(VLOOKUP(Q66,M64:N71,2,FALSE)),"🔴","🟢"),"")</f>
        <v>🟢</v>
      </c>
      <c r="V66" s="1353"/>
      <c r="W66" s="1243" t="s">
        <v>30</v>
      </c>
      <c r="X66" s="1675"/>
      <c r="Y66" s="963">
        <f>+'GLOBAL 26'!J34</f>
        <v>0.38844611959225483</v>
      </c>
      <c r="Z66" s="994">
        <f>'GLOBAL 26'!J34-'GLOBAL PREV'!J34</f>
        <v>0</v>
      </c>
      <c r="AA66" s="1313" t="str">
        <f t="shared" si="23"/>
        <v>FRANCIN</v>
      </c>
      <c r="AB66" s="1287">
        <f>LARGE($Y$64:$Y$71,6)</f>
        <v>0.36086299200629512</v>
      </c>
      <c r="AC66" s="1349">
        <f>IF(AA66=W64,Z64,IF(AA66=W65,Z65,IF(AA66=W66,Z66,IF(AA66=W67,Z67,IF(AA66=W68,Z68,IF(AA66=W69,Z69,IF(AA66=W70,Z70,IF(AA66=W71,Z71))))))))</f>
        <v>0</v>
      </c>
      <c r="AD66" s="1255"/>
      <c r="AE66" s="1353"/>
      <c r="AF66" s="1353"/>
      <c r="AG66" s="1353"/>
      <c r="AH66" s="1353"/>
    </row>
    <row r="67" spans="2:34" ht="19">
      <c r="B67" s="1353"/>
      <c r="C67" s="1363" t="s">
        <v>31</v>
      </c>
      <c r="D67" s="1686">
        <v>0.9</v>
      </c>
      <c r="E67" s="963">
        <f>'INDICES QSP 🍔'!J65</f>
        <v>0.871</v>
      </c>
      <c r="F67" s="1689">
        <v>0.94499999999999995</v>
      </c>
      <c r="G67" s="1293" t="str" cm="1">
        <f t="array" ref="G67">INDEX($C$64:$C$71,
SMALL(
IF($E$64:$E$71=H67,
ROW($E$64:$E$71)-ROW($E$64)+1),
COUNTIF($H$64:H67,H67)
)
)</f>
        <v>PDB</v>
      </c>
      <c r="H67" s="1305">
        <f>LARGE($E$64:$E$71,5)</f>
        <v>0.96399999999999997</v>
      </c>
      <c r="I67" s="1371">
        <f>IF(G67=C67,F67,IF(G67=C68,F68,IF(G67=C69,F69,IF(G67=C70,F70,IF(G67=C71,F71,IF(G67=C64,F64,IF(G67=C65,F65,IF(G67=C66,F66))))))))</f>
        <v>0.84099999999999997</v>
      </c>
      <c r="J67" s="1632">
        <f t="shared" si="24"/>
        <v>0.123</v>
      </c>
      <c r="K67" s="1694" t="str">
        <f>IFERROR(IF(VLOOKUP(G67,G64:H71,2,FALSE)&lt;(VLOOKUP(G67,C64:D71,2,FALSE)),"🔴","🟢"),"")</f>
        <v>🟢</v>
      </c>
      <c r="L67" s="1353"/>
      <c r="M67" s="1363" t="s">
        <v>31</v>
      </c>
      <c r="N67" s="1644">
        <v>3.3</v>
      </c>
      <c r="O67" s="995">
        <f>'INDICES QSP 🍔'!K65</f>
        <v>4.5999999999999996</v>
      </c>
      <c r="P67" s="1333">
        <v>4.9000000000000004</v>
      </c>
      <c r="Q67" s="1293" t="str" cm="1">
        <f t="array" ref="Q67">INDEX($M$64:$M$71,
SMALL(
IF($O$64:$O$71=R67,
ROW($O$64:$O$71)-ROW($O$64)+1),
COUNTIF($R$64:R67,R67)
)
)</f>
        <v>ST ALBAN</v>
      </c>
      <c r="R67" s="1321">
        <f>LARGE($O$64:$O$71,5)</f>
        <v>4.5999999999999996</v>
      </c>
      <c r="S67" s="1325">
        <f>IF(Q67=M67,P67,IF(Q67=M68,P68,IF(Q67=M69,P69,IF(Q67=M70,P70,IF(Q67=M71,P71,IF(Q67=M64,P64,IF(Q67=M65,P65,IF(Q67=M66,P66))))))))</f>
        <v>4.9000000000000004</v>
      </c>
      <c r="T67" s="1699">
        <f t="shared" si="25"/>
        <v>-0.30000000000000071</v>
      </c>
      <c r="U67" s="1694" t="str">
        <f>IFERROR(IF(VLOOKUP(Q67,Q64:R71,2,FALSE)&lt;(VLOOKUP(Q67,M64:N71,2,FALSE)),"🔴","🟢"),"")</f>
        <v>🟢</v>
      </c>
      <c r="V67" s="1353"/>
      <c r="W67" s="1243" t="s">
        <v>31</v>
      </c>
      <c r="X67" s="1675"/>
      <c r="Y67" s="963">
        <f>+'GLOBAL 26'!M34</f>
        <v>0.37380438800801796</v>
      </c>
      <c r="Z67" s="994">
        <f>'GLOBAL 26'!M34-'GLOBAL PREV'!M34</f>
        <v>0</v>
      </c>
      <c r="AA67" s="1313" t="str">
        <f t="shared" si="23"/>
        <v>ST ALBAN</v>
      </c>
      <c r="AB67" s="1287">
        <f>LARGE($Y$64:$Y$71,5)</f>
        <v>0.37380438800801796</v>
      </c>
      <c r="AC67" s="1349">
        <f>IF(AA67=W64,Z64,IF(AA67=W65,Z65,IF(AA67=W66,Z66,IF(AA67=W67,Z67,IF(AA67=W68,Z68,IF(AA67=W69,Z69,IF(AA67=W70,Z70,IF(AA67=W71,Z71))))))))</f>
        <v>0</v>
      </c>
      <c r="AD67" s="1255"/>
      <c r="AE67" s="1353"/>
      <c r="AF67" s="1353"/>
      <c r="AG67" s="1353"/>
      <c r="AH67" s="1353"/>
    </row>
    <row r="68" spans="2:34" ht="19">
      <c r="B68" s="1353"/>
      <c r="C68" s="1363" t="s">
        <v>32</v>
      </c>
      <c r="D68" s="1686">
        <v>0.9</v>
      </c>
      <c r="E68" s="963">
        <f>'INDICES QSP 🍔'!L65</f>
        <v>0.93300000000000005</v>
      </c>
      <c r="F68" s="1689">
        <v>0.96399999999999997</v>
      </c>
      <c r="G68" s="1293" t="str" cm="1">
        <f t="array" ref="G68">INDEX($C$64:$C$71,
SMALL(
IF($E$64:$E$71=H68,
ROW($E$64:$E$71)-ROW($E$64)+1),
COUNTIF($H$64:H68,H68)
)
)</f>
        <v>AIX LES BAINS</v>
      </c>
      <c r="H68" s="1305">
        <f>LARGE($E$64:$E$71,4)</f>
        <v>0.97599999999999998</v>
      </c>
      <c r="I68" s="1371">
        <f>IF(G68=C68,F68,IF(G68=C69,F69,IF(G68=C70,F70,IF(G68=C71,F71,IF(G68=C64,F64,IF(G68=C65,F65,IF(G68=C66,F66,IF(G68=C67,F67))))))))</f>
        <v>0.90300000000000002</v>
      </c>
      <c r="J68" s="1632">
        <f t="shared" si="24"/>
        <v>7.2999999999999954E-2</v>
      </c>
      <c r="K68" s="1694" t="str">
        <f>IFERROR(IF(VLOOKUP(G68,G64:H71,2,FALSE)&lt;(VLOOKUP(G68,C64:D71,2,FALSE)),"🔴","🟢"),"")</f>
        <v>🟢</v>
      </c>
      <c r="L68" s="1353"/>
      <c r="M68" s="1363" t="s">
        <v>32</v>
      </c>
      <c r="N68" s="1644">
        <v>3.3</v>
      </c>
      <c r="O68" s="995">
        <f>'INDICES QSP 🍔'!M65</f>
        <v>5</v>
      </c>
      <c r="P68" s="1333">
        <v>4.3</v>
      </c>
      <c r="Q68" s="1293" t="str" cm="1">
        <f t="array" ref="Q68">INDEX($M$64:$M$71,
SMALL(
IF($O$64:$O$71=R68,
ROW($O$64:$O$71)-ROW($O$64)+1),
COUNTIF($R$64:R68,R68)
)
)</f>
        <v>AIX LES BAINS</v>
      </c>
      <c r="R68" s="1321">
        <f>LARGE($O$64:$O$71,4)</f>
        <v>4.8</v>
      </c>
      <c r="S68" s="1325">
        <f>IF(Q68=M68,P68,IF(Q68=M69,P69,IF(Q68=M70,P70,IF(Q68=M71,P71,IF(Q68=M64,P64,IF(Q68=M65,P65,IF(Q68=M66,P66,IF(Q68=M67,P67))))))))</f>
        <v>3.9</v>
      </c>
      <c r="T68" s="1699">
        <f t="shared" si="25"/>
        <v>0.89999999999999991</v>
      </c>
      <c r="U68" s="1694" t="str">
        <f>IFERROR(IF(VLOOKUP(Q68,Q64:R71,2,FALSE)&lt;(VLOOKUP(Q68,M64:N71,2,FALSE)),"🔴","🟢"),"")</f>
        <v>🟢</v>
      </c>
      <c r="V68" s="1353"/>
      <c r="W68" s="1243" t="s">
        <v>32</v>
      </c>
      <c r="X68" s="1675"/>
      <c r="Y68" s="963">
        <f>+'GLOBAL 26'!P34</f>
        <v>0.35486948850747657</v>
      </c>
      <c r="Z68" s="994">
        <f>'GLOBAL 26'!P34-'GLOBAL PREV'!P34</f>
        <v>0</v>
      </c>
      <c r="AA68" s="1313" t="str">
        <f t="shared" si="23"/>
        <v>CHAMNORD</v>
      </c>
      <c r="AB68" s="1287">
        <f>LARGE($Y$64:$Y$71,4)</f>
        <v>0.37859641020606349</v>
      </c>
      <c r="AC68" s="1349">
        <f>IF(AA68=W64,Z64,IF(AA68=W65,Z65,IF(AA68=W66,Z66,IF(AA68=W67,Z67,IF(AA68=W68,Z68,IF(AA68=W69,Z69,IF(AA68=W70,Z70,IF(AA68=W71,Z71))))))))</f>
        <v>0</v>
      </c>
      <c r="AD68" s="1255"/>
      <c r="AE68" s="1353"/>
      <c r="AF68" s="1353"/>
      <c r="AG68" s="1353"/>
      <c r="AH68" s="1353"/>
    </row>
    <row r="69" spans="2:34" ht="19">
      <c r="B69" s="1353"/>
      <c r="C69" s="1363" t="s">
        <v>253</v>
      </c>
      <c r="D69" s="1686">
        <v>0.9</v>
      </c>
      <c r="E69" s="963">
        <f>'INDICES QSP 🍔'!N65</f>
        <v>0.96399999999999997</v>
      </c>
      <c r="F69" s="1689">
        <v>0.84099999999999997</v>
      </c>
      <c r="G69" s="1293" t="str" cm="1">
        <f t="array" ref="G69">INDEX($C$64:$C$71,
SMALL(
IF($E$64:$E$71=H69,
ROW($E$64:$E$71)-ROW($E$64)+1),
COUNTIF($H$64:H69,H69)
)
)</f>
        <v>BELLEY</v>
      </c>
      <c r="H69" s="1305">
        <f>LARGE($E$64:$E$71,3)</f>
        <v>0.99</v>
      </c>
      <c r="I69" s="1371">
        <f>IF(G69=C69,F69,IF(G69=C70,F70,IF(G69=C71,F71,IF(G69=C64,F64,IF(G69=C65,F65,IF(G69=C66,F66,IF(G69=C67,F67,IF(G69=C68,F68))))))))</f>
        <v>0.97099999999999997</v>
      </c>
      <c r="J69" s="1632">
        <f t="shared" si="24"/>
        <v>1.9000000000000017E-2</v>
      </c>
      <c r="K69" s="1694" t="str">
        <f>IFERROR(IF(VLOOKUP(G69,G64:H71,2,FALSE)&lt;(VLOOKUP(G69,C64:D71,2,FALSE)),"🔴","🟢"),"")</f>
        <v>🟢</v>
      </c>
      <c r="L69" s="1353"/>
      <c r="M69" s="1363" t="s">
        <v>253</v>
      </c>
      <c r="N69" s="1644">
        <v>3.3</v>
      </c>
      <c r="O69" s="995">
        <f>'INDICES QSP 🍔'!O65</f>
        <v>4.0999999999999996</v>
      </c>
      <c r="P69" s="1333">
        <v>5</v>
      </c>
      <c r="Q69" s="1293" t="str" cm="1">
        <f t="array" ref="Q69">INDEX($M$64:$M$71,
SMALL(
IF($O$64:$O$71=R69,
ROW($O$64:$O$71)-ROW($O$64)+1),
COUNTIF($R$64:R69,R69)
)
)</f>
        <v>BELLEY</v>
      </c>
      <c r="R69" s="1321">
        <f>LARGE($O$64:$O$71,3)</f>
        <v>5</v>
      </c>
      <c r="S69" s="1325">
        <f>IF(Q69=M69,P69,IF(Q69=M70,P70,IF(Q69=M71,P71,IF(Q69=M64,P64,IF(Q69=M65,P65,IF(Q69=M66,P66,IF(Q69=M67,P67,IF(Q69=M68,P68))))))))</f>
        <v>4.3</v>
      </c>
      <c r="T69" s="1699">
        <f t="shared" si="25"/>
        <v>0.70000000000000018</v>
      </c>
      <c r="U69" s="1694" t="str">
        <f>IFERROR(IF(VLOOKUP(Q69,Q64:R71,2,FALSE)&lt;(VLOOKUP(Q69,M64:N71,2,FALSE)),"🔴","🟢"),"")</f>
        <v>🟢</v>
      </c>
      <c r="V69" s="1353"/>
      <c r="W69" s="1243" t="s">
        <v>253</v>
      </c>
      <c r="X69" s="1675"/>
      <c r="Y69" s="963">
        <f>+'GLOBAL 26'!S34</f>
        <v>0.38068625283881963</v>
      </c>
      <c r="Z69" s="1350">
        <f>'GLOBAL 26'!S34-'GLOBAL PREV'!S34</f>
        <v>0</v>
      </c>
      <c r="AA69" s="1313" t="str">
        <f t="shared" si="23"/>
        <v>AIX LES BAINS</v>
      </c>
      <c r="AB69" s="1287">
        <f>LARGE($Y$64:$Y$71,3)</f>
        <v>0.37980073750014332</v>
      </c>
      <c r="AC69" s="1349">
        <f>IF(AA69=W64,Z64,IF(AA69=W65,Z65,IF(AA69=W66,Z66,IF(AA69=W67,Z67,IF(AA69=W68,Z68,IF(AA69=W69,Z69,IF(AA69=W70,Z70,IF(AA69=W71,Z71))))))))</f>
        <v>0</v>
      </c>
      <c r="AD69" s="1255"/>
      <c r="AE69" s="1353"/>
      <c r="AF69" s="1353"/>
      <c r="AG69" s="1353"/>
      <c r="AH69" s="1353"/>
    </row>
    <row r="70" spans="2:34" ht="19">
      <c r="B70" s="1353"/>
      <c r="C70" s="1363" t="s">
        <v>34</v>
      </c>
      <c r="D70" s="1686">
        <v>0.9</v>
      </c>
      <c r="E70" s="963">
        <f>'INDICES QSP 🍔'!P65</f>
        <v>0.94299999999999995</v>
      </c>
      <c r="F70" s="1689">
        <v>0.96</v>
      </c>
      <c r="G70" s="1293" t="str" cm="1">
        <f t="array" ref="G70">INDEX($C$64:$C$71,
SMALL(
IF($E$64:$E$71=H70,
ROW($E$64:$E$71)-ROW($E$64)+1),
COUNTIF($H$64:H70,H70)
)
)</f>
        <v>CHAMNORD</v>
      </c>
      <c r="H70" s="1305">
        <f>LARGE($E$64:$E$71,2)</f>
        <v>1</v>
      </c>
      <c r="I70" s="1371">
        <f>IF(G70=C70,F70,IF(G70=C71,F71,IF(G70=C64,F64,IF(G70=C65,F65,IF(G70=C66,F66,IF(G70=C67,F67,IF(G70=C68,F68,IF(G70=C69,F69))))))))</f>
        <v>0.93100000000000005</v>
      </c>
      <c r="J70" s="1632">
        <f t="shared" si="24"/>
        <v>6.899999999999995E-2</v>
      </c>
      <c r="K70" s="1694" t="str">
        <f>IFERROR(IF(VLOOKUP(G70,G64:H71,2,FALSE)&lt;(VLOOKUP(G70,C64:D71,2,FALSE)),"🔴","🟢"),"")</f>
        <v>🟢</v>
      </c>
      <c r="L70" s="1354"/>
      <c r="M70" s="1363" t="s">
        <v>34</v>
      </c>
      <c r="N70" s="1644">
        <v>3.3</v>
      </c>
      <c r="O70" s="995">
        <f>'INDICES QSP 🍔'!Q65</f>
        <v>3.8</v>
      </c>
      <c r="P70" s="1333">
        <v>3.2</v>
      </c>
      <c r="Q70" s="1293" t="str" cm="1">
        <f t="array" ref="Q70">INDEX($M$64:$M$71,
SMALL(
IF($O$64:$O$71=R70,
ROW($O$64:$O$71)-ROW($O$64)+1),
COUNTIF($R$64:R70,R70)
)
)</f>
        <v>LES ABRETS</v>
      </c>
      <c r="R70" s="1321">
        <f>LARGE($O$64:$O$71,2)</f>
        <v>5</v>
      </c>
      <c r="S70" s="1372">
        <f>IF(Q70=M70,P70,IF(Q70=M71,P71,IF(Q70=M64,P64,IF(Q70=M65,P65,IF(Q70=M66,P66,IF(Q70=M67,P67,IF(Q70=M68,P68,IF(Q70=M69,P69))))))))</f>
        <v>4.3</v>
      </c>
      <c r="T70" s="1699">
        <f t="shared" si="25"/>
        <v>0.70000000000000018</v>
      </c>
      <c r="U70" s="1694" t="str">
        <f>IFERROR(IF(VLOOKUP(Q70,Q64:R71,2,FALSE)&lt;(VLOOKUP(Q70,M64:N71,2,FALSE)),"🔴","🟢"),"")</f>
        <v>🟢</v>
      </c>
      <c r="V70" s="1353"/>
      <c r="W70" s="1243" t="s">
        <v>34</v>
      </c>
      <c r="X70" s="1675"/>
      <c r="Y70" s="963">
        <f>+'GLOBAL 26'!V34</f>
        <v>0.36086299200629512</v>
      </c>
      <c r="Z70" s="994">
        <f>'GLOBAL 26'!V34-'GLOBAL PREV'!V34</f>
        <v>0</v>
      </c>
      <c r="AA70" s="1313" t="str">
        <f t="shared" si="23"/>
        <v>PDB</v>
      </c>
      <c r="AB70" s="1287">
        <f>LARGE($Y$64:$Y$71,2)</f>
        <v>0.38068625283881963</v>
      </c>
      <c r="AC70" s="1349">
        <f>IF(AA70=W64,Z64,IF(AA70=W65,Z65,IF(AA70=W66,Z66,IF(AA70=W67,Z67,IF(AA70=W68,Z68,IF(AA70=W69,Z69,IF(AA70=W70,Z70,IF(AA70=W71,Z71))))))))</f>
        <v>0</v>
      </c>
      <c r="AD70" s="1255"/>
      <c r="AE70" s="1353"/>
      <c r="AF70" s="1353"/>
      <c r="AG70" s="1353"/>
      <c r="AH70" s="1353"/>
    </row>
    <row r="71" spans="2:34" ht="20" thickBot="1">
      <c r="B71" s="1353"/>
      <c r="C71" s="1363" t="s">
        <v>411</v>
      </c>
      <c r="D71" s="1686">
        <v>0.9</v>
      </c>
      <c r="E71" s="963">
        <f>'INDICES QSP 🍔'!R65</f>
        <v>1</v>
      </c>
      <c r="F71" s="1689">
        <v>0.96599999999999997</v>
      </c>
      <c r="G71" s="1293" t="str" cm="1">
        <f t="array" ref="G71">INDEX($C$64:$C$71,
SMALL(
IF($E$64:$E$71=H71,
ROW($E$64:$E$71)-ROW($E$64)+1),
COUNTIF($H$64:H71,H71)
)
)</f>
        <v>VIVIERS DU LAC</v>
      </c>
      <c r="H71" s="1305">
        <f>LARGE($E$64:$E$71,1)</f>
        <v>1</v>
      </c>
      <c r="I71" s="1371">
        <f>IF(G71=C71,F71,IF(G71=C64,F64,IF(G71=C65,F65,IF(G71=C66,F66,IF(G71=C67,F67,IF(G71=C68,F68,IF(G71=C69,F69,IF(G71=C70,F70))))))))</f>
        <v>0.96599999999999997</v>
      </c>
      <c r="J71" s="1632">
        <f t="shared" si="24"/>
        <v>3.400000000000003E-2</v>
      </c>
      <c r="K71" s="1694" t="str">
        <f>IFERROR(IF(VLOOKUP(G71,G64:H71,2,FALSE)&lt;(VLOOKUP(G71,C64:D71,2,FALSE)),"🔴","🟢"),"")</f>
        <v>🟢</v>
      </c>
      <c r="L71" s="1354"/>
      <c r="M71" s="1363" t="s">
        <v>411</v>
      </c>
      <c r="N71" s="1644">
        <v>3.3</v>
      </c>
      <c r="O71" s="995">
        <f>'INDICES QSP 🍔'!S65</f>
        <v>5</v>
      </c>
      <c r="P71" s="1333">
        <v>4.2</v>
      </c>
      <c r="Q71" s="1293" t="str" cm="1">
        <f t="array" ref="Q71">INDEX($M$64:$M$71,
SMALL(
IF($O$64:$O$71=R71,
ROW($O$64:$O$71)-ROW($O$64)+1),
COUNTIF($R$64:R71,R71)
)
)</f>
        <v>VIVIERS DU LAC</v>
      </c>
      <c r="R71" s="1321">
        <f>LARGE($O$64:$O$71,1)</f>
        <v>5</v>
      </c>
      <c r="S71" s="1325">
        <f>IF(Q71=M71,P71,IF(Q71=M64,P64,IF(Q71=M65,P65,IF(Q71=M66,P66,IF(Q71=M67,P67,IF(Q71=M68,P68,IF(Q71=M69,P69,IF(Q71=M70,P70))))))))</f>
        <v>4.2</v>
      </c>
      <c r="T71" s="1699">
        <f t="shared" si="25"/>
        <v>0.79999999999999982</v>
      </c>
      <c r="U71" s="1694" t="str">
        <f>IFERROR(IF(VLOOKUP(Q71,Q64:R71,2,FALSE)&lt;(VLOOKUP(Q71,M64:N71,2,FALSE)),"🔴","🟢"),"")</f>
        <v>🟢</v>
      </c>
      <c r="V71" s="1353"/>
      <c r="W71" s="1245" t="s">
        <v>411</v>
      </c>
      <c r="X71" s="1676"/>
      <c r="Y71" s="1262">
        <f>+'GLOBAL 26'!Y34</f>
        <v>0.33412100658127969</v>
      </c>
      <c r="Z71" s="1351">
        <f>'GLOBAL 26'!Y34-'GLOBAL PREV'!Y34</f>
        <v>0</v>
      </c>
      <c r="AA71" s="1314" t="str">
        <f t="shared" si="23"/>
        <v>BELLEY</v>
      </c>
      <c r="AB71" s="1288">
        <f>LARGE($Y$64:$Y$71,1)</f>
        <v>0.38844611959225483</v>
      </c>
      <c r="AC71" s="1352">
        <f>IF(AA71=W64,Z64,IF(AA71=W65,Z65,IF(AA71=W66,Z66,IF(AA71=W67,Z67,IF(AA71=W68,Z68,IF(AA71=W69,Z69,IF(AA71=W70,Z70,IF(AA71=W71,Z71))))))))</f>
        <v>0</v>
      </c>
      <c r="AD71" s="1257"/>
      <c r="AE71" s="1353"/>
      <c r="AF71" s="1353"/>
      <c r="AG71" s="1353"/>
      <c r="AH71" s="1353"/>
    </row>
    <row r="72" spans="2:34" ht="20" thickBot="1">
      <c r="B72" s="1353"/>
      <c r="C72" s="1654" t="s">
        <v>37</v>
      </c>
      <c r="D72" s="1687">
        <v>0.9</v>
      </c>
      <c r="E72" s="1262">
        <f>'INDICES QSP 🍔'!T65</f>
        <v>0.96899999999999997</v>
      </c>
      <c r="F72" s="1338">
        <v>0.94799999999999995</v>
      </c>
      <c r="G72" s="1296"/>
      <c r="H72" s="1297"/>
      <c r="I72" s="1307"/>
      <c r="J72" s="1688"/>
      <c r="K72" s="1344"/>
      <c r="L72" s="1354"/>
      <c r="M72" s="1654" t="s">
        <v>37</v>
      </c>
      <c r="N72" s="1680">
        <v>3.3</v>
      </c>
      <c r="O72" s="1270">
        <f>'INDICES QSP 🍔'!U65</f>
        <v>4.3</v>
      </c>
      <c r="P72" s="1335">
        <v>4.4000000000000004</v>
      </c>
      <c r="Q72" s="1312"/>
      <c r="R72" s="1311"/>
      <c r="S72" s="1304"/>
      <c r="T72" s="1700"/>
      <c r="U72" s="1343"/>
      <c r="V72" s="1353"/>
      <c r="W72" s="1353"/>
      <c r="X72" s="1355"/>
      <c r="Y72" s="1353"/>
      <c r="Z72" s="1353"/>
      <c r="AA72" s="1353"/>
      <c r="AB72" s="1354"/>
      <c r="AC72" s="1353"/>
      <c r="AD72" s="1353"/>
      <c r="AE72" s="1353"/>
      <c r="AF72" s="1353"/>
      <c r="AG72" s="1353"/>
      <c r="AH72" s="1353"/>
    </row>
    <row r="73" spans="2:34" ht="20" thickBot="1">
      <c r="B73" s="1353"/>
      <c r="C73" s="1353"/>
      <c r="D73" s="1355"/>
      <c r="E73" s="1355"/>
      <c r="F73" s="1355"/>
      <c r="G73" s="1356"/>
      <c r="H73" s="1357"/>
      <c r="I73" s="1358"/>
      <c r="J73" s="1354"/>
      <c r="K73" s="1354"/>
      <c r="L73" s="1353"/>
      <c r="M73" s="1353"/>
      <c r="N73" s="1353"/>
      <c r="O73" s="1353"/>
      <c r="P73" s="1353"/>
      <c r="Q73" s="1353"/>
      <c r="R73" s="1353"/>
      <c r="S73" s="1353"/>
      <c r="T73" s="1353"/>
      <c r="U73" s="1353"/>
      <c r="V73" s="1353"/>
      <c r="W73" s="1353"/>
      <c r="X73" s="1355"/>
      <c r="Y73" s="1353"/>
      <c r="Z73" s="1354"/>
      <c r="AA73" s="1353"/>
      <c r="AB73" s="1353"/>
      <c r="AC73" s="1353"/>
      <c r="AD73" s="1353"/>
      <c r="AE73" s="1353"/>
      <c r="AF73" s="1353"/>
      <c r="AG73" s="1353"/>
      <c r="AH73" s="1353"/>
    </row>
    <row r="74" spans="2:34" ht="20">
      <c r="B74" s="1353"/>
      <c r="C74" s="1660" t="s">
        <v>262</v>
      </c>
      <c r="D74" s="1661" t="s">
        <v>499</v>
      </c>
      <c r="E74" s="1747" t="s">
        <v>440</v>
      </c>
      <c r="F74" s="1748"/>
      <c r="G74" s="1748"/>
      <c r="H74" s="1748"/>
      <c r="I74" s="1748"/>
      <c r="J74" s="1748"/>
      <c r="K74" s="1624"/>
      <c r="L74" s="1353"/>
      <c r="M74" s="1660" t="s">
        <v>262</v>
      </c>
      <c r="N74" s="1661" t="s">
        <v>499</v>
      </c>
      <c r="O74" s="1747" t="s">
        <v>420</v>
      </c>
      <c r="P74" s="1748"/>
      <c r="Q74" s="1748" t="s">
        <v>420</v>
      </c>
      <c r="R74" s="1748"/>
      <c r="S74" s="1748"/>
      <c r="T74" s="1748"/>
      <c r="U74" s="1624"/>
      <c r="V74" s="1353"/>
      <c r="W74" s="1348" t="s">
        <v>429</v>
      </c>
      <c r="X74" s="1637"/>
      <c r="Y74" s="1747"/>
      <c r="Z74" s="1748"/>
      <c r="AA74" s="1748"/>
      <c r="AB74" s="1748"/>
      <c r="AC74" s="1748"/>
      <c r="AD74" s="1749"/>
      <c r="AE74" s="1353"/>
      <c r="AF74" s="1353"/>
      <c r="AG74" s="1353"/>
      <c r="AH74" s="1353"/>
    </row>
    <row r="75" spans="2:34" ht="19">
      <c r="B75" s="1353"/>
      <c r="C75" s="1363" t="s">
        <v>69</v>
      </c>
      <c r="D75" s="1643">
        <v>50</v>
      </c>
      <c r="E75" s="1285">
        <f>OPH!P6</f>
        <v>41.499515838981878</v>
      </c>
      <c r="F75" s="1373">
        <v>72.029597616475129</v>
      </c>
      <c r="G75" s="1293" t="str" cm="1">
        <f t="array" ref="G75">INDEX($C$75:$C$82,
SMALL(
IF($E$75:$E$82=H75,
ROW($E$75:$E$82)-ROW($E$75)+1),
COUNTIF($H$75:H75,H75)
)
)</f>
        <v>ST ALBAN</v>
      </c>
      <c r="H75" s="1309">
        <f>LARGE($E$75:$E$82,1)</f>
        <v>101.85028008827024</v>
      </c>
      <c r="I75" s="1377">
        <f>IF(G75=C75,F75,IF(G75=C76,F76,IF(G75=C77,F77,IF(G75=C78,F78,IF(G75=C79,F79,IF(G75=C80,F80,IF(G75=C81,F81,IF(G75=C82,F82))))))))</f>
        <v>20.564283951632802</v>
      </c>
      <c r="J75" s="1629">
        <f>H75-I75</f>
        <v>81.285996136637436</v>
      </c>
      <c r="K75" s="1694" t="str">
        <f>IFERROR(IF(VLOOKUP(G75,G75:H82,2,FALSE)&gt;(VLOOKUP(G75,C75:D82,2,FALSE)),"🔴","🟢"),"")</f>
        <v>🔴</v>
      </c>
      <c r="L75" s="1353"/>
      <c r="M75" s="1363" t="s">
        <v>69</v>
      </c>
      <c r="N75" s="1643">
        <v>50</v>
      </c>
      <c r="O75" s="1285">
        <f>OPH!W6</f>
        <v>51.975680216605625</v>
      </c>
      <c r="P75" s="1696">
        <v>49.31419426891707</v>
      </c>
      <c r="Q75" s="1293" t="str" cm="1">
        <f t="array" ref="Q75">INDEX($M$75:$M$82,
SMALL(
IF($O$75:$O$82=R75,
ROW($O$75:$O$82)-ROW($O$75)+1),
COUNTIF($R$75:R75,R75)
)
)</f>
        <v>AIX LES BAINS</v>
      </c>
      <c r="R75" s="1309">
        <f>LARGE($O$75:$O$82,1)</f>
        <v>54.642174115680696</v>
      </c>
      <c r="S75" s="1377">
        <f>IF(Q75=M75,P75,IF(Q75=M76,P76,IF(Q75=M77,P77,IF(Q75=M78,P78,IF(Q75=M79,P79,IF(Q75=M80,P80,IF(Q75=M81,P81,IF(Q75=M82,P82))))))))</f>
        <v>54.763101266638316</v>
      </c>
      <c r="T75" s="1630">
        <f>R75-S75</f>
        <v>-0.12092715095761974</v>
      </c>
      <c r="U75" s="1694" t="str">
        <f>IFERROR(IF(VLOOKUP(Q75,Q75:R82,2,FALSE)&gt;(VLOOKUP(Q75,M75:N82,2,FALSE)),"🔴","🟢"),"")</f>
        <v>🔴</v>
      </c>
      <c r="V75" s="1353"/>
      <c r="W75" s="1361" t="s">
        <v>69</v>
      </c>
      <c r="X75" s="1681"/>
      <c r="Y75" s="1322">
        <f>'GLOBAL 26'!C58</f>
        <v>99515.879999999888</v>
      </c>
      <c r="Z75" s="1327">
        <v>27471.989999999969</v>
      </c>
      <c r="AA75" s="1292" t="str">
        <f t="shared" ref="AA75:AA82" si="26">INDEX($W$75:$W$82,MATCH(AB75,$Y$75:$Y$82,0))</f>
        <v>VIVIERS DU LAC</v>
      </c>
      <c r="AB75" s="1301">
        <f>LARGE($Y$75:$Y$82,8)</f>
        <v>-22340.920000000056</v>
      </c>
      <c r="AC75" s="1329">
        <f>IF(AA75=W75,Z75,IF(AA75=W76,Z76,IF(AA75=W77,Z77,IF(AA75=W78,Z78,IF(AA75=W79,Z79,IF(AA75=W80,Z80,IF(AA75=W81,Z81,IF(AA75=W82,Z82))))))))</f>
        <v>-6461.4800000000105</v>
      </c>
      <c r="AD75" s="1383"/>
      <c r="AE75" s="1353"/>
      <c r="AF75" s="1353"/>
      <c r="AG75" s="1353"/>
      <c r="AH75" s="1353"/>
    </row>
    <row r="76" spans="2:34" ht="19">
      <c r="B76" s="1353"/>
      <c r="C76" s="1363" t="s">
        <v>29</v>
      </c>
      <c r="D76" s="1643">
        <v>50</v>
      </c>
      <c r="E76" s="1285">
        <f>OPH!P7</f>
        <v>17.047391749062392</v>
      </c>
      <c r="F76" s="1373">
        <v>49.983933735584991</v>
      </c>
      <c r="G76" s="1293" t="str" cm="1">
        <f t="array" ref="G76">INDEX($C$75:$C$82,
SMALL(
IF($E$75:$E$82=H76,
ROW($E$75:$E$82)-ROW($E$75)+1),
COUNTIF($H$75:H76,H76)
)
)</f>
        <v>PDB</v>
      </c>
      <c r="H76" s="1309">
        <f>LARGE($E$75:$E$82,2)</f>
        <v>88.941595019270679</v>
      </c>
      <c r="I76" s="1377">
        <f>IF(G76=C76,F76,IF(G76=C77,F77,IF(G76=C78,F78,IF(G76=C79,F79,IF(G76=C80,F80,IF(G76=C81,F81,IF(G76=C82,F82,IF(G76=C75,F75))))))))</f>
        <v>13.785497656465399</v>
      </c>
      <c r="J76" s="1629">
        <f t="shared" ref="J76:J82" si="27">H76-I76</f>
        <v>75.156097362805284</v>
      </c>
      <c r="K76" s="1694" t="str">
        <f>IFERROR(IF(VLOOKUP(G76,G75:H82,2,FALSE)&gt;(VLOOKUP(G76,C75:D82,2,FALSE)),"🔴","🟢"),"")</f>
        <v>🔴</v>
      </c>
      <c r="L76" s="1353"/>
      <c r="M76" s="1363" t="s">
        <v>29</v>
      </c>
      <c r="N76" s="1644">
        <v>50</v>
      </c>
      <c r="O76" s="1056">
        <f>OPH!W7</f>
        <v>54.642174115680696</v>
      </c>
      <c r="P76" s="1696">
        <v>54.763101266638316</v>
      </c>
      <c r="Q76" s="1293" t="str" cm="1">
        <f t="array" ref="Q76">INDEX($M$75:$M$82,
SMALL(
IF($O$75:$O$82=R76,
ROW($O$75:$O$82)-ROW($O$75)+1),
COUNTIF($R$75:R76,R76)
)
)</f>
        <v>CHAMNORD</v>
      </c>
      <c r="R76" s="1309">
        <f>LARGE($O$75:$O$82,2)</f>
        <v>51.975680216605625</v>
      </c>
      <c r="S76" s="1377">
        <f>IF(Q76=M76,P76,IF(Q76=M77,P77,IF(Q76=M78,P78,IF(Q76=M79,P79,IF(Q76=M80,P80,IF(Q76=M81,P81,IF(Q76=M82,P82,IF(Q76=M75,P75))))))))</f>
        <v>49.31419426891707</v>
      </c>
      <c r="T76" s="1630">
        <f t="shared" ref="T76:T82" si="28">R76-S76</f>
        <v>2.6614859476885542</v>
      </c>
      <c r="U76" s="1694" t="str">
        <f>IFERROR(IF(VLOOKUP(Q76,Q75:R82,2,FALSE)&gt;(VLOOKUP(Q76,M75:N82,2,FALSE)),"🔴","🟢"),"")</f>
        <v>🔴</v>
      </c>
      <c r="V76" s="1353"/>
      <c r="W76" s="1361" t="s">
        <v>29</v>
      </c>
      <c r="X76" s="1682"/>
      <c r="Y76" s="1323">
        <f>'GLOBAL 26'!F58</f>
        <v>112562.35</v>
      </c>
      <c r="Z76" s="1327">
        <v>9580.409999999958</v>
      </c>
      <c r="AA76" s="1293" t="str">
        <f t="shared" si="26"/>
        <v>ST ALBAN</v>
      </c>
      <c r="AB76" s="1289">
        <f>LARGE($Y$75:$Y$82,7)</f>
        <v>41360.859999999986</v>
      </c>
      <c r="AC76" s="1330">
        <f>IF(AA76=W75,Z75,IF(AA76=W76,Z76,IF(AA76=W77,Z77,IF(AA76=W78,Z78,IF(AA76=W79,Z79,IF(AA76=W80,Z80,IF(AA76=W81,Z81,IF(AA76=W82,Z82))))))))</f>
        <v>11407.910000000025</v>
      </c>
      <c r="AD76" s="1383"/>
      <c r="AE76" s="1353"/>
      <c r="AF76" s="1353"/>
      <c r="AG76" s="1353"/>
      <c r="AH76" s="1353"/>
    </row>
    <row r="77" spans="2:34" ht="19">
      <c r="B77" s="1353"/>
      <c r="C77" s="1363" t="s">
        <v>30</v>
      </c>
      <c r="D77" s="1643">
        <v>50</v>
      </c>
      <c r="E77" s="1285">
        <f>OPH!P8</f>
        <v>23.030861354214647</v>
      </c>
      <c r="F77" s="1373">
        <v>43.93914428516505</v>
      </c>
      <c r="G77" s="1293" t="str" cm="1">
        <f t="array" ref="G77">INDEX($C$75:$C$82,
SMALL(
IF($E$75:$E$82=H77,
ROW($E$75:$E$82)-ROW($E$75)+1),
COUNTIF($H$75:H77,H77)
)
)</f>
        <v>CHAMNORD</v>
      </c>
      <c r="H77" s="1309">
        <f>LARGE($E$75:$E$82,3)</f>
        <v>41.499515838981878</v>
      </c>
      <c r="I77" s="1377">
        <f>IF(G77=C77,F77,IF(G77=C78,F78,IF(G77=C79,F79,IF(G77=C80,F80,IF(G77=C81,F81,IF(G77=C82,F82,IF(G77=C75,F75,IF(G77=C76,F76))))))))</f>
        <v>72.029597616475129</v>
      </c>
      <c r="J77" s="1629">
        <f t="shared" si="27"/>
        <v>-30.530081777493251</v>
      </c>
      <c r="K77" s="1694" t="str">
        <f>IFERROR(IF(VLOOKUP(G77,G75:H82,2,FALSE)&gt;(VLOOKUP(G77,C75:D82,2,FALSE)),"🔴","🟢"),"")</f>
        <v>🟢</v>
      </c>
      <c r="L77" s="1353"/>
      <c r="M77" s="1363" t="s">
        <v>30</v>
      </c>
      <c r="N77" s="1644">
        <v>50</v>
      </c>
      <c r="O77" s="1056">
        <f>OPH!W8</f>
        <v>32.266678534870266</v>
      </c>
      <c r="P77" s="1696">
        <v>43.59119547730112</v>
      </c>
      <c r="Q77" s="1293" t="str" cm="1">
        <f t="array" ref="Q77">INDEX($M$75:$M$82,
SMALL(
IF($O$75:$O$82=R77,
ROW($O$75:$O$82)-ROW($O$75)+1),
COUNTIF($R$75:R77,R77)
)
)</f>
        <v>FRANCIN</v>
      </c>
      <c r="R77" s="1309">
        <f>LARGE($O$75:$O$82,3)</f>
        <v>51.96004849604526</v>
      </c>
      <c r="S77" s="1377">
        <f>IF(Q77=M77,P77,IF(Q77=M78,P78,IF(Q77=M79,P79,IF(Q77=M80,P80,IF(Q77=M81,P81,IF(Q77=M82,P82,IF(Q77=M75,P75,IF(Q77=M76,P76))))))))</f>
        <v>75.824669101144039</v>
      </c>
      <c r="T77" s="1630">
        <f t="shared" si="28"/>
        <v>-23.864620605098779</v>
      </c>
      <c r="U77" s="1694" t="str">
        <f>IFERROR(IF(VLOOKUP(Q77,Q75:R82,2,FALSE)&gt;(VLOOKUP(Q77,M75:N82,2,FALSE)),"🔴","🟢"),"")</f>
        <v>🔴</v>
      </c>
      <c r="V77" s="1353"/>
      <c r="W77" s="1361" t="s">
        <v>30</v>
      </c>
      <c r="X77" s="1682"/>
      <c r="Y77" s="1323">
        <f>'GLOBAL 26'!I58</f>
        <v>104968.10000000005</v>
      </c>
      <c r="Z77" s="1327">
        <v>17726.549999999967</v>
      </c>
      <c r="AA77" s="1293" t="str">
        <f t="shared" si="26"/>
        <v>LES ABRETS</v>
      </c>
      <c r="AB77" s="1289">
        <f>LARGE($Y$75:$Y$82,6)</f>
        <v>54667.270000000033</v>
      </c>
      <c r="AC77" s="1330">
        <f>IF(AA77=W75,Z75,IF(AA77=W76,Z76,IF(AA77=W77,Z77,IF(AA77=W78,Z78,IF(AA77=W79,Z79,IF(AA77=W80,Z80,IF(AA77=W81,Z81,IF(AA77=W82,Z82))))))))</f>
        <v>6754.8800000000374</v>
      </c>
      <c r="AD77" s="1383"/>
      <c r="AE77" s="1353"/>
      <c r="AF77" s="1353"/>
      <c r="AG77" s="1353"/>
      <c r="AH77" s="1353"/>
    </row>
    <row r="78" spans="2:34" ht="19">
      <c r="B78" s="1353"/>
      <c r="C78" s="1363" t="s">
        <v>31</v>
      </c>
      <c r="D78" s="1643">
        <v>50</v>
      </c>
      <c r="E78" s="1285">
        <f>OPH!P9</f>
        <v>101.85028008827024</v>
      </c>
      <c r="F78" s="1373">
        <v>20.564283951632802</v>
      </c>
      <c r="G78" s="1293" t="str" cm="1">
        <f t="array" ref="G78">INDEX($C$75:$C$82,
SMALL(
IF($E$75:$E$82=H78,
ROW($E$75:$E$82)-ROW($E$75)+1),
COUNTIF($H$75:H78,H78)
)
)</f>
        <v>LES ABRETS</v>
      </c>
      <c r="H78" s="1309">
        <f>LARGE($E$75:$E$82,4)</f>
        <v>31.796502384737678</v>
      </c>
      <c r="I78" s="1377">
        <f>IF(G78=C78,F78,IF(G78=C79,F79,IF(G78=C80,F80,IF(G78=C81,F81,IF(G78=C82,F82,IF(G78=C75,F75,IF(G78=C76,F76,IF(G78=C77,F77))))))))</f>
        <v>60.277275467148883</v>
      </c>
      <c r="J78" s="1629">
        <f t="shared" si="27"/>
        <v>-28.480773082411204</v>
      </c>
      <c r="K78" s="1694" t="str">
        <f>IFERROR(IF(VLOOKUP(G78,G75:H82,2,FALSE)&gt;(VLOOKUP(G78,C75:D82,2,FALSE)),"🔴","🟢"),"")</f>
        <v>🟢</v>
      </c>
      <c r="L78" s="1353"/>
      <c r="M78" s="1363" t="s">
        <v>31</v>
      </c>
      <c r="N78" s="1644">
        <v>50</v>
      </c>
      <c r="O78" s="1056">
        <f>OPH!W9</f>
        <v>43.39627107677984</v>
      </c>
      <c r="P78" s="1696">
        <v>58.433839537337555</v>
      </c>
      <c r="Q78" s="1293" t="str" cm="1">
        <f t="array" ref="Q78">INDEX($M$75:$M$82,
SMALL(
IF($O$75:$O$82=R78,
ROW($O$75:$O$82)-ROW($O$75)+1),
COUNTIF($R$75:R78,R78)
)
)</f>
        <v>VIVIERS DU LAC</v>
      </c>
      <c r="R78" s="1309">
        <f>LARGE($O$75:$O$82,4)</f>
        <v>50.318421259532983</v>
      </c>
      <c r="S78" s="1377">
        <f>IF(Q78=M77,P77,IF(Q78=M78,P78,IF(Q78=M79,P79,IF(Q78=M80,P80,IF(Q78=M81,P81,IF(Q78=M82,P82,IF(Q78=M75,P75,IF(Q78=M76,P76))))))))</f>
        <v>94.645666207580788</v>
      </c>
      <c r="T78" s="1630">
        <f t="shared" si="28"/>
        <v>-44.327244948047806</v>
      </c>
      <c r="U78" s="1694" t="str">
        <f>IFERROR(IF(VLOOKUP(Q78,Q75:R82,2,FALSE)&gt;(VLOOKUP(Q78,M75:N82,2,FALSE)),"🔴","🟢"),"")</f>
        <v>🔴</v>
      </c>
      <c r="V78" s="1353"/>
      <c r="W78" s="1361" t="s">
        <v>31</v>
      </c>
      <c r="X78" s="1682"/>
      <c r="Y78" s="1323">
        <f>'GLOBAL 26'!L58</f>
        <v>41360.859999999986</v>
      </c>
      <c r="Z78" s="1327">
        <v>11407.910000000025</v>
      </c>
      <c r="AA78" s="1293" t="str">
        <f t="shared" si="26"/>
        <v>FRANCIN</v>
      </c>
      <c r="AB78" s="1289">
        <f>LARGE($Y$75:$Y$82,5)</f>
        <v>96308.15</v>
      </c>
      <c r="AC78" s="1330">
        <f>IF(AA78=W75,Z75,IF(AA78=W76,Z76,IF(AA78=W77,Z77,IF(AA78=W78,Z78,IF(AA78=W79,Z79,IF(AA78=W80,Z80,IF(AA78=W81,Z81,IF(AA78=W82,Z82))))))))</f>
        <v>18176.450000000023</v>
      </c>
      <c r="AD78" s="1383"/>
      <c r="AE78" s="1353"/>
      <c r="AF78" s="1353"/>
      <c r="AG78" s="1353"/>
      <c r="AH78" s="1353"/>
    </row>
    <row r="79" spans="2:34" ht="19">
      <c r="B79" s="1353"/>
      <c r="C79" s="1363" t="s">
        <v>32</v>
      </c>
      <c r="D79" s="1643">
        <v>50</v>
      </c>
      <c r="E79" s="1285">
        <f>OPH!P10</f>
        <v>31.796502384737678</v>
      </c>
      <c r="F79" s="1373">
        <v>60.277275467148883</v>
      </c>
      <c r="G79" s="1293" t="str" cm="1">
        <f t="array" ref="G79">INDEX($C$75:$C$82,
SMALL(
IF($E$75:$E$82=H79,
ROW($E$75:$E$82)-ROW($E$75)+1),
COUNTIF($H$75:H79,H79)
)
)</f>
        <v>FRANCIN</v>
      </c>
      <c r="H79" s="1309">
        <f>LARGE($E$75:$E$82,5)</f>
        <v>31.347962382445139</v>
      </c>
      <c r="I79" s="1377">
        <f>IF(G79=C79,F79,IF(G79=C80,F80,IF(G79=C81,F81,IF(G79=C82,F82,IF(G79=C75,F75,IF(G79=C76,F76,IF(G79=C77,F77,IF(G79=C78,F78))))))))</f>
        <v>60.670408008493858</v>
      </c>
      <c r="J79" s="1629">
        <f t="shared" si="27"/>
        <v>-29.322445626048719</v>
      </c>
      <c r="K79" s="1694" t="str">
        <f>IFERROR(IF(VLOOKUP(G79,G75:H82,2,FALSE)&gt;(VLOOKUP(G79,C75:D82,2,FALSE)),"🔴","🟢"),"")</f>
        <v>🟢</v>
      </c>
      <c r="L79" s="1353"/>
      <c r="M79" s="1363" t="s">
        <v>32</v>
      </c>
      <c r="N79" s="1644">
        <v>50</v>
      </c>
      <c r="O79" s="1056">
        <f>OPH!W10</f>
        <v>36.47250125374223</v>
      </c>
      <c r="P79" s="1696">
        <v>61.931046093533915</v>
      </c>
      <c r="Q79" s="1293" t="str" cm="1">
        <f t="array" ref="Q79">INDEX($M$75:$M$82,
SMALL(
IF($O$75:$O$82=R79,
ROW($O$75:$O$82)-ROW($O$75)+1),
COUNTIF($R$75:R79,R79)
)
)</f>
        <v>ST ALBAN</v>
      </c>
      <c r="R79" s="1309">
        <f>LARGE($O$75:$O$82,5)</f>
        <v>43.39627107677984</v>
      </c>
      <c r="S79" s="1377">
        <f>IF(Q79=M79,P79,IF(Q79=M80,P80,IF(Q79=M81,P81,IF(Q79=M82,P82,IF(Q79=M75,P75,IF(Q79=M76,P76,IF(Q79=M77,P77,IF(Q79=M78,P78))))))))</f>
        <v>58.433839537337555</v>
      </c>
      <c r="T79" s="1630">
        <f t="shared" si="28"/>
        <v>-15.037568460557715</v>
      </c>
      <c r="U79" s="1694" t="str">
        <f>IFERROR(IF(VLOOKUP(Q79,Q75:R82,2,FALSE)&gt;(VLOOKUP(Q79,M75:N82,2,FALSE)),"🔴","🟢"),"")</f>
        <v>🟢</v>
      </c>
      <c r="V79" s="1353"/>
      <c r="W79" s="1361" t="s">
        <v>32</v>
      </c>
      <c r="X79" s="1682"/>
      <c r="Y79" s="1323">
        <f>'GLOBAL 26'!O58</f>
        <v>54667.270000000033</v>
      </c>
      <c r="Z79" s="1327">
        <v>6754.8800000000374</v>
      </c>
      <c r="AA79" s="1293" t="str">
        <f t="shared" si="26"/>
        <v>CHAMNORD</v>
      </c>
      <c r="AB79" s="1289">
        <f>LARGE($Y$75:$Y$82,4)</f>
        <v>99515.879999999888</v>
      </c>
      <c r="AC79" s="1330">
        <f>IF(AA79=W75,Z75,IF(AA79=W76,Z76,IF(AA79=W77,Z77,IF(AA79=W78,Z78,IF(AA79=W79,Z79,IF(AA79=W80,Z80,IF(AA79=W81,Z81,IF(AA79=W82,Z82))))))))</f>
        <v>27471.989999999969</v>
      </c>
      <c r="AD79" s="1383"/>
      <c r="AE79" s="1353"/>
      <c r="AF79" s="1353"/>
      <c r="AG79" s="1353"/>
      <c r="AH79" s="1353"/>
    </row>
    <row r="80" spans="2:34" ht="19">
      <c r="B80" s="1353"/>
      <c r="C80" s="1363" t="s">
        <v>253</v>
      </c>
      <c r="D80" s="1643">
        <v>50</v>
      </c>
      <c r="E80" s="1285">
        <f>OPH!P11</f>
        <v>88.941595019270679</v>
      </c>
      <c r="F80" s="1373">
        <v>13.785497656465399</v>
      </c>
      <c r="G80" s="1293" t="str" cm="1">
        <f t="array" ref="G80">INDEX($C$75:$C$82,
SMALL(
IF($E$75:$E$82=H80,
ROW($E$75:$E$82)-ROW($E$75)+1),
COUNTIF($H$75:H80,H80)
)
)</f>
        <v>BELLEY</v>
      </c>
      <c r="H80" s="1309">
        <f>LARGE($E$75:$E$82,6)</f>
        <v>23.030861354214647</v>
      </c>
      <c r="I80" s="1377">
        <f>IF(G80=C80,F80,IF(G80=C81,F81,IF(G80=C82,F82,IF(G80=C75,F75,IF(G80=C76,F76,IF(G80=C77,F77,IF(G80=C78,F78,IF(G80=C79,F79))))))))</f>
        <v>43.93914428516505</v>
      </c>
      <c r="J80" s="1629">
        <f t="shared" si="27"/>
        <v>-20.908282930950403</v>
      </c>
      <c r="K80" s="1694" t="str">
        <f>IFERROR(IF(VLOOKUP(G80,G75:H82,2,FALSE)&gt;(VLOOKUP(G80,C75:D82,2,FALSE)),"🔴","🟢"),"")</f>
        <v>🟢</v>
      </c>
      <c r="L80" s="1353"/>
      <c r="M80" s="1363" t="s">
        <v>253</v>
      </c>
      <c r="N80" s="1644">
        <v>50</v>
      </c>
      <c r="O80" s="1056">
        <f>OPH!W11</f>
        <v>22.193555546308239</v>
      </c>
      <c r="P80" s="1696">
        <v>27.831740430056055</v>
      </c>
      <c r="Q80" s="1293" t="str" cm="1">
        <f t="array" ref="Q80">INDEX($M$75:$M$82,
SMALL(
IF($O$75:$O$82=R80,
ROW($O$75:$O$82)-ROW($O$75)+1),
COUNTIF($R$75:R80,R80)
)
)</f>
        <v>LES ABRETS</v>
      </c>
      <c r="R80" s="1309">
        <f>LARGE($O$75:$O$82,6)</f>
        <v>36.47250125374223</v>
      </c>
      <c r="S80" s="1377">
        <f>IF(Q80=M80,P80,IF(Q80=M81,P81,IF(Q80=M82,P82,IF(Q80=M75,P75,IF(Q80=M76,P76,IF(Q80=M77,P77,IF(Q80=M78,P78,IF(Q80=M79,P79))))))))</f>
        <v>61.931046093533915</v>
      </c>
      <c r="T80" s="1630">
        <f t="shared" si="28"/>
        <v>-25.458544839791685</v>
      </c>
      <c r="U80" s="1694" t="str">
        <f>IFERROR(IF(VLOOKUP(Q80,Q75:R82,2,FALSE)&gt;(VLOOKUP(Q80,M75:N82,2,FALSE)),"🔴","🟢"),"")</f>
        <v>🟢</v>
      </c>
      <c r="V80" s="1353"/>
      <c r="W80" s="1361" t="s">
        <v>253</v>
      </c>
      <c r="X80" s="1682"/>
      <c r="Y80" s="1323">
        <f>'GLOBAL 26'!R58</f>
        <v>108303.39999999997</v>
      </c>
      <c r="Z80" s="1327">
        <v>16098.190000000039</v>
      </c>
      <c r="AA80" s="1293" t="str">
        <f t="shared" si="26"/>
        <v>BELLEY</v>
      </c>
      <c r="AB80" s="1289">
        <f>LARGE($Y$75:$Y$82,3)</f>
        <v>104968.10000000005</v>
      </c>
      <c r="AC80" s="1330">
        <f>IF(AA80=W75,Z75,IF(AA80=W76,Z76,IF(AA80=W77,Z77,IF(AA80=W78,Z78,IF(AA80=W79,Z79,IF(AA80=W80,Z80,IF(AA80=W81,Z81,IF(AA80=W82,Z82))))))))</f>
        <v>17726.549999999967</v>
      </c>
      <c r="AD80" s="1383"/>
      <c r="AE80" s="1353"/>
      <c r="AF80" s="1353"/>
      <c r="AG80" s="1353"/>
      <c r="AH80" s="1353"/>
    </row>
    <row r="81" spans="2:34" ht="19">
      <c r="B81" s="1353"/>
      <c r="C81" s="1363" t="s">
        <v>34</v>
      </c>
      <c r="D81" s="1643">
        <v>50</v>
      </c>
      <c r="E81" s="1285">
        <f>OPH!P12</f>
        <v>31.347962382445139</v>
      </c>
      <c r="F81" s="1373">
        <v>60.670408008493858</v>
      </c>
      <c r="G81" s="1293" t="str" cm="1">
        <f t="array" ref="G81">INDEX($C$75:$C$82,
SMALL(
IF($E$75:$E$82=H81,
ROW($E$75:$E$82)-ROW($E$75)+1),
COUNTIF($H$75:H81,H81)
)
)</f>
        <v>AIX LES BAINS</v>
      </c>
      <c r="H81" s="1309">
        <f>LARGE($E$75:$E$82,7)</f>
        <v>17.047391749062392</v>
      </c>
      <c r="I81" s="1377">
        <f>IF(G81=C81,F81,IF(G81=C82,F82,IF(G81=C75,F75,IF(G81=C76,F76,IF(G81=C77,F77,IF(G81=C78,F78,IF(G81=C79,F79,IF(G81=C80,F80))))))))</f>
        <v>49.983933735584991</v>
      </c>
      <c r="J81" s="1629">
        <f t="shared" si="27"/>
        <v>-32.936541986522599</v>
      </c>
      <c r="K81" s="1694" t="str">
        <f>IFERROR(IF(VLOOKUP(G81,G75:H82,2,FALSE)&gt;(VLOOKUP(G81,C75:D82,2,FALSE)),"🔴","🟢"),"")</f>
        <v>🟢</v>
      </c>
      <c r="L81" s="1353"/>
      <c r="M81" s="1363" t="s">
        <v>34</v>
      </c>
      <c r="N81" s="1644">
        <v>50</v>
      </c>
      <c r="O81" s="1056">
        <f>OPH!W12</f>
        <v>51.96004849604526</v>
      </c>
      <c r="P81" s="1696">
        <v>75.824669101144039</v>
      </c>
      <c r="Q81" s="1293" t="str" cm="1">
        <f t="array" ref="Q81">INDEX($M$75:$M$82,
SMALL(
IF($O$75:$O$82=R81,
ROW($O$75:$O$82)-ROW($O$75)+1),
COUNTIF($R$75:R81,R81)
)
)</f>
        <v>BELLEY</v>
      </c>
      <c r="R81" s="1309">
        <f>LARGE($O$75:$O$82,7)</f>
        <v>32.266678534870266</v>
      </c>
      <c r="S81" s="1377">
        <f>IF(Q81=M81,P81,IF(Q81=M82,P82,IF(Q81=M75,P75,IF(Q81=M76,P76,IF(Q81=M77,P77,IF(Q81=M78,P78,IF(Q81=M79,P79,IF(Q81=M80,P80))))))))</f>
        <v>43.59119547730112</v>
      </c>
      <c r="T81" s="1630">
        <f t="shared" si="28"/>
        <v>-11.324516942430854</v>
      </c>
      <c r="U81" s="1694" t="str">
        <f>IFERROR(IF(VLOOKUP(Q81,Q75:R82,2,FALSE)&gt;(VLOOKUP(Q81,M75:N82,2,FALSE)),"🔴","🟢"),"")</f>
        <v>🟢</v>
      </c>
      <c r="V81" s="1353"/>
      <c r="W81" s="1361" t="s">
        <v>34</v>
      </c>
      <c r="X81" s="1682"/>
      <c r="Y81" s="1323">
        <f>'GLOBAL 26'!U58</f>
        <v>96308.15</v>
      </c>
      <c r="Z81" s="1327">
        <v>18176.450000000023</v>
      </c>
      <c r="AA81" s="1293" t="str">
        <f t="shared" si="26"/>
        <v>PDB</v>
      </c>
      <c r="AB81" s="1289">
        <f>LARGE($Y$75:$Y$82,2)</f>
        <v>108303.39999999997</v>
      </c>
      <c r="AC81" s="1330">
        <f>IF(AA81=W75,Z75,IF(AA81=W76,Z76,IF(AA81=W77,Z77,IF(AA81=W78,Z78,IF(AA81=W79,Z79,IF(AA81=W80,Z80,IF(AA81=W81,Z81,IF(AA81=W82,Z82))))))))</f>
        <v>16098.190000000039</v>
      </c>
      <c r="AD81" s="1383"/>
      <c r="AE81" s="1353"/>
      <c r="AF81" s="1353"/>
      <c r="AG81" s="1353"/>
      <c r="AH81" s="1353"/>
    </row>
    <row r="82" spans="2:34" ht="20" thickBot="1">
      <c r="B82" s="1353"/>
      <c r="C82" s="1654" t="s">
        <v>411</v>
      </c>
      <c r="D82" s="1690">
        <v>50</v>
      </c>
      <c r="E82" s="1419">
        <f>OPH!P13</f>
        <v>0</v>
      </c>
      <c r="F82" s="1374">
        <v>39.777247414478921</v>
      </c>
      <c r="G82" s="1296" t="str" cm="1">
        <f t="array" ref="G82">INDEX($C$75:$C$82,
SMALL(
IF($E$75:$E$82=H82,
ROW($E$75:$E$82)-ROW($E$75)+1),
COUNTIF($H$75:H82,H82)
)
)</f>
        <v>VIVIERS DU LAC</v>
      </c>
      <c r="H82" s="1310">
        <f>LARGE($E$75:$E$82,8)</f>
        <v>0</v>
      </c>
      <c r="I82" s="1378">
        <f>IF(G82=C82,F82,IF(G82=C75,F75,IF(G82=C76,F76,IF(G82=C77,F77,IF(G82=C78,F78,IF(G82=C79,F79,IF(G82=C80,F80,IF(G82=C81,F81))))))))</f>
        <v>39.777247414478921</v>
      </c>
      <c r="J82" s="1693">
        <f t="shared" si="27"/>
        <v>-39.777247414478921</v>
      </c>
      <c r="K82" s="1695" t="str">
        <f>IFERROR(IF(VLOOKUP(G82,G75:H82,2,FALSE)&gt;(VLOOKUP(G82,C75:D82,2,FALSE)),"🔴","🟢"),"")</f>
        <v>🟢</v>
      </c>
      <c r="L82" s="1353"/>
      <c r="M82" s="1654" t="s">
        <v>411</v>
      </c>
      <c r="N82" s="1680">
        <v>50</v>
      </c>
      <c r="O82" s="1286">
        <f>OPH!W13</f>
        <v>50.318421259532983</v>
      </c>
      <c r="P82" s="1462">
        <v>94.645666207580788</v>
      </c>
      <c r="Q82" s="1296" t="str" cm="1">
        <f t="array" ref="Q82">INDEX($M$75:$M$82,
SMALL(
IF($O$75:$O$82=R82,
ROW($O$75:$O$82)-ROW($O$75)+1),
COUNTIF($R$75:R82,R82)
)
)</f>
        <v>PDB</v>
      </c>
      <c r="R82" s="1310">
        <f>LARGE($O$75:$O$82,8)</f>
        <v>22.193555546308239</v>
      </c>
      <c r="S82" s="1378">
        <f>IF(Q82=M82,P82,IF(Q82=M75,P75,IF(Q82=M76,P76,IF(Q82=M77,P77,IF(Q82=M78,P78,IF(Q82=M79,P79,IF(Q82=M80,P80,IF(Q82=M81,P81))))))))</f>
        <v>27.831740430056055</v>
      </c>
      <c r="T82" s="1697">
        <f t="shared" si="28"/>
        <v>-5.6381848837478152</v>
      </c>
      <c r="U82" s="1695" t="str">
        <f>IFERROR(IF(VLOOKUP(Q82,Q75:R82,2,FALSE)&gt;(VLOOKUP(Q82,M75:N82,2,FALSE)),"🔴","🟢"),"")</f>
        <v>🟢</v>
      </c>
      <c r="V82" s="1353"/>
      <c r="W82" s="1362" t="s">
        <v>411</v>
      </c>
      <c r="X82" s="1683"/>
      <c r="Y82" s="1324">
        <f>'GLOBAL 26'!X58</f>
        <v>-22340.920000000056</v>
      </c>
      <c r="Z82" s="1328">
        <v>-6461.4800000000105</v>
      </c>
      <c r="AA82" s="1296" t="str">
        <f t="shared" si="26"/>
        <v>AIX LES BAINS</v>
      </c>
      <c r="AB82" s="1290">
        <f>LARGE($Y$75:$Y$82,1)</f>
        <v>112562.35</v>
      </c>
      <c r="AC82" s="1331">
        <f>IF(AA82=W75,Z75,IF(AA82=W76,Z76,IF(AA82=W77,Z77,IF(AA82=W78,Z78,IF(AA82=W79,Z79,IF(AA82=W80,Z80,IF(AA82=W81,Z81,IF(AA82=W82,Z82))))))))</f>
        <v>9580.409999999958</v>
      </c>
      <c r="AD82" s="1384"/>
      <c r="AE82" s="1353"/>
      <c r="AF82" s="1353"/>
      <c r="AG82" s="1353"/>
      <c r="AH82" s="1353"/>
    </row>
    <row r="83" spans="2:34" ht="20" thickBot="1">
      <c r="B83" s="1353"/>
      <c r="C83" s="1353"/>
      <c r="D83" s="1355"/>
      <c r="E83" s="1353"/>
      <c r="F83" s="1353"/>
      <c r="G83" s="1353"/>
      <c r="H83" s="1353"/>
      <c r="I83" s="1353"/>
      <c r="J83" s="1353"/>
      <c r="K83" s="1353"/>
      <c r="L83" s="1353"/>
      <c r="M83" s="1353"/>
      <c r="N83" s="1353"/>
      <c r="O83" s="1353"/>
      <c r="P83" s="1353"/>
      <c r="Q83" s="1353"/>
      <c r="R83" s="1353"/>
      <c r="S83" s="1353"/>
      <c r="T83" s="1353"/>
      <c r="U83" s="1353"/>
      <c r="V83" s="1353"/>
      <c r="W83" s="1353"/>
      <c r="X83" s="1355"/>
      <c r="Y83" s="1353"/>
      <c r="Z83" s="1387"/>
      <c r="AA83" s="1353"/>
      <c r="AB83" s="1353"/>
      <c r="AC83" s="1353"/>
      <c r="AD83" s="1353"/>
      <c r="AE83" s="1353"/>
      <c r="AF83" s="1353"/>
      <c r="AG83" s="1353"/>
      <c r="AH83" s="1353"/>
    </row>
    <row r="84" spans="2:34" ht="20">
      <c r="B84" s="1353"/>
      <c r="C84" s="1348" t="s">
        <v>50</v>
      </c>
      <c r="D84" s="1637"/>
      <c r="E84" s="1747" t="s">
        <v>420</v>
      </c>
      <c r="F84" s="1748"/>
      <c r="G84" s="1753"/>
      <c r="H84" s="1753">
        <v>2024</v>
      </c>
      <c r="I84" s="1748"/>
      <c r="J84" s="1749"/>
      <c r="K84" s="1625"/>
      <c r="L84" s="1353"/>
      <c r="M84" s="1348" t="s">
        <v>478</v>
      </c>
      <c r="N84" s="1637"/>
      <c r="O84" s="1747" t="s">
        <v>420</v>
      </c>
      <c r="P84" s="1748"/>
      <c r="Q84" s="1748" t="s">
        <v>420</v>
      </c>
      <c r="R84" s="1748"/>
      <c r="S84" s="1748"/>
      <c r="T84" s="1749"/>
      <c r="U84" s="1625"/>
      <c r="V84" s="1353"/>
      <c r="W84" s="1348" t="s">
        <v>491</v>
      </c>
      <c r="X84" s="1637"/>
      <c r="Y84" s="1747" t="s">
        <v>420</v>
      </c>
      <c r="Z84" s="1748"/>
      <c r="AA84" s="1748" t="s">
        <v>420</v>
      </c>
      <c r="AB84" s="1748"/>
      <c r="AC84" s="1748"/>
      <c r="AD84" s="1749"/>
      <c r="AE84" s="1353"/>
      <c r="AF84" s="1353"/>
      <c r="AG84" s="1353"/>
      <c r="AH84" s="1353"/>
    </row>
    <row r="85" spans="2:34" ht="19">
      <c r="B85" s="1353"/>
      <c r="C85" s="1361" t="s">
        <v>69</v>
      </c>
      <c r="D85" s="1646"/>
      <c r="E85" s="1285">
        <f>'INDICES QSP 🍔'!D7</f>
        <v>3</v>
      </c>
      <c r="F85" s="1373" t="str">
        <f>IF(E85=3,"Fondamentaux",IF(E85=2,"Ciblé",IF(E85=1,"Stratégique","")))</f>
        <v>Fondamentaux</v>
      </c>
      <c r="G85" s="1292" t="str" cm="1">
        <f t="array" ref="G85">INDEX($C$85:$C$92,
SMALL(
IF($E$85:$E$92=H85,
ROW($E$85:$E$92)-ROW($E$85)+1),
COUNTIF($H$85:H85,H85)
)
)</f>
        <v>CHAMNORD</v>
      </c>
      <c r="H85" s="1308">
        <f>LARGE($E$85:$E$92,1)</f>
        <v>3</v>
      </c>
      <c r="I85" s="1375" t="str">
        <f>IF(G85=C85,F85,IF(G85=C86,F86,IF(G85=C87,F87,IF(G85=C88,F88,IF(G85=C89,F89,IF(G85=C90,F90,IF(G85=C91,F91,IF(G85=C92,F92))))))))</f>
        <v>Fondamentaux</v>
      </c>
      <c r="J85" s="1376"/>
      <c r="K85" s="1629"/>
      <c r="L85" s="1496"/>
      <c r="M85" s="1385" t="s">
        <v>69</v>
      </c>
      <c r="N85" s="1638"/>
      <c r="O85" s="1583">
        <v>0.2404</v>
      </c>
      <c r="P85" s="1583">
        <v>0.2427</v>
      </c>
      <c r="Q85" s="1292" t="e" cm="1">
        <f t="array" ref="Q85">INDEX($M$85:$M$92,
SMALL(
IF($O$85:$O$92=R85,
ROW($O$85:$O$92)-ROW($O$85)+1),
COUNTIF($R$85:R85,R85)
)
)</f>
        <v>#NUM!</v>
      </c>
      <c r="R85" s="1306" t="e">
        <f>LARGE($O$85:$O$92,8)</f>
        <v>#NUM!</v>
      </c>
      <c r="S85" s="1579" t="e">
        <f>IF(Q85=M85,P85,IF(Q85=M86,P86,IF(Q85=M87,P87,IF(Q85=M88,P88,IF(Q85=M89,P89,IF(Q85=M90,P90,IF(Q85=M91,P91,IF(Q85=M92,P92))))))))</f>
        <v>#NUM!</v>
      </c>
      <c r="T85" s="1586" t="e">
        <f>R85-S85</f>
        <v>#NUM!</v>
      </c>
      <c r="U85" s="1628"/>
      <c r="V85" s="1353"/>
      <c r="W85" s="1385" t="s">
        <v>69</v>
      </c>
      <c r="X85" s="1648"/>
      <c r="Y85" s="1559">
        <f>'INDICES RH 🤝'!D95</f>
        <v>80</v>
      </c>
      <c r="Z85" s="1564">
        <f>'[10]INDICES RH 🤝'!$D$95</f>
        <v>94.5</v>
      </c>
      <c r="AA85" s="1292" t="str" cm="1">
        <f t="array" ref="AA85">INDEX($W$85:$W$92,
SMALL(
IF($Y$85:$Y$92=AB85,
ROW($Y$85:$Y$92)-ROW($Y$85)+1),
COUNTIF($AB$85:AB85,AB85)
)
)</f>
        <v>VIVIERS DU LAC</v>
      </c>
      <c r="AB85" s="1562">
        <f>LARGE($Y$85:$Y$92,8)</f>
        <v>33</v>
      </c>
      <c r="AC85" s="1590">
        <f>IF(AA85=W85,Z85,IF(AA85=W86,Z86,IF(AA85=W87,Z87,IF(AA85=W88,Z88,IF(AA85=W89,Z89,IF(AA85=W90,Z90,IF(AA85=W91,Z91,IF(AA85=W92,Z92))))))))</f>
        <v>42.416666666666664</v>
      </c>
      <c r="AD85" s="1345">
        <f>AB85-AC85</f>
        <v>-9.4166666666666643</v>
      </c>
      <c r="AE85" s="1353"/>
      <c r="AF85" s="1353"/>
      <c r="AG85" s="1353"/>
      <c r="AH85" s="1353"/>
    </row>
    <row r="86" spans="2:34" ht="19">
      <c r="B86" s="1353"/>
      <c r="C86" s="1361" t="s">
        <v>29</v>
      </c>
      <c r="D86" s="1646"/>
      <c r="E86" s="1285">
        <f>'INDICES QSP 🍔'!F7</f>
        <v>2</v>
      </c>
      <c r="F86" s="1373" t="str">
        <f t="shared" ref="F86:F92" si="29">IF(E86=3,"Fondamentaux",IF(E86=2,"Ciblé",IF(E86=1,"Stratégique","")))</f>
        <v>Ciblé</v>
      </c>
      <c r="G86" s="1293" t="str" cm="1">
        <f t="array" ref="G86">INDEX($C$85:$C$92,
SMALL(
IF($E$85:$E$92=H86,
ROW($E$85:$E$92)-ROW($E$85)+1),
COUNTIF($H$85:H86,H86)
)
)</f>
        <v>AIX LES BAINS</v>
      </c>
      <c r="H86" s="1309">
        <f>LARGE($E$85:$E$92,2)</f>
        <v>2</v>
      </c>
      <c r="I86" s="1377" t="str">
        <f>IF(G86=C86,F86,IF(G86=C87,F87,IF(G86=C88,F88,IF(G86=C89,F89,IF(G86=C90,F90,IF(G86=C91,F91,IF(G86=C92,F92,IF(G86=C85,F85))))))))</f>
        <v>Ciblé</v>
      </c>
      <c r="J86" s="1341"/>
      <c r="K86" s="1629"/>
      <c r="L86" s="1496"/>
      <c r="M86" s="1385" t="s">
        <v>29</v>
      </c>
      <c r="N86" s="1639"/>
      <c r="O86" s="1584">
        <v>0.40839999999999999</v>
      </c>
      <c r="P86" s="1584">
        <v>0.40820000000000001</v>
      </c>
      <c r="Q86" s="1293" t="e" cm="1">
        <f t="array" ref="Q86">INDEX($M$85:$M$92,
SMALL(
IF($O$85:$O$92=R86,
ROW($O$85:$O$92)-ROW($O$85)+1),
COUNTIF($R$85:R86,R86)
)
)</f>
        <v>#NUM!</v>
      </c>
      <c r="R86" s="1305" t="e">
        <f>LARGE($O$85:$O$92,7)</f>
        <v>#NUM!</v>
      </c>
      <c r="S86" s="1580" t="e">
        <f>IF(Q86=M85,P85,IF(Q86=M86,P86,IF(Q86=M87,P87,IF(Q86=M88,P88,IF(Q86=M89,P89,IF(Q86=M90,P90,IF(Q86=M91,P91,IF(Q86=M92,P92))))))))</f>
        <v>#NUM!</v>
      </c>
      <c r="T86" s="1369" t="e">
        <f t="shared" ref="T86:T92" si="30">R86-S86</f>
        <v>#NUM!</v>
      </c>
      <c r="U86" s="1628"/>
      <c r="V86" s="1353"/>
      <c r="W86" s="1385" t="s">
        <v>29</v>
      </c>
      <c r="X86" s="1649"/>
      <c r="Y86" s="1560">
        <f>'INDICES RH 🤝'!F95</f>
        <v>53</v>
      </c>
      <c r="Z86" s="1565">
        <f>'[10]INDICES RH 🤝'!$F$95</f>
        <v>55.416666666666664</v>
      </c>
      <c r="AA86" s="1293" t="str" cm="1">
        <f t="array" ref="AA86">INDEX($W$85:$W$92,
SMALL(
IF($Y$85:$Y$92=AB86,
ROW($Y$85:$Y$92)-ROW($Y$85)+1),
COUNTIF($AB$85:AB86,AB86)
)
)</f>
        <v>FRANCIN</v>
      </c>
      <c r="AB86" s="1563">
        <f>LARGE($Y$85:$Y$92,7)</f>
        <v>40</v>
      </c>
      <c r="AC86" s="1377">
        <f>IF(AA86=W85,Z85,IF(AA86=W86,Z86,IF(AA86=W87,Z87,IF(AA86=W88,Z88,IF(AA86=W89,Z89,IF(AA86=W90,Z90,IF(AA86=W91,Z91,IF(AA86=W92,Z92))))))))</f>
        <v>42.25</v>
      </c>
      <c r="AD86" s="1346">
        <f t="shared" ref="AD86:AD92" si="31">AB86-AC86</f>
        <v>-2.25</v>
      </c>
      <c r="AE86" s="1353"/>
      <c r="AF86" s="1353"/>
      <c r="AG86" s="1353"/>
      <c r="AH86" s="1353"/>
    </row>
    <row r="87" spans="2:34" ht="19">
      <c r="B87" s="1353"/>
      <c r="C87" s="1361" t="s">
        <v>30</v>
      </c>
      <c r="D87" s="1646"/>
      <c r="E87" s="1285">
        <f>'INDICES QSP 🍔'!H7</f>
        <v>2</v>
      </c>
      <c r="F87" s="1373" t="str">
        <f t="shared" si="29"/>
        <v>Ciblé</v>
      </c>
      <c r="G87" s="1293" t="str" cm="1">
        <f t="array" ref="G87">INDEX($C$85:$C$92,
SMALL(
IF($E$85:$E$92=H87,
ROW($E$85:$E$92)-ROW($E$85)+1),
COUNTIF($H$85:H87,H87)
)
)</f>
        <v>BELLEY</v>
      </c>
      <c r="H87" s="1309">
        <f>LARGE($E$85:$E$92,3)</f>
        <v>2</v>
      </c>
      <c r="I87" s="1377" t="str">
        <f>IF(G87=C87,F87,IF(G87=C88,F88,IF(G87=C89,F89,IF(G87=C90,F90,IF(G87=C91,F91,IF(G87=C92,F92,IF(G87=C85,F85,IF(G87=C86,F86))))))))</f>
        <v>Ciblé</v>
      </c>
      <c r="J87" s="1341"/>
      <c r="K87" s="1629"/>
      <c r="L87" s="1496"/>
      <c r="M87" s="1385" t="s">
        <v>30</v>
      </c>
      <c r="N87" s="1639"/>
      <c r="O87" s="1584">
        <v>0.40110000000000001</v>
      </c>
      <c r="P87" s="1584">
        <v>0.37240000000000001</v>
      </c>
      <c r="Q87" s="1293" t="str" cm="1">
        <f t="array" ref="Q87">INDEX($M$85:$M$92,
SMALL(
IF($O$85:$O$92=R87,
ROW($O$85:$O$92)-ROW($O$85)+1),
COUNTIF($R$85:R87,R87)
)
)</f>
        <v>CHAMNORD</v>
      </c>
      <c r="R87" s="1305">
        <f>LARGE($O$85:$O$92,6)</f>
        <v>0.2404</v>
      </c>
      <c r="S87" s="1580">
        <f>IF(Q87=M85,P85,IF(Q87=M86,P86,IF(Q87=M87,P87,IF(Q87=M88,P88,IF(Q87=M89,P89,IF(Q87=M90,P90,IF(Q87=M91,P91,IF(Q87=M92,P92))))))))</f>
        <v>0.2427</v>
      </c>
      <c r="T87" s="1369">
        <f t="shared" si="30"/>
        <v>-2.2999999999999965E-3</v>
      </c>
      <c r="U87" s="1628"/>
      <c r="V87" s="1353"/>
      <c r="W87" s="1385" t="s">
        <v>30</v>
      </c>
      <c r="X87" s="1649"/>
      <c r="Y87" s="1560">
        <f>'INDICES RH 🤝'!H95</f>
        <v>58</v>
      </c>
      <c r="Z87" s="1565">
        <f>'[10]INDICES RH 🤝'!$H$95</f>
        <v>54.333333333333336</v>
      </c>
      <c r="AA87" s="1293" t="str" cm="1">
        <f t="array" ref="AA87">INDEX($W$85:$W$92,
SMALL(
IF($Y$85:$Y$92=AB87,
ROW($Y$85:$Y$92)-ROW($Y$85)+1),
COUNTIF($AB$85:AB87,AB87)
)
)</f>
        <v>LES ABRETS</v>
      </c>
      <c r="AB87" s="1563">
        <f>LARGE($Y$85:$Y$92,6)</f>
        <v>42</v>
      </c>
      <c r="AC87" s="1377">
        <f>IF(AA87=W85,Z85,IF(AA87=W86,Z86,IF(AA87=W87,Z87,IF(AA87=W88,Z88,IF(AA87=W89,Z89,IF(AA87=W90,Z90,IF(AA87=W91,Z91,IF(AA87=W92,Z92))))))))</f>
        <v>43.833333333333336</v>
      </c>
      <c r="AD87" s="1346">
        <f t="shared" si="31"/>
        <v>-1.8333333333333357</v>
      </c>
      <c r="AE87" s="1353"/>
      <c r="AF87" s="1353"/>
      <c r="AG87" s="1353"/>
      <c r="AH87" s="1353"/>
    </row>
    <row r="88" spans="2:34" ht="19">
      <c r="B88" s="1353"/>
      <c r="C88" s="1361" t="s">
        <v>31</v>
      </c>
      <c r="D88" s="1646"/>
      <c r="E88" s="1285">
        <f>'INDICES QSP 🍔'!J7</f>
        <v>2</v>
      </c>
      <c r="F88" s="1373" t="str">
        <f t="shared" si="29"/>
        <v>Ciblé</v>
      </c>
      <c r="G88" s="1293" t="str" cm="1">
        <f t="array" ref="G88">INDEX($C$85:$C$92,
SMALL(
IF($E$85:$E$92=H88,
ROW($E$85:$E$92)-ROW($E$85)+1),
COUNTIF($H$85:H88,H88)
)
)</f>
        <v>ST ALBAN</v>
      </c>
      <c r="H88" s="1309">
        <f>LARGE($E$85:$E$92,4)</f>
        <v>2</v>
      </c>
      <c r="I88" s="1377" t="str">
        <f>IF(G88=C88,F88,IF(G88=C89,F89,IF(G88=C90,F90,IF(G88=C91,F91,IF(G88=C92,F92,IF(G88=C85,F85,IF(G88=C86,F86,IF(G88=C87,F87))))))))</f>
        <v>Ciblé</v>
      </c>
      <c r="J88" s="1341"/>
      <c r="K88" s="1629"/>
      <c r="L88" s="1496"/>
      <c r="M88" s="1385" t="s">
        <v>31</v>
      </c>
      <c r="N88" s="1639"/>
      <c r="O88" s="1584">
        <v>0.24360000000000001</v>
      </c>
      <c r="P88" s="1584">
        <v>0.24440000000000001</v>
      </c>
      <c r="Q88" s="1293" t="str" cm="1">
        <f t="array" ref="Q88">INDEX($M$85:$M$92,
SMALL(
IF($O$85:$O$92=R88,
ROW($O$85:$O$92)-ROW($O$85)+1),
COUNTIF($R$85:R88,R88)
)
)</f>
        <v>ST ALBAN</v>
      </c>
      <c r="R88" s="1305">
        <f>LARGE($O$85:$O$92,5)</f>
        <v>0.24360000000000001</v>
      </c>
      <c r="S88" s="1580">
        <f>IF(Q88=M85,P85,IF(Q88=M86,P86,IF(Q88=M87,P87,IF(Q88=M88,P88,IF(Q88=M89,P89,IF(Q88=M90,P90,IF(Q88=M91,P91,IF(Q88=M92,P92))))))))</f>
        <v>0.24440000000000001</v>
      </c>
      <c r="T88" s="1587">
        <f t="shared" si="30"/>
        <v>-7.9999999999999516E-4</v>
      </c>
      <c r="U88" s="1632"/>
      <c r="V88" s="1353"/>
      <c r="W88" s="1385" t="s">
        <v>31</v>
      </c>
      <c r="X88" s="1649"/>
      <c r="Y88" s="1560">
        <f>'INDICES RH 🤝'!J95</f>
        <v>63</v>
      </c>
      <c r="Z88" s="1565">
        <f>'[10]INDICES RH 🤝'!$J$95</f>
        <v>53.416666666666664</v>
      </c>
      <c r="AA88" s="1293" t="str" cm="1">
        <f t="array" ref="AA88">INDEX($W$85:$W$92,
SMALL(
IF($Y$85:$Y$92=AB88,
ROW($Y$85:$Y$92)-ROW($Y$85)+1),
COUNTIF($AB$85:AB88,AB88)
)
)</f>
        <v>PDB</v>
      </c>
      <c r="AB88" s="1563">
        <f>LARGE($Y$85:$Y$92,5)</f>
        <v>45</v>
      </c>
      <c r="AC88" s="1377">
        <f>IF(AA88=W85,Z85,IF(AA88=W86,Z86,IF(AA88=W87,Z87,IF(AA88=W88,Z88,IF(AA88=W89,Z89,IF(AA88=W90,Z90,IF(AA88=W91,Z91,IF(AA88=W92,Z92))))))))</f>
        <v>47.666666666666664</v>
      </c>
      <c r="AD88" s="1346">
        <f t="shared" si="31"/>
        <v>-2.6666666666666643</v>
      </c>
      <c r="AE88" s="1353"/>
      <c r="AF88" s="1353"/>
      <c r="AG88" s="1353"/>
      <c r="AH88" s="1353"/>
    </row>
    <row r="89" spans="2:34" ht="19">
      <c r="B89" s="1353"/>
      <c r="C89" s="1361" t="s">
        <v>32</v>
      </c>
      <c r="D89" s="1646"/>
      <c r="E89" s="1285">
        <f>'INDICES QSP 🍔'!L7</f>
        <v>2</v>
      </c>
      <c r="F89" s="1373" t="str">
        <f t="shared" si="29"/>
        <v>Ciblé</v>
      </c>
      <c r="G89" s="1293" t="str" cm="1">
        <f t="array" ref="G89">INDEX($C$85:$C$92,
SMALL(
IF($E$85:$E$92=H89,
ROW($E$85:$E$92)-ROW($E$85)+1),
COUNTIF($H$85:H89,H89)
)
)</f>
        <v>LES ABRETS</v>
      </c>
      <c r="H89" s="1309">
        <f>LARGE($E$85:$E$92,5)</f>
        <v>2</v>
      </c>
      <c r="I89" s="1377" t="str">
        <f>IF(G89=C89,F89,IF(G89=C90,F90,IF(G89=C91,F91,IF(G89=C92,F92,IF(G89=C85,F85,IF(G89=C86,F86,IF(G89=C87,F87,IF(G89=C88,F88))))))))</f>
        <v>Ciblé</v>
      </c>
      <c r="J89" s="1341"/>
      <c r="K89" s="1629"/>
      <c r="L89" s="1496"/>
      <c r="M89" s="1385" t="s">
        <v>32</v>
      </c>
      <c r="N89" s="1639"/>
      <c r="O89" s="1584">
        <v>0.47749999999999998</v>
      </c>
      <c r="P89" s="1584"/>
      <c r="Q89" s="1293" t="str" cm="1">
        <f t="array" ref="Q89">INDEX($M$85:$M$92,
SMALL(
IF($O$85:$O$92=R89,
ROW($O$85:$O$92)-ROW($O$85)+1),
COUNTIF($R$85:R89,R89)
)
)</f>
        <v>VIVIERS DU LAC</v>
      </c>
      <c r="R89" s="1305">
        <f>LARGE($O$85:$O$92,4)</f>
        <v>0.29060000000000002</v>
      </c>
      <c r="S89" s="1580">
        <f>IF(Q89=M85,P85,IF(Q89=M86,P86,IF(Q89=M87,P87,IF(Q89=M88,P88,IF(Q89=M89,P89,IF(Q89=M90,P90,IF(Q89=M91,P91,IF(Q89=M92,P92))))))))</f>
        <v>0.27110000000000001</v>
      </c>
      <c r="T89" s="1587">
        <f t="shared" si="30"/>
        <v>1.9500000000000017E-2</v>
      </c>
      <c r="U89" s="1632"/>
      <c r="V89" s="1353"/>
      <c r="W89" s="1385" t="s">
        <v>32</v>
      </c>
      <c r="X89" s="1649"/>
      <c r="Y89" s="1560">
        <f>'INDICES RH 🤝'!L95</f>
        <v>42</v>
      </c>
      <c r="Z89" s="1565">
        <f>'[10]INDICES RH 🤝'!$L$95</f>
        <v>43.833333333333336</v>
      </c>
      <c r="AA89" s="1293" t="str" cm="1">
        <f t="array" ref="AA89">INDEX($W$85:$W$92,
SMALL(
IF($Y$85:$Y$92=AB89,
ROW($Y$85:$Y$92)-ROW($Y$85)+1),
COUNTIF($AB$85:AB89,AB89)
)
)</f>
        <v>AIX LES BAINS</v>
      </c>
      <c r="AB89" s="1294">
        <f>LARGE($Y$85:$Y$92,4)</f>
        <v>53</v>
      </c>
      <c r="AC89" s="1591">
        <f>IF(AA89=W85,Z85,IF(AA89=W86,Z86,IF(AA89=W87,Z87,IF(AA89=W88,Z88,IF(AA89=W89,Z89,IF(AA89=W90,Z90,IF(AA89=W91,Z91,IF(AA89=W92,Z92))))))))</f>
        <v>55.416666666666664</v>
      </c>
      <c r="AD89" s="1346">
        <f t="shared" si="31"/>
        <v>-2.4166666666666643</v>
      </c>
      <c r="AE89" s="1353"/>
      <c r="AF89" s="1353"/>
      <c r="AG89" s="1353"/>
      <c r="AH89" s="1353"/>
    </row>
    <row r="90" spans="2:34" ht="19">
      <c r="B90" s="1353"/>
      <c r="C90" s="1361" t="s">
        <v>253</v>
      </c>
      <c r="D90" s="1646"/>
      <c r="E90" s="1285">
        <f>'INDICES QSP 🍔'!N7</f>
        <v>1</v>
      </c>
      <c r="F90" s="1373" t="str">
        <f t="shared" si="29"/>
        <v>Stratégique</v>
      </c>
      <c r="G90" s="1293" t="str" cm="1">
        <f t="array" ref="G90">INDEX($C$85:$C$92,
SMALL(
IF($E$85:$E$92=H90,
ROW($E$85:$E$92)-ROW($E$85)+1),
COUNTIF($H$85:H90,H90)
)
)</f>
        <v>FRANCIN</v>
      </c>
      <c r="H90" s="1309">
        <f>LARGE($E$85:$E$92,6)</f>
        <v>2</v>
      </c>
      <c r="I90" s="1377" t="str">
        <f>IF(G90=C90,F90,IF(G90=C91,F91,IF(G90=C92,F92,IF(G90=C85,F85,IF(G90=C86,F86,IF(G90=C87,F87,IF(G90=C88,F88,IF(G90=C89,F89))))))))</f>
        <v>Ciblé</v>
      </c>
      <c r="J90" s="1341"/>
      <c r="K90" s="1629"/>
      <c r="L90" s="1496"/>
      <c r="M90" s="1385" t="s">
        <v>253</v>
      </c>
      <c r="N90" s="1639"/>
      <c r="O90" s="1584"/>
      <c r="P90" s="1584"/>
      <c r="Q90" s="1293" t="str" cm="1">
        <f t="array" ref="Q90">INDEX($M$85:$M$92,
SMALL(
IF($O$85:$O$92=R90,
ROW($O$85:$O$92)-ROW($O$85)+1),
COUNTIF($R$85:R90,R90)
)
)</f>
        <v>BELLEY</v>
      </c>
      <c r="R90" s="1305">
        <f>LARGE($O$85:$O$92,3)</f>
        <v>0.40110000000000001</v>
      </c>
      <c r="S90" s="1580">
        <f>IF(Q90=M85,P85,IF(Q90=M86,P86,IF(Q90=M87,P87,IF(Q90=M88,P88,IF(Q90=M89,P89,IF(Q90=M90,P90,IF(Q90=M91,P91,IF(Q90=M92,P92))))))))</f>
        <v>0.37240000000000001</v>
      </c>
      <c r="T90" s="1587">
        <f t="shared" si="30"/>
        <v>2.8700000000000003E-2</v>
      </c>
      <c r="U90" s="1632"/>
      <c r="V90" s="1353"/>
      <c r="W90" s="1385" t="s">
        <v>253</v>
      </c>
      <c r="X90" s="1649"/>
      <c r="Y90" s="1560">
        <f>'INDICES RH 🤝'!N95</f>
        <v>45</v>
      </c>
      <c r="Z90" s="1565">
        <f>'[10]INDICES RH 🤝'!$N$95</f>
        <v>47.666666666666664</v>
      </c>
      <c r="AA90" s="1293" t="str" cm="1">
        <f t="array" ref="AA90">INDEX($W$85:$W$92,
SMALL(
IF($Y$85:$Y$92=AB90,
ROW($Y$85:$Y$92)-ROW($Y$85)+1),
COUNTIF($AB$85:AB90,AB90)
)
)</f>
        <v>BELLEY</v>
      </c>
      <c r="AB90" s="1294">
        <f>LARGE($Y$85:$Y$92,3)</f>
        <v>58</v>
      </c>
      <c r="AC90" s="1591">
        <f>IF(AA90=W85,Z85,IF(AA90=W86,Z86,IF(AA90=W87,Z87,IF(AA90=W88,Z88,IF(AA90=W89,Z89,IF(AA90=W90,Z90,IF(AA90=W91,Z91,IF(AA90=W92,Z92))))))))</f>
        <v>54.333333333333336</v>
      </c>
      <c r="AD90" s="1346">
        <f t="shared" si="31"/>
        <v>3.6666666666666643</v>
      </c>
      <c r="AE90" s="1353"/>
      <c r="AF90" s="1353"/>
      <c r="AG90" s="1353"/>
      <c r="AH90" s="1353"/>
    </row>
    <row r="91" spans="2:34" ht="19">
      <c r="B91" s="1353"/>
      <c r="C91" s="1361" t="s">
        <v>34</v>
      </c>
      <c r="D91" s="1646"/>
      <c r="E91" s="1285">
        <f>'INDICES QSP 🍔'!P7</f>
        <v>2</v>
      </c>
      <c r="F91" s="1373" t="str">
        <f t="shared" si="29"/>
        <v>Ciblé</v>
      </c>
      <c r="G91" s="1293" t="str" cm="1">
        <f t="array" ref="G91">INDEX($C$85:$C$92,
SMALL(
IF($E$85:$E$92=H91,
ROW($E$85:$E$92)-ROW($E$85)+1),
COUNTIF($H$85:H91,H91)
)
)</f>
        <v>VIVIERS DU LAC</v>
      </c>
      <c r="H91" s="1309">
        <f>LARGE($E$85:$E$92,7)</f>
        <v>2</v>
      </c>
      <c r="I91" s="1377" t="str">
        <f>IF(G91=C91,F91,IF(G91=C92,F92,IF(G91=C85,F85,IF(G91=C86,F86,IF(G91=C87,F87,IF(G91=C88,F88,IF(G91=C89,F89,IF(G91=C90,F90))))))))</f>
        <v>Ciblé</v>
      </c>
      <c r="J91" s="1341"/>
      <c r="K91" s="1629"/>
      <c r="L91" s="1496"/>
      <c r="M91" s="1385" t="s">
        <v>34</v>
      </c>
      <c r="N91" s="1639"/>
      <c r="O91" s="1584"/>
      <c r="P91" s="1584"/>
      <c r="Q91" s="1293" t="str" cm="1">
        <f t="array" ref="Q91">INDEX($M$85:$M$92,
SMALL(
IF($O$85:$O$92=R91,
ROW($O$85:$O$92)-ROW($O$85)+1),
COUNTIF($R$85:R91,R91)
)
)</f>
        <v>AIX LES BAINS</v>
      </c>
      <c r="R91" s="1305">
        <f>LARGE($O$85:$O$92,2)</f>
        <v>0.40839999999999999</v>
      </c>
      <c r="S91" s="1580">
        <f>IF(Q91=M85,P85,IF(Q91=M86,P86,IF(Q91=M87,P87,IF(Q91=M88,P88,IF(Q91=M89,P89,IF(Q91=M90,P90,IF(Q91=M91,P91,IF(Q91=M92,P92))))))))</f>
        <v>0.40820000000000001</v>
      </c>
      <c r="T91" s="1587">
        <f t="shared" si="30"/>
        <v>1.9999999999997797E-4</v>
      </c>
      <c r="U91" s="1632"/>
      <c r="V91" s="1353"/>
      <c r="W91" s="1385" t="s">
        <v>34</v>
      </c>
      <c r="X91" s="1649"/>
      <c r="Y91" s="1560">
        <f>'INDICES RH 🤝'!P95</f>
        <v>40</v>
      </c>
      <c r="Z91" s="1565">
        <f>'[10]INDICES RH 🤝'!$P$95</f>
        <v>42.25</v>
      </c>
      <c r="AA91" s="1293" t="str" cm="1">
        <f t="array" ref="AA91">INDEX($W$85:$W$92,
SMALL(
IF($Y$85:$Y$92=AB91,
ROW($Y$85:$Y$92)-ROW($Y$85)+1),
COUNTIF($AB$85:AB91,AB91)
)
)</f>
        <v>ST ALBAN</v>
      </c>
      <c r="AB91" s="1294">
        <f>LARGE($Y$85:$Y$92,2)</f>
        <v>63</v>
      </c>
      <c r="AC91" s="1591">
        <f>IF(AA91=W85,Z85,IF(AA91=W86,Z86,IF(AA91=W87,Z87,IF(AA91=W88,Z88,IF(AA91=W89,Z89,IF(AA91=W90,Z90,IF(AA91=W91,Z91,IF(AA91=W92,Z92))))))))</f>
        <v>53.416666666666664</v>
      </c>
      <c r="AD91" s="1346">
        <f t="shared" si="31"/>
        <v>9.5833333333333357</v>
      </c>
      <c r="AE91" s="1353"/>
      <c r="AF91" s="1353"/>
      <c r="AG91" s="1353"/>
      <c r="AH91" s="1353"/>
    </row>
    <row r="92" spans="2:34" ht="20" thickBot="1">
      <c r="B92" s="1353"/>
      <c r="C92" s="1362" t="s">
        <v>411</v>
      </c>
      <c r="D92" s="1647"/>
      <c r="E92" s="1419">
        <f>'INDICES QSP 🍔'!R7</f>
        <v>2</v>
      </c>
      <c r="F92" s="1374" t="str">
        <f t="shared" si="29"/>
        <v>Ciblé</v>
      </c>
      <c r="G92" s="1296" t="str" cm="1">
        <f t="array" ref="G92">INDEX($C$85:$C$92,
SMALL(
IF($E$85:$E$92=H92,
ROW($E$85:$E$92)-ROW($E$85)+1),
COUNTIF($H$85:H92,H92)
)
)</f>
        <v>PDB</v>
      </c>
      <c r="H92" s="1310">
        <f>LARGE($E$85:$E$92,8)</f>
        <v>1</v>
      </c>
      <c r="I92" s="1378" t="str">
        <f>IF(G92=C92,F92,IF(G92=C85,F85,IF(G92=C86,F86,IF(G92=C87,F87,IF(G92=C88,F88,IF(G92=C89,F89,IF(G92=C90,F90,IF(G92=C91,F91))))))))</f>
        <v>Stratégique</v>
      </c>
      <c r="J92" s="1342"/>
      <c r="K92" s="1629"/>
      <c r="L92" s="1496"/>
      <c r="M92" s="1386" t="s">
        <v>411</v>
      </c>
      <c r="N92" s="1640"/>
      <c r="O92" s="1585">
        <v>0.29060000000000002</v>
      </c>
      <c r="P92" s="1585">
        <v>0.27110000000000001</v>
      </c>
      <c r="Q92" s="1296" t="str" cm="1">
        <f t="array" ref="Q92">INDEX($M$85:$M$92,
SMALL(
IF($O$85:$O$92=R92,
ROW($O$85:$O$92)-ROW($O$85)+1),
COUNTIF($R$85:R92,R92)
)
)</f>
        <v>LES ABRETS</v>
      </c>
      <c r="R92" s="1581">
        <f>LARGE($O$85:$O$92,1)</f>
        <v>0.47749999999999998</v>
      </c>
      <c r="S92" s="1582">
        <f>IF(Q92=M85,P85,IF(Q92=M86,P86,IF(Q92=M87,P87,IF(Q92=M88,P88,IF(Q92=M89,P89,IF(Q92=M90,P90,IF(Q92=M91,P91,IF(Q92=M92,P92))))))))</f>
        <v>0</v>
      </c>
      <c r="T92" s="1588">
        <f t="shared" si="30"/>
        <v>0.47749999999999998</v>
      </c>
      <c r="U92" s="1632"/>
      <c r="V92" s="1353"/>
      <c r="W92" s="1386" t="s">
        <v>411</v>
      </c>
      <c r="X92" s="1650"/>
      <c r="Y92" s="1561">
        <f>'INDICES RH 🤝'!R95</f>
        <v>33</v>
      </c>
      <c r="Z92" s="1566">
        <f>'[10]INDICES RH 🤝'!$R$95</f>
        <v>42.416666666666664</v>
      </c>
      <c r="AA92" s="1296" t="str" cm="1">
        <f t="array" ref="AA92">INDEX($W$85:$W$92,
SMALL(
IF($Y$85:$Y$92=AB92,
ROW($Y$85:$Y$92)-ROW($Y$85)+1),
COUNTIF($AB$85:AB92,AB92)
)
)</f>
        <v>CHAMNORD</v>
      </c>
      <c r="AB92" s="1297">
        <f>LARGE($Y$85:$Y$92,1)</f>
        <v>80</v>
      </c>
      <c r="AC92" s="1592">
        <f>IF(AA92=W85,Z85,IF(AA92=W86,Z86,IF(AA92=W87,Z87,IF(AA92=W88,Z88,IF(AA92=W89,Z89,IF(AA92=W90,Z90,IF(AA92=W91,Z91,IF(AA92=W92,Z92))))))))</f>
        <v>94.5</v>
      </c>
      <c r="AD92" s="1347">
        <f t="shared" si="31"/>
        <v>-14.5</v>
      </c>
      <c r="AE92" s="1353"/>
      <c r="AF92" s="1353"/>
      <c r="AG92" s="1353"/>
      <c r="AH92" s="1353"/>
    </row>
    <row r="93" spans="2:34" ht="20" thickBot="1">
      <c r="B93" s="1353"/>
      <c r="C93" s="1353"/>
      <c r="D93" s="1355"/>
      <c r="E93" s="1353"/>
      <c r="F93" s="1353"/>
      <c r="G93" s="1353"/>
      <c r="H93" s="1353"/>
      <c r="I93" s="1353"/>
      <c r="J93" s="1353"/>
      <c r="K93" s="1353"/>
      <c r="L93" s="1353"/>
      <c r="M93" s="1353"/>
      <c r="N93" s="1353"/>
      <c r="O93" s="1353"/>
      <c r="P93" s="1353"/>
      <c r="Q93" s="1353"/>
      <c r="R93" s="1353"/>
      <c r="S93" s="1353"/>
      <c r="T93" s="1353"/>
      <c r="U93" s="1353"/>
      <c r="V93" s="1353"/>
      <c r="W93" s="1353"/>
      <c r="X93" s="1355"/>
      <c r="Y93" s="1353"/>
      <c r="Z93" s="1454"/>
      <c r="AA93" s="1353"/>
      <c r="AB93" s="1353"/>
      <c r="AC93" s="1353"/>
      <c r="AD93" s="1353"/>
      <c r="AE93" s="1353"/>
      <c r="AF93" s="1353"/>
      <c r="AG93" s="1353"/>
      <c r="AH93" s="1353"/>
    </row>
    <row r="94" spans="2:34" ht="20">
      <c r="B94" s="1353"/>
      <c r="C94" s="1348" t="s">
        <v>494</v>
      </c>
      <c r="D94" s="1637"/>
      <c r="E94" s="1747" t="s">
        <v>420</v>
      </c>
      <c r="F94" s="1748"/>
      <c r="G94" s="1748" t="s">
        <v>420</v>
      </c>
      <c r="H94" s="1748"/>
      <c r="I94" s="1748"/>
      <c r="J94" s="1749"/>
      <c r="K94" s="1625"/>
      <c r="L94" s="1353"/>
      <c r="M94" s="1348" t="s">
        <v>495</v>
      </c>
      <c r="N94" s="1637"/>
      <c r="O94" s="1747" t="s">
        <v>440</v>
      </c>
      <c r="P94" s="1748"/>
      <c r="Q94" s="1748" t="s">
        <v>420</v>
      </c>
      <c r="R94" s="1748"/>
      <c r="S94" s="1748"/>
      <c r="T94" s="1749"/>
      <c r="U94" s="1625"/>
      <c r="V94" s="1353"/>
      <c r="W94" s="1348" t="s">
        <v>495</v>
      </c>
      <c r="X94" s="1637"/>
      <c r="Y94" s="1747" t="s">
        <v>420</v>
      </c>
      <c r="Z94" s="1748"/>
      <c r="AA94" s="1748" t="s">
        <v>420</v>
      </c>
      <c r="AB94" s="1748"/>
      <c r="AC94" s="1748"/>
      <c r="AD94" s="1749"/>
      <c r="AE94" s="1353"/>
      <c r="AF94" s="1353"/>
      <c r="AG94" s="1353"/>
      <c r="AH94" s="1353"/>
    </row>
    <row r="95" spans="2:34" ht="19">
      <c r="B95" s="1353"/>
      <c r="C95" s="1385" t="s">
        <v>69</v>
      </c>
      <c r="D95" s="1648"/>
      <c r="E95" s="1567">
        <f>'INDICES FINANCIERS 📈'!E110</f>
        <v>1.1044347453356819E-2</v>
      </c>
      <c r="F95" s="1451"/>
      <c r="G95" s="1292" t="str" cm="1">
        <f t="array" ref="G95">INDEX($C$95:$C$102,
SMALL(
IF($E$95:$E$102=H95,
ROW($E$95:$E$102)-ROW($E$95)+1),
COUNTIF(H$95:$H95,H95)
)
)</f>
        <v>CHAMNORD</v>
      </c>
      <c r="H95" s="1318">
        <f>LARGE($E$95:$E$102,1)</f>
        <v>1.1044347453356819E-2</v>
      </c>
      <c r="I95" s="1370">
        <f>IF(G95=C95,F95,IF(G95=C96,F96,IF(G95=C97,F97,IF(G95=C98,F98,IF(G95=C99,F99,IF(G95=C100,F100,IF(G95=C101,F101,IF(G95=C102,F102))))))))</f>
        <v>0</v>
      </c>
      <c r="J95" s="1345">
        <f>H95-I95</f>
        <v>1.1044347453356819E-2</v>
      </c>
      <c r="K95" s="1630"/>
      <c r="L95" s="1353"/>
      <c r="M95" s="1385" t="s">
        <v>69</v>
      </c>
      <c r="N95" s="1638"/>
      <c r="O95" s="1594">
        <f>'INDICES RH 🤝'!D56</f>
        <v>5.4583207490184238</v>
      </c>
      <c r="P95" s="1725">
        <f>[11]CHAMNORD!$R$48</f>
        <v>5.5034950950633235</v>
      </c>
      <c r="Q95" s="1602" t="str">
        <f t="shared" ref="Q95:Q102" si="32">IF(O95&gt;=P95,"🟢","🔴")</f>
        <v>🔴</v>
      </c>
      <c r="R95" s="1315"/>
      <c r="S95" s="1599"/>
      <c r="T95" s="1345"/>
      <c r="U95" s="1630"/>
      <c r="V95" s="1353"/>
      <c r="W95" s="1385" t="s">
        <v>69</v>
      </c>
      <c r="X95" s="1648"/>
      <c r="Y95" s="1594">
        <f>+'INDICES RH 🤝'!D63</f>
        <v>5.3602337404267075</v>
      </c>
      <c r="Z95" s="1597">
        <f>+'[12]TCHE CIBLE'!$C$4</f>
        <v>5.47</v>
      </c>
      <c r="AA95" s="1602" t="str">
        <f>IF(Y95&gt;=Z95,"🟢","🔴")</f>
        <v>🔴</v>
      </c>
      <c r="AB95" s="1315"/>
      <c r="AC95" s="1599"/>
      <c r="AD95" s="1345"/>
      <c r="AE95" s="1353"/>
      <c r="AF95" s="1353"/>
      <c r="AG95" s="1353"/>
      <c r="AH95" s="1353"/>
    </row>
    <row r="96" spans="2:34" ht="19">
      <c r="B96" s="1353"/>
      <c r="C96" s="1385" t="s">
        <v>29</v>
      </c>
      <c r="D96" s="1649"/>
      <c r="E96" s="1568">
        <f>'INDICES FINANCIERS 📈'!G110</f>
        <v>8.5850700343333489E-3</v>
      </c>
      <c r="F96" s="1452"/>
      <c r="G96" s="1293" t="str" cm="1">
        <f t="array" ref="G96">INDEX($C$95:$C$102,
SMALL(
IF($E$95:$E$102=H96,
ROW($E$95:$E$102)-ROW($E$95)+1),
COUNTIF(H$95:$H96,H96)
)
)</f>
        <v>AIX LES BAINS</v>
      </c>
      <c r="H96" s="1319">
        <f>LARGE($E$95:$E$102,2)</f>
        <v>8.5850700343333489E-3</v>
      </c>
      <c r="I96" s="1371">
        <f>IF(G96=C95,F95,IF(G96=C96,F96,IF(G96=C97,F97,IF(G96=C98,F98,IF(G96=C99,F99,IF(G96=C100,F100,IF(G96=C101,F101,IF(G96=C102,F102))))))))</f>
        <v>0</v>
      </c>
      <c r="J96" s="1346">
        <f t="shared" ref="J96:J102" si="33">H96-I96</f>
        <v>8.5850700343333489E-3</v>
      </c>
      <c r="K96" s="1630"/>
      <c r="L96" s="1353"/>
      <c r="M96" s="1385" t="s">
        <v>29</v>
      </c>
      <c r="N96" s="1639"/>
      <c r="O96" s="1595">
        <f>'INDICES RH 🤝'!F56</f>
        <v>5.239651999928542</v>
      </c>
      <c r="P96" s="1725">
        <f>'[11]AIX LES BAINS'!$R$48</f>
        <v>6.0632375088259503</v>
      </c>
      <c r="Q96" s="1603" t="str">
        <f t="shared" si="32"/>
        <v>🔴</v>
      </c>
      <c r="R96" s="1316"/>
      <c r="S96" s="1600"/>
      <c r="T96" s="1346"/>
      <c r="U96" s="1630"/>
      <c r="V96" s="1353"/>
      <c r="W96" s="1385" t="s">
        <v>29</v>
      </c>
      <c r="X96" s="1649"/>
      <c r="Y96" s="1595">
        <f>+'INDICES RH 🤝'!F63</f>
        <v>5.8569548691708606</v>
      </c>
      <c r="Z96" s="1597">
        <f>+'[12]TCHE CIBLE'!$C$5</f>
        <v>5.7</v>
      </c>
      <c r="AA96" s="1603" t="str">
        <f t="shared" ref="AA96:AA102" si="34">IF(Y96&gt;=Z96,"🟢","🔴")</f>
        <v>🟢</v>
      </c>
      <c r="AB96" s="1316"/>
      <c r="AC96" s="1600"/>
      <c r="AD96" s="1346"/>
      <c r="AE96" s="1353"/>
      <c r="AF96" s="1353"/>
      <c r="AG96" s="1353"/>
      <c r="AH96" s="1353"/>
    </row>
    <row r="97" spans="2:34" ht="19">
      <c r="B97" s="1353"/>
      <c r="C97" s="1385" t="s">
        <v>30</v>
      </c>
      <c r="D97" s="1649"/>
      <c r="E97" s="1568">
        <f>'INDICES FINANCIERS 📈'!I110</f>
        <v>2.8959122470483575E-3</v>
      </c>
      <c r="F97" s="1452"/>
      <c r="G97" s="1293" t="str" cm="1">
        <f t="array" ref="G97">INDEX($C$95:$C$102,
SMALL(
IF($E$95:$E$102=H97,
ROW($E$95:$E$102)-ROW($E$95)+1),
COUNTIF(H$95:$H97,H97)
)
)</f>
        <v>FRANCIN</v>
      </c>
      <c r="H97" s="1319">
        <f>LARGE($E$95:$E$102,3)</f>
        <v>8.5070277453355662E-3</v>
      </c>
      <c r="I97" s="1371">
        <f>IF(G97=C95,F95,IF(G97=C96,F96,IF(G97=C97,F97,IF(G97=C98,F98,IF(G97=C99,F99,IF(G97=C100,F100,IF(G97=C101,F101,IF(G97=C102,F102))))))))</f>
        <v>0</v>
      </c>
      <c r="J97" s="1346">
        <f t="shared" si="33"/>
        <v>8.5070277453355662E-3</v>
      </c>
      <c r="K97" s="1630"/>
      <c r="L97" s="1353"/>
      <c r="M97" s="1385" t="s">
        <v>30</v>
      </c>
      <c r="N97" s="1639"/>
      <c r="O97" s="1595">
        <f>'INDICES RH 🤝'!H56</f>
        <v>4.5418410041841009</v>
      </c>
      <c r="P97" s="1725">
        <f>[11]BELLEY!$R$48</f>
        <v>5.0472073038423471</v>
      </c>
      <c r="Q97" s="1603" t="str">
        <f t="shared" si="32"/>
        <v>🔴</v>
      </c>
      <c r="R97" s="1316"/>
      <c r="S97" s="1600"/>
      <c r="T97" s="1346"/>
      <c r="U97" s="1630"/>
      <c r="V97" s="1353"/>
      <c r="W97" s="1385" t="s">
        <v>30</v>
      </c>
      <c r="X97" s="1649"/>
      <c r="Y97" s="1595">
        <f>+'INDICES RH 🤝'!H63</f>
        <v>4.7507274148306458</v>
      </c>
      <c r="Z97" s="1597">
        <f>+'[12]TCHE CIBLE'!$C$6</f>
        <v>4.8499999999999996</v>
      </c>
      <c r="AA97" s="1603" t="str">
        <f t="shared" si="34"/>
        <v>🔴</v>
      </c>
      <c r="AB97" s="1316"/>
      <c r="AC97" s="1600"/>
      <c r="AD97" s="1346"/>
      <c r="AE97" s="1353"/>
      <c r="AF97" s="1353"/>
      <c r="AG97" s="1353"/>
      <c r="AH97" s="1353"/>
    </row>
    <row r="98" spans="2:34" ht="19">
      <c r="B98" s="1353"/>
      <c r="C98" s="1385" t="s">
        <v>31</v>
      </c>
      <c r="D98" s="1649"/>
      <c r="E98" s="1568">
        <f>'INDICES FINANCIERS 📈'!K110</f>
        <v>5.8543836452211607E-3</v>
      </c>
      <c r="F98" s="1452"/>
      <c r="G98" s="1293" t="str" cm="1">
        <f t="array" ref="G98">INDEX($C$95:$C$102,
SMALL(
IF($E$95:$E$102=H98,
ROW($E$95:$E$102)-ROW($E$95)+1),
COUNTIF(H$95:$H98,H98)
)
)</f>
        <v>VIVIERS DU LAC</v>
      </c>
      <c r="H98" s="1319">
        <f>LARGE($E$95:$E$102,4)</f>
        <v>7.3924061025436444E-3</v>
      </c>
      <c r="I98" s="1371">
        <f>IF(G98=C95,F95,IF(G98=C96,F96,IF(G98=C97,F97,IF(G98=C98,F98,IF(G98=C99,F99,IF(G98=C100,F100,IF(G98=C101,F101,IF(G98=C102,F102))))))))</f>
        <v>0</v>
      </c>
      <c r="J98" s="1346">
        <f t="shared" si="33"/>
        <v>7.3924061025436444E-3</v>
      </c>
      <c r="K98" s="1630"/>
      <c r="L98" s="1353"/>
      <c r="M98" s="1385" t="s">
        <v>31</v>
      </c>
      <c r="N98" s="1639"/>
      <c r="O98" s="1595">
        <f>'INDICES RH 🤝'!J56</f>
        <v>5.2880558697330393</v>
      </c>
      <c r="P98" s="1725">
        <f>'[11]ST ALBAN'!$R$48</f>
        <v>5.4208245683866023</v>
      </c>
      <c r="Q98" s="1603" t="str">
        <f t="shared" si="32"/>
        <v>🔴</v>
      </c>
      <c r="R98" s="1316"/>
      <c r="S98" s="1600"/>
      <c r="T98" s="1346"/>
      <c r="U98" s="1630"/>
      <c r="V98" s="1353"/>
      <c r="W98" s="1385" t="s">
        <v>31</v>
      </c>
      <c r="X98" s="1649"/>
      <c r="Y98" s="1595">
        <f>+'INDICES RH 🤝'!J63</f>
        <v>5.0711340800184388</v>
      </c>
      <c r="Z98" s="1597">
        <f>+'[12]TCHE CIBLE'!$C$7</f>
        <v>5.25</v>
      </c>
      <c r="AA98" s="1603" t="str">
        <f t="shared" si="34"/>
        <v>🔴</v>
      </c>
      <c r="AB98" s="1316"/>
      <c r="AC98" s="1600"/>
      <c r="AD98" s="1346"/>
      <c r="AE98" s="1353"/>
      <c r="AF98" s="1353"/>
      <c r="AG98" s="1353"/>
      <c r="AH98" s="1353"/>
    </row>
    <row r="99" spans="2:34" ht="19">
      <c r="B99" s="1353"/>
      <c r="C99" s="1385" t="s">
        <v>32</v>
      </c>
      <c r="D99" s="1649"/>
      <c r="E99" s="1568">
        <f>'INDICES FINANCIERS 📈'!M110</f>
        <v>5.6606890209217105E-3</v>
      </c>
      <c r="F99" s="1452"/>
      <c r="G99" s="1293" t="str" cm="1">
        <f t="array" ref="G99">INDEX($C$95:$C$102,
SMALL(
IF($E$95:$E$102=H99,
ROW($E$95:$E$102)-ROW($E$95)+1),
COUNTIF(H$95:$H99,H99)
)
)</f>
        <v>PDB</v>
      </c>
      <c r="H99" s="1319">
        <f>LARGE($E$95:$E$102,5)</f>
        <v>6.1741634025153759E-3</v>
      </c>
      <c r="I99" s="1371">
        <f>IF(G99=C95,F95,IF(G99=C96,F96,IF(G99=C97,F97,IF(G99=C98,F98,IF(G99=C99,F99,IF(G99=C100,F100,IF(G99=C101,F101,IF(G99=C102,F102))))))))</f>
        <v>0</v>
      </c>
      <c r="J99" s="1346">
        <f t="shared" si="33"/>
        <v>6.1741634025153759E-3</v>
      </c>
      <c r="K99" s="1630"/>
      <c r="L99" s="1353"/>
      <c r="M99" s="1385" t="s">
        <v>32</v>
      </c>
      <c r="N99" s="1639"/>
      <c r="O99" s="1595">
        <f>'INDICES RH 🤝'!L56</f>
        <v>5.1593746411404755</v>
      </c>
      <c r="P99" s="1725">
        <f>'[11]LES ABRETS'!$R$48</f>
        <v>4.7841542300889293</v>
      </c>
      <c r="Q99" s="1603" t="str">
        <f t="shared" si="32"/>
        <v>🟢</v>
      </c>
      <c r="R99" s="1316"/>
      <c r="S99" s="1600"/>
      <c r="T99" s="1346"/>
      <c r="U99" s="1630"/>
      <c r="V99" s="1353"/>
      <c r="W99" s="1385" t="s">
        <v>32</v>
      </c>
      <c r="X99" s="1649"/>
      <c r="Y99" s="1595">
        <f>+'INDICES RH 🤝'!L63</f>
        <v>4.6152734740483359</v>
      </c>
      <c r="Z99" s="1597">
        <f>+'[12]TCHE CIBLE'!$C$8</f>
        <v>4.5999999999999996</v>
      </c>
      <c r="AA99" s="1603" t="str">
        <f t="shared" si="34"/>
        <v>🟢</v>
      </c>
      <c r="AB99" s="1316"/>
      <c r="AC99" s="1600"/>
      <c r="AD99" s="1346"/>
      <c r="AE99" s="1353"/>
      <c r="AF99" s="1353"/>
      <c r="AG99" s="1353"/>
      <c r="AH99" s="1353"/>
    </row>
    <row r="100" spans="2:34" ht="19">
      <c r="B100" s="1353"/>
      <c r="C100" s="1385" t="s">
        <v>253</v>
      </c>
      <c r="D100" s="1649"/>
      <c r="E100" s="1568">
        <f>'INDICES FINANCIERS 📈'!O110</f>
        <v>6.1741634025153759E-3</v>
      </c>
      <c r="F100" s="1452"/>
      <c r="G100" s="1293" t="str" cm="1">
        <f t="array" ref="G100">INDEX($C$95:$C$102,
SMALL(
IF($E$95:$E$102=H100,
ROW($E$95:$E$102)-ROW($E$95)+1),
COUNTIF(H$95:$H100,H100)
)
)</f>
        <v>ST ALBAN</v>
      </c>
      <c r="H100" s="1319">
        <f>LARGE($E$95:$E$102,6)</f>
        <v>5.8543836452211607E-3</v>
      </c>
      <c r="I100" s="1371">
        <f>IF(G100=C95,F95,IF(G100=C96,F96,IF(G100=C97,F97,IF(G100=C98,F98,IF(G100=C99,F99,IF(G100=C100,F100,IF(G100=C101,F101,IF(G100=C102,F102))))))))</f>
        <v>0</v>
      </c>
      <c r="J100" s="1346">
        <f t="shared" si="33"/>
        <v>5.8543836452211607E-3</v>
      </c>
      <c r="K100" s="1630"/>
      <c r="L100" s="1353"/>
      <c r="M100" s="1385" t="s">
        <v>253</v>
      </c>
      <c r="N100" s="1639"/>
      <c r="O100" s="1595">
        <f>'INDICES RH 🤝'!N56</f>
        <v>5.2951334379905806</v>
      </c>
      <c r="P100" s="1725">
        <f>[11]PDB!$R$48</f>
        <v>4.9897707000029072</v>
      </c>
      <c r="Q100" s="1603" t="str">
        <f t="shared" si="32"/>
        <v>🟢</v>
      </c>
      <c r="R100" s="1316"/>
      <c r="S100" s="1600"/>
      <c r="T100" s="1346"/>
      <c r="U100" s="1630"/>
      <c r="V100" s="1353"/>
      <c r="W100" s="1385" t="s">
        <v>253</v>
      </c>
      <c r="X100" s="1649"/>
      <c r="Y100" s="1595">
        <f>+'INDICES RH 🤝'!N63</f>
        <v>4.8797211317178828</v>
      </c>
      <c r="Z100" s="1597">
        <f>+'[12]TCHE CIBLE'!$C$9</f>
        <v>4.8</v>
      </c>
      <c r="AA100" s="1603" t="str">
        <f t="shared" si="34"/>
        <v>🟢</v>
      </c>
      <c r="AB100" s="1316"/>
      <c r="AC100" s="1600"/>
      <c r="AD100" s="1346"/>
      <c r="AE100" s="1353"/>
      <c r="AF100" s="1353"/>
      <c r="AG100" s="1353"/>
      <c r="AH100" s="1353"/>
    </row>
    <row r="101" spans="2:34" ht="19">
      <c r="B101" s="1353"/>
      <c r="C101" s="1385" t="s">
        <v>34</v>
      </c>
      <c r="D101" s="1649"/>
      <c r="E101" s="1568">
        <f>'INDICES FINANCIERS 📈'!Q110</f>
        <v>8.5070277453355662E-3</v>
      </c>
      <c r="F101" s="1452"/>
      <c r="G101" s="1293" t="str" cm="1">
        <f t="array" ref="G101">INDEX($C$95:$C$102,
SMALL(
IF($E$95:$E$102=H101,
ROW($E$95:$E$102)-ROW($E$95)+1),
COUNTIF(H$95:$H101,H101)
)
)</f>
        <v>LES ABRETS</v>
      </c>
      <c r="H101" s="1319">
        <f>LARGE($E$95:$E$102,7)</f>
        <v>5.6606890209217105E-3</v>
      </c>
      <c r="I101" s="1371">
        <f>IF(G101=C95,F95,IF(G101=C96,F96,IF(G101=C97,F97,IF(G101=C98,F98,IF(G101=C99,F99,IF(G101=C100,F100,IF(G101=C101,F101,IF(G101=C102,F102))))))))</f>
        <v>0</v>
      </c>
      <c r="J101" s="1346">
        <f t="shared" si="33"/>
        <v>5.6606890209217105E-3</v>
      </c>
      <c r="K101" s="1630"/>
      <c r="L101" s="1353"/>
      <c r="M101" s="1385" t="s">
        <v>34</v>
      </c>
      <c r="N101" s="1639"/>
      <c r="O101" s="1595">
        <f>'INDICES RH 🤝'!P56</f>
        <v>4.841549295774648</v>
      </c>
      <c r="P101" s="1725">
        <f>[11]FRANCIN!$R$48</f>
        <v>4.8805976708800181</v>
      </c>
      <c r="Q101" s="1603" t="str">
        <f t="shared" si="32"/>
        <v>🔴</v>
      </c>
      <c r="R101" s="1316"/>
      <c r="S101" s="1600"/>
      <c r="T101" s="1346"/>
      <c r="U101" s="1630"/>
      <c r="V101" s="1353"/>
      <c r="W101" s="1385" t="s">
        <v>34</v>
      </c>
      <c r="X101" s="1649"/>
      <c r="Y101" s="1595">
        <f>+'INDICES RH 🤝'!P63</f>
        <v>4.6994920256367987</v>
      </c>
      <c r="Z101" s="1597">
        <f>+'[12]TCHE CIBLE'!$C$10</f>
        <v>4.6500000000000004</v>
      </c>
      <c r="AA101" s="1603" t="str">
        <f t="shared" si="34"/>
        <v>🟢</v>
      </c>
      <c r="AB101" s="1316"/>
      <c r="AC101" s="1600"/>
      <c r="AD101" s="1346"/>
      <c r="AE101" s="1353"/>
      <c r="AF101" s="1353"/>
      <c r="AG101" s="1353"/>
      <c r="AH101" s="1353"/>
    </row>
    <row r="102" spans="2:34" ht="20" thickBot="1">
      <c r="B102" s="1353"/>
      <c r="C102" s="1386" t="s">
        <v>411</v>
      </c>
      <c r="D102" s="1650"/>
      <c r="E102" s="1569">
        <f>'INDICES FINANCIERS 📈'!S110</f>
        <v>7.3924061025436444E-3</v>
      </c>
      <c r="F102" s="1453"/>
      <c r="G102" s="1296" t="str" cm="1">
        <f t="array" ref="G102">INDEX($C$95:$C$102,
SMALL(
IF($E$95:$E$102=H102,
ROW($E$95:$E$102)-ROW($E$95)+1),
COUNTIF(H$95:$H102,H102)
)
)</f>
        <v>BELLEY</v>
      </c>
      <c r="H102" s="1320">
        <f>LARGE($E$95:$E$102,8)</f>
        <v>2.8959122470483575E-3</v>
      </c>
      <c r="I102" s="1365">
        <f>IF(G102=C95,F95,IF(G102=C96,F96,IF(G102=C97,F97,IF(G102=C98,F98,IF(G102=C99,F99,IF(G102=C100,F100,IF(G102=C101,F101,IF(G102=C102,F102))))))))</f>
        <v>0</v>
      </c>
      <c r="J102" s="1347">
        <f t="shared" si="33"/>
        <v>2.8959122470483575E-3</v>
      </c>
      <c r="K102" s="1630"/>
      <c r="L102" s="1353"/>
      <c r="M102" s="1386" t="s">
        <v>411</v>
      </c>
      <c r="N102" s="1640"/>
      <c r="O102" s="1596">
        <f>'INDICES RH 🤝'!R56</f>
        <v>5.0815947118363969</v>
      </c>
      <c r="P102" s="1726">
        <f>[11]VIVIERS!$R$48</f>
        <v>4.850460483545378</v>
      </c>
      <c r="Q102" s="1604" t="str">
        <f t="shared" si="32"/>
        <v>🟢</v>
      </c>
      <c r="R102" s="1317"/>
      <c r="S102" s="1601"/>
      <c r="T102" s="1347"/>
      <c r="U102" s="1630"/>
      <c r="V102" s="1353"/>
      <c r="W102" s="1386" t="s">
        <v>411</v>
      </c>
      <c r="X102" s="1650"/>
      <c r="Y102" s="1596">
        <f>+'INDICES RH 🤝'!R63</f>
        <v>4.9856885377378086</v>
      </c>
      <c r="Z102" s="1598">
        <f>+'[12]TCHE CIBLE'!$C$11</f>
        <v>4.75</v>
      </c>
      <c r="AA102" s="1604" t="str">
        <f t="shared" si="34"/>
        <v>🟢</v>
      </c>
      <c r="AB102" s="1317"/>
      <c r="AC102" s="1601"/>
      <c r="AD102" s="1347"/>
      <c r="AE102" s="1353"/>
      <c r="AF102" s="1353"/>
      <c r="AG102" s="1353"/>
      <c r="AH102" s="1353"/>
    </row>
    <row r="103" spans="2:34" ht="20" thickBot="1">
      <c r="B103" s="1353"/>
      <c r="C103" s="1353"/>
      <c r="D103" s="1355"/>
      <c r="E103" s="1353"/>
      <c r="F103" s="1353"/>
      <c r="G103" s="1353"/>
      <c r="H103" s="1353"/>
      <c r="I103" s="1353"/>
      <c r="J103" s="1353"/>
      <c r="K103" s="1353"/>
      <c r="L103" s="1353"/>
      <c r="M103" s="1353"/>
      <c r="N103" s="1353"/>
      <c r="O103" s="1353"/>
      <c r="P103" s="1353"/>
      <c r="Q103" s="1353"/>
      <c r="R103" s="1454"/>
      <c r="S103" s="1353"/>
      <c r="T103" s="1353"/>
      <c r="U103" s="1353"/>
      <c r="V103" s="1353"/>
      <c r="W103" s="1353"/>
      <c r="X103" s="1355"/>
      <c r="Y103" s="1353"/>
      <c r="Z103" s="1353"/>
      <c r="AA103" s="1353"/>
      <c r="AB103" s="1353"/>
      <c r="AC103" s="1353"/>
      <c r="AD103" s="1353"/>
      <c r="AE103" s="1353"/>
      <c r="AF103" s="1353"/>
      <c r="AG103" s="1353"/>
      <c r="AH103" s="1353"/>
    </row>
    <row r="104" spans="2:34" ht="20">
      <c r="R104" s="1177"/>
      <c r="W104" s="1348" t="s">
        <v>164</v>
      </c>
      <c r="X104" s="1637"/>
      <c r="Y104" s="1747" t="s">
        <v>420</v>
      </c>
      <c r="Z104" s="1748"/>
      <c r="AA104" s="1748"/>
      <c r="AB104" s="1748"/>
      <c r="AC104" s="1748"/>
      <c r="AD104" s="1749"/>
      <c r="AE104" s="1625"/>
    </row>
    <row r="105" spans="2:34" ht="19">
      <c r="R105" s="1176"/>
      <c r="W105" s="1385" t="s">
        <v>69</v>
      </c>
      <c r="X105" s="1638"/>
      <c r="Y105" s="1284">
        <f>'INDICES RH 🤝'!E95</f>
        <v>0.625</v>
      </c>
      <c r="Z105" s="1367"/>
      <c r="AA105" s="1292" t="str" cm="1">
        <f t="array" ref="AA105">INDEX($W$105:$W$112,
SMALL(
IF($Y$105:$Y$112=AB105,
ROW($Y$105:$Y$112)-ROW($Y$105)+1),
COUNTIF($AB$105:AB105,AB105)
)
)</f>
        <v>CHAMNORD</v>
      </c>
      <c r="AB105" s="1318">
        <f>LARGE($Y$105:$Y$112,1)</f>
        <v>0.625</v>
      </c>
      <c r="AC105" s="1370">
        <f>IF(AA105=W105,Z105,IF(AA105=W106,Z106,IF(AA105=W107,Z107,IF(AA105=W108,Z108,IF(AA105=W109,Z109,IF(AA105=W110,Z110,IF(AA105=W111,Z111,IF(AA105=W112,Z112))))))))</f>
        <v>0</v>
      </c>
      <c r="AD105" s="1369">
        <f>AB105-AC105</f>
        <v>0.625</v>
      </c>
      <c r="AE105" s="1628"/>
    </row>
    <row r="106" spans="2:34" ht="19">
      <c r="R106" s="1176"/>
      <c r="W106" s="1385" t="s">
        <v>29</v>
      </c>
      <c r="X106" s="1639"/>
      <c r="Y106" s="963">
        <f>'INDICES RH 🤝'!G95</f>
        <v>0.25471698113207547</v>
      </c>
      <c r="Z106" s="1367"/>
      <c r="AA106" s="1293" t="str" cm="1">
        <f t="array" ref="AA106">INDEX($W$105:$W$112,
SMALL(
IF($Y$105:$Y$112=AB106,
ROW($Y$105:$Y$112)-ROW($Y$105)+1),
COUNTIF($AB$105:AB106,AB106)
)
)</f>
        <v>FRANCIN</v>
      </c>
      <c r="AB106" s="1319">
        <f>LARGE($Y$105:$Y$112,2)</f>
        <v>0.5</v>
      </c>
      <c r="AC106" s="1371">
        <f>IF(AA106=W106,Z106,IF(AA106=W107,Z107,IF(AA106=W108,Z108,IF(AA106=W109,Z109,IF(AA106=W110,Z110,IF(AA106=W111,Z111,IF(AA106=W112,Z112,IF(AA106=W105,Z105))))))))</f>
        <v>0</v>
      </c>
      <c r="AD106" s="1369">
        <f t="shared" ref="AD106:AD112" si="35">AB106-AC106</f>
        <v>0.5</v>
      </c>
      <c r="AE106" s="1628"/>
    </row>
    <row r="107" spans="2:34" ht="19">
      <c r="R107" s="1176"/>
      <c r="W107" s="1385" t="s">
        <v>30</v>
      </c>
      <c r="X107" s="1639"/>
      <c r="Y107" s="963">
        <f>'INDICES RH 🤝'!I95</f>
        <v>0.15517241379310345</v>
      </c>
      <c r="Z107" s="1367"/>
      <c r="AA107" s="1293" t="str" cm="1">
        <f t="array" ref="AA107">INDEX($W$105:$W$112,
SMALL(
IF($Y$105:$Y$112=AB107,
ROW($Y$105:$Y$112)-ROW($Y$105)+1),
COUNTIF($AB$105:AB107,AB107)
)
)</f>
        <v>VIVIERS DU LAC</v>
      </c>
      <c r="AB107" s="1319">
        <f>LARGE($Y$105:$Y$112,3)</f>
        <v>0.45454545454545453</v>
      </c>
      <c r="AC107" s="1371">
        <f>IF(AA107=W107,Z107,IF(AA107=W108,Z108,IF(AA107=W109,Z109,IF(AA107=W110,Z110,IF(AA107=W111,Z111,IF(AA107=W112,Z112,IF(AA107=W105,Z105,IF(AA107=W106,Z106))))))))</f>
        <v>0</v>
      </c>
      <c r="AD107" s="1369">
        <f t="shared" si="35"/>
        <v>0.45454545454545453</v>
      </c>
      <c r="AE107" s="1628"/>
    </row>
    <row r="108" spans="2:34" ht="19">
      <c r="R108" s="1176"/>
      <c r="W108" s="1385" t="s">
        <v>31</v>
      </c>
      <c r="X108" s="1639"/>
      <c r="Y108" s="963">
        <f>'INDICES RH 🤝'!K95</f>
        <v>0.34126984126984128</v>
      </c>
      <c r="Z108" s="1367"/>
      <c r="AA108" s="1293" t="str" cm="1">
        <f t="array" ref="AA108">INDEX($W$105:$W$112,
SMALL(
IF($Y$105:$Y$112=AB108,
ROW($Y$105:$Y$112)-ROW($Y$105)+1),
COUNTIF($AB$105:AB108,AB108)
)
)</f>
        <v>ST ALBAN</v>
      </c>
      <c r="AB108" s="1319">
        <f>LARGE($Y$105:$Y$112,4)</f>
        <v>0.34126984126984128</v>
      </c>
      <c r="AC108" s="1371">
        <f>IF(AA108=W108,Z108,IF(AA108=W109,Z109,IF(AA108=W110,Z110,IF(AA108=W111,Z111,IF(AA108=W112,Z112,IF(AA108=W105,Z105,IF(AA108=W106,Z106,IF(AA108=W107,Z107))))))))</f>
        <v>0</v>
      </c>
      <c r="AD108" s="1369">
        <f t="shared" si="35"/>
        <v>0.34126984126984128</v>
      </c>
      <c r="AE108" s="1628"/>
    </row>
    <row r="109" spans="2:34" ht="19">
      <c r="R109" s="1176"/>
      <c r="W109" s="1385" t="s">
        <v>32</v>
      </c>
      <c r="X109" s="1639"/>
      <c r="Y109" s="963">
        <f>'INDICES RH 🤝'!M95</f>
        <v>0.25</v>
      </c>
      <c r="Z109" s="1367"/>
      <c r="AA109" s="1293" t="str" cm="1">
        <f t="array" ref="AA109">INDEX($W$105:$W$112,
SMALL(
IF($Y$105:$Y$112=AB109,
ROW($Y$105:$Y$112)-ROW($Y$105)+1),
COUNTIF($AB$105:AB109,AB109)
)
)</f>
        <v>AIX LES BAINS</v>
      </c>
      <c r="AB109" s="1319">
        <f>LARGE($Y$105:$Y$112,5)</f>
        <v>0.25471698113207547</v>
      </c>
      <c r="AC109" s="1371">
        <f>IF(AA109=W109,Z109,IF(AA109=W110,Z110,IF(AA109=W111,Z111,IF(AA109=W112,Z112,IF(AA109=W105,Z105,IF(AA109=W106,Z106,IF(AA109=W107,Z107,IF(AA109=W108,Z108))))))))</f>
        <v>0</v>
      </c>
      <c r="AD109" s="1369">
        <f t="shared" si="35"/>
        <v>0.25471698113207547</v>
      </c>
      <c r="AE109" s="1628"/>
    </row>
    <row r="110" spans="2:34" ht="19">
      <c r="R110" s="1176"/>
      <c r="W110" s="1385" t="s">
        <v>253</v>
      </c>
      <c r="X110" s="1639"/>
      <c r="Y110" s="963">
        <f>'INDICES RH 🤝'!O95</f>
        <v>8.8888888888888892E-2</v>
      </c>
      <c r="Z110" s="1367"/>
      <c r="AA110" s="1293" t="str" cm="1">
        <f t="array" ref="AA110">INDEX($W$105:$W$112,
SMALL(
IF($Y$105:$Y$112=AB110,
ROW($Y$105:$Y$112)-ROW($Y$105)+1),
COUNTIF($AB$105:AB110,AB110)
)
)</f>
        <v>LES ABRETS</v>
      </c>
      <c r="AB110" s="1319">
        <f>LARGE($Y$105:$Y$112,6)</f>
        <v>0.25</v>
      </c>
      <c r="AC110" s="1371">
        <f>IF(AA110=W110,Z110,IF(AA110=W111,Z111,IF(AA110=W112,Z112,IF(AA110=W105,Z105,IF(AA110=W106,Z106,IF(AA110=W107,Z107,IF(AA110=W108,Z108,IF(AA110=W109,Z109))))))))</f>
        <v>0</v>
      </c>
      <c r="AD110" s="1369">
        <f t="shared" si="35"/>
        <v>0.25</v>
      </c>
      <c r="AE110" s="1628"/>
    </row>
    <row r="111" spans="2:34" ht="19">
      <c r="W111" s="1385" t="s">
        <v>34</v>
      </c>
      <c r="X111" s="1639"/>
      <c r="Y111" s="963">
        <f>'INDICES RH 🤝'!Q95</f>
        <v>0.5</v>
      </c>
      <c r="Z111" s="1367"/>
      <c r="AA111" s="1293" t="str" cm="1">
        <f t="array" ref="AA111">INDEX($W$105:$W$112,
SMALL(
IF($Y$105:$Y$112=AB111,
ROW($Y$105:$Y$112)-ROW($Y$105)+1),
COUNTIF($AB$105:AB111,AB111)
)
)</f>
        <v>BELLEY</v>
      </c>
      <c r="AB111" s="1319">
        <f>LARGE($Y$105:$Y$112,7)</f>
        <v>0.15517241379310345</v>
      </c>
      <c r="AC111" s="1371">
        <f>IF(AA111=W111,Z111,IF(AA111=W112,Z112,IF(AA111=W105,Z105,IF(AA111=W106,Z106,IF(AA111=W107,Z107,IF(AA111=W108,Z108,IF(AA111=W109,Z109,IF(AA111=W110,Z110))))))))</f>
        <v>0</v>
      </c>
      <c r="AD111" s="1369">
        <f t="shared" si="35"/>
        <v>0.15517241379310345</v>
      </c>
      <c r="AE111" s="1628"/>
    </row>
    <row r="112" spans="2:34" ht="20" thickBot="1">
      <c r="W112" s="1386" t="s">
        <v>411</v>
      </c>
      <c r="X112" s="1640"/>
      <c r="Y112" s="1262">
        <f>'INDICES RH 🤝'!S95</f>
        <v>0.45454545454545453</v>
      </c>
      <c r="Z112" s="1368"/>
      <c r="AA112" s="1296" t="str" cm="1">
        <f t="array" ref="AA112">INDEX($W$105:$W$112,
SMALL(
IF($Y$105:$Y$112=AB112,
ROW($Y$105:$Y$112)-ROW($Y$105)+1),
COUNTIF($AB$105:AB112,AB112)
)
)</f>
        <v>PDB</v>
      </c>
      <c r="AB112" s="1320">
        <f>LARGE($Y$105:$Y$112,8)</f>
        <v>8.8888888888888892E-2</v>
      </c>
      <c r="AC112" s="1365">
        <f>IF(AA112=W112,Z112,IF(AA112=W105,Z105,IF(AA112=W106,Z106,IF(AA112=W107,Z107,IF(AA112=W108,Z108,IF(AA112=W109,Z109,IF(AA112=W110,Z110,IF(AA112=W111,Z111))))))))</f>
        <v>0</v>
      </c>
      <c r="AD112" s="1360">
        <f t="shared" si="35"/>
        <v>8.8888888888888892E-2</v>
      </c>
      <c r="AE112" s="1628"/>
    </row>
  </sheetData>
  <mergeCells count="29">
    <mergeCell ref="Y104:AD104"/>
    <mergeCell ref="Y63:AD63"/>
    <mergeCell ref="E43:K43"/>
    <mergeCell ref="Y53:AE53"/>
    <mergeCell ref="E94:J94"/>
    <mergeCell ref="Y84:AD84"/>
    <mergeCell ref="O84:T84"/>
    <mergeCell ref="E63:J63"/>
    <mergeCell ref="O63:T63"/>
    <mergeCell ref="E74:J74"/>
    <mergeCell ref="O74:T74"/>
    <mergeCell ref="E84:J84"/>
    <mergeCell ref="O94:T94"/>
    <mergeCell ref="Y94:AD94"/>
    <mergeCell ref="O53:U53"/>
    <mergeCell ref="Y43:AE43"/>
    <mergeCell ref="E53:J53"/>
    <mergeCell ref="Y74:AD74"/>
    <mergeCell ref="Y15:AD15"/>
    <mergeCell ref="O43:T43"/>
    <mergeCell ref="Y33:AE33"/>
    <mergeCell ref="C3:G3"/>
    <mergeCell ref="M3:Q3"/>
    <mergeCell ref="O33:T33"/>
    <mergeCell ref="E11:K11"/>
    <mergeCell ref="E22:K22"/>
    <mergeCell ref="O11:U11"/>
    <mergeCell ref="O22:U22"/>
    <mergeCell ref="E33:J33"/>
  </mergeCells>
  <pageMargins left="0.7" right="0.7" top="0.75" bottom="0.75" header="0.3" footer="0.3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69922-3B76-E540-87D1-8B47EFF62E0B}">
  <sheetPr>
    <tabColor theme="7"/>
  </sheetPr>
  <dimension ref="A1"/>
  <sheetViews>
    <sheetView view="pageBreakPreview" zoomScale="60" zoomScaleNormal="75" zoomScaleSheetLayoutView="90" workbookViewId="0">
      <selection activeCell="J90" sqref="J90"/>
    </sheetView>
  </sheetViews>
  <sheetFormatPr baseColWidth="10" defaultRowHeight="18"/>
  <cols>
    <col min="1" max="1" width="9.5" style="1180" customWidth="1"/>
    <col min="2" max="2" width="14.83203125" style="1180" customWidth="1"/>
    <col min="3" max="5" width="15.33203125" style="1180" customWidth="1"/>
    <col min="6" max="6" width="16" style="1180" bestFit="1" customWidth="1"/>
    <col min="7" max="9" width="15.33203125" style="1180" customWidth="1"/>
    <col min="10" max="10" width="16.33203125" style="1180" bestFit="1" customWidth="1"/>
    <col min="11" max="20" width="15.33203125" style="1180" customWidth="1"/>
    <col min="21" max="21" width="19" style="1180" customWidth="1"/>
    <col min="22" max="22" width="15.33203125" style="1180" customWidth="1"/>
    <col min="23" max="23" width="8" style="1180" customWidth="1"/>
    <col min="24" max="25" width="11" style="1180" bestFit="1" customWidth="1"/>
    <col min="26" max="27" width="3.5" style="1180" customWidth="1"/>
    <col min="28" max="16384" width="10.83203125" style="1180"/>
  </cols>
  <sheetData/>
  <printOptions horizontalCentered="1" verticalCentered="1"/>
  <pageMargins left="0" right="0" top="0" bottom="0" header="0" footer="0"/>
  <pageSetup paperSize="9" scale="25" fitToHeight="2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FA357-3134-0742-8CEF-BCD53BFA8E2D}">
  <sheetPr codeName="Feuil3">
    <tabColor theme="7"/>
  </sheetPr>
  <dimension ref="C24:W237"/>
  <sheetViews>
    <sheetView showGridLines="0" view="pageBreakPreview" topLeftCell="A231" zoomScale="66" zoomScaleNormal="75" zoomScaleSheetLayoutView="100" workbookViewId="0">
      <selection activeCell="M134" sqref="M134"/>
    </sheetView>
  </sheetViews>
  <sheetFormatPr baseColWidth="10" defaultRowHeight="18"/>
  <cols>
    <col min="1" max="1" width="9.5" style="1180" customWidth="1"/>
    <col min="2" max="2" width="14.83203125" style="1180" customWidth="1"/>
    <col min="3" max="5" width="15.33203125" style="1180" customWidth="1"/>
    <col min="6" max="6" width="16" style="1180" bestFit="1" customWidth="1"/>
    <col min="7" max="9" width="15.33203125" style="1180" customWidth="1"/>
    <col min="10" max="10" width="16.33203125" style="1180" bestFit="1" customWidth="1"/>
    <col min="11" max="20" width="15.33203125" style="1180" customWidth="1"/>
    <col min="21" max="21" width="19" style="1180" customWidth="1"/>
    <col min="22" max="22" width="15.33203125" style="1180" customWidth="1"/>
    <col min="23" max="23" width="8" style="1180" customWidth="1"/>
    <col min="24" max="25" width="11" style="1180" bestFit="1" customWidth="1"/>
    <col min="26" max="27" width="3.5" style="1180" customWidth="1"/>
    <col min="28" max="16384" width="10.83203125" style="1180"/>
  </cols>
  <sheetData>
    <row r="24" spans="3:23" ht="19" thickBot="1"/>
    <row r="25" spans="3:23" s="1181" customFormat="1" ht="52" thickTop="1" thickBot="1">
      <c r="C25" s="1732" t="s">
        <v>37</v>
      </c>
      <c r="D25" s="1733"/>
      <c r="E25" s="1706"/>
      <c r="F25" s="1508" t="s">
        <v>305</v>
      </c>
      <c r="G25" s="1508" t="s">
        <v>306</v>
      </c>
      <c r="H25" s="1509" t="s">
        <v>468</v>
      </c>
      <c r="I25" s="1508" t="s">
        <v>469</v>
      </c>
      <c r="J25" s="1510" t="s">
        <v>470</v>
      </c>
      <c r="K25" s="1511" t="s">
        <v>471</v>
      </c>
      <c r="L25" s="1511" t="s">
        <v>472</v>
      </c>
      <c r="M25" s="1511" t="s">
        <v>1</v>
      </c>
      <c r="N25" s="1511" t="s">
        <v>2</v>
      </c>
      <c r="O25" s="1508" t="s">
        <v>3</v>
      </c>
      <c r="P25" s="1512" t="s">
        <v>4</v>
      </c>
      <c r="Q25" s="1513" t="s">
        <v>5</v>
      </c>
      <c r="R25" s="1512" t="s">
        <v>6</v>
      </c>
      <c r="S25" s="1514" t="s">
        <v>7</v>
      </c>
      <c r="T25" s="1515" t="s">
        <v>8</v>
      </c>
      <c r="U25" s="1516"/>
      <c r="V25" s="1516"/>
      <c r="W25" s="1517"/>
    </row>
    <row r="26" spans="3:23" s="1182" customFormat="1" ht="35" customHeight="1" thickTop="1">
      <c r="C26" s="1518" t="str">
        <f>FRANCHISE!A129</f>
        <v>lundi</v>
      </c>
      <c r="D26" s="1709">
        <f>FRANCHISE!B157</f>
        <v>45809</v>
      </c>
      <c r="E26" s="1707">
        <f>FRANCHISE!C157</f>
        <v>149699.34000000003</v>
      </c>
      <c r="F26" s="1520">
        <f>FRANCHISE!D157</f>
        <v>73107.62</v>
      </c>
      <c r="G26" s="1520">
        <f>FRANCHISE!E157</f>
        <v>72404.670000000013</v>
      </c>
      <c r="H26" s="1521">
        <f>FRANCHISE!F157</f>
        <v>4157</v>
      </c>
      <c r="I26" s="1522">
        <f>FRANCHISE!G157</f>
        <v>72600</v>
      </c>
      <c r="J26" s="1523">
        <f>FRANCHISE!H157</f>
        <v>70438.34</v>
      </c>
      <c r="K26" s="1524">
        <f>FRANCHISE!I157</f>
        <v>69636.62999999999</v>
      </c>
      <c r="L26" s="1525">
        <f>FRANCHISE!J157</f>
        <v>4023</v>
      </c>
      <c r="M26" s="1526">
        <f>FRANCHISE!K157</f>
        <v>802.98</v>
      </c>
      <c r="N26" s="1526">
        <f>FRANCHISE!L157</f>
        <v>921.07</v>
      </c>
      <c r="O26" s="1526">
        <f>FRANCHISE!M157</f>
        <v>-1073.2123139820117</v>
      </c>
      <c r="P26" s="1527">
        <f>FRANCHISE!N157</f>
        <v>-1.541160613289316E-2</v>
      </c>
      <c r="Q26" s="1528">
        <f>FRANCHISE!O157</f>
        <v>-3.823013073604261E-2</v>
      </c>
      <c r="R26" s="1528">
        <f>FRANCHISE!P157</f>
        <v>-3.223478470050517E-2</v>
      </c>
      <c r="S26" s="1529">
        <f>FRANCHISE!Q157</f>
        <v>86.722745273854869</v>
      </c>
      <c r="T26" s="1529">
        <f>FRANCHISE!R157</f>
        <v>75.604058323471605</v>
      </c>
      <c r="U26" s="1530" t="str">
        <f>FRANCHISE!S157</f>
        <v>CA SEMAINE</v>
      </c>
      <c r="V26" s="1531" t="str">
        <f>FRANCHISE!T157</f>
        <v>VPH</v>
      </c>
      <c r="W26" s="1729" t="str">
        <f>FRANCHISE!U157</f>
        <v>S 23</v>
      </c>
    </row>
    <row r="27" spans="3:23" s="1182" customFormat="1" ht="35" customHeight="1">
      <c r="C27" s="1518" t="str">
        <f>FRANCHISE!A130</f>
        <v>mardi</v>
      </c>
      <c r="D27" s="1709">
        <f>FRANCHISE!B158</f>
        <v>45810</v>
      </c>
      <c r="E27" s="1707">
        <f>FRANCHISE!C158</f>
        <v>73107.62</v>
      </c>
      <c r="F27" s="1520">
        <f>FRANCHISE!D158</f>
        <v>82050.929999999993</v>
      </c>
      <c r="G27" s="1520">
        <f>FRANCHISE!E158</f>
        <v>81236.72</v>
      </c>
      <c r="H27" s="1521">
        <f>FRANCHISE!F158</f>
        <v>4684</v>
      </c>
      <c r="I27" s="1522">
        <f>FRANCHISE!G158</f>
        <v>81200</v>
      </c>
      <c r="J27" s="1523">
        <f>FRANCHISE!H158</f>
        <v>78441.5</v>
      </c>
      <c r="K27" s="1524">
        <f>FRANCHISE!I158</f>
        <v>77165.009999999995</v>
      </c>
      <c r="L27" s="1525">
        <f>FRANCHISE!J158</f>
        <v>4219</v>
      </c>
      <c r="M27" s="1526">
        <f>FRANCHISE!K158</f>
        <v>873.91</v>
      </c>
      <c r="N27" s="1526">
        <f>FRANCHISE!L158</f>
        <v>985.52999999999986</v>
      </c>
      <c r="O27" s="1526">
        <f>FRANCHISE!M158</f>
        <v>439.49218993472306</v>
      </c>
      <c r="P27" s="1527">
        <f>FRANCHISE!N158</f>
        <v>5.6954854270701589E-3</v>
      </c>
      <c r="Q27" s="1528">
        <f>FRANCHISE!O158</f>
        <v>-5.0121546020075729E-2</v>
      </c>
      <c r="R27" s="1528">
        <f>FRANCHISE!P158</f>
        <v>-9.9274124679760892E-2</v>
      </c>
      <c r="S27" s="1529">
        <f>FRANCHISE!Q158</f>
        <v>88.298577656738104</v>
      </c>
      <c r="T27" s="1529">
        <f>FRANCHISE!R158</f>
        <v>78.297981796596758</v>
      </c>
      <c r="U27" s="1532">
        <f>FRANCHISE!S158</f>
        <v>678916.48</v>
      </c>
      <c r="V27" s="1533" t="str">
        <f>FRANCHISE!T158</f>
        <v>EQUIPIER</v>
      </c>
      <c r="W27" s="1730">
        <f>FRANCHISE!U158</f>
        <v>0</v>
      </c>
    </row>
    <row r="28" spans="3:23" s="1182" customFormat="1" ht="35" customHeight="1">
      <c r="C28" s="1518" t="str">
        <f>FRANCHISE!A131</f>
        <v>mercredi</v>
      </c>
      <c r="D28" s="1709">
        <f>FRANCHISE!B159</f>
        <v>45811</v>
      </c>
      <c r="E28" s="1707">
        <f>FRANCHISE!C159</f>
        <v>82050.929999999993</v>
      </c>
      <c r="F28" s="1520">
        <f>FRANCHISE!D159</f>
        <v>96044.14</v>
      </c>
      <c r="G28" s="1520">
        <f>FRANCHISE!E159</f>
        <v>94814.220000000016</v>
      </c>
      <c r="H28" s="1521">
        <f>FRANCHISE!F159</f>
        <v>5216</v>
      </c>
      <c r="I28" s="1522">
        <f>FRANCHISE!G159</f>
        <v>95400</v>
      </c>
      <c r="J28" s="1523">
        <f>FRANCHISE!H159</f>
        <v>93108.72</v>
      </c>
      <c r="K28" s="1524">
        <f>FRANCHISE!I159</f>
        <v>91421.73</v>
      </c>
      <c r="L28" s="1525">
        <f>FRANCHISE!J159</f>
        <v>5047</v>
      </c>
      <c r="M28" s="1526">
        <f>FRANCHISE!K159</f>
        <v>1017.1099999999999</v>
      </c>
      <c r="N28" s="1526">
        <f>FRANCHISE!L159</f>
        <v>1177.8</v>
      </c>
      <c r="O28" s="1526">
        <f>FRANCHISE!M159</f>
        <v>630.36781901958261</v>
      </c>
      <c r="P28" s="1527">
        <f>FRANCHISE!N159</f>
        <v>6.8951639727183314E-3</v>
      </c>
      <c r="Q28" s="1528">
        <f>FRANCHISE!O159</f>
        <v>-3.5780392434805866E-2</v>
      </c>
      <c r="R28" s="1528">
        <f>FRANCHISE!P159</f>
        <v>-3.2400306748466258E-2</v>
      </c>
      <c r="S28" s="1529">
        <f>FRANCHISE!Q159</f>
        <v>89.883817876139261</v>
      </c>
      <c r="T28" s="1529">
        <f>FRANCHISE!R159</f>
        <v>77.620759042282216</v>
      </c>
      <c r="U28" s="1713">
        <f>FRANCHISE!S159</f>
        <v>-4.804213774455237E-2</v>
      </c>
      <c r="V28" s="1545">
        <f>FRANCHISE!T159</f>
        <v>96.98349649230822</v>
      </c>
      <c r="W28" s="1730">
        <f>FRANCHISE!U159</f>
        <v>0</v>
      </c>
    </row>
    <row r="29" spans="3:23" s="1182" customFormat="1" ht="35" customHeight="1">
      <c r="C29" s="1518" t="str">
        <f>FRANCHISE!A132</f>
        <v>jeudi</v>
      </c>
      <c r="D29" s="1710">
        <f>FRANCHISE!B160</f>
        <v>45812</v>
      </c>
      <c r="E29" s="1707">
        <f>FRANCHISE!C160</f>
        <v>96044.14</v>
      </c>
      <c r="F29" s="1534">
        <f>FRANCHISE!D160</f>
        <v>90029.969999999987</v>
      </c>
      <c r="G29" s="1534">
        <f>FRANCHISE!E160</f>
        <v>89081.53</v>
      </c>
      <c r="H29" s="1535">
        <f>FRANCHISE!F160</f>
        <v>5136</v>
      </c>
      <c r="I29" s="1522">
        <f>FRANCHISE!G160</f>
        <v>85800</v>
      </c>
      <c r="J29" s="1536">
        <f>FRANCHISE!H160</f>
        <v>79376.33</v>
      </c>
      <c r="K29" s="1537">
        <f>FRANCHISE!I160</f>
        <v>78136.87000000001</v>
      </c>
      <c r="L29" s="1538">
        <f>FRANCHISE!J160</f>
        <v>4262</v>
      </c>
      <c r="M29" s="1539">
        <f>FRANCHISE!K160</f>
        <v>934.46999999999991</v>
      </c>
      <c r="N29" s="1539">
        <f>FRANCHISE!L160</f>
        <v>1074.23</v>
      </c>
      <c r="O29" s="1539">
        <f>FRANCHISE!M160</f>
        <v>538.75159879668354</v>
      </c>
      <c r="P29" s="1540">
        <f>FRANCHISE!N160</f>
        <v>6.8949728699995725E-3</v>
      </c>
      <c r="Q29" s="1541">
        <f>FRANCHISE!O160</f>
        <v>-0.12286115876096862</v>
      </c>
      <c r="R29" s="1541">
        <f>FRANCHISE!P160</f>
        <v>-0.17017133956386293</v>
      </c>
      <c r="S29" s="1542">
        <f>FRANCHISE!Q160</f>
        <v>83.616242361980611</v>
      </c>
      <c r="T29" s="1542">
        <f>FRANCHISE!R160</f>
        <v>72.73756085754448</v>
      </c>
      <c r="U29" s="1532"/>
      <c r="V29" s="1543" t="str">
        <f>FRANCHISE!T160</f>
        <v>GLOBAL</v>
      </c>
      <c r="W29" s="1730">
        <f>FRANCHISE!U160</f>
        <v>0</v>
      </c>
    </row>
    <row r="30" spans="3:23" s="1182" customFormat="1" ht="35" customHeight="1">
      <c r="C30" s="1518" t="str">
        <f>FRANCHISE!A133</f>
        <v>vendredi</v>
      </c>
      <c r="D30" s="1710">
        <f>FRANCHISE!B161</f>
        <v>45813</v>
      </c>
      <c r="E30" s="1707">
        <f>FRANCHISE!C161</f>
        <v>90029.969999999987</v>
      </c>
      <c r="F30" s="1534">
        <f>FRANCHISE!D161</f>
        <v>126673.97</v>
      </c>
      <c r="G30" s="1534">
        <f>FRANCHISE!E161</f>
        <v>125349.01000000001</v>
      </c>
      <c r="H30" s="1535">
        <f>FRANCHISE!F161</f>
        <v>6790</v>
      </c>
      <c r="I30" s="1522">
        <f>FRANCHISE!G161</f>
        <v>126100</v>
      </c>
      <c r="J30" s="1536">
        <f>FRANCHISE!H161</f>
        <v>120964.19</v>
      </c>
      <c r="K30" s="1537">
        <f>FRANCHISE!I161</f>
        <v>118970.70000000001</v>
      </c>
      <c r="L30" s="1538">
        <f>FRANCHISE!J161</f>
        <v>6298</v>
      </c>
      <c r="M30" s="1539">
        <f>FRANCHISE!K161</f>
        <v>1193.0600000000002</v>
      </c>
      <c r="N30" s="1539">
        <f>FRANCHISE!L161</f>
        <v>1300.1499999999999</v>
      </c>
      <c r="O30" s="1539">
        <f>FRANCHISE!M161</f>
        <v>510.5853845319449</v>
      </c>
      <c r="P30" s="1540">
        <f>FRANCHISE!N161</f>
        <v>4.2916901769254516E-3</v>
      </c>
      <c r="Q30" s="1541">
        <f>FRANCHISE!O161</f>
        <v>-5.0884406665836428E-2</v>
      </c>
      <c r="R30" s="1541">
        <f>FRANCHISE!P161</f>
        <v>-7.2459499263622981E-2</v>
      </c>
      <c r="S30" s="1542">
        <f>FRANCHISE!Q161</f>
        <v>99.718957973614067</v>
      </c>
      <c r="T30" s="1542">
        <f>FRANCHISE!R161</f>
        <v>91.505364765603986</v>
      </c>
      <c r="U30" s="1544" t="str">
        <f>FRANCHISE!S161</f>
        <v>TAC'S</v>
      </c>
      <c r="V30" s="1545">
        <f>FRANCHISE!T161</f>
        <v>85.971986653074936</v>
      </c>
      <c r="W30" s="1730">
        <f>FRANCHISE!U161</f>
        <v>0</v>
      </c>
    </row>
    <row r="31" spans="3:23" s="1182" customFormat="1" ht="35" customHeight="1">
      <c r="C31" s="1518" t="str">
        <f>FRANCHISE!A134</f>
        <v>samedi</v>
      </c>
      <c r="D31" s="1710">
        <f>FRANCHISE!B162</f>
        <v>45814</v>
      </c>
      <c r="E31" s="1707">
        <f>FRANCHISE!C162</f>
        <v>126673.97</v>
      </c>
      <c r="F31" s="1534">
        <f>FRANCHISE!D162</f>
        <v>119839.81999999998</v>
      </c>
      <c r="G31" s="1534">
        <f>FRANCHISE!E162</f>
        <v>118476.56999999998</v>
      </c>
      <c r="H31" s="1535">
        <f>FRANCHISE!F162</f>
        <v>6050</v>
      </c>
      <c r="I31" s="1522">
        <f>FRANCHISE!G162</f>
        <v>117100</v>
      </c>
      <c r="J31" s="1536">
        <f>FRANCHISE!H162</f>
        <v>118643.03</v>
      </c>
      <c r="K31" s="1537">
        <f>FRANCHISE!I162</f>
        <v>116875.29</v>
      </c>
      <c r="L31" s="1538">
        <f>FRANCHISE!J162</f>
        <v>6070</v>
      </c>
      <c r="M31" s="1539">
        <f>FRANCHISE!K162</f>
        <v>1106.19</v>
      </c>
      <c r="N31" s="1539">
        <f>FRANCHISE!L162</f>
        <v>1226.96</v>
      </c>
      <c r="O31" s="1539">
        <f>FRANCHISE!M162</f>
        <v>501.45155243116574</v>
      </c>
      <c r="P31" s="1540">
        <f>FRANCHISE!N162</f>
        <v>4.2904839203493379E-3</v>
      </c>
      <c r="Q31" s="1541">
        <f>FRANCHISE!O162</f>
        <v>-1.3515583714146896E-2</v>
      </c>
      <c r="R31" s="1541">
        <f>FRANCHISE!P162</f>
        <v>3.3057851239669421E-3</v>
      </c>
      <c r="S31" s="1542">
        <f>FRANCHISE!Q162</f>
        <v>105.65571014021099</v>
      </c>
      <c r="T31" s="1542">
        <f>FRANCHISE!R162</f>
        <v>95.255990415335461</v>
      </c>
      <c r="U31" s="1544">
        <f>FRANCHISE!S162</f>
        <v>35988</v>
      </c>
      <c r="V31" s="1546" t="str">
        <f>FRANCHISE!T162</f>
        <v>PERTES</v>
      </c>
      <c r="W31" s="1730">
        <f>FRANCHISE!U162</f>
        <v>0</v>
      </c>
    </row>
    <row r="32" spans="3:23" s="1182" customFormat="1" ht="35" customHeight="1" thickBot="1">
      <c r="C32" s="1519" t="str">
        <f>FRANCHISE!A135</f>
        <v>dimanche</v>
      </c>
      <c r="D32" s="1711">
        <f>FRANCHISE!B163</f>
        <v>45815</v>
      </c>
      <c r="E32" s="1708">
        <f>FRANCHISE!C163</f>
        <v>119839.81999999998</v>
      </c>
      <c r="F32" s="1547">
        <f>FRANCHISE!D163</f>
        <v>133388.08000000002</v>
      </c>
      <c r="G32" s="1547">
        <f>FRANCHISE!E163</f>
        <v>131816.41</v>
      </c>
      <c r="H32" s="1548">
        <f>FRANCHISE!F163</f>
        <v>6486</v>
      </c>
      <c r="I32" s="1549">
        <f>FRANCHISE!G163</f>
        <v>129300</v>
      </c>
      <c r="J32" s="1550">
        <f>FRANCHISE!H163</f>
        <v>128633.55</v>
      </c>
      <c r="K32" s="1551">
        <f>FRANCHISE!I163</f>
        <v>126710.25</v>
      </c>
      <c r="L32" s="1552">
        <f>FRANCHISE!J163</f>
        <v>6069</v>
      </c>
      <c r="M32" s="1553">
        <f>FRANCHISE!K163</f>
        <v>1072.6100000000001</v>
      </c>
      <c r="N32" s="1553">
        <f>FRANCHISE!L163</f>
        <v>1211.21</v>
      </c>
      <c r="O32" s="1553">
        <f>FRANCHISE!M163</f>
        <v>794.0309345052799</v>
      </c>
      <c r="P32" s="1554">
        <f>FRANCHISE!N163</f>
        <v>6.2665090985557989E-3</v>
      </c>
      <c r="Q32" s="1555">
        <f>FRANCHISE!O163</f>
        <v>-3.873690688435532E-2</v>
      </c>
      <c r="R32" s="1555">
        <f>FRANCHISE!P163</f>
        <v>-6.4292321924144316E-2</v>
      </c>
      <c r="S32" s="1556">
        <f>FRANCHISE!Q163</f>
        <v>118.13263907664481</v>
      </c>
      <c r="T32" s="1556">
        <f>FRANCHISE!R163</f>
        <v>104.6146002757573</v>
      </c>
      <c r="U32" s="1557">
        <f>FRANCHISE!S163</f>
        <v>-6.5707832498247618E-2</v>
      </c>
      <c r="V32" s="1558">
        <f>FRANCHISE!T163</f>
        <v>3.4488294719806599E-3</v>
      </c>
      <c r="W32" s="1731">
        <f>FRANCHISE!U163</f>
        <v>0</v>
      </c>
    </row>
    <row r="33" spans="11:11" ht="19" thickTop="1"/>
    <row r="36" spans="11:11">
      <c r="K36" s="1183">
        <f>U27-SUM(I26:I32)</f>
        <v>-28583.520000000019</v>
      </c>
    </row>
    <row r="39" spans="11:11">
      <c r="K39" s="1180" t="s">
        <v>438</v>
      </c>
    </row>
    <row r="126" spans="4:11" ht="23">
      <c r="D126" s="1185"/>
      <c r="E126" s="1186"/>
      <c r="F126" s="1187"/>
      <c r="G126" s="1186"/>
      <c r="H126" s="1187"/>
      <c r="I126" s="1188"/>
      <c r="J126" s="1187"/>
    </row>
    <row r="127" spans="4:11" ht="23">
      <c r="D127" s="1189"/>
      <c r="E127" s="1189"/>
      <c r="F127" s="1190"/>
      <c r="G127" s="1190"/>
      <c r="H127" s="1190"/>
      <c r="I127" s="1190"/>
      <c r="J127" s="1190"/>
      <c r="K127" s="1190"/>
    </row>
    <row r="186" spans="3:20" ht="23">
      <c r="R186" s="1191"/>
      <c r="S186" s="1191"/>
      <c r="T186" s="1191"/>
    </row>
    <row r="187" spans="3:20" ht="23">
      <c r="C187" s="1192"/>
      <c r="D187" s="1192"/>
      <c r="E187" s="1192"/>
      <c r="F187" s="1192"/>
      <c r="G187" s="1193"/>
      <c r="H187" s="1193"/>
      <c r="I187" s="1193"/>
      <c r="J187" s="1193"/>
      <c r="K187" s="1193"/>
      <c r="L187" s="1193"/>
      <c r="M187" s="1193"/>
      <c r="N187" s="1193"/>
      <c r="O187" s="1193"/>
      <c r="R187" s="1194"/>
      <c r="S187" s="1194"/>
      <c r="T187" s="1194"/>
    </row>
    <row r="188" spans="3:20" ht="23">
      <c r="C188" s="1192"/>
      <c r="D188" s="1192"/>
      <c r="E188" s="1192"/>
      <c r="F188" s="1192"/>
      <c r="G188" s="1193"/>
      <c r="H188" s="1193"/>
      <c r="I188" s="1193"/>
      <c r="J188" s="1193"/>
      <c r="K188" s="1193"/>
      <c r="L188" s="1193"/>
      <c r="M188" s="1193"/>
      <c r="N188" s="1193"/>
      <c r="O188" s="1193"/>
      <c r="R188" s="1195"/>
      <c r="S188" s="1196"/>
      <c r="T188" s="1197"/>
    </row>
    <row r="189" spans="3:20" ht="26">
      <c r="C189" s="1184"/>
      <c r="D189" s="1184"/>
      <c r="E189" s="1184"/>
      <c r="F189" s="1184"/>
      <c r="G189" s="1198"/>
      <c r="H189" s="1199"/>
      <c r="I189" s="1199"/>
      <c r="J189" s="1199"/>
      <c r="K189" s="1199"/>
      <c r="L189" s="1199"/>
      <c r="M189" s="1199"/>
      <c r="N189" s="1199"/>
      <c r="O189" s="1198"/>
      <c r="R189" s="1195"/>
      <c r="S189" s="1196"/>
      <c r="T189" s="1197"/>
    </row>
    <row r="190" spans="3:20" ht="26">
      <c r="C190" s="1184"/>
      <c r="D190" s="1184"/>
      <c r="E190" s="1184"/>
      <c r="F190" s="1184"/>
      <c r="G190" s="1198"/>
      <c r="H190" s="1199"/>
      <c r="I190" s="1199"/>
      <c r="J190" s="1199"/>
      <c r="K190" s="1199"/>
      <c r="L190" s="1199"/>
      <c r="M190" s="1199"/>
      <c r="N190" s="1199"/>
      <c r="O190" s="1198"/>
      <c r="R190" s="1195"/>
      <c r="S190" s="1196"/>
      <c r="T190" s="1197"/>
    </row>
    <row r="191" spans="3:20" ht="26">
      <c r="C191" s="1184"/>
      <c r="D191" s="1184"/>
      <c r="E191" s="1184"/>
      <c r="F191" s="1184"/>
      <c r="G191" s="1198"/>
      <c r="H191" s="1199"/>
      <c r="I191" s="1199"/>
      <c r="J191" s="1199"/>
      <c r="K191" s="1199"/>
      <c r="L191" s="1199"/>
      <c r="M191" s="1199"/>
      <c r="N191" s="1199"/>
      <c r="O191" s="1198"/>
      <c r="R191" s="1200"/>
      <c r="S191" s="1200"/>
      <c r="T191" s="1201"/>
    </row>
    <row r="192" spans="3:20" ht="26">
      <c r="C192" s="1184"/>
      <c r="D192" s="1184"/>
      <c r="E192" s="1184"/>
      <c r="F192" s="1184"/>
      <c r="G192" s="1198"/>
      <c r="H192" s="1199"/>
      <c r="I192" s="1199"/>
      <c r="J192" s="1199"/>
      <c r="K192" s="1199"/>
      <c r="L192" s="1199"/>
      <c r="M192" s="1199"/>
      <c r="N192" s="1199"/>
      <c r="O192" s="1198"/>
      <c r="R192" s="1200"/>
      <c r="S192" s="1200"/>
      <c r="T192" s="1201"/>
    </row>
    <row r="193" spans="3:20" ht="26">
      <c r="C193" s="1184"/>
      <c r="D193" s="1184"/>
      <c r="E193" s="1184"/>
      <c r="F193" s="1184"/>
      <c r="G193" s="1198"/>
      <c r="H193" s="1199"/>
      <c r="I193" s="1199"/>
      <c r="J193" s="1199"/>
      <c r="K193" s="1199"/>
      <c r="L193" s="1199"/>
      <c r="M193" s="1199"/>
      <c r="N193" s="1199"/>
      <c r="O193" s="1198"/>
      <c r="R193" s="1200"/>
      <c r="S193" s="1200"/>
      <c r="T193" s="1201"/>
    </row>
    <row r="194" spans="3:20" ht="26">
      <c r="C194" s="1184"/>
      <c r="D194" s="1184"/>
      <c r="E194" s="1184"/>
      <c r="F194" s="1184"/>
      <c r="G194" s="1202"/>
      <c r="H194" s="1202"/>
      <c r="I194" s="1202"/>
      <c r="J194" s="1202"/>
      <c r="K194" s="1202"/>
      <c r="L194" s="1202"/>
      <c r="M194" s="1202"/>
      <c r="O194" s="1202"/>
      <c r="R194" s="1200"/>
      <c r="S194" s="1200"/>
      <c r="T194" s="1201"/>
    </row>
    <row r="195" spans="3:20" ht="26">
      <c r="C195" s="1203"/>
      <c r="D195" s="1203"/>
      <c r="E195" s="1203"/>
      <c r="F195" s="1203"/>
      <c r="G195" s="1204"/>
      <c r="H195" s="1204"/>
      <c r="I195" s="1204"/>
      <c r="J195" s="1204"/>
      <c r="K195" s="1204"/>
      <c r="L195" s="1204"/>
      <c r="M195" s="1204"/>
      <c r="N195" s="1205"/>
      <c r="O195" s="1204"/>
      <c r="R195" s="1200"/>
      <c r="S195" s="1200"/>
      <c r="T195" s="1201"/>
    </row>
    <row r="198" spans="3:20" ht="19">
      <c r="C198" s="1206"/>
      <c r="D198" s="1206"/>
      <c r="E198" s="1207"/>
      <c r="F198" s="1207"/>
      <c r="G198" s="1208"/>
      <c r="H198" s="1208"/>
      <c r="I198" s="1209"/>
      <c r="J198" s="1209"/>
      <c r="K198" s="1209"/>
      <c r="L198" s="1209"/>
      <c r="M198" s="1208"/>
      <c r="N198" s="1208"/>
      <c r="O198" s="1208"/>
      <c r="P198" s="1208"/>
      <c r="Q198" s="1209"/>
      <c r="R198" s="1209"/>
      <c r="S198" s="1209"/>
      <c r="T198" s="1209"/>
    </row>
    <row r="199" spans="3:20" ht="19">
      <c r="C199" s="1210"/>
      <c r="D199" s="1210"/>
      <c r="E199" s="1211"/>
      <c r="F199" s="1212"/>
      <c r="G199" s="1213"/>
      <c r="H199" s="1214"/>
      <c r="I199" s="1213"/>
      <c r="J199" s="1214"/>
      <c r="K199" s="1213"/>
      <c r="L199" s="1213"/>
      <c r="M199" s="1213"/>
      <c r="N199" s="1213"/>
      <c r="O199" s="1214"/>
      <c r="P199" s="1214"/>
      <c r="Q199" s="1213"/>
      <c r="R199" s="1213"/>
      <c r="S199" s="1213"/>
      <c r="T199" s="1215"/>
    </row>
    <row r="200" spans="3:20" ht="19">
      <c r="C200" s="1210"/>
      <c r="D200" s="1210"/>
      <c r="E200" s="1216"/>
      <c r="F200" s="1217"/>
      <c r="G200" s="1218"/>
      <c r="H200" s="1219"/>
      <c r="I200" s="1218"/>
      <c r="J200" s="1219"/>
      <c r="K200" s="1218"/>
      <c r="L200" s="1218"/>
      <c r="M200" s="1218"/>
      <c r="N200" s="1218"/>
      <c r="O200" s="1219"/>
      <c r="P200" s="1219"/>
      <c r="Q200" s="1218"/>
      <c r="R200" s="1218"/>
      <c r="S200" s="1218"/>
      <c r="T200" s="1220"/>
    </row>
    <row r="237" spans="10:21" ht="18" customHeight="1">
      <c r="J237" s="1221"/>
      <c r="K237" s="1222"/>
      <c r="T237" s="1223"/>
      <c r="U237" s="1222"/>
    </row>
  </sheetData>
  <mergeCells count="2">
    <mergeCell ref="W26:W32"/>
    <mergeCell ref="C25:D25"/>
  </mergeCells>
  <conditionalFormatting sqref="P26:P32">
    <cfRule type="cellIs" dxfId="323" priority="1" operator="lessThan">
      <formula>0.006</formula>
    </cfRule>
    <cfRule type="cellIs" dxfId="322" priority="2" operator="greaterThan">
      <formula>0.006</formula>
    </cfRule>
  </conditionalFormatting>
  <conditionalFormatting sqref="Q26:R32">
    <cfRule type="cellIs" dxfId="321" priority="3" operator="lessThan">
      <formula>0</formula>
    </cfRule>
    <cfRule type="cellIs" dxfId="320" priority="4" operator="greaterThan">
      <formula>0</formula>
    </cfRule>
  </conditionalFormatting>
  <printOptions horizontalCentered="1" verticalCentered="1"/>
  <pageMargins left="0" right="0" top="0" bottom="0" header="0" footer="0"/>
  <pageSetup paperSize="9" scale="24" fitToHeight="2" orientation="portrait" horizontalDpi="0" verticalDpi="0"/>
  <rowBreaks count="1" manualBreakCount="1">
    <brk id="182" max="24" man="1"/>
  </rowBreak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DAA32-3E16-AE4B-A7CA-A102C5EBF4CD}">
  <sheetPr codeName="Feuil14">
    <pageSetUpPr fitToPage="1"/>
  </sheetPr>
  <dimension ref="B1:S36"/>
  <sheetViews>
    <sheetView showGridLines="0" view="pageBreakPreview" zoomScaleNormal="100" zoomScaleSheetLayoutView="100" workbookViewId="0">
      <selection activeCell="F6" sqref="F6"/>
    </sheetView>
  </sheetViews>
  <sheetFormatPr baseColWidth="10" defaultColWidth="10.83203125" defaultRowHeight="17"/>
  <cols>
    <col min="1" max="3" width="3.83203125" style="38" customWidth="1"/>
    <col min="4" max="6" width="15.83203125" style="38" customWidth="1"/>
    <col min="7" max="7" width="3.83203125" style="38" customWidth="1"/>
    <col min="8" max="10" width="15.83203125" style="38" customWidth="1"/>
    <col min="11" max="11" width="3.83203125" style="38" customWidth="1"/>
    <col min="12" max="14" width="15.83203125" style="38" customWidth="1"/>
    <col min="15" max="15" width="3.83203125" style="38" customWidth="1"/>
    <col min="16" max="18" width="15.83203125" style="38" customWidth="1"/>
    <col min="19" max="19" width="3.83203125" style="38" customWidth="1"/>
    <col min="20" max="16384" width="10.83203125" style="38"/>
  </cols>
  <sheetData>
    <row r="1" spans="2:19">
      <c r="I1" s="44"/>
      <c r="K1" s="44"/>
      <c r="M1" s="44"/>
      <c r="O1" s="44"/>
      <c r="Q1" s="44"/>
      <c r="S1" s="44"/>
    </row>
    <row r="2" spans="2:19" ht="60" customHeight="1">
      <c r="C2" s="1754" t="s">
        <v>288</v>
      </c>
      <c r="D2" s="1754"/>
      <c r="E2" s="1754"/>
      <c r="F2" s="1754"/>
      <c r="G2" s="1754"/>
      <c r="H2" s="1754"/>
      <c r="I2" s="1754"/>
      <c r="J2" s="1754"/>
      <c r="K2" s="1754"/>
      <c r="L2" s="1754"/>
      <c r="M2" s="1754"/>
      <c r="N2" s="1754"/>
      <c r="O2" s="1754"/>
      <c r="P2" s="1754"/>
      <c r="Q2" s="1754"/>
      <c r="R2" s="1754"/>
      <c r="S2" s="1754"/>
    </row>
    <row r="3" spans="2:19" ht="18" thickBot="1">
      <c r="I3" s="44"/>
      <c r="K3" s="44"/>
      <c r="M3" s="44"/>
      <c r="O3" s="44"/>
      <c r="Q3" s="44"/>
      <c r="S3" s="44"/>
    </row>
    <row r="4" spans="2:19" s="211" customFormat="1" ht="32" customHeight="1">
      <c r="B4" s="1755" t="s">
        <v>274</v>
      </c>
      <c r="D4" s="803" t="s">
        <v>262</v>
      </c>
      <c r="E4" s="804"/>
      <c r="F4" s="805"/>
      <c r="H4" s="803" t="s">
        <v>50</v>
      </c>
      <c r="I4" s="804"/>
      <c r="J4" s="805"/>
      <c r="L4" s="803" t="s">
        <v>277</v>
      </c>
      <c r="M4" s="804"/>
      <c r="N4" s="805"/>
      <c r="P4" s="803" t="s">
        <v>278</v>
      </c>
      <c r="Q4" s="804"/>
      <c r="R4" s="805"/>
      <c r="S4" s="390"/>
    </row>
    <row r="5" spans="2:19" s="211" customFormat="1" ht="19">
      <c r="B5" s="1755"/>
      <c r="D5" s="806" t="s">
        <v>276</v>
      </c>
      <c r="E5" s="807" t="s">
        <v>290</v>
      </c>
      <c r="F5" s="808" t="s">
        <v>262</v>
      </c>
      <c r="H5" s="806" t="s">
        <v>276</v>
      </c>
      <c r="I5" s="807" t="s">
        <v>290</v>
      </c>
      <c r="J5" s="808" t="s">
        <v>275</v>
      </c>
      <c r="L5" s="806" t="s">
        <v>276</v>
      </c>
      <c r="M5" s="807" t="s">
        <v>290</v>
      </c>
      <c r="N5" s="808" t="s">
        <v>275</v>
      </c>
      <c r="P5" s="806" t="s">
        <v>276</v>
      </c>
      <c r="Q5" s="807" t="s">
        <v>290</v>
      </c>
      <c r="R5" s="808" t="s">
        <v>275</v>
      </c>
      <c r="S5" s="390"/>
    </row>
    <row r="6" spans="2:19" s="211" customFormat="1" ht="19">
      <c r="B6" s="1755"/>
      <c r="D6" s="809" t="s">
        <v>294</v>
      </c>
      <c r="E6" s="637" t="str">
        <f>INDEX(OPH!$G$6:$G$13,MATCH(F6,OPH!$W$6:$W$13,0))</f>
        <v>PDB</v>
      </c>
      <c r="F6" s="810">
        <f>LARGE(OPH!$W$6:$W$13,8)</f>
        <v>22.193555546308239</v>
      </c>
      <c r="H6" s="809" t="s">
        <v>294</v>
      </c>
      <c r="I6" s="637" t="str">
        <f>INDEX('INDICES QSP 🍔'!$D$4:$R$4,MATCH(J6,'INDICES QSP 🍔'!$D$7:$R$7,0))</f>
        <v>CHAMBERY</v>
      </c>
      <c r="J6" s="811">
        <f>LARGE('INDICES QSP 🍔'!$D$7:$R$7,1)</f>
        <v>3</v>
      </c>
      <c r="L6" s="809" t="s">
        <v>294</v>
      </c>
      <c r="M6" s="637" t="str">
        <f>INDEX('INDICES QSP 🍔'!$X$74:$X$81,MATCH(N6,'INDICES QSP 🍔'!$Y$74:$Y$81,0))</f>
        <v>LES ABRETS</v>
      </c>
      <c r="N6" s="812">
        <f>LARGE('INDICES QSP 🍔'!$Y$74:$Y$81,1)</f>
        <v>1.0000005000000001</v>
      </c>
      <c r="P6" s="809" t="s">
        <v>294</v>
      </c>
      <c r="Q6" s="637" t="str">
        <f>INDEX('INDICES QSP 🍔'!$D$89:$R$89,MATCH(R6,'INDICES QSP 🍔'!$D$102:$R$102,0))</f>
        <v>ST ALBAN</v>
      </c>
      <c r="R6" s="812">
        <f>LARGE('INDICES QSP 🍔'!$D$102:$R$102,1)</f>
        <v>1</v>
      </c>
      <c r="S6" s="390"/>
    </row>
    <row r="7" spans="2:19" s="211" customFormat="1" ht="19">
      <c r="B7" s="1755"/>
      <c r="D7" s="809" t="s">
        <v>295</v>
      </c>
      <c r="E7" s="637" t="str">
        <f>INDEX(OPH!$G$6:$G$13,MATCH(F7,OPH!$W$6:$W$13,0))</f>
        <v>BELLEY</v>
      </c>
      <c r="F7" s="810">
        <f>LARGE(OPH!$W$6:$W$13,7)</f>
        <v>32.266678534870266</v>
      </c>
      <c r="H7" s="809" t="s">
        <v>295</v>
      </c>
      <c r="I7" s="637" t="str">
        <f>INDEX('INDICES QSP 🍔'!$D$4:$R$4,MATCH(J7,'INDICES QSP 🍔'!$D$7:$R$7,0))</f>
        <v>AIX LES BAINS</v>
      </c>
      <c r="J7" s="811">
        <f>LARGE('INDICES QSP 🍔'!$D$7:$R$7,2)</f>
        <v>2</v>
      </c>
      <c r="L7" s="809" t="s">
        <v>295</v>
      </c>
      <c r="M7" s="637" t="str">
        <f>INDEX('INDICES QSP 🍔'!$X$74:$X$81,MATCH(N7,'INDICES QSP 🍔'!$Y$74:$Y$81,0))</f>
        <v>BELLEY</v>
      </c>
      <c r="N7" s="812">
        <f>LARGE('INDICES QSP 🍔'!$Y$74:$Y$81,2)</f>
        <v>1</v>
      </c>
      <c r="P7" s="809" t="s">
        <v>295</v>
      </c>
      <c r="Q7" s="637" t="str">
        <f>INDEX('INDICES QSP 🍔'!$D$89:$R$89,MATCH(R7,'INDICES QSP 🍔'!$D$102:$R$102,0))</f>
        <v>ST ALBAN</v>
      </c>
      <c r="R7" s="812">
        <f>LARGE('INDICES QSP 🍔'!$D$102:$R$102,2)</f>
        <v>1</v>
      </c>
      <c r="S7" s="390"/>
    </row>
    <row r="8" spans="2:19" s="211" customFormat="1" ht="19">
      <c r="B8" s="1755"/>
      <c r="D8" s="809" t="s">
        <v>296</v>
      </c>
      <c r="E8" s="637" t="str">
        <f>INDEX(OPH!$G$6:$G$13,MATCH(F8,OPH!$W$6:$W$13,0))</f>
        <v>LES ABRETS</v>
      </c>
      <c r="F8" s="810">
        <f>LARGE(OPH!$W$6:$W$13,6)</f>
        <v>36.47250125374223</v>
      </c>
      <c r="H8" s="809" t="s">
        <v>296</v>
      </c>
      <c r="I8" s="637" t="str">
        <f>INDEX('INDICES QSP 🍔'!$D$4:$R$4,MATCH(J8,'INDICES QSP 🍔'!$D$7:$R$7,0))</f>
        <v>AIX LES BAINS</v>
      </c>
      <c r="J8" s="811">
        <f>LARGE('INDICES QSP 🍔'!$D$7:$R$7,3)</f>
        <v>2</v>
      </c>
      <c r="L8" s="809" t="s">
        <v>296</v>
      </c>
      <c r="M8" s="637" t="str">
        <f>INDEX('INDICES QSP 🍔'!$X$74:$X$81,MATCH(N8,'INDICES QSP 🍔'!$Y$74:$Y$81,0))</f>
        <v>BELLEY</v>
      </c>
      <c r="N8" s="812">
        <f>LARGE('INDICES QSP 🍔'!$Y$74:$Y$81,3)</f>
        <v>1</v>
      </c>
      <c r="P8" s="809" t="s">
        <v>296</v>
      </c>
      <c r="Q8" s="637" t="str">
        <f>INDEX('INDICES QSP 🍔'!$D$89:$R$89,MATCH(R8,'INDICES QSP 🍔'!$D$102:$R$102,0))</f>
        <v>AIX LES BAINS</v>
      </c>
      <c r="R8" s="812">
        <f>LARGE('INDICES QSP 🍔'!$D$102:$R$102,3)</f>
        <v>0.94285714285714284</v>
      </c>
      <c r="S8" s="390"/>
    </row>
    <row r="9" spans="2:19" s="211" customFormat="1" ht="19">
      <c r="B9" s="1755"/>
      <c r="D9" s="813">
        <v>4</v>
      </c>
      <c r="E9" s="404" t="str">
        <f>INDEX(OPH!$G$6:$G$13,MATCH(F9,OPH!$W$6:$W$13,0))</f>
        <v>ST ALBAN</v>
      </c>
      <c r="F9" s="814">
        <f>LARGE(OPH!$W$6:$W$13,5)</f>
        <v>43.39627107677984</v>
      </c>
      <c r="H9" s="813">
        <v>4</v>
      </c>
      <c r="I9" s="404" t="str">
        <f>INDEX('INDICES QSP 🍔'!$D$4:$R$4,MATCH(J9,'INDICES QSP 🍔'!$D$7:$R$7,0))</f>
        <v>AIX LES BAINS</v>
      </c>
      <c r="J9" s="815">
        <f>LARGE('INDICES QSP 🍔'!$D$7:$R$7,4)</f>
        <v>2</v>
      </c>
      <c r="L9" s="813">
        <v>4</v>
      </c>
      <c r="M9" s="404" t="str">
        <f>INDEX('INDICES QSP 🍔'!$X$74:$X$81,MATCH(N9,'INDICES QSP 🍔'!$Y$74:$Y$81,0))</f>
        <v>CHAMBERY</v>
      </c>
      <c r="N9" s="816">
        <f>LARGE('INDICES QSP 🍔'!$Y$74:$Y$81,4)</f>
        <v>0.98899999999999999</v>
      </c>
      <c r="P9" s="813">
        <v>4</v>
      </c>
      <c r="Q9" s="404" t="str">
        <f>INDEX('INDICES QSP 🍔'!$D$89:$R$89,MATCH(R9,'INDICES QSP 🍔'!$D$102:$R$102,0))</f>
        <v>VIVIERS</v>
      </c>
      <c r="R9" s="816">
        <f>LARGE('INDICES QSP 🍔'!$D$102:$R$102,4)</f>
        <v>0.93548387096774188</v>
      </c>
      <c r="S9" s="390"/>
    </row>
    <row r="10" spans="2:19" s="211" customFormat="1" ht="19">
      <c r="B10" s="1755"/>
      <c r="D10" s="813">
        <v>5</v>
      </c>
      <c r="E10" s="404" t="str">
        <f>INDEX(OPH!$G$6:$G$13,MATCH(F10,OPH!$W$6:$W$13,0))</f>
        <v>VIVIERS</v>
      </c>
      <c r="F10" s="814">
        <f>LARGE(OPH!$W$6:$W$13,4)</f>
        <v>50.318421259532983</v>
      </c>
      <c r="H10" s="813">
        <v>5</v>
      </c>
      <c r="I10" s="404" t="str">
        <f>INDEX('INDICES QSP 🍔'!$D$4:$R$4,MATCH(J10,'INDICES QSP 🍔'!$D$7:$R$7,0))</f>
        <v>AIX LES BAINS</v>
      </c>
      <c r="J10" s="815">
        <f>LARGE('INDICES QSP 🍔'!$D$7:$R$7,5)</f>
        <v>2</v>
      </c>
      <c r="L10" s="813">
        <v>5</v>
      </c>
      <c r="M10" s="404" t="str">
        <f>INDEX('INDICES QSP 🍔'!$X$74:$X$81,MATCH(N10,'INDICES QSP 🍔'!$Y$74:$Y$81,0))</f>
        <v>AIX LES BAINS</v>
      </c>
      <c r="N10" s="816">
        <f>LARGE('INDICES QSP 🍔'!$Y$74:$Y$81,5)</f>
        <v>0.98699999999999999</v>
      </c>
      <c r="P10" s="813">
        <v>5</v>
      </c>
      <c r="Q10" s="404" t="str">
        <f>INDEX('INDICES QSP 🍔'!$D$89:$R$89,MATCH(R10,'INDICES QSP 🍔'!$D$102:$R$102,0))</f>
        <v>FRANCIN</v>
      </c>
      <c r="R10" s="816">
        <f>LARGE('INDICES QSP 🍔'!$D$102:$R$102,5)</f>
        <v>0.9333433333333333</v>
      </c>
      <c r="S10" s="390"/>
    </row>
    <row r="11" spans="2:19" s="211" customFormat="1" ht="19">
      <c r="B11" s="1755"/>
      <c r="D11" s="813">
        <v>6</v>
      </c>
      <c r="E11" s="404" t="str">
        <f>INDEX(OPH!$G$6:$G$13,MATCH(F11,OPH!$W$6:$W$13,0))</f>
        <v>FRANCIN</v>
      </c>
      <c r="F11" s="814">
        <f>LARGE(OPH!$W$6:$W$13,3)</f>
        <v>51.96004849604526</v>
      </c>
      <c r="H11" s="813">
        <v>6</v>
      </c>
      <c r="I11" s="404" t="str">
        <f>INDEX('INDICES QSP 🍔'!$D$4:$R$4,MATCH(J11,'INDICES QSP 🍔'!$D$7:$R$7,0))</f>
        <v>AIX LES BAINS</v>
      </c>
      <c r="J11" s="815">
        <f>LARGE('INDICES QSP 🍔'!$D$7:$R$7,6)</f>
        <v>2</v>
      </c>
      <c r="L11" s="813">
        <v>6</v>
      </c>
      <c r="M11" s="404" t="str">
        <f>INDEX('INDICES QSP 🍔'!$X$74:$X$81,MATCH(N11,'INDICES QSP 🍔'!$Y$74:$Y$81,0))</f>
        <v>AIX LES BAINS</v>
      </c>
      <c r="N11" s="816">
        <f>LARGE('INDICES QSP 🍔'!$Y$74:$Y$81,6)</f>
        <v>0.98699999999999999</v>
      </c>
      <c r="P11" s="813">
        <v>6</v>
      </c>
      <c r="Q11" s="404" t="str">
        <f>INDEX('INDICES QSP 🍔'!$D$89:$R$89,MATCH(R11,'INDICES QSP 🍔'!$D$102:$R$102,0))</f>
        <v>LES ABRETS</v>
      </c>
      <c r="R11" s="816">
        <f>LARGE('INDICES QSP 🍔'!$D$102:$R$102,6)</f>
        <v>0.92</v>
      </c>
      <c r="S11" s="390"/>
    </row>
    <row r="12" spans="2:19" s="211" customFormat="1" ht="19">
      <c r="B12" s="1755"/>
      <c r="D12" s="813">
        <v>7</v>
      </c>
      <c r="E12" s="404" t="str">
        <f>INDEX(OPH!$G$6:$G$13,MATCH(F12,OPH!$W$6:$W$13,0))</f>
        <v>CHAMNORD</v>
      </c>
      <c r="F12" s="814">
        <f>LARGE(OPH!$W$6:$W$13,2)</f>
        <v>51.975680216605625</v>
      </c>
      <c r="H12" s="813">
        <v>7</v>
      </c>
      <c r="I12" s="404" t="str">
        <f>INDEX('INDICES QSP 🍔'!$D$4:$R$4,MATCH(J12,'INDICES QSP 🍔'!$D$7:$R$7,0))</f>
        <v>AIX LES BAINS</v>
      </c>
      <c r="J12" s="815">
        <f>LARGE('INDICES QSP 🍔'!$D$7:$R$7,7)</f>
        <v>2</v>
      </c>
      <c r="L12" s="813">
        <v>7</v>
      </c>
      <c r="M12" s="404" t="str">
        <f>INDEX('INDICES QSP 🍔'!$X$74:$X$81,MATCH(N12,'INDICES QSP 🍔'!$Y$74:$Y$81,0))</f>
        <v>ST ALBAN</v>
      </c>
      <c r="N12" s="816">
        <f>LARGE('INDICES QSP 🍔'!$Y$74:$Y$81,7)</f>
        <v>0.96599999999999997</v>
      </c>
      <c r="P12" s="813">
        <v>7</v>
      </c>
      <c r="Q12" s="404" t="str">
        <f>INDEX('INDICES QSP 🍔'!$D$89:$R$89,MATCH(R12,'INDICES QSP 🍔'!$D$102:$R$102,0))</f>
        <v>BELLEY</v>
      </c>
      <c r="R12" s="816">
        <f>LARGE('INDICES QSP 🍔'!$D$102:$R$102,7)</f>
        <v>0.88888888888888884</v>
      </c>
      <c r="S12" s="390"/>
    </row>
    <row r="13" spans="2:19" s="211" customFormat="1" ht="20" thickBot="1">
      <c r="B13" s="1755"/>
      <c r="D13" s="817">
        <v>8</v>
      </c>
      <c r="E13" s="818" t="str">
        <f>INDEX(OPH!$G$6:$G$13,MATCH(F13,OPH!$W$6:$W$13,0))</f>
        <v>AIX LES BAINS</v>
      </c>
      <c r="F13" s="819">
        <f>LARGE(OPH!$W$6:$W$13,1)</f>
        <v>54.642174115680696</v>
      </c>
      <c r="H13" s="817">
        <v>8</v>
      </c>
      <c r="I13" s="818" t="str">
        <f>INDEX('INDICES QSP 🍔'!$D$4:$R$4,MATCH(J13,'INDICES QSP 🍔'!$D$7:$R$7,0))</f>
        <v>PDB</v>
      </c>
      <c r="J13" s="820">
        <f>LARGE('INDICES QSP 🍔'!$D$7:$R$7,8)</f>
        <v>1</v>
      </c>
      <c r="L13" s="817">
        <v>8</v>
      </c>
      <c r="M13" s="818" t="str">
        <f>INDEX('INDICES QSP 🍔'!$X$74:$X$81,MATCH(N13,'INDICES QSP 🍔'!$Y$74:$Y$81,0))</f>
        <v>FRANCIN</v>
      </c>
      <c r="N13" s="821">
        <f>LARGE('INDICES QSP 🍔'!$Y$74:$Y$81,8)</f>
        <v>0.86599999999999999</v>
      </c>
      <c r="P13" s="817">
        <v>8</v>
      </c>
      <c r="Q13" s="818" t="str">
        <f>INDEX('INDICES QSP 🍔'!$D$89:$R$89,MATCH(R13,'INDICES QSP 🍔'!$D$102:$R$102,0))</f>
        <v>CHAMBERY</v>
      </c>
      <c r="R13" s="821">
        <f>LARGE('INDICES QSP 🍔'!$D$102:$R$102,8)</f>
        <v>0.88571428571428568</v>
      </c>
      <c r="S13" s="390"/>
    </row>
    <row r="14" spans="2:19" s="211" customFormat="1" ht="20" thickBot="1">
      <c r="J14" s="390"/>
      <c r="L14" s="390"/>
      <c r="N14" s="390"/>
      <c r="P14" s="390"/>
      <c r="R14" s="390"/>
      <c r="S14" s="390"/>
    </row>
    <row r="15" spans="2:19" s="211" customFormat="1" ht="32" customHeight="1">
      <c r="B15" s="1756" t="s">
        <v>280</v>
      </c>
      <c r="D15" s="822" t="s">
        <v>281</v>
      </c>
      <c r="E15" s="823"/>
      <c r="F15" s="824"/>
      <c r="H15" s="822" t="s">
        <v>279</v>
      </c>
      <c r="I15" s="823"/>
      <c r="J15" s="824"/>
      <c r="L15" s="822" t="s">
        <v>282</v>
      </c>
      <c r="M15" s="823"/>
      <c r="N15" s="824"/>
      <c r="P15" s="822" t="s">
        <v>283</v>
      </c>
      <c r="Q15" s="823"/>
      <c r="R15" s="824"/>
      <c r="S15" s="390"/>
    </row>
    <row r="16" spans="2:19" s="211" customFormat="1" ht="19">
      <c r="B16" s="1756"/>
      <c r="D16" s="825" t="s">
        <v>276</v>
      </c>
      <c r="E16" s="826" t="s">
        <v>290</v>
      </c>
      <c r="F16" s="827" t="s">
        <v>284</v>
      </c>
      <c r="H16" s="825" t="s">
        <v>276</v>
      </c>
      <c r="I16" s="826" t="s">
        <v>290</v>
      </c>
      <c r="J16" s="827" t="s">
        <v>230</v>
      </c>
      <c r="L16" s="825" t="s">
        <v>276</v>
      </c>
      <c r="M16" s="826" t="s">
        <v>290</v>
      </c>
      <c r="N16" s="827" t="s">
        <v>285</v>
      </c>
      <c r="P16" s="825" t="s">
        <v>276</v>
      </c>
      <c r="Q16" s="826" t="s">
        <v>290</v>
      </c>
      <c r="R16" s="827" t="s">
        <v>287</v>
      </c>
      <c r="S16" s="390"/>
    </row>
    <row r="17" spans="2:19" s="211" customFormat="1" ht="19">
      <c r="B17" s="1756"/>
      <c r="D17" s="828" t="s">
        <v>294</v>
      </c>
      <c r="E17" s="829" t="str">
        <f>INDEX('INDICES CA 💵'!$X$37:$X$44,MATCH(F17,'INDICES CA 💵'!$Y$37:$Y$44,0))</f>
        <v>FRANCIN</v>
      </c>
      <c r="F17" s="830">
        <f>LARGE('INDICES CA 💵'!$Y$37:$Y$44,1)</f>
        <v>-4.489874691553742E-2</v>
      </c>
      <c r="H17" s="828" t="s">
        <v>294</v>
      </c>
      <c r="I17" s="829" t="str">
        <f>INDEX('INDICES CA 💵'!$X$4:$X$11,MATCH(J17,'INDICES CA 💵'!$Y$4:$Y$11,0))</f>
        <v>VIVIERS</v>
      </c>
      <c r="J17" s="830">
        <f>LARGE('INDICES CA 💵'!$Y$4:$Y$11,1)</f>
        <v>0</v>
      </c>
      <c r="L17" s="828" t="s">
        <v>294</v>
      </c>
      <c r="M17" s="829" t="str">
        <f>INDEX('INDICES CA 💵'!$X$53:$X$60,MATCH(N17,'INDICES CA 💵'!$Y$53:$Y$60,0))</f>
        <v>LES ABRETS</v>
      </c>
      <c r="N17" s="831">
        <f>LARGE('INDICES CA 💵'!$Y$53:$Y$60,1)</f>
        <v>3.8865260042755452</v>
      </c>
      <c r="P17" s="828" t="s">
        <v>294</v>
      </c>
      <c r="Q17" s="829" t="str">
        <f>INDEX('INDICES CA 💵'!$X$83:$X$90,MATCH(R17,'INDICES CA 💵'!$Y$83:$Y$90,0))</f>
        <v>VIVIERS</v>
      </c>
      <c r="R17" s="832">
        <f>LARGE('INDICES CA 💵'!$Y$83:$Y$90,1)</f>
        <v>-1952</v>
      </c>
      <c r="S17" s="390"/>
    </row>
    <row r="18" spans="2:19" s="211" customFormat="1" ht="19">
      <c r="B18" s="1756"/>
      <c r="D18" s="828" t="s">
        <v>295</v>
      </c>
      <c r="E18" s="829" t="str">
        <f>INDEX('INDICES CA 💵'!$X$37:$X$44,MATCH(F18,'INDICES CA 💵'!$Y$37:$Y$44,0))</f>
        <v>ST ALBAN</v>
      </c>
      <c r="F18" s="830">
        <f>LARGE('INDICES CA 💵'!$Y$37:$Y$44,2)</f>
        <v>-4.9896922673263615E-2</v>
      </c>
      <c r="H18" s="828" t="s">
        <v>295</v>
      </c>
      <c r="I18" s="829" t="str">
        <f>INDEX('INDICES CA 💵'!$X$4:$X$11,MATCH(J18,'INDICES CA 💵'!$Y$4:$Y$11,0))</f>
        <v>ST ALBAN</v>
      </c>
      <c r="J18" s="830">
        <f>LARGE('INDICES CA 💵'!$Y$4:$Y$11,2)</f>
        <v>-8.6545796122239387E-5</v>
      </c>
      <c r="L18" s="828" t="s">
        <v>295</v>
      </c>
      <c r="M18" s="829" t="str">
        <f>INDEX('INDICES CA 💵'!$X$53:$X$60,MATCH(N18,'INDICES CA 💵'!$Y$53:$Y$60,0))</f>
        <v>FRANCIN</v>
      </c>
      <c r="N18" s="831">
        <f>LARGE('INDICES CA 💵'!$Y$53:$Y$60,2)</f>
        <v>2.6719288798328726</v>
      </c>
      <c r="P18" s="828" t="s">
        <v>295</v>
      </c>
      <c r="Q18" s="829" t="str">
        <f>INDEX('INDICES CA 💵'!$X$83:$X$90,MATCH(R18,'INDICES CA 💵'!$Y$83:$Y$90,0))</f>
        <v>PDB</v>
      </c>
      <c r="R18" s="832">
        <f>LARGE('INDICES CA 💵'!$Y$83:$Y$90,2)</f>
        <v>-2468</v>
      </c>
      <c r="S18" s="390"/>
    </row>
    <row r="19" spans="2:19" s="211" customFormat="1" ht="19">
      <c r="B19" s="1756"/>
      <c r="D19" s="828" t="s">
        <v>296</v>
      </c>
      <c r="E19" s="829" t="str">
        <f>INDEX('INDICES CA 💵'!$X$37:$X$44,MATCH(F19,'INDICES CA 💵'!$Y$37:$Y$44,0))</f>
        <v>VIVIERS</v>
      </c>
      <c r="F19" s="830">
        <f>LARGE('INDICES CA 💵'!$Y$37:$Y$44,3)</f>
        <v>-5.7642439060531972E-2</v>
      </c>
      <c r="H19" s="828" t="s">
        <v>296</v>
      </c>
      <c r="I19" s="829" t="str">
        <f>INDEX('INDICES CA 💵'!$X$4:$X$11,MATCH(J19,'INDICES CA 💵'!$Y$4:$Y$11,0))</f>
        <v>FRANCIN</v>
      </c>
      <c r="J19" s="830">
        <f>LARGE('INDICES CA 💵'!$Y$4:$Y$11,3)</f>
        <v>-8.3898887029039849E-3</v>
      </c>
      <c r="L19" s="828" t="s">
        <v>296</v>
      </c>
      <c r="M19" s="829" t="str">
        <f>INDEX('INDICES CA 💵'!$X$53:$X$60,MATCH(N19,'INDICES CA 💵'!$Y$53:$Y$60,0))</f>
        <v>PDB</v>
      </c>
      <c r="N19" s="831">
        <f>LARGE('INDICES CA 💵'!$Y$53:$Y$60,3)</f>
        <v>2.5918515992139071</v>
      </c>
      <c r="P19" s="828" t="s">
        <v>296</v>
      </c>
      <c r="Q19" s="829" t="str">
        <f>INDEX('INDICES CA 💵'!$X$83:$X$90,MATCH(R19,'INDICES CA 💵'!$Y$83:$Y$90,0))</f>
        <v>FRANCIN</v>
      </c>
      <c r="R19" s="832">
        <f>LARGE('INDICES CA 💵'!$Y$83:$Y$90,3)</f>
        <v>-2685</v>
      </c>
      <c r="S19" s="390"/>
    </row>
    <row r="20" spans="2:19" s="211" customFormat="1" ht="19">
      <c r="B20" s="1756"/>
      <c r="D20" s="813">
        <v>4</v>
      </c>
      <c r="E20" s="404" t="str">
        <f>INDEX('INDICES CA 💵'!$X$37:$X$44,MATCH(F20,'INDICES CA 💵'!$Y$37:$Y$44,0))</f>
        <v>AIX LES BAINS</v>
      </c>
      <c r="F20" s="833">
        <f>LARGE('INDICES CA 💵'!$Y$37:$Y$44,4)</f>
        <v>-6.2624284423018983E-2</v>
      </c>
      <c r="H20" s="813">
        <v>4</v>
      </c>
      <c r="I20" s="404" t="str">
        <f>INDEX('INDICES CA 💵'!$X$4:$X$11,MATCH(J20,'INDICES CA 💵'!$Y$4:$Y$11,0))</f>
        <v>BELLEY</v>
      </c>
      <c r="J20" s="833">
        <f>LARGE('INDICES CA 💵'!$Y$4:$Y$11,4)</f>
        <v>-1.5047165228759915E-2</v>
      </c>
      <c r="L20" s="813">
        <v>4</v>
      </c>
      <c r="M20" s="404" t="str">
        <f>INDEX('INDICES CA 💵'!$X$53:$X$60,MATCH(N20,'INDICES CA 💵'!$Y$53:$Y$60,0))</f>
        <v>BELLEY</v>
      </c>
      <c r="N20" s="834">
        <f>LARGE('INDICES CA 💵'!$Y$53:$Y$60,4)</f>
        <v>2.5846696022344133</v>
      </c>
      <c r="P20" s="813">
        <v>4</v>
      </c>
      <c r="Q20" s="404" t="str">
        <f>INDEX('INDICES CA 💵'!$X$83:$X$90,MATCH(R20,'INDICES CA 💵'!$Y$83:$Y$90,0))</f>
        <v>ST ALBAN</v>
      </c>
      <c r="R20" s="835">
        <f>LARGE('INDICES CA 💵'!$Y$83:$Y$90,4)</f>
        <v>-2804</v>
      </c>
      <c r="S20" s="390"/>
    </row>
    <row r="21" spans="2:19" s="211" customFormat="1" ht="19">
      <c r="B21" s="1756"/>
      <c r="D21" s="813">
        <v>5</v>
      </c>
      <c r="E21" s="404" t="str">
        <f>INDEX('INDICES CA 💵'!$X$37:$X$44,MATCH(F21,'INDICES CA 💵'!$Y$37:$Y$44,0))</f>
        <v>BELLEY</v>
      </c>
      <c r="F21" s="833">
        <f>LARGE('INDICES CA 💵'!$Y$37:$Y$44,5)</f>
        <v>-6.8710041758628909E-2</v>
      </c>
      <c r="H21" s="813">
        <v>5</v>
      </c>
      <c r="I21" s="404" t="str">
        <f>INDEX('INDICES CA 💵'!$X$4:$X$11,MATCH(J21,'INDICES CA 💵'!$Y$4:$Y$11,0))</f>
        <v>LES ABRETS</v>
      </c>
      <c r="J21" s="833">
        <f>LARGE('INDICES CA 💵'!$Y$4:$Y$11,5)</f>
        <v>-2.1430945508756561E-2</v>
      </c>
      <c r="L21" s="813">
        <v>5</v>
      </c>
      <c r="M21" s="404" t="str">
        <f>INDEX('INDICES CA 💵'!$X$53:$X$60,MATCH(N21,'INDICES CA 💵'!$Y$53:$Y$60,0))</f>
        <v>CHAMBERY</v>
      </c>
      <c r="N21" s="834">
        <f>LARGE('INDICES CA 💵'!$Y$53:$Y$60,5)</f>
        <v>0.84321805496317737</v>
      </c>
      <c r="P21" s="813">
        <v>5</v>
      </c>
      <c r="Q21" s="404" t="str">
        <f>INDEX('INDICES CA 💵'!$X$83:$X$90,MATCH(R21,'INDICES CA 💵'!$Y$83:$Y$90,0))</f>
        <v>LES ABRETS</v>
      </c>
      <c r="R21" s="835">
        <f>LARGE('INDICES CA 💵'!$Y$83:$Y$90,5)</f>
        <v>-4197</v>
      </c>
      <c r="S21" s="390"/>
    </row>
    <row r="22" spans="2:19" s="211" customFormat="1" ht="19">
      <c r="B22" s="1756"/>
      <c r="D22" s="813">
        <v>6</v>
      </c>
      <c r="E22" s="404" t="str">
        <f>INDEX('INDICES CA 💵'!$X$37:$X$44,MATCH(F22,'INDICES CA 💵'!$Y$37:$Y$44,0))</f>
        <v>PDB</v>
      </c>
      <c r="F22" s="833">
        <f>LARGE('INDICES CA 💵'!$Y$37:$Y$44,6)</f>
        <v>-7.2878086419753088E-2</v>
      </c>
      <c r="H22" s="813">
        <v>6</v>
      </c>
      <c r="I22" s="404" t="str">
        <f>INDEX('INDICES CA 💵'!$X$4:$X$11,MATCH(J22,'INDICES CA 💵'!$Y$4:$Y$11,0))</f>
        <v>PDB</v>
      </c>
      <c r="J22" s="833">
        <f>LARGE('INDICES CA 💵'!$Y$4:$Y$11,6)</f>
        <v>-2.3743729579935702E-2</v>
      </c>
      <c r="L22" s="813">
        <v>6</v>
      </c>
      <c r="M22" s="404" t="str">
        <f>INDEX('INDICES CA 💵'!$X$53:$X$60,MATCH(N22,'INDICES CA 💵'!$Y$53:$Y$60,0))</f>
        <v>ST ALBAN</v>
      </c>
      <c r="N22" s="834">
        <f>LARGE('INDICES CA 💵'!$Y$53:$Y$60,6)</f>
        <v>0.74079804452906473</v>
      </c>
      <c r="P22" s="813">
        <v>6</v>
      </c>
      <c r="Q22" s="404" t="str">
        <f>INDEX('INDICES CA 💵'!$X$83:$X$90,MATCH(R22,'INDICES CA 💵'!$Y$83:$Y$90,0))</f>
        <v>BELLEY</v>
      </c>
      <c r="R22" s="835">
        <f>LARGE('INDICES CA 💵'!$Y$83:$Y$90,6)</f>
        <v>-4519</v>
      </c>
      <c r="S22" s="390"/>
    </row>
    <row r="23" spans="2:19" s="211" customFormat="1" ht="19">
      <c r="B23" s="1756"/>
      <c r="D23" s="813">
        <v>7</v>
      </c>
      <c r="E23" s="404" t="str">
        <f>INDEX('INDICES CA 💵'!$X$37:$X$44,MATCH(F23,'INDICES CA 💵'!$Y$37:$Y$44,0))</f>
        <v>LES ABRETS</v>
      </c>
      <c r="F23" s="833">
        <f>LARGE('INDICES CA 💵'!$Y$37:$Y$44,7)</f>
        <v>-7.6267617496771301E-2</v>
      </c>
      <c r="H23" s="813">
        <v>7</v>
      </c>
      <c r="I23" s="404" t="str">
        <f>INDEX('INDICES CA 💵'!$X$4:$X$11,MATCH(J23,'INDICES CA 💵'!$Y$4:$Y$11,0))</f>
        <v>AIX LES BAINS</v>
      </c>
      <c r="J23" s="833">
        <f>LARGE('INDICES CA 💵'!$Y$4:$Y$11,7)</f>
        <v>-2.5569719099677961E-2</v>
      </c>
      <c r="L23" s="813">
        <v>7</v>
      </c>
      <c r="M23" s="404" t="str">
        <f>INDEX('INDICES CA 💵'!$X$53:$X$60,MATCH(N23,'INDICES CA 💵'!$Y$53:$Y$60,0))</f>
        <v>VIVIERS</v>
      </c>
      <c r="N23" s="834">
        <f>LARGE('INDICES CA 💵'!$Y$53:$Y$60,7)</f>
        <v>0</v>
      </c>
      <c r="P23" s="813">
        <v>7</v>
      </c>
      <c r="Q23" s="404" t="str">
        <f>INDEX('INDICES CA 💵'!$X$83:$X$90,MATCH(R23,'INDICES CA 💵'!$Y$83:$Y$90,0))</f>
        <v>AIX LES BAINS</v>
      </c>
      <c r="R23" s="835">
        <f>LARGE('INDICES CA 💵'!$Y$83:$Y$90,7)</f>
        <v>-6034</v>
      </c>
      <c r="S23" s="390"/>
    </row>
    <row r="24" spans="2:19" s="211" customFormat="1" ht="20" thickBot="1">
      <c r="B24" s="1756"/>
      <c r="D24" s="817">
        <v>8</v>
      </c>
      <c r="E24" s="818" t="str">
        <f>INDEX('INDICES CA 💵'!$X$37:$X$44,MATCH(F24,'INDICES CA 💵'!$Y$37:$Y$44,0))</f>
        <v>CHAMBERY</v>
      </c>
      <c r="F24" s="836">
        <f>LARGE('INDICES CA 💵'!$Y$37:$Y$44,8)</f>
        <v>-0.11580061133317658</v>
      </c>
      <c r="H24" s="817">
        <v>8</v>
      </c>
      <c r="I24" s="818" t="str">
        <f>INDEX('INDICES CA 💵'!$X$4:$X$11,MATCH(J24,'INDICES CA 💵'!$Y$4:$Y$11,0))</f>
        <v>CHAMBERY</v>
      </c>
      <c r="J24" s="836">
        <f>LARGE('INDICES CA 💵'!$Y$4:$Y$11,8)</f>
        <v>-6.2983657690405953E-2</v>
      </c>
      <c r="L24" s="817">
        <v>8</v>
      </c>
      <c r="M24" s="818" t="str">
        <f>INDEX('INDICES CA 💵'!$X$53:$X$60,MATCH(N24,'INDICES CA 💵'!$Y$53:$Y$60,0))</f>
        <v>AIX LES BAINS</v>
      </c>
      <c r="N24" s="837">
        <f>LARGE('INDICES CA 💵'!$Y$53:$Y$60,8)</f>
        <v>-0.68000389932210936</v>
      </c>
      <c r="P24" s="817">
        <v>8</v>
      </c>
      <c r="Q24" s="818" t="str">
        <f>INDEX('INDICES CA 💵'!$X$83:$X$90,MATCH(R24,'INDICES CA 💵'!$Y$83:$Y$90,0))</f>
        <v>CHAMBERY</v>
      </c>
      <c r="R24" s="838">
        <f>LARGE('INDICES CA 💵'!$Y$83:$Y$90,8)</f>
        <v>-8194</v>
      </c>
      <c r="S24" s="390"/>
    </row>
    <row r="25" spans="2:19" s="211" customFormat="1" ht="20" thickBot="1">
      <c r="I25" s="390"/>
      <c r="K25" s="390"/>
      <c r="M25" s="390"/>
      <c r="O25" s="390"/>
      <c r="Q25" s="390"/>
      <c r="S25" s="390"/>
    </row>
    <row r="26" spans="2:19" s="211" customFormat="1" ht="32" customHeight="1">
      <c r="B26" s="1757" t="s">
        <v>289</v>
      </c>
      <c r="D26" s="839" t="s">
        <v>159</v>
      </c>
      <c r="E26" s="840"/>
      <c r="F26" s="841"/>
      <c r="H26" s="839" t="s">
        <v>160</v>
      </c>
      <c r="I26" s="840"/>
      <c r="J26" s="841"/>
      <c r="L26" s="839" t="s">
        <v>293</v>
      </c>
      <c r="M26" s="840"/>
      <c r="N26" s="841"/>
      <c r="P26" s="839" t="s">
        <v>291</v>
      </c>
      <c r="Q26" s="840"/>
      <c r="R26" s="841"/>
      <c r="S26" s="390"/>
    </row>
    <row r="27" spans="2:19" s="211" customFormat="1" ht="19">
      <c r="B27" s="1757"/>
      <c r="D27" s="842" t="s">
        <v>276</v>
      </c>
      <c r="E27" s="843" t="s">
        <v>290</v>
      </c>
      <c r="F27" s="844" t="s">
        <v>230</v>
      </c>
      <c r="H27" s="842" t="s">
        <v>276</v>
      </c>
      <c r="I27" s="843" t="s">
        <v>290</v>
      </c>
      <c r="J27" s="844" t="s">
        <v>230</v>
      </c>
      <c r="L27" s="842" t="s">
        <v>276</v>
      </c>
      <c r="M27" s="843" t="s">
        <v>290</v>
      </c>
      <c r="N27" s="844" t="s">
        <v>297</v>
      </c>
      <c r="P27" s="842" t="s">
        <v>276</v>
      </c>
      <c r="Q27" s="843" t="s">
        <v>290</v>
      </c>
      <c r="R27" s="844" t="s">
        <v>292</v>
      </c>
      <c r="S27" s="390"/>
    </row>
    <row r="28" spans="2:19" s="211" customFormat="1" ht="19">
      <c r="B28" s="1757"/>
      <c r="D28" s="845" t="s">
        <v>294</v>
      </c>
      <c r="E28" s="846" t="str">
        <f>INDEX('INDICES FINANCIERS 📈'!$X$4:$X$11,MATCH(F28,'INDICES FINANCIERS 📈'!$Y$4:$Y$11,0))</f>
        <v>CHAMBERY</v>
      </c>
      <c r="F28" s="847">
        <f>LARGE('INDICES FINANCIERS 📈'!$Y$4:$Y$11,1)</f>
        <v>0</v>
      </c>
      <c r="H28" s="845" t="s">
        <v>294</v>
      </c>
      <c r="I28" s="846" t="str">
        <f>INDEX('INDICES FINANCIERS 📈'!$X$19:$X$26,MATCH(J28,'INDICES FINANCIERS 📈'!$Y$19:$Y$26,0))</f>
        <v>CHAMBERY</v>
      </c>
      <c r="J28" s="847">
        <f>LARGE('INDICES FINANCIERS 📈'!$Y$19:$Y$26,1)</f>
        <v>0</v>
      </c>
      <c r="L28" s="845" t="s">
        <v>294</v>
      </c>
      <c r="M28" s="846" t="e">
        <f>INDEX(#REF!,MATCH(N28,#REF!,0))</f>
        <v>#REF!</v>
      </c>
      <c r="N28" s="847" t="e">
        <f>LARGE(#REF!,8)</f>
        <v>#REF!</v>
      </c>
      <c r="P28" s="845" t="s">
        <v>294</v>
      </c>
      <c r="Q28" s="846" t="str">
        <f>INDEX('INDICES FINANCIERS 📈'!$X$97:$X$104,MATCH(R28,'INDICES FINANCIERS 📈'!$Y$97:$Y$104,0))</f>
        <v>BELLEY</v>
      </c>
      <c r="R28" s="847">
        <f>LARGE('INDICES FINANCIERS 📈'!$Y$97:$Y$104,8)</f>
        <v>2.8959122470483575E-3</v>
      </c>
      <c r="S28" s="390"/>
    </row>
    <row r="29" spans="2:19" s="211" customFormat="1" ht="19">
      <c r="B29" s="1757"/>
      <c r="D29" s="845" t="s">
        <v>295</v>
      </c>
      <c r="E29" s="846" t="str">
        <f>INDEX('INDICES FINANCIERS 📈'!$X$4:$X$11,MATCH(F29,'INDICES FINANCIERS 📈'!$Y$4:$Y$11,0))</f>
        <v>CHAMBERY</v>
      </c>
      <c r="F29" s="847">
        <f>LARGE('INDICES FINANCIERS 📈'!$Y$4:$Y$11,2)</f>
        <v>0</v>
      </c>
      <c r="H29" s="845" t="s">
        <v>295</v>
      </c>
      <c r="I29" s="846" t="str">
        <f>INDEX('INDICES FINANCIERS 📈'!$X$19:$X$26,MATCH(J29,'INDICES FINANCIERS 📈'!$Y$19:$Y$26,0))</f>
        <v>CHAMBERY</v>
      </c>
      <c r="J29" s="847">
        <f>LARGE('INDICES FINANCIERS 📈'!$Y$19:$Y$26,2)</f>
        <v>0</v>
      </c>
      <c r="L29" s="845" t="s">
        <v>295</v>
      </c>
      <c r="M29" s="846" t="e">
        <f>INDEX(#REF!,MATCH(N29,#REF!,0))</f>
        <v>#REF!</v>
      </c>
      <c r="N29" s="847" t="e">
        <f>LARGE(#REF!,7)</f>
        <v>#REF!</v>
      </c>
      <c r="P29" s="845" t="s">
        <v>295</v>
      </c>
      <c r="Q29" s="846" t="str">
        <f>INDEX('INDICES FINANCIERS 📈'!$X$97:$X$104,MATCH(R29,'INDICES FINANCIERS 📈'!$Y$97:$Y$104,0))</f>
        <v>LES ABRETS</v>
      </c>
      <c r="R29" s="847">
        <f>LARGE('INDICES FINANCIERS 📈'!$Y$97:$Y$104,7)</f>
        <v>5.6606890209217105E-3</v>
      </c>
      <c r="S29" s="390"/>
    </row>
    <row r="30" spans="2:19" s="211" customFormat="1" ht="19">
      <c r="B30" s="1757"/>
      <c r="D30" s="845" t="s">
        <v>296</v>
      </c>
      <c r="E30" s="846" t="str">
        <f>INDEX('INDICES FINANCIERS 📈'!$X$4:$X$11,MATCH(F30,'INDICES FINANCIERS 📈'!$Y$4:$Y$11,0))</f>
        <v>CHAMBERY</v>
      </c>
      <c r="F30" s="847">
        <f>LARGE('INDICES FINANCIERS 📈'!$Y$4:$Y$11,3)</f>
        <v>0</v>
      </c>
      <c r="H30" s="845" t="s">
        <v>296</v>
      </c>
      <c r="I30" s="846" t="str">
        <f>INDEX('INDICES FINANCIERS 📈'!$X$19:$X$26,MATCH(J30,'INDICES FINANCIERS 📈'!$Y$19:$Y$26,0))</f>
        <v>CHAMBERY</v>
      </c>
      <c r="J30" s="847">
        <f>LARGE('INDICES FINANCIERS 📈'!$Y$19:$Y$26,3)</f>
        <v>0</v>
      </c>
      <c r="L30" s="845" t="s">
        <v>296</v>
      </c>
      <c r="M30" s="846" t="e">
        <f>INDEX(#REF!,MATCH(N30,#REF!,0))</f>
        <v>#REF!</v>
      </c>
      <c r="N30" s="847" t="e">
        <f>LARGE(#REF!,6)</f>
        <v>#REF!</v>
      </c>
      <c r="P30" s="845" t="s">
        <v>296</v>
      </c>
      <c r="Q30" s="846" t="str">
        <f>INDEX('INDICES FINANCIERS 📈'!$X$97:$X$104,MATCH(R30,'INDICES FINANCIERS 📈'!$Y$97:$Y$104,0))</f>
        <v>ST ALBAN</v>
      </c>
      <c r="R30" s="847">
        <f>LARGE('INDICES FINANCIERS 📈'!$Y$97:$Y$104,6)</f>
        <v>5.8543836452211607E-3</v>
      </c>
      <c r="S30" s="390"/>
    </row>
    <row r="31" spans="2:19" s="211" customFormat="1" ht="19">
      <c r="B31" s="1757"/>
      <c r="D31" s="813">
        <v>4</v>
      </c>
      <c r="E31" s="404" t="str">
        <f>INDEX('INDICES FINANCIERS 📈'!$X$4:$X$11,MATCH(F31,'INDICES FINANCIERS 📈'!$Y$4:$Y$11,0))</f>
        <v>CHAMBERY</v>
      </c>
      <c r="F31" s="833">
        <f>LARGE('INDICES FINANCIERS 📈'!$Y$4:$Y$11,4)</f>
        <v>0</v>
      </c>
      <c r="H31" s="813">
        <v>4</v>
      </c>
      <c r="I31" s="404" t="str">
        <f>INDEX('INDICES FINANCIERS 📈'!$X$19:$X$26,MATCH(J31,'INDICES FINANCIERS 📈'!$Y$19:$Y$26,0))</f>
        <v>CHAMBERY</v>
      </c>
      <c r="J31" s="833">
        <f>LARGE('INDICES FINANCIERS 📈'!$Y$19:$Y$26,4)</f>
        <v>0</v>
      </c>
      <c r="L31" s="813">
        <v>4</v>
      </c>
      <c r="M31" s="404" t="e">
        <f>INDEX(#REF!,MATCH(N31,#REF!,0))</f>
        <v>#REF!</v>
      </c>
      <c r="N31" s="833" t="e">
        <f>LARGE(#REF!,5)</f>
        <v>#REF!</v>
      </c>
      <c r="P31" s="813">
        <v>4</v>
      </c>
      <c r="Q31" s="404" t="str">
        <f>INDEX('INDICES FINANCIERS 📈'!$X$97:$X$104,MATCH(R31,'INDICES FINANCIERS 📈'!$Y$97:$Y$104,0))</f>
        <v>PDB</v>
      </c>
      <c r="R31" s="833">
        <f>LARGE('INDICES FINANCIERS 📈'!$Y$97:$Y$104,5)</f>
        <v>6.1741634025153759E-3</v>
      </c>
      <c r="S31" s="390"/>
    </row>
    <row r="32" spans="2:19" s="211" customFormat="1" ht="19">
      <c r="B32" s="1757"/>
      <c r="D32" s="813">
        <v>5</v>
      </c>
      <c r="E32" s="404" t="str">
        <f>INDEX('INDICES FINANCIERS 📈'!$X$4:$X$11,MATCH(F32,'INDICES FINANCIERS 📈'!$Y$4:$Y$11,0))</f>
        <v>CHAMBERY</v>
      </c>
      <c r="F32" s="833">
        <f>LARGE('INDICES FINANCIERS 📈'!$Y$4:$Y$11,5)</f>
        <v>0</v>
      </c>
      <c r="H32" s="813">
        <v>5</v>
      </c>
      <c r="I32" s="404" t="str">
        <f>INDEX('INDICES FINANCIERS 📈'!$X$19:$X$26,MATCH(J32,'INDICES FINANCIERS 📈'!$Y$19:$Y$26,0))</f>
        <v>CHAMBERY</v>
      </c>
      <c r="J32" s="833">
        <f>LARGE('INDICES FINANCIERS 📈'!$Y$19:$Y$26,5)</f>
        <v>0</v>
      </c>
      <c r="L32" s="813">
        <v>5</v>
      </c>
      <c r="M32" s="404" t="e">
        <f>INDEX(#REF!,MATCH(N32,#REF!,0))</f>
        <v>#REF!</v>
      </c>
      <c r="N32" s="833" t="e">
        <f>LARGE(#REF!,4)</f>
        <v>#REF!</v>
      </c>
      <c r="P32" s="813">
        <v>5</v>
      </c>
      <c r="Q32" s="404" t="str">
        <f>INDEX('INDICES FINANCIERS 📈'!$X$97:$X$104,MATCH(R32,'INDICES FINANCIERS 📈'!$Y$97:$Y$104,0))</f>
        <v>VIVIERS</v>
      </c>
      <c r="R32" s="833">
        <f>LARGE('INDICES FINANCIERS 📈'!$Y$97:$Y$104,4)</f>
        <v>7.3924061025436444E-3</v>
      </c>
      <c r="S32" s="390"/>
    </row>
    <row r="33" spans="2:19" s="211" customFormat="1" ht="19">
      <c r="B33" s="1757"/>
      <c r="D33" s="813">
        <v>6</v>
      </c>
      <c r="E33" s="404" t="str">
        <f>INDEX('INDICES FINANCIERS 📈'!$X$4:$X$11,MATCH(F33,'INDICES FINANCIERS 📈'!$Y$4:$Y$11,0))</f>
        <v>CHAMBERY</v>
      </c>
      <c r="F33" s="833">
        <f>LARGE('INDICES FINANCIERS 📈'!$Y$4:$Y$11,6)</f>
        <v>0</v>
      </c>
      <c r="H33" s="813">
        <v>6</v>
      </c>
      <c r="I33" s="404" t="str">
        <f>INDEX('INDICES FINANCIERS 📈'!$X$19:$X$26,MATCH(J33,'INDICES FINANCIERS 📈'!$Y$19:$Y$26,0))</f>
        <v>CHAMBERY</v>
      </c>
      <c r="J33" s="833">
        <f>LARGE('INDICES FINANCIERS 📈'!$Y$19:$Y$26,6)</f>
        <v>0</v>
      </c>
      <c r="L33" s="813">
        <v>6</v>
      </c>
      <c r="M33" s="404" t="e">
        <f>INDEX(#REF!,MATCH(N33,#REF!,0))</f>
        <v>#REF!</v>
      </c>
      <c r="N33" s="833" t="e">
        <f>LARGE(#REF!,3)</f>
        <v>#REF!</v>
      </c>
      <c r="P33" s="813">
        <v>6</v>
      </c>
      <c r="Q33" s="404" t="str">
        <f>INDEX('INDICES FINANCIERS 📈'!$X$97:$X$104,MATCH(R33,'INDICES FINANCIERS 📈'!$Y$97:$Y$104,0))</f>
        <v>FRANCIN</v>
      </c>
      <c r="R33" s="833">
        <f>LARGE('INDICES FINANCIERS 📈'!$Y$97:$Y$104,3)</f>
        <v>8.5070277453355662E-3</v>
      </c>
      <c r="S33" s="390"/>
    </row>
    <row r="34" spans="2:19" s="211" customFormat="1" ht="19">
      <c r="B34" s="1757"/>
      <c r="D34" s="813">
        <v>7</v>
      </c>
      <c r="E34" s="404" t="str">
        <f>INDEX('INDICES FINANCIERS 📈'!$X$4:$X$11,MATCH(F34,'INDICES FINANCIERS 📈'!$Y$4:$Y$11,0))</f>
        <v>CHAMBERY</v>
      </c>
      <c r="F34" s="833">
        <f>LARGE('INDICES FINANCIERS 📈'!$Y$4:$Y$11,7)</f>
        <v>0</v>
      </c>
      <c r="H34" s="813">
        <v>7</v>
      </c>
      <c r="I34" s="404" t="str">
        <f>INDEX('INDICES FINANCIERS 📈'!$X$19:$X$26,MATCH(J34,'INDICES FINANCIERS 📈'!$Y$19:$Y$26,0))</f>
        <v>CHAMBERY</v>
      </c>
      <c r="J34" s="833">
        <f>LARGE('INDICES FINANCIERS 📈'!$Y$19:$Y$26,7)</f>
        <v>0</v>
      </c>
      <c r="L34" s="813">
        <v>7</v>
      </c>
      <c r="M34" s="404" t="e">
        <f>INDEX(#REF!,MATCH(N34,#REF!,0))</f>
        <v>#REF!</v>
      </c>
      <c r="N34" s="833" t="e">
        <f>LARGE(#REF!,2)</f>
        <v>#REF!</v>
      </c>
      <c r="P34" s="813">
        <v>7</v>
      </c>
      <c r="Q34" s="404" t="str">
        <f>INDEX('INDICES FINANCIERS 📈'!$X$97:$X$104,MATCH(R34,'INDICES FINANCIERS 📈'!$Y$97:$Y$104,0))</f>
        <v>AIX LES BAINS</v>
      </c>
      <c r="R34" s="833">
        <f>LARGE('INDICES FINANCIERS 📈'!$Y$97:$Y$104,2)</f>
        <v>8.5850700343333489E-3</v>
      </c>
      <c r="S34" s="390"/>
    </row>
    <row r="35" spans="2:19" s="211" customFormat="1" ht="20" thickBot="1">
      <c r="B35" s="1757"/>
      <c r="D35" s="817">
        <v>8</v>
      </c>
      <c r="E35" s="818" t="str">
        <f>INDEX('INDICES FINANCIERS 📈'!$X$4:$X$11,MATCH(F35,'INDICES FINANCIERS 📈'!$Y$4:$Y$11,0))</f>
        <v>CHAMBERY</v>
      </c>
      <c r="F35" s="836">
        <f>LARGE('INDICES FINANCIERS 📈'!$Y$4:$Y$11,8)</f>
        <v>0</v>
      </c>
      <c r="H35" s="817">
        <v>8</v>
      </c>
      <c r="I35" s="818" t="str">
        <f>INDEX('INDICES FINANCIERS 📈'!$X$19:$X$26,MATCH(J35,'INDICES FINANCIERS 📈'!$Y$19:$Y$26,0))</f>
        <v>CHAMBERY</v>
      </c>
      <c r="J35" s="836">
        <f>LARGE('INDICES FINANCIERS 📈'!$Y$19:$Y$26,8)</f>
        <v>0</v>
      </c>
      <c r="L35" s="817">
        <v>8</v>
      </c>
      <c r="M35" s="818" t="e">
        <f>INDEX(#REF!,MATCH(N35,#REF!,0))</f>
        <v>#REF!</v>
      </c>
      <c r="N35" s="836" t="e">
        <f>LARGE(#REF!,1)</f>
        <v>#REF!</v>
      </c>
      <c r="P35" s="817">
        <v>8</v>
      </c>
      <c r="Q35" s="818" t="str">
        <f>INDEX('INDICES FINANCIERS 📈'!$X$97:$X$104,MATCH(R35,'INDICES FINANCIERS 📈'!$Y$97:$Y$104,0))</f>
        <v>CHAMBERY</v>
      </c>
      <c r="R35" s="836">
        <f>LARGE('INDICES FINANCIERS 📈'!$Y$97:$Y$104,1)</f>
        <v>1.1044347453356819E-2</v>
      </c>
      <c r="S35" s="390"/>
    </row>
    <row r="36" spans="2:19" s="211" customFormat="1" ht="19">
      <c r="I36" s="390"/>
      <c r="K36" s="390"/>
      <c r="M36" s="390"/>
      <c r="O36" s="390"/>
      <c r="Q36" s="390"/>
      <c r="S36" s="390"/>
    </row>
  </sheetData>
  <mergeCells count="4">
    <mergeCell ref="C2:S2"/>
    <mergeCell ref="B4:B13"/>
    <mergeCell ref="B15:B24"/>
    <mergeCell ref="B26:B35"/>
  </mergeCells>
  <pageMargins left="0.7" right="0.7" top="0.75" bottom="0.75" header="0.3" footer="0.3"/>
  <pageSetup paperSize="9" scale="56" orientation="landscape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B1B46-EF18-6547-A068-3CC9078CB9E5}">
  <sheetPr codeName="Feuil15">
    <tabColor theme="4" tint="-0.249977111117893"/>
    <pageSetUpPr fitToPage="1"/>
  </sheetPr>
  <dimension ref="B1:T70"/>
  <sheetViews>
    <sheetView showGridLines="0" view="pageBreakPreview" topLeftCell="A8" zoomScaleNormal="100" zoomScaleSheetLayoutView="100" workbookViewId="0">
      <selection activeCell="S40" sqref="S40"/>
    </sheetView>
  </sheetViews>
  <sheetFormatPr baseColWidth="10" defaultColWidth="10.83203125" defaultRowHeight="17"/>
  <cols>
    <col min="1" max="1" width="3" style="38" customWidth="1"/>
    <col min="2" max="2" width="9.5" style="109" bestFit="1" customWidth="1"/>
    <col min="3" max="3" width="12" style="44" bestFit="1" customWidth="1"/>
    <col min="4" max="4" width="7.5" style="44" bestFit="1" customWidth="1"/>
    <col min="5" max="5" width="12" style="44" bestFit="1" customWidth="1"/>
    <col min="6" max="6" width="7.5" style="44" bestFit="1" customWidth="1"/>
    <col min="7" max="7" width="12" style="44" bestFit="1" customWidth="1"/>
    <col min="8" max="8" width="7.5" style="44" bestFit="1" customWidth="1"/>
    <col min="9" max="9" width="12" style="44" bestFit="1" customWidth="1"/>
    <col min="10" max="10" width="7.5" style="44" bestFit="1" customWidth="1"/>
    <col min="11" max="11" width="12" style="44" bestFit="1" customWidth="1"/>
    <col min="12" max="12" width="7.5" style="44" bestFit="1" customWidth="1"/>
    <col min="13" max="13" width="12" style="44" bestFit="1" customWidth="1"/>
    <col min="14" max="14" width="7.5" style="44" bestFit="1" customWidth="1"/>
    <col min="15" max="15" width="12" style="44" bestFit="1" customWidth="1"/>
    <col min="16" max="16" width="7.5" style="44" bestFit="1" customWidth="1"/>
    <col min="17" max="17" width="12" style="44" bestFit="1" customWidth="1"/>
    <col min="18" max="18" width="7.5" style="44" bestFit="1" customWidth="1"/>
    <col min="19" max="19" width="14.6640625" style="44" bestFit="1" customWidth="1"/>
    <col min="20" max="20" width="8.6640625" style="44" bestFit="1" customWidth="1"/>
    <col min="21" max="21" width="2.83203125" style="38" customWidth="1"/>
    <col min="22" max="22" width="5.1640625" style="38" bestFit="1" customWidth="1"/>
    <col min="23" max="23" width="14.83203125" style="38" customWidth="1"/>
    <col min="24" max="24" width="7" style="38" bestFit="1" customWidth="1"/>
    <col min="25" max="25" width="14.83203125" style="38" customWidth="1"/>
    <col min="26" max="26" width="5.1640625" style="38" bestFit="1" customWidth="1"/>
    <col min="27" max="27" width="14.83203125" style="38" customWidth="1"/>
    <col min="28" max="28" width="5.1640625" style="38" bestFit="1" customWidth="1"/>
    <col min="29" max="29" width="14.83203125" style="38" customWidth="1"/>
    <col min="30" max="30" width="8" style="38" bestFit="1" customWidth="1"/>
    <col min="31" max="31" width="14.83203125" style="38" customWidth="1"/>
    <col min="32" max="32" width="5.1640625" style="38" bestFit="1" customWidth="1"/>
    <col min="33" max="33" width="14.83203125" style="38" customWidth="1"/>
    <col min="34" max="34" width="5.1640625" style="38" bestFit="1" customWidth="1"/>
    <col min="35" max="35" width="14.83203125" style="38" customWidth="1"/>
    <col min="36" max="36" width="5.1640625" style="38" bestFit="1" customWidth="1"/>
    <col min="37" max="16384" width="10.83203125" style="38"/>
  </cols>
  <sheetData>
    <row r="1" spans="2:20" ht="18" thickBot="1"/>
    <row r="2" spans="2:20">
      <c r="B2" s="110"/>
      <c r="C2" s="111" t="s">
        <v>28</v>
      </c>
      <c r="D2" s="111" t="s">
        <v>40</v>
      </c>
      <c r="E2" s="122" t="s">
        <v>29</v>
      </c>
      <c r="F2" s="125" t="s">
        <v>40</v>
      </c>
      <c r="G2" s="122" t="s">
        <v>30</v>
      </c>
      <c r="H2" s="125" t="s">
        <v>40</v>
      </c>
      <c r="I2" s="122" t="s">
        <v>224</v>
      </c>
      <c r="J2" s="125" t="s">
        <v>40</v>
      </c>
      <c r="K2" s="122" t="s">
        <v>32</v>
      </c>
      <c r="L2" s="125" t="s">
        <v>40</v>
      </c>
      <c r="M2" s="122" t="s">
        <v>225</v>
      </c>
      <c r="N2" s="125" t="s">
        <v>40</v>
      </c>
      <c r="O2" s="122" t="s">
        <v>34</v>
      </c>
      <c r="P2" s="125" t="s">
        <v>40</v>
      </c>
      <c r="Q2" s="122" t="s">
        <v>308</v>
      </c>
      <c r="R2" s="125" t="s">
        <v>40</v>
      </c>
      <c r="S2" s="122" t="s">
        <v>234</v>
      </c>
      <c r="T2" s="125" t="s">
        <v>40</v>
      </c>
    </row>
    <row r="3" spans="2:20">
      <c r="B3" s="112" t="s">
        <v>10</v>
      </c>
      <c r="C3" s="113">
        <v>216308</v>
      </c>
      <c r="D3" s="124">
        <f>SUM(D18:D22)</f>
        <v>11315</v>
      </c>
      <c r="E3" s="123">
        <v>139430</v>
      </c>
      <c r="F3" s="126">
        <v>7296</v>
      </c>
      <c r="G3" s="123">
        <v>136476</v>
      </c>
      <c r="H3" s="126">
        <v>6130</v>
      </c>
      <c r="I3" s="123">
        <v>163030</v>
      </c>
      <c r="J3" s="126">
        <v>8013</v>
      </c>
      <c r="K3" s="123">
        <v>101767</v>
      </c>
      <c r="L3" s="126">
        <v>4333</v>
      </c>
      <c r="M3" s="123">
        <v>104019</v>
      </c>
      <c r="N3" s="126">
        <v>4567</v>
      </c>
      <c r="O3" s="123">
        <v>115917</v>
      </c>
      <c r="P3" s="126">
        <v>5366</v>
      </c>
      <c r="Q3" s="123">
        <v>92345</v>
      </c>
      <c r="R3" s="126">
        <v>4415</v>
      </c>
      <c r="S3" s="123">
        <f t="shared" ref="S3:S14" si="0">C3+E3+G3+I3+K3+M3+O3+Q3</f>
        <v>1069292</v>
      </c>
      <c r="T3" s="126">
        <f t="shared" ref="T3:T14" si="1">D3+F3+H3+J3+L3+N3+P3+R3</f>
        <v>51435</v>
      </c>
    </row>
    <row r="4" spans="2:20">
      <c r="B4" s="112" t="s">
        <v>25</v>
      </c>
      <c r="C4" s="113">
        <v>195568</v>
      </c>
      <c r="D4" s="124">
        <v>9997</v>
      </c>
      <c r="E4" s="123">
        <v>126018</v>
      </c>
      <c r="F4" s="126">
        <v>6648</v>
      </c>
      <c r="G4" s="123">
        <v>116835</v>
      </c>
      <c r="H4" s="126">
        <v>5313</v>
      </c>
      <c r="I4" s="123">
        <v>139717</v>
      </c>
      <c r="J4" s="126">
        <v>6865</v>
      </c>
      <c r="K4" s="123">
        <v>85065</v>
      </c>
      <c r="L4" s="126">
        <v>3725</v>
      </c>
      <c r="M4" s="123">
        <v>90421</v>
      </c>
      <c r="N4" s="126">
        <v>4061</v>
      </c>
      <c r="O4" s="123">
        <v>106799</v>
      </c>
      <c r="P4" s="126">
        <v>4953</v>
      </c>
      <c r="Q4" s="123">
        <v>78414</v>
      </c>
      <c r="R4" s="126">
        <v>3904</v>
      </c>
      <c r="S4" s="123">
        <f t="shared" si="0"/>
        <v>938837</v>
      </c>
      <c r="T4" s="126">
        <f t="shared" si="1"/>
        <v>45466</v>
      </c>
    </row>
    <row r="5" spans="2:20">
      <c r="B5" s="112" t="s">
        <v>17</v>
      </c>
      <c r="C5" s="113">
        <v>214311</v>
      </c>
      <c r="D5" s="124">
        <v>11042</v>
      </c>
      <c r="E5" s="123">
        <v>139252</v>
      </c>
      <c r="F5" s="126">
        <v>7303</v>
      </c>
      <c r="G5" s="123">
        <v>129748</v>
      </c>
      <c r="H5" s="126">
        <v>5889</v>
      </c>
      <c r="I5" s="123">
        <v>154248</v>
      </c>
      <c r="J5" s="126">
        <v>7636</v>
      </c>
      <c r="K5" s="123">
        <v>99487</v>
      </c>
      <c r="L5" s="126">
        <v>4318</v>
      </c>
      <c r="M5" s="123">
        <v>104009</v>
      </c>
      <c r="N5" s="126">
        <v>4489</v>
      </c>
      <c r="O5" s="123">
        <v>114956</v>
      </c>
      <c r="P5" s="126">
        <v>5271</v>
      </c>
      <c r="Q5" s="123">
        <v>85295</v>
      </c>
      <c r="R5" s="126">
        <v>4152</v>
      </c>
      <c r="S5" s="123">
        <f t="shared" si="0"/>
        <v>1041306</v>
      </c>
      <c r="T5" s="126">
        <f t="shared" si="1"/>
        <v>50100</v>
      </c>
    </row>
    <row r="6" spans="2:20">
      <c r="B6" s="112" t="s">
        <v>18</v>
      </c>
      <c r="C6" s="113">
        <v>209147</v>
      </c>
      <c r="D6" s="124">
        <v>10634</v>
      </c>
      <c r="E6" s="123">
        <v>146780</v>
      </c>
      <c r="F6" s="126">
        <v>7816</v>
      </c>
      <c r="G6" s="123">
        <v>127248</v>
      </c>
      <c r="H6" s="126">
        <v>5822</v>
      </c>
      <c r="I6" s="123">
        <v>147255</v>
      </c>
      <c r="J6" s="126">
        <v>7344</v>
      </c>
      <c r="K6" s="123">
        <v>99391</v>
      </c>
      <c r="L6" s="126">
        <v>4307</v>
      </c>
      <c r="M6" s="123">
        <v>99875</v>
      </c>
      <c r="N6" s="126">
        <v>4376</v>
      </c>
      <c r="O6" s="123">
        <v>104706</v>
      </c>
      <c r="P6" s="126">
        <v>4882</v>
      </c>
      <c r="Q6" s="123">
        <v>83086</v>
      </c>
      <c r="R6" s="126">
        <v>4069</v>
      </c>
      <c r="S6" s="123">
        <f t="shared" si="0"/>
        <v>1017488</v>
      </c>
      <c r="T6" s="126">
        <f t="shared" si="1"/>
        <v>49250</v>
      </c>
    </row>
    <row r="7" spans="2:20">
      <c r="B7" s="112" t="s">
        <v>19</v>
      </c>
      <c r="C7" s="113">
        <f>SUM(C18:C39)-SUM(C3:C6)</f>
        <v>212520</v>
      </c>
      <c r="D7" s="124">
        <f t="shared" ref="D7:R7" si="2">SUM(D18:D39)-SUM(D3:D6)</f>
        <v>10716</v>
      </c>
      <c r="E7" s="123">
        <f t="shared" si="2"/>
        <v>161237</v>
      </c>
      <c r="F7" s="126">
        <f t="shared" si="2"/>
        <v>8742</v>
      </c>
      <c r="G7" s="123">
        <f t="shared" si="2"/>
        <v>134660</v>
      </c>
      <c r="H7" s="126">
        <f t="shared" si="2"/>
        <v>6198</v>
      </c>
      <c r="I7" s="123">
        <f t="shared" si="2"/>
        <v>150147</v>
      </c>
      <c r="J7" s="126">
        <f t="shared" si="2"/>
        <v>7583</v>
      </c>
      <c r="K7" s="123">
        <f t="shared" si="2"/>
        <v>98985</v>
      </c>
      <c r="L7" s="126">
        <f t="shared" si="2"/>
        <v>4335</v>
      </c>
      <c r="M7" s="123">
        <f t="shared" si="2"/>
        <v>106869</v>
      </c>
      <c r="N7" s="126">
        <f t="shared" si="2"/>
        <v>4740</v>
      </c>
      <c r="O7" s="123">
        <f t="shared" si="2"/>
        <v>111968</v>
      </c>
      <c r="P7" s="126">
        <f t="shared" si="2"/>
        <v>5211</v>
      </c>
      <c r="Q7" s="123">
        <f t="shared" si="2"/>
        <v>86786</v>
      </c>
      <c r="R7" s="126">
        <f t="shared" si="2"/>
        <v>4256</v>
      </c>
      <c r="S7" s="123">
        <f t="shared" si="0"/>
        <v>1063172</v>
      </c>
      <c r="T7" s="126">
        <f t="shared" si="1"/>
        <v>51781</v>
      </c>
    </row>
    <row r="8" spans="2:20">
      <c r="B8" s="112" t="s">
        <v>20</v>
      </c>
      <c r="C8" s="113"/>
      <c r="D8" s="124"/>
      <c r="E8" s="123"/>
      <c r="F8" s="126"/>
      <c r="G8" s="123"/>
      <c r="H8" s="126"/>
      <c r="I8" s="123"/>
      <c r="J8" s="126"/>
      <c r="K8" s="123"/>
      <c r="L8" s="126"/>
      <c r="M8" s="123"/>
      <c r="N8" s="126"/>
      <c r="O8" s="123"/>
      <c r="P8" s="126"/>
      <c r="Q8" s="123"/>
      <c r="R8" s="126"/>
      <c r="S8" s="123">
        <f t="shared" si="0"/>
        <v>0</v>
      </c>
      <c r="T8" s="126">
        <f t="shared" si="1"/>
        <v>0</v>
      </c>
    </row>
    <row r="9" spans="2:20">
      <c r="B9" s="112" t="s">
        <v>21</v>
      </c>
      <c r="C9" s="113"/>
      <c r="D9" s="124"/>
      <c r="E9" s="123"/>
      <c r="F9" s="126"/>
      <c r="G9" s="123"/>
      <c r="H9" s="126"/>
      <c r="I9" s="123"/>
      <c r="J9" s="126"/>
      <c r="K9" s="123"/>
      <c r="L9" s="126"/>
      <c r="M9" s="123"/>
      <c r="N9" s="126"/>
      <c r="O9" s="123"/>
      <c r="P9" s="126"/>
      <c r="Q9" s="123"/>
      <c r="R9" s="126"/>
      <c r="S9" s="123">
        <f t="shared" si="0"/>
        <v>0</v>
      </c>
      <c r="T9" s="126">
        <f t="shared" si="1"/>
        <v>0</v>
      </c>
    </row>
    <row r="10" spans="2:20">
      <c r="B10" s="112" t="s">
        <v>26</v>
      </c>
      <c r="C10" s="113"/>
      <c r="D10" s="124"/>
      <c r="E10" s="123"/>
      <c r="F10" s="126"/>
      <c r="G10" s="123"/>
      <c r="H10" s="126"/>
      <c r="I10" s="123"/>
      <c r="J10" s="126"/>
      <c r="K10" s="123"/>
      <c r="L10" s="126"/>
      <c r="M10" s="123"/>
      <c r="N10" s="126"/>
      <c r="O10" s="123"/>
      <c r="P10" s="126"/>
      <c r="Q10" s="123"/>
      <c r="R10" s="126"/>
      <c r="S10" s="123">
        <f t="shared" si="0"/>
        <v>0</v>
      </c>
      <c r="T10" s="126">
        <f t="shared" si="1"/>
        <v>0</v>
      </c>
    </row>
    <row r="11" spans="2:20">
      <c r="B11" s="112" t="s">
        <v>22</v>
      </c>
      <c r="C11" s="113"/>
      <c r="D11" s="124"/>
      <c r="E11" s="123"/>
      <c r="F11" s="126"/>
      <c r="G11" s="123"/>
      <c r="H11" s="126"/>
      <c r="I11" s="123"/>
      <c r="J11" s="126"/>
      <c r="K11" s="123"/>
      <c r="L11" s="126"/>
      <c r="M11" s="123"/>
      <c r="N11" s="126"/>
      <c r="O11" s="123"/>
      <c r="P11" s="126"/>
      <c r="Q11" s="123"/>
      <c r="R11" s="126"/>
      <c r="S11" s="123">
        <f t="shared" si="0"/>
        <v>0</v>
      </c>
      <c r="T11" s="126">
        <f t="shared" si="1"/>
        <v>0</v>
      </c>
    </row>
    <row r="12" spans="2:20">
      <c r="B12" s="112" t="s">
        <v>23</v>
      </c>
      <c r="C12" s="113"/>
      <c r="D12" s="124"/>
      <c r="E12" s="123"/>
      <c r="F12" s="126"/>
      <c r="G12" s="123"/>
      <c r="H12" s="126"/>
      <c r="I12" s="123"/>
      <c r="J12" s="126"/>
      <c r="K12" s="123"/>
      <c r="L12" s="126"/>
      <c r="M12" s="123"/>
      <c r="N12" s="126"/>
      <c r="O12" s="123"/>
      <c r="P12" s="126"/>
      <c r="Q12" s="123"/>
      <c r="R12" s="126"/>
      <c r="S12" s="123">
        <f t="shared" si="0"/>
        <v>0</v>
      </c>
      <c r="T12" s="126">
        <f t="shared" si="1"/>
        <v>0</v>
      </c>
    </row>
    <row r="13" spans="2:20">
      <c r="B13" s="112" t="s">
        <v>24</v>
      </c>
      <c r="C13" s="113"/>
      <c r="D13" s="124"/>
      <c r="E13" s="123"/>
      <c r="F13" s="126"/>
      <c r="G13" s="123"/>
      <c r="H13" s="126"/>
      <c r="I13" s="123"/>
      <c r="J13" s="126"/>
      <c r="K13" s="123"/>
      <c r="L13" s="126"/>
      <c r="M13" s="123"/>
      <c r="N13" s="126"/>
      <c r="O13" s="123"/>
      <c r="P13" s="126"/>
      <c r="Q13" s="123"/>
      <c r="R13" s="126"/>
      <c r="S13" s="123">
        <f t="shared" si="0"/>
        <v>0</v>
      </c>
      <c r="T13" s="126">
        <f t="shared" si="1"/>
        <v>0</v>
      </c>
    </row>
    <row r="14" spans="2:20">
      <c r="B14" s="112" t="s">
        <v>27</v>
      </c>
      <c r="C14" s="113"/>
      <c r="D14" s="124"/>
      <c r="E14" s="123"/>
      <c r="F14" s="126"/>
      <c r="G14" s="123"/>
      <c r="H14" s="126"/>
      <c r="I14" s="123"/>
      <c r="J14" s="126"/>
      <c r="K14" s="123"/>
      <c r="L14" s="126"/>
      <c r="M14" s="123"/>
      <c r="N14" s="126"/>
      <c r="O14" s="123"/>
      <c r="P14" s="126"/>
      <c r="Q14" s="123"/>
      <c r="R14" s="126"/>
      <c r="S14" s="123">
        <f t="shared" si="0"/>
        <v>0</v>
      </c>
      <c r="T14" s="126">
        <f t="shared" si="1"/>
        <v>0</v>
      </c>
    </row>
    <row r="15" spans="2:20" ht="18" thickBot="1">
      <c r="B15" s="114"/>
      <c r="C15" s="196">
        <f>+SUM(C3:C14)</f>
        <v>1047854</v>
      </c>
      <c r="D15" s="197">
        <f t="shared" ref="D15:N15" si="3">+SUM(D3:D14)</f>
        <v>53704</v>
      </c>
      <c r="E15" s="196">
        <f t="shared" si="3"/>
        <v>712717</v>
      </c>
      <c r="F15" s="197">
        <f t="shared" si="3"/>
        <v>37805</v>
      </c>
      <c r="G15" s="196">
        <f t="shared" si="3"/>
        <v>644967</v>
      </c>
      <c r="H15" s="197">
        <f t="shared" si="3"/>
        <v>29352</v>
      </c>
      <c r="I15" s="196">
        <f t="shared" si="3"/>
        <v>754397</v>
      </c>
      <c r="J15" s="197">
        <f t="shared" si="3"/>
        <v>37441</v>
      </c>
      <c r="K15" s="196">
        <f t="shared" si="3"/>
        <v>484695</v>
      </c>
      <c r="L15" s="197">
        <f t="shared" si="3"/>
        <v>21018</v>
      </c>
      <c r="M15" s="196">
        <f t="shared" si="3"/>
        <v>505193</v>
      </c>
      <c r="N15" s="197">
        <f t="shared" si="3"/>
        <v>22233</v>
      </c>
      <c r="O15" s="196">
        <f t="shared" ref="O15:T15" si="4">+SUM(O3:O14)</f>
        <v>554346</v>
      </c>
      <c r="P15" s="197">
        <f t="shared" si="4"/>
        <v>25683</v>
      </c>
      <c r="Q15" s="196">
        <f t="shared" si="4"/>
        <v>425926</v>
      </c>
      <c r="R15" s="197">
        <f t="shared" si="4"/>
        <v>20796</v>
      </c>
      <c r="S15" s="196">
        <f t="shared" si="4"/>
        <v>5130095</v>
      </c>
      <c r="T15" s="197">
        <f t="shared" si="4"/>
        <v>248032</v>
      </c>
    </row>
    <row r="16" spans="2:20" ht="18" thickBot="1"/>
    <row r="17" spans="2:20">
      <c r="B17" s="110"/>
      <c r="C17" s="111" t="s">
        <v>28</v>
      </c>
      <c r="D17" s="111" t="s">
        <v>40</v>
      </c>
      <c r="E17" s="122" t="s">
        <v>29</v>
      </c>
      <c r="F17" s="125" t="s">
        <v>40</v>
      </c>
      <c r="G17" s="122" t="s">
        <v>30</v>
      </c>
      <c r="H17" s="125" t="s">
        <v>40</v>
      </c>
      <c r="I17" s="122" t="s">
        <v>224</v>
      </c>
      <c r="J17" s="125" t="s">
        <v>40</v>
      </c>
      <c r="K17" s="122" t="s">
        <v>32</v>
      </c>
      <c r="L17" s="125" t="s">
        <v>40</v>
      </c>
      <c r="M17" s="122" t="s">
        <v>225</v>
      </c>
      <c r="N17" s="125" t="s">
        <v>40</v>
      </c>
      <c r="O17" s="122" t="s">
        <v>34</v>
      </c>
      <c r="P17" s="125" t="s">
        <v>40</v>
      </c>
      <c r="Q17" s="122" t="s">
        <v>308</v>
      </c>
      <c r="R17" s="125" t="s">
        <v>40</v>
      </c>
      <c r="S17" s="122" t="s">
        <v>234</v>
      </c>
      <c r="T17" s="125" t="s">
        <v>40</v>
      </c>
    </row>
    <row r="18" spans="2:20">
      <c r="B18" s="112" t="s">
        <v>172</v>
      </c>
      <c r="C18" s="116">
        <f>11190+7307+8809+7692</f>
        <v>34998</v>
      </c>
      <c r="D18" s="128">
        <f>437+344+416+356</f>
        <v>1553</v>
      </c>
      <c r="E18" s="116">
        <f>10193+4640+4937+4978</f>
        <v>24748</v>
      </c>
      <c r="F18" s="128">
        <f>431+241+230+246</f>
        <v>1148</v>
      </c>
      <c r="G18" s="116">
        <f>8449+6027+5262+6569</f>
        <v>26307</v>
      </c>
      <c r="H18" s="128">
        <f>306+245+216+247</f>
        <v>1014</v>
      </c>
      <c r="I18" s="116">
        <f>9321+5902+5977+6382</f>
        <v>27582</v>
      </c>
      <c r="J18" s="128">
        <f>361+281+274+288</f>
        <v>1204</v>
      </c>
      <c r="K18" s="116">
        <f>4194+3995+4327+6978</f>
        <v>19494</v>
      </c>
      <c r="L18" s="128">
        <f>165+157+168+238</f>
        <v>728</v>
      </c>
      <c r="M18" s="116">
        <f>6799+4480+3679+4018</f>
        <v>18976</v>
      </c>
      <c r="N18" s="128">
        <f>237+184+164+155</f>
        <v>740</v>
      </c>
      <c r="O18" s="116">
        <f>6245+4803+4293+3804</f>
        <v>19145</v>
      </c>
      <c r="P18" s="128">
        <f>247+216+174+154</f>
        <v>791</v>
      </c>
      <c r="Q18" s="116">
        <f>3601+2723+3987+5219</f>
        <v>15530</v>
      </c>
      <c r="R18" s="128">
        <f>141+111+170+199</f>
        <v>621</v>
      </c>
      <c r="S18" s="123">
        <f t="shared" ref="S18:S49" si="5">C18+E18+G18+I18+K18+M18+O18+Q18</f>
        <v>186780</v>
      </c>
      <c r="T18" s="126">
        <f t="shared" ref="T18:T49" si="6">D18+F18+H18+J18+L18+N18+P18+R18</f>
        <v>7799</v>
      </c>
    </row>
    <row r="19" spans="2:20">
      <c r="B19" s="112" t="s">
        <v>173</v>
      </c>
      <c r="C19" s="116">
        <v>46480</v>
      </c>
      <c r="D19" s="128">
        <v>2407</v>
      </c>
      <c r="E19" s="116">
        <v>28868</v>
      </c>
      <c r="F19" s="128">
        <v>1534</v>
      </c>
      <c r="G19" s="116">
        <v>27599</v>
      </c>
      <c r="H19" s="128">
        <v>1298</v>
      </c>
      <c r="I19" s="116">
        <v>35108</v>
      </c>
      <c r="J19" s="128">
        <v>1782</v>
      </c>
      <c r="K19" s="116">
        <v>20552</v>
      </c>
      <c r="L19" s="128">
        <v>902</v>
      </c>
      <c r="M19" s="116">
        <v>22676</v>
      </c>
      <c r="N19" s="128">
        <v>1000</v>
      </c>
      <c r="O19" s="116">
        <v>24171</v>
      </c>
      <c r="P19" s="128">
        <v>1162</v>
      </c>
      <c r="Q19" s="116">
        <v>20102</v>
      </c>
      <c r="R19" s="128">
        <v>973</v>
      </c>
      <c r="S19" s="116">
        <f t="shared" si="5"/>
        <v>225556</v>
      </c>
      <c r="T19" s="128">
        <f t="shared" si="6"/>
        <v>11058</v>
      </c>
    </row>
    <row r="20" spans="2:20">
      <c r="B20" s="112" t="s">
        <v>174</v>
      </c>
      <c r="C20" s="116">
        <v>48575</v>
      </c>
      <c r="D20" s="128">
        <v>2475</v>
      </c>
      <c r="E20" s="116">
        <v>31890</v>
      </c>
      <c r="F20" s="128">
        <v>1675</v>
      </c>
      <c r="G20" s="116">
        <v>30507</v>
      </c>
      <c r="H20" s="128">
        <v>1370</v>
      </c>
      <c r="I20" s="116">
        <v>36748</v>
      </c>
      <c r="J20" s="128">
        <v>1832</v>
      </c>
      <c r="K20" s="116">
        <v>21876</v>
      </c>
      <c r="L20" s="128">
        <v>975</v>
      </c>
      <c r="M20" s="116">
        <v>21480</v>
      </c>
      <c r="N20" s="128">
        <v>978</v>
      </c>
      <c r="O20" s="116">
        <v>26257</v>
      </c>
      <c r="P20" s="128">
        <v>1219</v>
      </c>
      <c r="Q20" s="116">
        <v>19619</v>
      </c>
      <c r="R20" s="128">
        <v>984</v>
      </c>
      <c r="S20" s="116">
        <f t="shared" si="5"/>
        <v>236952</v>
      </c>
      <c r="T20" s="128">
        <f t="shared" si="6"/>
        <v>11508</v>
      </c>
    </row>
    <row r="21" spans="2:20">
      <c r="B21" s="112" t="s">
        <v>175</v>
      </c>
      <c r="C21" s="116">
        <v>46468</v>
      </c>
      <c r="D21" s="128">
        <v>2414</v>
      </c>
      <c r="E21" s="116">
        <v>29826</v>
      </c>
      <c r="F21" s="128">
        <v>1611</v>
      </c>
      <c r="G21" s="116">
        <v>27357</v>
      </c>
      <c r="H21" s="128">
        <v>1298</v>
      </c>
      <c r="I21" s="116">
        <v>33502</v>
      </c>
      <c r="J21" s="128">
        <v>1698</v>
      </c>
      <c r="K21" s="116">
        <v>21384</v>
      </c>
      <c r="L21" s="128">
        <v>922</v>
      </c>
      <c r="M21" s="116">
        <v>21585</v>
      </c>
      <c r="N21" s="128">
        <v>986</v>
      </c>
      <c r="O21" s="116">
        <v>25150</v>
      </c>
      <c r="P21" s="128">
        <v>1184</v>
      </c>
      <c r="Q21" s="116">
        <v>20443</v>
      </c>
      <c r="R21" s="128">
        <v>992</v>
      </c>
      <c r="S21" s="116">
        <f t="shared" si="5"/>
        <v>225715</v>
      </c>
      <c r="T21" s="128">
        <f t="shared" si="6"/>
        <v>11105</v>
      </c>
    </row>
    <row r="22" spans="2:20">
      <c r="B22" s="130" t="s">
        <v>176</v>
      </c>
      <c r="C22" s="131">
        <v>48093</v>
      </c>
      <c r="D22" s="132">
        <v>2466</v>
      </c>
      <c r="E22" s="131">
        <v>29628</v>
      </c>
      <c r="F22" s="132">
        <v>1597</v>
      </c>
      <c r="G22" s="131">
        <v>30528</v>
      </c>
      <c r="H22" s="132">
        <v>1383</v>
      </c>
      <c r="I22" s="131">
        <v>36532</v>
      </c>
      <c r="J22" s="132">
        <v>1766</v>
      </c>
      <c r="K22" s="131">
        <v>22184</v>
      </c>
      <c r="L22" s="132">
        <v>958</v>
      </c>
      <c r="M22" s="131">
        <v>23751</v>
      </c>
      <c r="N22" s="132">
        <v>1036</v>
      </c>
      <c r="O22" s="131">
        <v>25353</v>
      </c>
      <c r="P22" s="132">
        <v>1180</v>
      </c>
      <c r="Q22" s="131">
        <v>19651</v>
      </c>
      <c r="R22" s="132">
        <v>969</v>
      </c>
      <c r="S22" s="131">
        <f t="shared" si="5"/>
        <v>235720</v>
      </c>
      <c r="T22" s="132">
        <f t="shared" si="6"/>
        <v>11355</v>
      </c>
    </row>
    <row r="23" spans="2:20">
      <c r="B23" s="112" t="s">
        <v>177</v>
      </c>
      <c r="C23" s="116">
        <v>49719</v>
      </c>
      <c r="D23" s="128">
        <v>2587</v>
      </c>
      <c r="E23" s="116">
        <v>30046</v>
      </c>
      <c r="F23" s="128">
        <v>1610</v>
      </c>
      <c r="G23" s="116">
        <v>29474</v>
      </c>
      <c r="H23" s="128">
        <v>1347</v>
      </c>
      <c r="I23" s="116">
        <v>35767</v>
      </c>
      <c r="J23" s="128">
        <v>1763</v>
      </c>
      <c r="K23" s="116">
        <v>20795</v>
      </c>
      <c r="L23" s="128">
        <v>938</v>
      </c>
      <c r="M23" s="116">
        <v>24272</v>
      </c>
      <c r="N23" s="128">
        <v>1098</v>
      </c>
      <c r="O23" s="116">
        <v>28656</v>
      </c>
      <c r="P23" s="128">
        <v>1337</v>
      </c>
      <c r="Q23" s="116">
        <v>19826</v>
      </c>
      <c r="R23" s="128">
        <v>1050</v>
      </c>
      <c r="S23" s="116">
        <f t="shared" si="5"/>
        <v>238555</v>
      </c>
      <c r="T23" s="128">
        <f t="shared" si="6"/>
        <v>11730</v>
      </c>
    </row>
    <row r="24" spans="2:20">
      <c r="B24" s="112" t="s">
        <v>178</v>
      </c>
      <c r="C24" s="116">
        <v>49763</v>
      </c>
      <c r="D24" s="128">
        <v>2559</v>
      </c>
      <c r="E24" s="116">
        <v>32203</v>
      </c>
      <c r="F24" s="128">
        <v>1678</v>
      </c>
      <c r="G24" s="116">
        <v>29144</v>
      </c>
      <c r="H24" s="128">
        <v>1362</v>
      </c>
      <c r="I24" s="116">
        <v>36151</v>
      </c>
      <c r="J24" s="128">
        <v>1751</v>
      </c>
      <c r="K24" s="116">
        <v>21026</v>
      </c>
      <c r="L24" s="128">
        <v>903</v>
      </c>
      <c r="M24" s="116">
        <v>22338</v>
      </c>
      <c r="N24" s="128">
        <v>993</v>
      </c>
      <c r="O24" s="116">
        <v>27075</v>
      </c>
      <c r="P24" s="128">
        <v>1223</v>
      </c>
      <c r="Q24" s="116">
        <v>20944</v>
      </c>
      <c r="R24" s="128">
        <v>994</v>
      </c>
      <c r="S24" s="116">
        <f t="shared" si="5"/>
        <v>238644</v>
      </c>
      <c r="T24" s="128">
        <f t="shared" si="6"/>
        <v>11463</v>
      </c>
    </row>
    <row r="25" spans="2:20">
      <c r="B25" s="112" t="s">
        <v>179</v>
      </c>
      <c r="C25" s="116">
        <v>46681</v>
      </c>
      <c r="D25" s="128">
        <v>2367</v>
      </c>
      <c r="E25" s="116">
        <v>31400</v>
      </c>
      <c r="F25" s="128">
        <v>1621</v>
      </c>
      <c r="G25" s="116">
        <v>29065</v>
      </c>
      <c r="H25" s="128">
        <v>1267</v>
      </c>
      <c r="I25" s="116">
        <v>33145</v>
      </c>
      <c r="J25" s="128">
        <v>1629</v>
      </c>
      <c r="K25" s="116">
        <v>21375</v>
      </c>
      <c r="L25" s="128">
        <v>917</v>
      </c>
      <c r="M25" s="116">
        <v>21761</v>
      </c>
      <c r="N25" s="128">
        <v>978</v>
      </c>
      <c r="O25" s="116">
        <v>26085</v>
      </c>
      <c r="P25" s="128">
        <v>1196</v>
      </c>
      <c r="Q25" s="116">
        <v>19067</v>
      </c>
      <c r="R25" s="128">
        <v>950</v>
      </c>
      <c r="S25" s="116">
        <f t="shared" si="5"/>
        <v>228579</v>
      </c>
      <c r="T25" s="128">
        <f t="shared" si="6"/>
        <v>10925</v>
      </c>
    </row>
    <row r="26" spans="2:20">
      <c r="B26" s="130" t="s">
        <v>180</v>
      </c>
      <c r="C26" s="131">
        <v>48990</v>
      </c>
      <c r="D26" s="132">
        <v>2477</v>
      </c>
      <c r="E26" s="131">
        <v>33804</v>
      </c>
      <c r="F26" s="132">
        <v>1792</v>
      </c>
      <c r="G26" s="131">
        <v>29269</v>
      </c>
      <c r="H26" s="132">
        <v>1343</v>
      </c>
      <c r="I26" s="131">
        <v>34007</v>
      </c>
      <c r="J26" s="132">
        <v>1705</v>
      </c>
      <c r="K26" s="131">
        <v>22724</v>
      </c>
      <c r="L26" s="132">
        <v>987</v>
      </c>
      <c r="M26" s="131">
        <v>21699</v>
      </c>
      <c r="N26" s="132">
        <v>975</v>
      </c>
      <c r="O26" s="131">
        <v>25600</v>
      </c>
      <c r="P26" s="132">
        <v>1224</v>
      </c>
      <c r="Q26" s="131">
        <v>19229</v>
      </c>
      <c r="R26" s="132">
        <v>936</v>
      </c>
      <c r="S26" s="131">
        <f t="shared" si="5"/>
        <v>235322</v>
      </c>
      <c r="T26" s="132">
        <f t="shared" si="6"/>
        <v>11439</v>
      </c>
    </row>
    <row r="27" spans="2:20">
      <c r="B27" s="112" t="s">
        <v>181</v>
      </c>
      <c r="C27" s="116">
        <v>47751</v>
      </c>
      <c r="D27" s="128">
        <v>2478</v>
      </c>
      <c r="E27" s="116">
        <v>32767</v>
      </c>
      <c r="F27" s="128">
        <v>1756</v>
      </c>
      <c r="G27" s="116">
        <v>29531</v>
      </c>
      <c r="H27" s="128">
        <v>1384</v>
      </c>
      <c r="I27" s="116">
        <v>34855</v>
      </c>
      <c r="J27" s="128">
        <v>1759</v>
      </c>
      <c r="K27" s="116">
        <v>23813</v>
      </c>
      <c r="L27" s="128">
        <v>1052</v>
      </c>
      <c r="M27" s="116">
        <v>24836</v>
      </c>
      <c r="N27" s="128">
        <v>1093</v>
      </c>
      <c r="O27" s="116">
        <v>27924</v>
      </c>
      <c r="P27" s="128">
        <v>1282</v>
      </c>
      <c r="Q27" s="116">
        <v>20341</v>
      </c>
      <c r="R27" s="128">
        <v>1018</v>
      </c>
      <c r="S27" s="116">
        <f t="shared" si="5"/>
        <v>241818</v>
      </c>
      <c r="T27" s="128">
        <f t="shared" si="6"/>
        <v>11822</v>
      </c>
    </row>
    <row r="28" spans="2:20">
      <c r="B28" s="112" t="s">
        <v>182</v>
      </c>
      <c r="C28" s="116">
        <v>47823</v>
      </c>
      <c r="D28" s="128">
        <v>2505</v>
      </c>
      <c r="E28" s="116">
        <v>28775</v>
      </c>
      <c r="F28" s="128">
        <v>1562</v>
      </c>
      <c r="G28" s="116">
        <v>30331</v>
      </c>
      <c r="H28" s="128">
        <v>1385</v>
      </c>
      <c r="I28" s="116">
        <v>35820</v>
      </c>
      <c r="J28" s="128">
        <v>1746</v>
      </c>
      <c r="K28" s="116">
        <v>22155</v>
      </c>
      <c r="L28" s="128">
        <v>948</v>
      </c>
      <c r="M28" s="116">
        <v>22434</v>
      </c>
      <c r="N28" s="128">
        <v>945</v>
      </c>
      <c r="O28" s="116">
        <v>24488</v>
      </c>
      <c r="P28" s="128">
        <v>1144</v>
      </c>
      <c r="Q28" s="116">
        <v>18592</v>
      </c>
      <c r="R28" s="128">
        <v>917</v>
      </c>
      <c r="S28" s="116">
        <f t="shared" si="5"/>
        <v>230418</v>
      </c>
      <c r="T28" s="128">
        <f t="shared" si="6"/>
        <v>11152</v>
      </c>
    </row>
    <row r="29" spans="2:20">
      <c r="B29" s="112" t="s">
        <v>183</v>
      </c>
      <c r="C29" s="116">
        <v>49932</v>
      </c>
      <c r="D29" s="128">
        <v>2568</v>
      </c>
      <c r="E29" s="116">
        <v>32334</v>
      </c>
      <c r="F29" s="128">
        <v>1710</v>
      </c>
      <c r="G29" s="116">
        <v>28885</v>
      </c>
      <c r="H29" s="128">
        <v>1326</v>
      </c>
      <c r="I29" s="116">
        <v>33675</v>
      </c>
      <c r="J29" s="128">
        <v>1726</v>
      </c>
      <c r="K29" s="116">
        <v>22854</v>
      </c>
      <c r="L29" s="128">
        <v>982</v>
      </c>
      <c r="M29" s="116">
        <v>23381</v>
      </c>
      <c r="N29" s="128">
        <v>1017</v>
      </c>
      <c r="O29" s="116">
        <v>25273</v>
      </c>
      <c r="P29" s="128">
        <v>1148</v>
      </c>
      <c r="Q29" s="116">
        <v>19258</v>
      </c>
      <c r="R29" s="128">
        <v>952</v>
      </c>
      <c r="S29" s="116">
        <f t="shared" si="5"/>
        <v>235592</v>
      </c>
      <c r="T29" s="128">
        <f t="shared" si="6"/>
        <v>11429</v>
      </c>
    </row>
    <row r="30" spans="2:20">
      <c r="B30" s="130" t="s">
        <v>184</v>
      </c>
      <c r="C30" s="131">
        <v>49088</v>
      </c>
      <c r="D30" s="132">
        <v>2486</v>
      </c>
      <c r="E30" s="131">
        <v>31612</v>
      </c>
      <c r="F30" s="132">
        <v>1585</v>
      </c>
      <c r="G30" s="131">
        <v>28340</v>
      </c>
      <c r="H30" s="132">
        <v>1241</v>
      </c>
      <c r="I30" s="131">
        <v>35573</v>
      </c>
      <c r="J30" s="132">
        <v>1730</v>
      </c>
      <c r="K30" s="131">
        <v>21468</v>
      </c>
      <c r="L30" s="132">
        <v>943</v>
      </c>
      <c r="M30" s="131">
        <v>23794</v>
      </c>
      <c r="N30" s="132">
        <v>1025</v>
      </c>
      <c r="O30" s="131">
        <v>26503</v>
      </c>
      <c r="P30" s="132">
        <v>1206</v>
      </c>
      <c r="Q30" s="131">
        <v>19286</v>
      </c>
      <c r="R30" s="132">
        <v>913</v>
      </c>
      <c r="S30" s="131">
        <f t="shared" si="5"/>
        <v>235664</v>
      </c>
      <c r="T30" s="132">
        <f t="shared" si="6"/>
        <v>11129</v>
      </c>
    </row>
    <row r="31" spans="2:20">
      <c r="B31" s="112" t="s">
        <v>185</v>
      </c>
      <c r="C31" s="116">
        <v>47227</v>
      </c>
      <c r="D31" s="128">
        <v>2442</v>
      </c>
      <c r="E31" s="116">
        <v>32624</v>
      </c>
      <c r="F31" s="128">
        <v>1731</v>
      </c>
      <c r="G31" s="116">
        <v>29421</v>
      </c>
      <c r="H31" s="128">
        <v>1345</v>
      </c>
      <c r="I31" s="116">
        <v>34928</v>
      </c>
      <c r="J31" s="128">
        <v>1728</v>
      </c>
      <c r="K31" s="116">
        <v>22455</v>
      </c>
      <c r="L31" s="128">
        <v>981</v>
      </c>
      <c r="M31" s="116">
        <v>23481</v>
      </c>
      <c r="N31" s="128">
        <v>1020</v>
      </c>
      <c r="O31" s="116">
        <v>24668</v>
      </c>
      <c r="P31" s="128">
        <v>1124</v>
      </c>
      <c r="Q31" s="116">
        <v>18862</v>
      </c>
      <c r="R31" s="128">
        <v>902</v>
      </c>
      <c r="S31" s="116">
        <f t="shared" si="5"/>
        <v>233666</v>
      </c>
      <c r="T31" s="128">
        <f t="shared" si="6"/>
        <v>11273</v>
      </c>
    </row>
    <row r="32" spans="2:20">
      <c r="B32" s="112" t="s">
        <v>186</v>
      </c>
      <c r="C32" s="116">
        <v>51598</v>
      </c>
      <c r="D32" s="128">
        <v>2525</v>
      </c>
      <c r="E32" s="116">
        <v>36711</v>
      </c>
      <c r="F32" s="128">
        <v>1917</v>
      </c>
      <c r="G32" s="116">
        <v>29871</v>
      </c>
      <c r="H32" s="128">
        <v>1352</v>
      </c>
      <c r="I32" s="116">
        <v>35039</v>
      </c>
      <c r="J32" s="128">
        <v>1752</v>
      </c>
      <c r="K32" s="116">
        <v>23266</v>
      </c>
      <c r="L32" s="128">
        <v>990</v>
      </c>
      <c r="M32" s="116">
        <v>23863</v>
      </c>
      <c r="N32" s="128">
        <v>1014</v>
      </c>
      <c r="O32" s="116">
        <v>23699</v>
      </c>
      <c r="P32" s="128">
        <v>1116</v>
      </c>
      <c r="Q32" s="116">
        <v>19388</v>
      </c>
      <c r="R32" s="128">
        <v>918</v>
      </c>
      <c r="S32" s="116">
        <f t="shared" si="5"/>
        <v>243435</v>
      </c>
      <c r="T32" s="128">
        <f t="shared" si="6"/>
        <v>11584</v>
      </c>
    </row>
    <row r="33" spans="2:20">
      <c r="B33" s="112" t="s">
        <v>187</v>
      </c>
      <c r="C33" s="116">
        <v>48465</v>
      </c>
      <c r="D33" s="128">
        <v>2472</v>
      </c>
      <c r="E33" s="116">
        <v>31869</v>
      </c>
      <c r="F33" s="128">
        <v>1721</v>
      </c>
      <c r="G33" s="116">
        <v>30553</v>
      </c>
      <c r="H33" s="128">
        <v>1350</v>
      </c>
      <c r="I33" s="116">
        <v>33831</v>
      </c>
      <c r="J33" s="128">
        <v>1665</v>
      </c>
      <c r="K33" s="116">
        <v>22630</v>
      </c>
      <c r="L33" s="128">
        <v>964</v>
      </c>
      <c r="M33" s="116">
        <v>22712</v>
      </c>
      <c r="N33" s="128">
        <v>1010</v>
      </c>
      <c r="O33" s="116">
        <v>24278</v>
      </c>
      <c r="P33" s="128">
        <v>1113</v>
      </c>
      <c r="Q33" s="116">
        <v>19583</v>
      </c>
      <c r="R33" s="128">
        <v>953</v>
      </c>
      <c r="S33" s="116">
        <f t="shared" si="5"/>
        <v>233921</v>
      </c>
      <c r="T33" s="128">
        <f t="shared" si="6"/>
        <v>11248</v>
      </c>
    </row>
    <row r="34" spans="2:20">
      <c r="B34" s="112" t="s">
        <v>188</v>
      </c>
      <c r="C34" s="116">
        <v>48046</v>
      </c>
      <c r="D34" s="128">
        <v>2474</v>
      </c>
      <c r="E34" s="116">
        <v>33389</v>
      </c>
      <c r="F34" s="128">
        <v>1753</v>
      </c>
      <c r="G34" s="116">
        <v>28618</v>
      </c>
      <c r="H34" s="128">
        <v>1356</v>
      </c>
      <c r="I34" s="116">
        <v>32884</v>
      </c>
      <c r="J34" s="128">
        <v>1658</v>
      </c>
      <c r="K34" s="116">
        <v>23367</v>
      </c>
      <c r="L34" s="128">
        <v>1043</v>
      </c>
      <c r="M34" s="116">
        <v>22443</v>
      </c>
      <c r="N34" s="128">
        <v>1006</v>
      </c>
      <c r="O34" s="116">
        <v>23851</v>
      </c>
      <c r="P34" s="128">
        <v>1123</v>
      </c>
      <c r="Q34" s="116">
        <v>19298</v>
      </c>
      <c r="R34" s="128">
        <v>991</v>
      </c>
      <c r="S34" s="116">
        <f t="shared" si="5"/>
        <v>231896</v>
      </c>
      <c r="T34" s="128">
        <f t="shared" si="6"/>
        <v>11404</v>
      </c>
    </row>
    <row r="35" spans="2:20">
      <c r="B35" s="130" t="s">
        <v>189</v>
      </c>
      <c r="C35" s="131">
        <v>49728</v>
      </c>
      <c r="D35" s="132">
        <v>2501</v>
      </c>
      <c r="E35" s="131">
        <v>39036</v>
      </c>
      <c r="F35" s="132">
        <v>2046</v>
      </c>
      <c r="G35" s="131">
        <v>33699</v>
      </c>
      <c r="H35" s="132">
        <v>1480</v>
      </c>
      <c r="I35" s="131">
        <v>36149</v>
      </c>
      <c r="J35" s="132">
        <v>1761</v>
      </c>
      <c r="K35" s="131">
        <v>23054</v>
      </c>
      <c r="L35" s="132">
        <v>983</v>
      </c>
      <c r="M35" s="131">
        <v>25738</v>
      </c>
      <c r="N35" s="132">
        <v>1072</v>
      </c>
      <c r="O35" s="131">
        <v>27713</v>
      </c>
      <c r="P35" s="132">
        <v>1274</v>
      </c>
      <c r="Q35" s="131">
        <v>21120</v>
      </c>
      <c r="R35" s="132">
        <v>989</v>
      </c>
      <c r="S35" s="131">
        <f t="shared" si="5"/>
        <v>256237</v>
      </c>
      <c r="T35" s="132">
        <f t="shared" si="6"/>
        <v>12106</v>
      </c>
    </row>
    <row r="36" spans="2:20">
      <c r="B36" s="112" t="s">
        <v>190</v>
      </c>
      <c r="C36" s="116">
        <v>47732</v>
      </c>
      <c r="D36" s="128">
        <v>2491</v>
      </c>
      <c r="E36" s="116">
        <v>37000</v>
      </c>
      <c r="F36" s="128">
        <v>1946</v>
      </c>
      <c r="G36" s="116">
        <v>30736</v>
      </c>
      <c r="H36" s="128">
        <v>1436</v>
      </c>
      <c r="I36" s="116">
        <v>37352</v>
      </c>
      <c r="J36" s="128">
        <v>1882</v>
      </c>
      <c r="K36" s="116">
        <v>24013</v>
      </c>
      <c r="L36" s="128">
        <v>1066</v>
      </c>
      <c r="M36" s="116">
        <v>25938</v>
      </c>
      <c r="N36" s="128">
        <v>1128</v>
      </c>
      <c r="O36" s="116">
        <v>26262</v>
      </c>
      <c r="P36" s="128">
        <v>1194</v>
      </c>
      <c r="Q36" s="116">
        <v>19622</v>
      </c>
      <c r="R36" s="128">
        <v>988</v>
      </c>
      <c r="S36" s="116">
        <f t="shared" si="5"/>
        <v>248655</v>
      </c>
      <c r="T36" s="128">
        <f t="shared" si="6"/>
        <v>12131</v>
      </c>
    </row>
    <row r="37" spans="2:20">
      <c r="B37" s="112" t="s">
        <v>191</v>
      </c>
      <c r="C37" s="116">
        <v>46601</v>
      </c>
      <c r="D37" s="128">
        <v>2431</v>
      </c>
      <c r="E37" s="116">
        <v>32153</v>
      </c>
      <c r="F37" s="128">
        <v>1717</v>
      </c>
      <c r="G37" s="116">
        <v>29059</v>
      </c>
      <c r="H37" s="128">
        <v>1333</v>
      </c>
      <c r="I37" s="116">
        <v>32957</v>
      </c>
      <c r="J37" s="128">
        <v>1652</v>
      </c>
      <c r="K37" s="116">
        <v>22960</v>
      </c>
      <c r="L37" s="128">
        <v>1008</v>
      </c>
      <c r="M37" s="116">
        <v>22681</v>
      </c>
      <c r="N37" s="128">
        <v>998</v>
      </c>
      <c r="O37" s="116">
        <v>24539</v>
      </c>
      <c r="P37" s="128">
        <v>1138</v>
      </c>
      <c r="Q37" s="116">
        <v>18340</v>
      </c>
      <c r="R37" s="128">
        <v>895</v>
      </c>
      <c r="S37" s="116">
        <f t="shared" si="5"/>
        <v>229290</v>
      </c>
      <c r="T37" s="128">
        <f t="shared" si="6"/>
        <v>11172</v>
      </c>
    </row>
    <row r="38" spans="2:20">
      <c r="B38" s="112" t="s">
        <v>192</v>
      </c>
      <c r="C38" s="116">
        <v>44078</v>
      </c>
      <c r="D38" s="128">
        <v>2414</v>
      </c>
      <c r="E38" s="116">
        <v>34567</v>
      </c>
      <c r="F38" s="128">
        <v>2003</v>
      </c>
      <c r="G38" s="116">
        <v>26482</v>
      </c>
      <c r="H38" s="128">
        <v>1295</v>
      </c>
      <c r="I38" s="116">
        <v>30011</v>
      </c>
      <c r="J38" s="128">
        <v>1584</v>
      </c>
      <c r="K38" s="116">
        <v>19133</v>
      </c>
      <c r="L38" s="128">
        <v>877</v>
      </c>
      <c r="M38" s="116">
        <v>21893</v>
      </c>
      <c r="N38" s="128">
        <v>1044</v>
      </c>
      <c r="O38" s="116">
        <v>23441</v>
      </c>
      <c r="P38" s="128">
        <v>1138</v>
      </c>
      <c r="Q38" s="116">
        <v>17747</v>
      </c>
      <c r="R38" s="128">
        <v>931</v>
      </c>
      <c r="S38" s="116">
        <f t="shared" si="5"/>
        <v>217352</v>
      </c>
      <c r="T38" s="128">
        <f t="shared" si="6"/>
        <v>11286</v>
      </c>
    </row>
    <row r="39" spans="2:20">
      <c r="B39" s="130" t="s">
        <v>193</v>
      </c>
      <c r="C39" s="131">
        <v>50018</v>
      </c>
      <c r="D39" s="132">
        <v>2612</v>
      </c>
      <c r="E39" s="131">
        <v>37467</v>
      </c>
      <c r="F39" s="132">
        <v>2092</v>
      </c>
      <c r="G39" s="131">
        <v>30191</v>
      </c>
      <c r="H39" s="132">
        <v>1387</v>
      </c>
      <c r="I39" s="131">
        <v>32781</v>
      </c>
      <c r="J39" s="132">
        <v>1668</v>
      </c>
      <c r="K39" s="131">
        <v>22117</v>
      </c>
      <c r="L39" s="132">
        <v>951</v>
      </c>
      <c r="M39" s="131">
        <v>23461</v>
      </c>
      <c r="N39" s="132">
        <v>1077</v>
      </c>
      <c r="O39" s="131">
        <v>24215</v>
      </c>
      <c r="P39" s="132">
        <v>1167</v>
      </c>
      <c r="Q39" s="131">
        <v>20078</v>
      </c>
      <c r="R39" s="132">
        <v>960</v>
      </c>
      <c r="S39" s="131">
        <f t="shared" si="5"/>
        <v>240328</v>
      </c>
      <c r="T39" s="132">
        <f t="shared" si="6"/>
        <v>11914</v>
      </c>
    </row>
    <row r="40" spans="2:20">
      <c r="B40" s="112" t="s">
        <v>194</v>
      </c>
      <c r="C40" s="116">
        <v>50070</v>
      </c>
      <c r="D40" s="128">
        <v>2605</v>
      </c>
      <c r="E40" s="116">
        <v>37457</v>
      </c>
      <c r="F40" s="128">
        <v>2008</v>
      </c>
      <c r="G40" s="116">
        <v>32320</v>
      </c>
      <c r="H40" s="128">
        <v>1498</v>
      </c>
      <c r="I40" s="116">
        <v>36153</v>
      </c>
      <c r="J40" s="128">
        <v>1819</v>
      </c>
      <c r="K40" s="116">
        <v>23561</v>
      </c>
      <c r="L40" s="128">
        <v>1015</v>
      </c>
      <c r="M40" s="116">
        <v>23698</v>
      </c>
      <c r="N40" s="128">
        <v>1085</v>
      </c>
      <c r="O40" s="116">
        <v>26863</v>
      </c>
      <c r="P40" s="128">
        <v>1280</v>
      </c>
      <c r="Q40" s="116">
        <v>21066</v>
      </c>
      <c r="R40" s="128">
        <v>1012</v>
      </c>
      <c r="S40" s="116">
        <f t="shared" si="5"/>
        <v>251188</v>
      </c>
      <c r="T40" s="128">
        <f t="shared" si="6"/>
        <v>12322</v>
      </c>
    </row>
    <row r="41" spans="2:20">
      <c r="B41" s="112" t="s">
        <v>195</v>
      </c>
      <c r="C41" s="116"/>
      <c r="D41" s="128"/>
      <c r="E41" s="116"/>
      <c r="F41" s="128"/>
      <c r="G41" s="116"/>
      <c r="H41" s="128"/>
      <c r="I41" s="116"/>
      <c r="J41" s="128"/>
      <c r="K41" s="116"/>
      <c r="L41" s="128"/>
      <c r="M41" s="116"/>
      <c r="N41" s="128"/>
      <c r="O41" s="116"/>
      <c r="P41" s="128"/>
      <c r="Q41" s="116"/>
      <c r="R41" s="128"/>
      <c r="S41" s="116">
        <f t="shared" si="5"/>
        <v>0</v>
      </c>
      <c r="T41" s="128">
        <f t="shared" si="6"/>
        <v>0</v>
      </c>
    </row>
    <row r="42" spans="2:20">
      <c r="B42" s="112" t="s">
        <v>196</v>
      </c>
      <c r="C42" s="116"/>
      <c r="D42" s="128"/>
      <c r="E42" s="116"/>
      <c r="F42" s="128"/>
      <c r="G42" s="116"/>
      <c r="H42" s="128"/>
      <c r="I42" s="116"/>
      <c r="J42" s="128"/>
      <c r="K42" s="116"/>
      <c r="L42" s="128"/>
      <c r="M42" s="116"/>
      <c r="N42" s="128"/>
      <c r="O42" s="116"/>
      <c r="P42" s="128"/>
      <c r="Q42" s="116"/>
      <c r="R42" s="128"/>
      <c r="S42" s="116">
        <f t="shared" si="5"/>
        <v>0</v>
      </c>
      <c r="T42" s="128">
        <f t="shared" si="6"/>
        <v>0</v>
      </c>
    </row>
    <row r="43" spans="2:20">
      <c r="B43" s="130" t="s">
        <v>197</v>
      </c>
      <c r="C43" s="131"/>
      <c r="D43" s="132"/>
      <c r="E43" s="131"/>
      <c r="F43" s="132"/>
      <c r="G43" s="131"/>
      <c r="H43" s="132"/>
      <c r="I43" s="131"/>
      <c r="J43" s="132"/>
      <c r="K43" s="131"/>
      <c r="L43" s="132"/>
      <c r="M43" s="131"/>
      <c r="N43" s="132"/>
      <c r="O43" s="131"/>
      <c r="P43" s="132"/>
      <c r="Q43" s="131"/>
      <c r="R43" s="132"/>
      <c r="S43" s="131">
        <f t="shared" si="5"/>
        <v>0</v>
      </c>
      <c r="T43" s="132">
        <f t="shared" si="6"/>
        <v>0</v>
      </c>
    </row>
    <row r="44" spans="2:20">
      <c r="B44" s="112" t="s">
        <v>198</v>
      </c>
      <c r="C44" s="116"/>
      <c r="D44" s="128"/>
      <c r="E44" s="116"/>
      <c r="F44" s="128"/>
      <c r="G44" s="116"/>
      <c r="H44" s="128"/>
      <c r="I44" s="116"/>
      <c r="J44" s="128"/>
      <c r="K44" s="116"/>
      <c r="L44" s="128"/>
      <c r="M44" s="116"/>
      <c r="N44" s="128"/>
      <c r="O44" s="116"/>
      <c r="P44" s="128"/>
      <c r="Q44" s="1399"/>
      <c r="R44" s="1400"/>
      <c r="S44" s="116">
        <f t="shared" si="5"/>
        <v>0</v>
      </c>
      <c r="T44" s="128">
        <f t="shared" si="6"/>
        <v>0</v>
      </c>
    </row>
    <row r="45" spans="2:20">
      <c r="B45" s="112" t="s">
        <v>199</v>
      </c>
      <c r="C45" s="116"/>
      <c r="D45" s="128"/>
      <c r="E45" s="116"/>
      <c r="F45" s="128"/>
      <c r="G45" s="116"/>
      <c r="H45" s="128"/>
      <c r="I45" s="116"/>
      <c r="J45" s="128"/>
      <c r="K45" s="116"/>
      <c r="L45" s="128"/>
      <c r="M45" s="116"/>
      <c r="N45" s="128"/>
      <c r="O45" s="116"/>
      <c r="P45" s="128"/>
      <c r="Q45" s="116"/>
      <c r="R45" s="128"/>
      <c r="S45" s="116">
        <f t="shared" si="5"/>
        <v>0</v>
      </c>
      <c r="T45" s="128">
        <f t="shared" si="6"/>
        <v>0</v>
      </c>
    </row>
    <row r="46" spans="2:20">
      <c r="B46" s="112" t="s">
        <v>200</v>
      </c>
      <c r="C46" s="116"/>
      <c r="D46" s="128"/>
      <c r="E46" s="116"/>
      <c r="F46" s="128"/>
      <c r="G46" s="116"/>
      <c r="H46" s="128"/>
      <c r="I46" s="116"/>
      <c r="J46" s="128"/>
      <c r="K46" s="116"/>
      <c r="L46" s="128"/>
      <c r="M46" s="116"/>
      <c r="N46" s="128"/>
      <c r="O46" s="116"/>
      <c r="P46" s="128"/>
      <c r="Q46" s="116"/>
      <c r="R46" s="128"/>
      <c r="S46" s="116">
        <f t="shared" si="5"/>
        <v>0</v>
      </c>
      <c r="T46" s="128">
        <f t="shared" si="6"/>
        <v>0</v>
      </c>
    </row>
    <row r="47" spans="2:20">
      <c r="B47" s="112" t="s">
        <v>201</v>
      </c>
      <c r="C47" s="116"/>
      <c r="D47" s="128"/>
      <c r="E47" s="116"/>
      <c r="F47" s="128"/>
      <c r="G47" s="116"/>
      <c r="H47" s="128"/>
      <c r="I47" s="116"/>
      <c r="J47" s="128"/>
      <c r="K47" s="116"/>
      <c r="L47" s="128"/>
      <c r="M47" s="116"/>
      <c r="N47" s="128"/>
      <c r="O47" s="116"/>
      <c r="P47" s="128"/>
      <c r="Q47" s="116"/>
      <c r="R47" s="128"/>
      <c r="S47" s="116">
        <f t="shared" si="5"/>
        <v>0</v>
      </c>
      <c r="T47" s="128">
        <f t="shared" si="6"/>
        <v>0</v>
      </c>
    </row>
    <row r="48" spans="2:20">
      <c r="B48" s="130" t="s">
        <v>202</v>
      </c>
      <c r="C48" s="131"/>
      <c r="D48" s="132"/>
      <c r="E48" s="131"/>
      <c r="F48" s="132"/>
      <c r="G48" s="131"/>
      <c r="H48" s="132"/>
      <c r="I48" s="131"/>
      <c r="J48" s="132"/>
      <c r="K48" s="131"/>
      <c r="L48" s="132"/>
      <c r="M48" s="131"/>
      <c r="N48" s="132"/>
      <c r="O48" s="131"/>
      <c r="P48" s="132"/>
      <c r="Q48" s="131"/>
      <c r="R48" s="132"/>
      <c r="S48" s="131">
        <f t="shared" si="5"/>
        <v>0</v>
      </c>
      <c r="T48" s="132">
        <f t="shared" si="6"/>
        <v>0</v>
      </c>
    </row>
    <row r="49" spans="2:20">
      <c r="B49" s="112" t="s">
        <v>203</v>
      </c>
      <c r="C49" s="116"/>
      <c r="D49" s="128"/>
      <c r="E49" s="116"/>
      <c r="F49" s="128"/>
      <c r="G49" s="116"/>
      <c r="H49" s="128"/>
      <c r="I49" s="116"/>
      <c r="J49" s="128"/>
      <c r="K49" s="116"/>
      <c r="L49" s="128"/>
      <c r="M49" s="116"/>
      <c r="N49" s="128"/>
      <c r="O49" s="116"/>
      <c r="P49" s="128"/>
      <c r="Q49" s="116"/>
      <c r="R49" s="128"/>
      <c r="S49" s="116">
        <f t="shared" si="5"/>
        <v>0</v>
      </c>
      <c r="T49" s="128">
        <f t="shared" si="6"/>
        <v>0</v>
      </c>
    </row>
    <row r="50" spans="2:20">
      <c r="B50" s="112" t="s">
        <v>204</v>
      </c>
      <c r="C50" s="116"/>
      <c r="D50" s="128"/>
      <c r="E50" s="116"/>
      <c r="F50" s="128"/>
      <c r="G50" s="116"/>
      <c r="H50" s="128"/>
      <c r="I50" s="116"/>
      <c r="J50" s="128"/>
      <c r="K50" s="116"/>
      <c r="L50" s="128"/>
      <c r="M50" s="116"/>
      <c r="N50" s="128"/>
      <c r="O50" s="116"/>
      <c r="P50" s="128"/>
      <c r="Q50" s="116"/>
      <c r="R50" s="128"/>
      <c r="S50" s="116">
        <f t="shared" ref="S50:S69" si="7">C50+E50+G50+I50+K50+M50+O50+Q50</f>
        <v>0</v>
      </c>
      <c r="T50" s="128">
        <f t="shared" ref="T50:T69" si="8">D50+F50+H50+J50+L50+N50+P50+R50</f>
        <v>0</v>
      </c>
    </row>
    <row r="51" spans="2:20">
      <c r="B51" s="112" t="s">
        <v>205</v>
      </c>
      <c r="C51" s="116"/>
      <c r="D51" s="128"/>
      <c r="E51" s="116"/>
      <c r="F51" s="128"/>
      <c r="G51" s="116"/>
      <c r="H51" s="128"/>
      <c r="I51" s="116"/>
      <c r="J51" s="128"/>
      <c r="K51" s="116"/>
      <c r="L51" s="128"/>
      <c r="M51" s="116"/>
      <c r="N51" s="128"/>
      <c r="O51" s="116"/>
      <c r="P51" s="128"/>
      <c r="Q51" s="116"/>
      <c r="R51" s="128"/>
      <c r="S51" s="116">
        <f t="shared" si="7"/>
        <v>0</v>
      </c>
      <c r="T51" s="128">
        <f t="shared" si="8"/>
        <v>0</v>
      </c>
    </row>
    <row r="52" spans="2:20">
      <c r="B52" s="130" t="s">
        <v>206</v>
      </c>
      <c r="C52" s="131"/>
      <c r="D52" s="132"/>
      <c r="E52" s="131"/>
      <c r="F52" s="132"/>
      <c r="G52" s="131"/>
      <c r="H52" s="132"/>
      <c r="I52" s="131"/>
      <c r="J52" s="132"/>
      <c r="K52" s="131"/>
      <c r="L52" s="132"/>
      <c r="M52" s="131"/>
      <c r="N52" s="132"/>
      <c r="O52" s="131"/>
      <c r="P52" s="132"/>
      <c r="Q52" s="131"/>
      <c r="R52" s="132"/>
      <c r="S52" s="131">
        <f t="shared" si="7"/>
        <v>0</v>
      </c>
      <c r="T52" s="132">
        <f t="shared" si="8"/>
        <v>0</v>
      </c>
    </row>
    <row r="53" spans="2:20">
      <c r="B53" s="112" t="s">
        <v>207</v>
      </c>
      <c r="C53" s="116"/>
      <c r="D53" s="128"/>
      <c r="E53" s="116"/>
      <c r="F53" s="128"/>
      <c r="G53" s="116"/>
      <c r="H53" s="128"/>
      <c r="I53" s="116"/>
      <c r="J53" s="128"/>
      <c r="K53" s="116"/>
      <c r="L53" s="128"/>
      <c r="M53" s="116"/>
      <c r="N53" s="128"/>
      <c r="O53" s="116"/>
      <c r="P53" s="128"/>
      <c r="Q53" s="116"/>
      <c r="R53" s="128"/>
      <c r="S53" s="116">
        <f t="shared" si="7"/>
        <v>0</v>
      </c>
      <c r="T53" s="128">
        <f t="shared" si="8"/>
        <v>0</v>
      </c>
    </row>
    <row r="54" spans="2:20">
      <c r="B54" s="112" t="s">
        <v>208</v>
      </c>
      <c r="C54" s="116"/>
      <c r="D54" s="128"/>
      <c r="E54" s="116"/>
      <c r="F54" s="128"/>
      <c r="G54" s="116"/>
      <c r="H54" s="128"/>
      <c r="I54" s="116"/>
      <c r="J54" s="128"/>
      <c r="K54" s="116"/>
      <c r="L54" s="128"/>
      <c r="M54" s="116"/>
      <c r="N54" s="128"/>
      <c r="O54" s="116"/>
      <c r="P54" s="128"/>
      <c r="Q54" s="116"/>
      <c r="R54" s="128"/>
      <c r="S54" s="116">
        <f t="shared" si="7"/>
        <v>0</v>
      </c>
      <c r="T54" s="128">
        <f t="shared" si="8"/>
        <v>0</v>
      </c>
    </row>
    <row r="55" spans="2:20">
      <c r="B55" s="112" t="s">
        <v>209</v>
      </c>
      <c r="C55" s="116"/>
      <c r="D55" s="128"/>
      <c r="E55" s="116"/>
      <c r="F55" s="128"/>
      <c r="G55" s="116"/>
      <c r="H55" s="128"/>
      <c r="I55" s="116"/>
      <c r="J55" s="128"/>
      <c r="K55" s="116"/>
      <c r="L55" s="128"/>
      <c r="M55" s="116"/>
      <c r="N55" s="128"/>
      <c r="O55" s="116"/>
      <c r="P55" s="128"/>
      <c r="Q55" s="116"/>
      <c r="R55" s="128"/>
      <c r="S55" s="116">
        <f t="shared" si="7"/>
        <v>0</v>
      </c>
      <c r="T55" s="128">
        <f t="shared" si="8"/>
        <v>0</v>
      </c>
    </row>
    <row r="56" spans="2:20">
      <c r="B56" s="112" t="s">
        <v>210</v>
      </c>
      <c r="C56" s="116"/>
      <c r="D56" s="128"/>
      <c r="E56" s="116"/>
      <c r="F56" s="128"/>
      <c r="G56" s="116"/>
      <c r="H56" s="128"/>
      <c r="I56" s="116"/>
      <c r="J56" s="128"/>
      <c r="K56" s="116"/>
      <c r="L56" s="128"/>
      <c r="M56" s="116"/>
      <c r="N56" s="128"/>
      <c r="O56" s="116"/>
      <c r="P56" s="128"/>
      <c r="Q56" s="116"/>
      <c r="R56" s="128"/>
      <c r="S56" s="116">
        <f t="shared" si="7"/>
        <v>0</v>
      </c>
      <c r="T56" s="128">
        <f t="shared" si="8"/>
        <v>0</v>
      </c>
    </row>
    <row r="57" spans="2:20">
      <c r="B57" s="130" t="s">
        <v>211</v>
      </c>
      <c r="C57" s="131"/>
      <c r="D57" s="132"/>
      <c r="E57" s="131"/>
      <c r="F57" s="132"/>
      <c r="G57" s="131"/>
      <c r="H57" s="132"/>
      <c r="I57" s="131"/>
      <c r="J57" s="132"/>
      <c r="K57" s="131"/>
      <c r="L57" s="132"/>
      <c r="M57" s="131"/>
      <c r="N57" s="132"/>
      <c r="O57" s="131"/>
      <c r="P57" s="132"/>
      <c r="Q57" s="131"/>
      <c r="R57" s="132"/>
      <c r="S57" s="131">
        <f t="shared" si="7"/>
        <v>0</v>
      </c>
      <c r="T57" s="132">
        <f t="shared" si="8"/>
        <v>0</v>
      </c>
    </row>
    <row r="58" spans="2:20">
      <c r="B58" s="112" t="s">
        <v>212</v>
      </c>
      <c r="C58" s="116"/>
      <c r="D58" s="128"/>
      <c r="E58" s="116"/>
      <c r="F58" s="128"/>
      <c r="G58" s="116"/>
      <c r="H58" s="128"/>
      <c r="I58" s="116"/>
      <c r="J58" s="128"/>
      <c r="K58" s="116"/>
      <c r="L58" s="128"/>
      <c r="M58" s="116"/>
      <c r="N58" s="128"/>
      <c r="O58" s="116"/>
      <c r="P58" s="128"/>
      <c r="Q58" s="116"/>
      <c r="R58" s="128"/>
      <c r="S58" s="116">
        <f t="shared" si="7"/>
        <v>0</v>
      </c>
      <c r="T58" s="128">
        <f t="shared" si="8"/>
        <v>0</v>
      </c>
    </row>
    <row r="59" spans="2:20">
      <c r="B59" s="112" t="s">
        <v>213</v>
      </c>
      <c r="C59" s="116"/>
      <c r="D59" s="128"/>
      <c r="E59" s="116"/>
      <c r="F59" s="128"/>
      <c r="G59" s="116"/>
      <c r="H59" s="128"/>
      <c r="I59" s="116"/>
      <c r="J59" s="128"/>
      <c r="K59" s="116"/>
      <c r="L59" s="128"/>
      <c r="M59" s="116"/>
      <c r="N59" s="128"/>
      <c r="O59" s="116"/>
      <c r="P59" s="128"/>
      <c r="Q59" s="116"/>
      <c r="R59" s="128"/>
      <c r="S59" s="116">
        <f t="shared" si="7"/>
        <v>0</v>
      </c>
      <c r="T59" s="128">
        <f t="shared" si="8"/>
        <v>0</v>
      </c>
    </row>
    <row r="60" spans="2:20">
      <c r="B60" s="112" t="s">
        <v>214</v>
      </c>
      <c r="C60" s="116"/>
      <c r="D60" s="128"/>
      <c r="E60" s="116"/>
      <c r="F60" s="128"/>
      <c r="G60" s="116"/>
      <c r="H60" s="128"/>
      <c r="I60" s="116"/>
      <c r="J60" s="128"/>
      <c r="K60" s="116"/>
      <c r="L60" s="128"/>
      <c r="M60" s="116"/>
      <c r="N60" s="128"/>
      <c r="O60" s="116"/>
      <c r="P60" s="128"/>
      <c r="Q60" s="116"/>
      <c r="R60" s="128"/>
      <c r="S60" s="116">
        <f t="shared" si="7"/>
        <v>0</v>
      </c>
      <c r="T60" s="128">
        <f t="shared" si="8"/>
        <v>0</v>
      </c>
    </row>
    <row r="61" spans="2:20">
      <c r="B61" s="130" t="s">
        <v>215</v>
      </c>
      <c r="C61" s="131"/>
      <c r="D61" s="132"/>
      <c r="E61" s="131"/>
      <c r="F61" s="132"/>
      <c r="G61" s="131"/>
      <c r="H61" s="132"/>
      <c r="I61" s="131"/>
      <c r="J61" s="132"/>
      <c r="K61" s="131"/>
      <c r="L61" s="132"/>
      <c r="M61" s="131"/>
      <c r="N61" s="132"/>
      <c r="O61" s="131"/>
      <c r="P61" s="132"/>
      <c r="Q61" s="131"/>
      <c r="R61" s="132"/>
      <c r="S61" s="131">
        <f t="shared" si="7"/>
        <v>0</v>
      </c>
      <c r="T61" s="132">
        <f t="shared" si="8"/>
        <v>0</v>
      </c>
    </row>
    <row r="62" spans="2:20">
      <c r="B62" s="112" t="s">
        <v>216</v>
      </c>
      <c r="C62" s="116"/>
      <c r="D62" s="128"/>
      <c r="E62" s="116"/>
      <c r="F62" s="128"/>
      <c r="G62" s="116"/>
      <c r="H62" s="128"/>
      <c r="I62" s="116"/>
      <c r="J62" s="128"/>
      <c r="K62" s="116"/>
      <c r="L62" s="128"/>
      <c r="M62" s="116"/>
      <c r="N62" s="128"/>
      <c r="O62" s="116"/>
      <c r="P62" s="128"/>
      <c r="Q62" s="116"/>
      <c r="R62" s="128"/>
      <c r="S62" s="116">
        <f t="shared" si="7"/>
        <v>0</v>
      </c>
      <c r="T62" s="128">
        <f t="shared" si="8"/>
        <v>0</v>
      </c>
    </row>
    <row r="63" spans="2:20">
      <c r="B63" s="112" t="s">
        <v>217</v>
      </c>
      <c r="C63" s="116"/>
      <c r="D63" s="128"/>
      <c r="E63" s="116"/>
      <c r="F63" s="128"/>
      <c r="G63" s="116"/>
      <c r="H63" s="128"/>
      <c r="I63" s="116"/>
      <c r="J63" s="128"/>
      <c r="K63" s="116"/>
      <c r="L63" s="128"/>
      <c r="M63" s="116"/>
      <c r="N63" s="128"/>
      <c r="O63" s="116"/>
      <c r="P63" s="128"/>
      <c r="Q63" s="116"/>
      <c r="R63" s="128"/>
      <c r="S63" s="116">
        <f t="shared" si="7"/>
        <v>0</v>
      </c>
      <c r="T63" s="128">
        <f t="shared" si="8"/>
        <v>0</v>
      </c>
    </row>
    <row r="64" spans="2:20">
      <c r="B64" s="112" t="s">
        <v>218</v>
      </c>
      <c r="C64" s="116"/>
      <c r="D64" s="128"/>
      <c r="E64" s="116"/>
      <c r="F64" s="128"/>
      <c r="G64" s="116"/>
      <c r="H64" s="128"/>
      <c r="I64" s="116"/>
      <c r="J64" s="128"/>
      <c r="K64" s="116"/>
      <c r="L64" s="128"/>
      <c r="M64" s="116"/>
      <c r="N64" s="128"/>
      <c r="O64" s="116"/>
      <c r="P64" s="128"/>
      <c r="Q64" s="116"/>
      <c r="R64" s="128"/>
      <c r="S64" s="116">
        <f t="shared" si="7"/>
        <v>0</v>
      </c>
      <c r="T64" s="128">
        <f t="shared" si="8"/>
        <v>0</v>
      </c>
    </row>
    <row r="65" spans="2:20">
      <c r="B65" s="130" t="s">
        <v>219</v>
      </c>
      <c r="C65" s="131"/>
      <c r="D65" s="132"/>
      <c r="E65" s="131"/>
      <c r="F65" s="132"/>
      <c r="G65" s="131"/>
      <c r="H65" s="132"/>
      <c r="I65" s="131"/>
      <c r="J65" s="132"/>
      <c r="K65" s="131"/>
      <c r="L65" s="132"/>
      <c r="M65" s="131"/>
      <c r="N65" s="132"/>
      <c r="O65" s="131"/>
      <c r="P65" s="132"/>
      <c r="Q65" s="131"/>
      <c r="R65" s="132"/>
      <c r="S65" s="131">
        <f t="shared" si="7"/>
        <v>0</v>
      </c>
      <c r="T65" s="132">
        <f t="shared" si="8"/>
        <v>0</v>
      </c>
    </row>
    <row r="66" spans="2:20">
      <c r="B66" s="112" t="s">
        <v>220</v>
      </c>
      <c r="C66" s="116"/>
      <c r="D66" s="128"/>
      <c r="E66" s="116"/>
      <c r="F66" s="128"/>
      <c r="G66" s="116"/>
      <c r="H66" s="128"/>
      <c r="I66" s="116"/>
      <c r="J66" s="128"/>
      <c r="K66" s="116"/>
      <c r="L66" s="128"/>
      <c r="M66" s="116"/>
      <c r="N66" s="128"/>
      <c r="O66" s="116"/>
      <c r="P66" s="128"/>
      <c r="Q66" s="116"/>
      <c r="R66" s="128"/>
      <c r="S66" s="116">
        <f t="shared" si="7"/>
        <v>0</v>
      </c>
      <c r="T66" s="128">
        <f t="shared" si="8"/>
        <v>0</v>
      </c>
    </row>
    <row r="67" spans="2:20">
      <c r="B67" s="112" t="s">
        <v>221</v>
      </c>
      <c r="C67" s="116"/>
      <c r="D67" s="128"/>
      <c r="E67" s="116"/>
      <c r="F67" s="128"/>
      <c r="G67" s="116"/>
      <c r="H67" s="128"/>
      <c r="I67" s="116"/>
      <c r="J67" s="128"/>
      <c r="K67" s="116"/>
      <c r="L67" s="128"/>
      <c r="M67" s="116"/>
      <c r="N67" s="128"/>
      <c r="O67" s="116"/>
      <c r="P67" s="128"/>
      <c r="Q67" s="116"/>
      <c r="R67" s="128"/>
      <c r="S67" s="116">
        <f t="shared" si="7"/>
        <v>0</v>
      </c>
      <c r="T67" s="128">
        <f t="shared" si="8"/>
        <v>0</v>
      </c>
    </row>
    <row r="68" spans="2:20">
      <c r="B68" s="112" t="s">
        <v>222</v>
      </c>
      <c r="C68" s="116"/>
      <c r="D68" s="128"/>
      <c r="E68" s="116"/>
      <c r="F68" s="128"/>
      <c r="G68" s="116"/>
      <c r="H68" s="128"/>
      <c r="I68" s="116"/>
      <c r="J68" s="128"/>
      <c r="K68" s="116"/>
      <c r="L68" s="128"/>
      <c r="M68" s="116"/>
      <c r="N68" s="128"/>
      <c r="O68" s="116"/>
      <c r="P68" s="128"/>
      <c r="Q68" s="116"/>
      <c r="R68" s="128"/>
      <c r="S68" s="116">
        <f t="shared" si="7"/>
        <v>0</v>
      </c>
      <c r="T68" s="128">
        <f t="shared" si="8"/>
        <v>0</v>
      </c>
    </row>
    <row r="69" spans="2:20">
      <c r="B69" s="112" t="s">
        <v>223</v>
      </c>
      <c r="C69" s="116"/>
      <c r="D69" s="128"/>
      <c r="E69" s="116"/>
      <c r="F69" s="128"/>
      <c r="G69" s="116"/>
      <c r="H69" s="128"/>
      <c r="I69" s="116"/>
      <c r="J69" s="128"/>
      <c r="K69" s="116"/>
      <c r="L69" s="128"/>
      <c r="M69" s="116"/>
      <c r="N69" s="128"/>
      <c r="O69" s="116"/>
      <c r="P69" s="128"/>
      <c r="Q69" s="116"/>
      <c r="R69" s="128"/>
      <c r="S69" s="116">
        <f t="shared" si="7"/>
        <v>0</v>
      </c>
      <c r="T69" s="128">
        <f t="shared" si="8"/>
        <v>0</v>
      </c>
    </row>
    <row r="70" spans="2:20" ht="18" thickBot="1">
      <c r="B70" s="117"/>
      <c r="C70" s="133">
        <f>SUM(C18:C69)</f>
        <v>1097924</v>
      </c>
      <c r="D70" s="129">
        <f t="shared" ref="D70:T70" si="9">SUM(D18:D69)</f>
        <v>56309</v>
      </c>
      <c r="E70" s="118">
        <f t="shared" si="9"/>
        <v>750174</v>
      </c>
      <c r="F70" s="129">
        <f t="shared" si="9"/>
        <v>39813</v>
      </c>
      <c r="G70" s="118">
        <f t="shared" si="9"/>
        <v>677287</v>
      </c>
      <c r="H70" s="129">
        <f t="shared" si="9"/>
        <v>30850</v>
      </c>
      <c r="I70" s="118">
        <f t="shared" si="9"/>
        <v>790550</v>
      </c>
      <c r="J70" s="129">
        <f t="shared" si="9"/>
        <v>39260</v>
      </c>
      <c r="K70" s="118">
        <f t="shared" si="9"/>
        <v>508256</v>
      </c>
      <c r="L70" s="129">
        <f t="shared" si="9"/>
        <v>22033</v>
      </c>
      <c r="M70" s="118">
        <f t="shared" si="9"/>
        <v>528891</v>
      </c>
      <c r="N70" s="129">
        <f t="shared" si="9"/>
        <v>23318</v>
      </c>
      <c r="O70" s="118">
        <f t="shared" si="9"/>
        <v>581209</v>
      </c>
      <c r="P70" s="129">
        <f t="shared" si="9"/>
        <v>26963</v>
      </c>
      <c r="Q70" s="118">
        <f t="shared" si="9"/>
        <v>446992</v>
      </c>
      <c r="R70" s="129">
        <f t="shared" si="9"/>
        <v>21808</v>
      </c>
      <c r="S70" s="193">
        <f t="shared" si="9"/>
        <v>5381283</v>
      </c>
      <c r="T70" s="129">
        <f t="shared" si="9"/>
        <v>260354</v>
      </c>
    </row>
  </sheetData>
  <printOptions horizontalCentered="1" verticalCentered="1"/>
  <pageMargins left="0" right="0" top="0" bottom="0" header="0" footer="0"/>
  <pageSetup paperSize="9" scale="49"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BED32-65E3-384E-84CC-FD9813F0121B}">
  <sheetPr codeName="Feuil16">
    <tabColor theme="7" tint="0.39997558519241921"/>
    <pageSetUpPr fitToPage="1"/>
  </sheetPr>
  <dimension ref="B1:T70"/>
  <sheetViews>
    <sheetView showGridLines="0" view="pageBreakPreview" topLeftCell="A15" zoomScaleNormal="100" zoomScaleSheetLayoutView="100" workbookViewId="0">
      <selection activeCell="P41" sqref="P41"/>
    </sheetView>
  </sheetViews>
  <sheetFormatPr baseColWidth="10" defaultColWidth="10.83203125" defaultRowHeight="17"/>
  <cols>
    <col min="1" max="1" width="3" style="38" customWidth="1"/>
    <col min="2" max="2" width="9.5" style="109" bestFit="1" customWidth="1"/>
    <col min="3" max="3" width="10.33203125" style="44" bestFit="1" customWidth="1"/>
    <col min="4" max="4" width="7" style="44" bestFit="1" customWidth="1"/>
    <col min="5" max="5" width="11" style="44" bestFit="1" customWidth="1"/>
    <col min="6" max="6" width="7" style="44" bestFit="1" customWidth="1"/>
    <col min="7" max="7" width="9.1640625" style="44" bestFit="1" customWidth="1"/>
    <col min="8" max="8" width="5.1640625" style="44" bestFit="1" customWidth="1"/>
    <col min="9" max="9" width="10.33203125" style="44" bestFit="1" customWidth="1"/>
    <col min="10" max="10" width="7" style="44" bestFit="1" customWidth="1"/>
    <col min="11" max="11" width="9.33203125" style="44" bestFit="1" customWidth="1"/>
    <col min="12" max="12" width="5.1640625" style="44" bestFit="1" customWidth="1"/>
    <col min="13" max="13" width="8" style="44" bestFit="1" customWidth="1"/>
    <col min="14" max="14" width="5.1640625" style="44" bestFit="1" customWidth="1"/>
    <col min="15" max="15" width="8" style="44" bestFit="1" customWidth="1"/>
    <col min="16" max="16" width="5.1640625" style="44" bestFit="1" customWidth="1"/>
    <col min="17" max="17" width="11" style="44" bestFit="1" customWidth="1"/>
    <col min="18" max="18" width="5.83203125" style="44" bestFit="1" customWidth="1"/>
    <col min="19" max="19" width="12" style="44" bestFit="1" customWidth="1"/>
    <col min="20" max="20" width="7" style="44" bestFit="1" customWidth="1"/>
    <col min="21" max="21" width="2.83203125" style="38" customWidth="1"/>
    <col min="22" max="22" width="5.1640625" style="38" bestFit="1" customWidth="1"/>
    <col min="23" max="23" width="14.83203125" style="38" customWidth="1"/>
    <col min="24" max="24" width="7" style="38" bestFit="1" customWidth="1"/>
    <col min="25" max="25" width="14.83203125" style="38" customWidth="1"/>
    <col min="26" max="26" width="5.1640625" style="38" bestFit="1" customWidth="1"/>
    <col min="27" max="27" width="14.83203125" style="38" customWidth="1"/>
    <col min="28" max="28" width="5.1640625" style="38" bestFit="1" customWidth="1"/>
    <col min="29" max="29" width="14.83203125" style="38" customWidth="1"/>
    <col min="30" max="30" width="8" style="38" bestFit="1" customWidth="1"/>
    <col min="31" max="31" width="14.83203125" style="38" customWidth="1"/>
    <col min="32" max="32" width="5.1640625" style="38" bestFit="1" customWidth="1"/>
    <col min="33" max="33" width="14.83203125" style="38" customWidth="1"/>
    <col min="34" max="34" width="5.1640625" style="38" bestFit="1" customWidth="1"/>
    <col min="35" max="35" width="14.83203125" style="38" customWidth="1"/>
    <col min="36" max="36" width="5.1640625" style="38" bestFit="1" customWidth="1"/>
    <col min="37" max="16384" width="10.83203125" style="38"/>
  </cols>
  <sheetData>
    <row r="1" spans="2:20" ht="18" thickBot="1"/>
    <row r="2" spans="2:20">
      <c r="B2" s="110"/>
      <c r="C2" s="111" t="s">
        <v>28</v>
      </c>
      <c r="D2" s="111" t="s">
        <v>40</v>
      </c>
      <c r="E2" s="122" t="s">
        <v>29</v>
      </c>
      <c r="F2" s="111" t="s">
        <v>40</v>
      </c>
      <c r="G2" s="122" t="s">
        <v>30</v>
      </c>
      <c r="H2" s="111" t="s">
        <v>40</v>
      </c>
      <c r="I2" s="122" t="s">
        <v>224</v>
      </c>
      <c r="J2" s="111" t="s">
        <v>40</v>
      </c>
      <c r="K2" s="122" t="s">
        <v>32</v>
      </c>
      <c r="L2" s="111" t="s">
        <v>40</v>
      </c>
      <c r="M2" s="122" t="s">
        <v>225</v>
      </c>
      <c r="N2" s="111" t="s">
        <v>40</v>
      </c>
      <c r="O2" s="122" t="s">
        <v>34</v>
      </c>
      <c r="P2" s="111" t="s">
        <v>40</v>
      </c>
      <c r="Q2" s="122" t="s">
        <v>309</v>
      </c>
      <c r="R2" s="111" t="s">
        <v>40</v>
      </c>
      <c r="S2" s="122" t="s">
        <v>242</v>
      </c>
      <c r="T2" s="111" t="s">
        <v>40</v>
      </c>
    </row>
    <row r="3" spans="2:20">
      <c r="B3" s="112" t="s">
        <v>10</v>
      </c>
      <c r="C3" s="113">
        <v>66598</v>
      </c>
      <c r="D3" s="124">
        <v>2266</v>
      </c>
      <c r="E3" s="123">
        <v>56370</v>
      </c>
      <c r="F3" s="126">
        <v>1944</v>
      </c>
      <c r="G3" s="123">
        <f t="shared" ref="G3:P3" si="0">SUM(G18:G22)</f>
        <v>0</v>
      </c>
      <c r="H3" s="126">
        <f t="shared" si="0"/>
        <v>0</v>
      </c>
      <c r="I3" s="123">
        <v>79727</v>
      </c>
      <c r="J3" s="126">
        <v>2849</v>
      </c>
      <c r="K3" s="123">
        <f t="shared" si="0"/>
        <v>0</v>
      </c>
      <c r="L3" s="126">
        <f t="shared" si="0"/>
        <v>0</v>
      </c>
      <c r="M3" s="123">
        <f t="shared" si="0"/>
        <v>0</v>
      </c>
      <c r="N3" s="126">
        <f t="shared" si="0"/>
        <v>0</v>
      </c>
      <c r="O3" s="123">
        <f t="shared" si="0"/>
        <v>0</v>
      </c>
      <c r="P3" s="126">
        <f t="shared" si="0"/>
        <v>0</v>
      </c>
      <c r="Q3" s="123">
        <v>20922</v>
      </c>
      <c r="R3" s="126">
        <v>743</v>
      </c>
      <c r="S3" s="123">
        <f t="shared" ref="S3:S14" si="1">C3+E3+G3+I3+K3+M3+O3+Q3</f>
        <v>223617</v>
      </c>
      <c r="T3" s="126">
        <f t="shared" ref="T3:T14" si="2">D3+F3+H3+J3+L3+N3+P3+R3</f>
        <v>7802</v>
      </c>
    </row>
    <row r="4" spans="2:20">
      <c r="B4" s="112" t="s">
        <v>25</v>
      </c>
      <c r="C4" s="113">
        <v>52717</v>
      </c>
      <c r="D4" s="124">
        <v>1875</v>
      </c>
      <c r="E4" s="123">
        <v>48620</v>
      </c>
      <c r="F4" s="126">
        <v>1719</v>
      </c>
      <c r="G4" s="123">
        <v>4805</v>
      </c>
      <c r="H4" s="126">
        <v>164</v>
      </c>
      <c r="I4" s="123">
        <v>67559</v>
      </c>
      <c r="J4" s="126">
        <v>2363</v>
      </c>
      <c r="K4" s="123">
        <f t="shared" ref="K4:P4" si="3">SUM(K18:K26)-K3</f>
        <v>0</v>
      </c>
      <c r="L4" s="126">
        <f t="shared" si="3"/>
        <v>0</v>
      </c>
      <c r="M4" s="123">
        <f t="shared" si="3"/>
        <v>0</v>
      </c>
      <c r="N4" s="126">
        <f t="shared" si="3"/>
        <v>0</v>
      </c>
      <c r="O4" s="123">
        <f t="shared" si="3"/>
        <v>0</v>
      </c>
      <c r="P4" s="126">
        <f t="shared" si="3"/>
        <v>0</v>
      </c>
      <c r="Q4" s="123">
        <v>19036</v>
      </c>
      <c r="R4" s="126">
        <v>682</v>
      </c>
      <c r="S4" s="123">
        <f t="shared" si="1"/>
        <v>192737</v>
      </c>
      <c r="T4" s="126">
        <f t="shared" si="2"/>
        <v>6803</v>
      </c>
    </row>
    <row r="5" spans="2:20">
      <c r="B5" s="112" t="s">
        <v>17</v>
      </c>
      <c r="C5" s="113">
        <v>57112</v>
      </c>
      <c r="D5" s="124">
        <v>1956</v>
      </c>
      <c r="E5" s="123">
        <v>46532</v>
      </c>
      <c r="F5" s="126">
        <v>1641</v>
      </c>
      <c r="G5" s="123">
        <v>6922</v>
      </c>
      <c r="H5" s="126">
        <v>212</v>
      </c>
      <c r="I5" s="123">
        <v>69934</v>
      </c>
      <c r="J5" s="126">
        <v>2462</v>
      </c>
      <c r="K5" s="123">
        <f t="shared" ref="K5:P5" si="4">SUM(K18:K27)-SUM(K3:K4)+K28+K29+K30</f>
        <v>0</v>
      </c>
      <c r="L5" s="126">
        <f t="shared" si="4"/>
        <v>0</v>
      </c>
      <c r="M5" s="123">
        <f t="shared" si="4"/>
        <v>0</v>
      </c>
      <c r="N5" s="126">
        <f t="shared" si="4"/>
        <v>0</v>
      </c>
      <c r="O5" s="123">
        <f t="shared" si="4"/>
        <v>0</v>
      </c>
      <c r="P5" s="126">
        <f t="shared" si="4"/>
        <v>0</v>
      </c>
      <c r="Q5" s="123">
        <v>18495</v>
      </c>
      <c r="R5" s="126">
        <v>644</v>
      </c>
      <c r="S5" s="123">
        <f t="shared" si="1"/>
        <v>198995</v>
      </c>
      <c r="T5" s="126">
        <f t="shared" si="2"/>
        <v>6915</v>
      </c>
    </row>
    <row r="6" spans="2:20">
      <c r="B6" s="112" t="s">
        <v>18</v>
      </c>
      <c r="C6" s="113">
        <v>48975</v>
      </c>
      <c r="D6" s="124">
        <v>1699</v>
      </c>
      <c r="E6" s="123">
        <v>42420</v>
      </c>
      <c r="F6" s="126">
        <v>1418</v>
      </c>
      <c r="G6" s="123">
        <v>6539</v>
      </c>
      <c r="H6" s="126">
        <v>206</v>
      </c>
      <c r="I6" s="123">
        <v>58122</v>
      </c>
      <c r="J6" s="126">
        <v>2053</v>
      </c>
      <c r="K6" s="123">
        <f t="shared" ref="K6:P6" si="5">SUM(K18:K35)-SUM(K3:K5)</f>
        <v>0</v>
      </c>
      <c r="L6" s="126">
        <f t="shared" si="5"/>
        <v>0</v>
      </c>
      <c r="M6" s="123">
        <f t="shared" si="5"/>
        <v>0</v>
      </c>
      <c r="N6" s="126">
        <f t="shared" si="5"/>
        <v>0</v>
      </c>
      <c r="O6" s="123">
        <f t="shared" si="5"/>
        <v>0</v>
      </c>
      <c r="P6" s="126">
        <f t="shared" si="5"/>
        <v>0</v>
      </c>
      <c r="Q6" s="123">
        <v>16521</v>
      </c>
      <c r="R6" s="126">
        <v>552</v>
      </c>
      <c r="S6" s="123">
        <f t="shared" si="1"/>
        <v>172577</v>
      </c>
      <c r="T6" s="126">
        <f t="shared" si="2"/>
        <v>5928</v>
      </c>
    </row>
    <row r="7" spans="2:20">
      <c r="B7" s="112" t="s">
        <v>19</v>
      </c>
      <c r="C7" s="113">
        <v>52057</v>
      </c>
      <c r="D7" s="124">
        <v>1850</v>
      </c>
      <c r="E7" s="123">
        <f t="shared" ref="E7:R7" si="6">SUM(E18:E39)-SUM(E3:E6)</f>
        <v>48554</v>
      </c>
      <c r="F7" s="126">
        <f t="shared" si="6"/>
        <v>1697</v>
      </c>
      <c r="G7" s="123">
        <f t="shared" si="6"/>
        <v>7343</v>
      </c>
      <c r="H7" s="126">
        <f t="shared" si="6"/>
        <v>223</v>
      </c>
      <c r="I7" s="123">
        <f t="shared" si="6"/>
        <v>66710</v>
      </c>
      <c r="J7" s="126">
        <f t="shared" si="6"/>
        <v>2460</v>
      </c>
      <c r="K7" s="123">
        <f t="shared" si="6"/>
        <v>937</v>
      </c>
      <c r="L7" s="126">
        <f t="shared" si="6"/>
        <v>34</v>
      </c>
      <c r="M7" s="123">
        <f t="shared" si="6"/>
        <v>0</v>
      </c>
      <c r="N7" s="126">
        <f t="shared" si="6"/>
        <v>0</v>
      </c>
      <c r="O7" s="123">
        <f t="shared" si="6"/>
        <v>0</v>
      </c>
      <c r="P7" s="126">
        <f t="shared" si="6"/>
        <v>0</v>
      </c>
      <c r="Q7" s="123">
        <f t="shared" si="6"/>
        <v>19922</v>
      </c>
      <c r="R7" s="126">
        <f t="shared" si="6"/>
        <v>670</v>
      </c>
      <c r="S7" s="123">
        <f t="shared" si="1"/>
        <v>195523</v>
      </c>
      <c r="T7" s="126">
        <f t="shared" si="2"/>
        <v>6934</v>
      </c>
    </row>
    <row r="8" spans="2:20">
      <c r="B8" s="112" t="s">
        <v>20</v>
      </c>
      <c r="C8" s="113"/>
      <c r="D8" s="124"/>
      <c r="E8" s="123"/>
      <c r="F8" s="126"/>
      <c r="G8" s="123"/>
      <c r="H8" s="126"/>
      <c r="I8" s="123"/>
      <c r="J8" s="126"/>
      <c r="K8" s="123"/>
      <c r="L8" s="126"/>
      <c r="M8" s="123"/>
      <c r="N8" s="126"/>
      <c r="O8" s="123"/>
      <c r="P8" s="126"/>
      <c r="Q8" s="123"/>
      <c r="R8" s="126"/>
      <c r="S8" s="123">
        <f t="shared" si="1"/>
        <v>0</v>
      </c>
      <c r="T8" s="126">
        <f t="shared" si="2"/>
        <v>0</v>
      </c>
    </row>
    <row r="9" spans="2:20">
      <c r="B9" s="112" t="s">
        <v>21</v>
      </c>
      <c r="C9" s="113"/>
      <c r="D9" s="124"/>
      <c r="E9" s="123"/>
      <c r="F9" s="126"/>
      <c r="G9" s="123"/>
      <c r="H9" s="126"/>
      <c r="I9" s="123"/>
      <c r="J9" s="126"/>
      <c r="K9" s="123"/>
      <c r="L9" s="126"/>
      <c r="M9" s="123"/>
      <c r="N9" s="126"/>
      <c r="O9" s="123"/>
      <c r="P9" s="126"/>
      <c r="Q9" s="123"/>
      <c r="R9" s="126"/>
      <c r="S9" s="123">
        <f t="shared" si="1"/>
        <v>0</v>
      </c>
      <c r="T9" s="126">
        <f t="shared" si="2"/>
        <v>0</v>
      </c>
    </row>
    <row r="10" spans="2:20">
      <c r="B10" s="112" t="s">
        <v>26</v>
      </c>
      <c r="C10" s="113"/>
      <c r="D10" s="124"/>
      <c r="E10" s="123"/>
      <c r="F10" s="126"/>
      <c r="G10" s="123"/>
      <c r="H10" s="126"/>
      <c r="I10" s="123"/>
      <c r="J10" s="126"/>
      <c r="K10" s="123"/>
      <c r="L10" s="126"/>
      <c r="M10" s="123"/>
      <c r="N10" s="126"/>
      <c r="O10" s="123"/>
      <c r="P10" s="126"/>
      <c r="Q10" s="123"/>
      <c r="R10" s="126"/>
      <c r="S10" s="123">
        <f t="shared" si="1"/>
        <v>0</v>
      </c>
      <c r="T10" s="126">
        <f t="shared" si="2"/>
        <v>0</v>
      </c>
    </row>
    <row r="11" spans="2:20">
      <c r="B11" s="112" t="s">
        <v>22</v>
      </c>
      <c r="C11" s="113"/>
      <c r="D11" s="124"/>
      <c r="E11" s="123"/>
      <c r="F11" s="126"/>
      <c r="G11" s="123"/>
      <c r="H11" s="126"/>
      <c r="I11" s="123"/>
      <c r="J11" s="126"/>
      <c r="K11" s="123"/>
      <c r="L11" s="126"/>
      <c r="M11" s="123"/>
      <c r="N11" s="126"/>
      <c r="O11" s="123"/>
      <c r="P11" s="126"/>
      <c r="Q11" s="123"/>
      <c r="R11" s="126"/>
      <c r="S11" s="123">
        <f t="shared" si="1"/>
        <v>0</v>
      </c>
      <c r="T11" s="126">
        <f t="shared" si="2"/>
        <v>0</v>
      </c>
    </row>
    <row r="12" spans="2:20">
      <c r="B12" s="112" t="s">
        <v>23</v>
      </c>
      <c r="C12" s="113"/>
      <c r="D12" s="124"/>
      <c r="E12" s="123"/>
      <c r="F12" s="126"/>
      <c r="G12" s="123"/>
      <c r="H12" s="126"/>
      <c r="I12" s="123"/>
      <c r="J12" s="126"/>
      <c r="K12" s="123"/>
      <c r="L12" s="126"/>
      <c r="M12" s="123"/>
      <c r="N12" s="126"/>
      <c r="O12" s="123"/>
      <c r="P12" s="126"/>
      <c r="Q12" s="123"/>
      <c r="R12" s="126"/>
      <c r="S12" s="123">
        <f t="shared" si="1"/>
        <v>0</v>
      </c>
      <c r="T12" s="126">
        <f t="shared" si="2"/>
        <v>0</v>
      </c>
    </row>
    <row r="13" spans="2:20">
      <c r="B13" s="112" t="s">
        <v>24</v>
      </c>
      <c r="C13" s="113"/>
      <c r="D13" s="124"/>
      <c r="E13" s="123"/>
      <c r="F13" s="126"/>
      <c r="G13" s="123"/>
      <c r="H13" s="126"/>
      <c r="I13" s="123"/>
      <c r="J13" s="126"/>
      <c r="K13" s="123"/>
      <c r="L13" s="126"/>
      <c r="M13" s="123"/>
      <c r="N13" s="126"/>
      <c r="O13" s="123"/>
      <c r="P13" s="126"/>
      <c r="Q13" s="123"/>
      <c r="R13" s="126"/>
      <c r="S13" s="123">
        <f t="shared" si="1"/>
        <v>0</v>
      </c>
      <c r="T13" s="126">
        <f t="shared" si="2"/>
        <v>0</v>
      </c>
    </row>
    <row r="14" spans="2:20">
      <c r="B14" s="112" t="s">
        <v>27</v>
      </c>
      <c r="C14" s="113"/>
      <c r="D14" s="124"/>
      <c r="E14" s="123"/>
      <c r="F14" s="126"/>
      <c r="G14" s="123"/>
      <c r="H14" s="126"/>
      <c r="I14" s="123"/>
      <c r="J14" s="126"/>
      <c r="K14" s="123"/>
      <c r="L14" s="126"/>
      <c r="M14" s="123"/>
      <c r="N14" s="126"/>
      <c r="O14" s="123"/>
      <c r="P14" s="126"/>
      <c r="Q14" s="123"/>
      <c r="R14" s="126"/>
      <c r="S14" s="123">
        <f t="shared" si="1"/>
        <v>0</v>
      </c>
      <c r="T14" s="126">
        <f t="shared" si="2"/>
        <v>0</v>
      </c>
    </row>
    <row r="15" spans="2:20" ht="18" thickBot="1">
      <c r="B15" s="114"/>
      <c r="C15" s="196">
        <f>SUM(C3:C14)</f>
        <v>277459</v>
      </c>
      <c r="D15" s="115">
        <f t="shared" ref="D15:T15" si="7">SUM(D3:D14)</f>
        <v>9646</v>
      </c>
      <c r="E15" s="199">
        <f t="shared" si="7"/>
        <v>242496</v>
      </c>
      <c r="F15" s="127">
        <f t="shared" si="7"/>
        <v>8419</v>
      </c>
      <c r="G15" s="199">
        <f t="shared" si="7"/>
        <v>25609</v>
      </c>
      <c r="H15" s="127">
        <f t="shared" si="7"/>
        <v>805</v>
      </c>
      <c r="I15" s="199">
        <f t="shared" si="7"/>
        <v>342052</v>
      </c>
      <c r="J15" s="127">
        <f t="shared" si="7"/>
        <v>12187</v>
      </c>
      <c r="K15" s="199">
        <f t="shared" si="7"/>
        <v>937</v>
      </c>
      <c r="L15" s="127">
        <f t="shared" si="7"/>
        <v>34</v>
      </c>
      <c r="M15" s="199">
        <f t="shared" si="7"/>
        <v>0</v>
      </c>
      <c r="N15" s="127">
        <f t="shared" si="7"/>
        <v>0</v>
      </c>
      <c r="O15" s="199">
        <f t="shared" si="7"/>
        <v>0</v>
      </c>
      <c r="P15" s="127">
        <f t="shared" si="7"/>
        <v>0</v>
      </c>
      <c r="Q15" s="199">
        <f t="shared" si="7"/>
        <v>94896</v>
      </c>
      <c r="R15" s="127">
        <f t="shared" si="7"/>
        <v>3291</v>
      </c>
      <c r="S15" s="199">
        <f t="shared" si="7"/>
        <v>983449</v>
      </c>
      <c r="T15" s="127">
        <f t="shared" si="7"/>
        <v>34382</v>
      </c>
    </row>
    <row r="16" spans="2:20" ht="18" thickBot="1"/>
    <row r="17" spans="2:20">
      <c r="B17" s="110"/>
      <c r="C17" s="111" t="s">
        <v>28</v>
      </c>
      <c r="D17" s="111" t="s">
        <v>40</v>
      </c>
      <c r="E17" s="122" t="s">
        <v>29</v>
      </c>
      <c r="F17" s="111" t="s">
        <v>40</v>
      </c>
      <c r="G17" s="122" t="s">
        <v>30</v>
      </c>
      <c r="H17" s="111" t="s">
        <v>40</v>
      </c>
      <c r="I17" s="122" t="s">
        <v>224</v>
      </c>
      <c r="J17" s="111" t="s">
        <v>40</v>
      </c>
      <c r="K17" s="122" t="s">
        <v>32</v>
      </c>
      <c r="L17" s="111" t="s">
        <v>40</v>
      </c>
      <c r="M17" s="122" t="s">
        <v>225</v>
      </c>
      <c r="N17" s="111" t="s">
        <v>40</v>
      </c>
      <c r="O17" s="122" t="s">
        <v>34</v>
      </c>
      <c r="P17" s="111" t="s">
        <v>40</v>
      </c>
      <c r="Q17" s="122" t="s">
        <v>308</v>
      </c>
      <c r="R17" s="111" t="s">
        <v>40</v>
      </c>
      <c r="S17" s="122" t="s">
        <v>37</v>
      </c>
      <c r="T17" s="134" t="s">
        <v>40</v>
      </c>
    </row>
    <row r="18" spans="2:20">
      <c r="B18" s="112" t="s">
        <v>172</v>
      </c>
      <c r="C18" s="116">
        <f>3270+2092+1588+1489</f>
        <v>8439</v>
      </c>
      <c r="D18" s="128">
        <f>111+84+62+52</f>
        <v>309</v>
      </c>
      <c r="E18" s="116">
        <f>5761+1705+1436+2358</f>
        <v>11260</v>
      </c>
      <c r="F18" s="128">
        <f>174+57+51+76</f>
        <v>358</v>
      </c>
      <c r="G18" s="116">
        <v>0</v>
      </c>
      <c r="H18" s="128">
        <v>0</v>
      </c>
      <c r="I18" s="116">
        <f>6870+2238+2355+3344</f>
        <v>14807</v>
      </c>
      <c r="J18" s="128">
        <f>219+76+86+112</f>
        <v>493</v>
      </c>
      <c r="K18" s="116">
        <v>0</v>
      </c>
      <c r="L18" s="128">
        <v>0</v>
      </c>
      <c r="M18" s="116">
        <v>0</v>
      </c>
      <c r="N18" s="128">
        <v>0</v>
      </c>
      <c r="O18" s="116">
        <v>0</v>
      </c>
      <c r="P18" s="128">
        <v>0</v>
      </c>
      <c r="Q18" s="116">
        <f>1113+672+375+1738</f>
        <v>3898</v>
      </c>
      <c r="R18" s="128">
        <f>33+20+18+48</f>
        <v>119</v>
      </c>
      <c r="S18" s="123">
        <f t="shared" ref="S18:S30" si="8">C18+E18+G18+I18+K18+M18+O18+Q18</f>
        <v>38404</v>
      </c>
      <c r="T18" s="126">
        <f t="shared" ref="T18:T57" si="9">D18+F18+H18+J18+L18+N18+P18+R18</f>
        <v>1279</v>
      </c>
    </row>
    <row r="19" spans="2:20">
      <c r="B19" s="112" t="s">
        <v>173</v>
      </c>
      <c r="C19" s="116">
        <v>17548</v>
      </c>
      <c r="D19" s="128">
        <v>629</v>
      </c>
      <c r="E19" s="116">
        <v>13295</v>
      </c>
      <c r="F19" s="128">
        <v>484</v>
      </c>
      <c r="G19" s="116">
        <v>0</v>
      </c>
      <c r="H19" s="128">
        <v>0</v>
      </c>
      <c r="I19" s="116">
        <v>19674</v>
      </c>
      <c r="J19" s="128">
        <v>763</v>
      </c>
      <c r="K19" s="116">
        <v>0</v>
      </c>
      <c r="L19" s="128">
        <v>0</v>
      </c>
      <c r="M19" s="116">
        <v>0</v>
      </c>
      <c r="N19" s="128">
        <v>0</v>
      </c>
      <c r="O19" s="116">
        <v>0</v>
      </c>
      <c r="P19" s="128">
        <v>0</v>
      </c>
      <c r="Q19" s="116">
        <v>4554</v>
      </c>
      <c r="R19" s="128">
        <v>179</v>
      </c>
      <c r="S19" s="116">
        <f t="shared" si="8"/>
        <v>55071</v>
      </c>
      <c r="T19" s="128">
        <f t="shared" si="9"/>
        <v>2055</v>
      </c>
    </row>
    <row r="20" spans="2:20">
      <c r="B20" s="112" t="s">
        <v>174</v>
      </c>
      <c r="C20" s="116">
        <v>14857</v>
      </c>
      <c r="D20" s="128">
        <v>495</v>
      </c>
      <c r="E20" s="116">
        <v>12207</v>
      </c>
      <c r="F20" s="128">
        <v>423</v>
      </c>
      <c r="G20" s="116">
        <v>0</v>
      </c>
      <c r="H20" s="128">
        <v>0</v>
      </c>
      <c r="I20" s="116">
        <v>18276</v>
      </c>
      <c r="J20" s="128">
        <v>632</v>
      </c>
      <c r="K20" s="116">
        <v>0</v>
      </c>
      <c r="L20" s="128">
        <v>0</v>
      </c>
      <c r="M20" s="116">
        <v>0</v>
      </c>
      <c r="N20" s="128">
        <v>0</v>
      </c>
      <c r="O20" s="116">
        <v>0</v>
      </c>
      <c r="P20" s="128">
        <v>0</v>
      </c>
      <c r="Q20" s="116">
        <v>4879</v>
      </c>
      <c r="R20" s="128">
        <v>178</v>
      </c>
      <c r="S20" s="116">
        <f t="shared" si="8"/>
        <v>50219</v>
      </c>
      <c r="T20" s="128">
        <f t="shared" si="9"/>
        <v>1728</v>
      </c>
    </row>
    <row r="21" spans="2:20">
      <c r="B21" s="112" t="s">
        <v>175</v>
      </c>
      <c r="C21" s="116">
        <v>11756</v>
      </c>
      <c r="D21" s="128">
        <v>417</v>
      </c>
      <c r="E21" s="116">
        <v>10762</v>
      </c>
      <c r="F21" s="128">
        <v>373</v>
      </c>
      <c r="G21" s="116">
        <v>0</v>
      </c>
      <c r="H21" s="128">
        <v>0</v>
      </c>
      <c r="I21" s="116">
        <v>13990</v>
      </c>
      <c r="J21" s="128">
        <v>512</v>
      </c>
      <c r="K21" s="116">
        <v>0</v>
      </c>
      <c r="L21" s="128">
        <v>0</v>
      </c>
      <c r="M21" s="116">
        <v>0</v>
      </c>
      <c r="N21" s="128">
        <v>0</v>
      </c>
      <c r="O21" s="116">
        <v>0</v>
      </c>
      <c r="P21" s="128">
        <v>0</v>
      </c>
      <c r="Q21" s="116">
        <v>4478</v>
      </c>
      <c r="R21" s="128">
        <v>158</v>
      </c>
      <c r="S21" s="116">
        <f t="shared" si="8"/>
        <v>40986</v>
      </c>
      <c r="T21" s="128">
        <f t="shared" si="9"/>
        <v>1460</v>
      </c>
    </row>
    <row r="22" spans="2:20">
      <c r="B22" s="130" t="s">
        <v>176</v>
      </c>
      <c r="C22" s="131">
        <v>13356</v>
      </c>
      <c r="D22" s="132">
        <v>441</v>
      </c>
      <c r="E22" s="131">
        <v>11384</v>
      </c>
      <c r="F22" s="132">
        <v>396</v>
      </c>
      <c r="G22" s="131">
        <v>0</v>
      </c>
      <c r="H22" s="132">
        <v>0</v>
      </c>
      <c r="I22" s="131">
        <v>16117</v>
      </c>
      <c r="J22" s="132">
        <v>553</v>
      </c>
      <c r="K22" s="131">
        <v>0</v>
      </c>
      <c r="L22" s="132">
        <v>0</v>
      </c>
      <c r="M22" s="131">
        <v>0</v>
      </c>
      <c r="N22" s="132">
        <v>0</v>
      </c>
      <c r="O22" s="131">
        <v>0</v>
      </c>
      <c r="P22" s="132">
        <v>0</v>
      </c>
      <c r="Q22" s="131">
        <v>3996</v>
      </c>
      <c r="R22" s="132">
        <v>141</v>
      </c>
      <c r="S22" s="131">
        <f t="shared" si="8"/>
        <v>44853</v>
      </c>
      <c r="T22" s="132">
        <f t="shared" si="9"/>
        <v>1531</v>
      </c>
    </row>
    <row r="23" spans="2:20">
      <c r="B23" s="112" t="s">
        <v>177</v>
      </c>
      <c r="C23" s="116">
        <v>16303</v>
      </c>
      <c r="D23" s="128">
        <v>609</v>
      </c>
      <c r="E23" s="116">
        <v>15291</v>
      </c>
      <c r="F23" s="128">
        <v>555</v>
      </c>
      <c r="G23" s="116">
        <v>724</v>
      </c>
      <c r="H23" s="128">
        <v>26</v>
      </c>
      <c r="I23" s="116">
        <v>20249</v>
      </c>
      <c r="J23" s="128">
        <v>749</v>
      </c>
      <c r="K23" s="116">
        <v>0</v>
      </c>
      <c r="L23" s="128">
        <v>0</v>
      </c>
      <c r="M23" s="116">
        <v>0</v>
      </c>
      <c r="N23" s="128">
        <v>0</v>
      </c>
      <c r="O23" s="116">
        <v>0</v>
      </c>
      <c r="P23" s="128">
        <v>0</v>
      </c>
      <c r="Q23" s="116">
        <v>5898</v>
      </c>
      <c r="R23" s="128">
        <v>224</v>
      </c>
      <c r="S23" s="116">
        <f t="shared" si="8"/>
        <v>58465</v>
      </c>
      <c r="T23" s="128">
        <f t="shared" si="9"/>
        <v>2163</v>
      </c>
    </row>
    <row r="24" spans="2:20">
      <c r="B24" s="112" t="s">
        <v>178</v>
      </c>
      <c r="C24" s="116">
        <v>12946</v>
      </c>
      <c r="D24" s="128">
        <v>439</v>
      </c>
      <c r="E24" s="116">
        <v>12422</v>
      </c>
      <c r="F24" s="128">
        <v>433</v>
      </c>
      <c r="G24" s="116">
        <v>1692</v>
      </c>
      <c r="H24" s="128">
        <v>53</v>
      </c>
      <c r="I24" s="116">
        <v>16509</v>
      </c>
      <c r="J24" s="128">
        <v>574</v>
      </c>
      <c r="K24" s="116">
        <v>0</v>
      </c>
      <c r="L24" s="128">
        <v>0</v>
      </c>
      <c r="M24" s="116">
        <v>0</v>
      </c>
      <c r="N24" s="128">
        <v>0</v>
      </c>
      <c r="O24" s="116">
        <v>0</v>
      </c>
      <c r="P24" s="128">
        <v>0</v>
      </c>
      <c r="Q24" s="116">
        <v>4719</v>
      </c>
      <c r="R24" s="128">
        <v>165</v>
      </c>
      <c r="S24" s="116">
        <f t="shared" si="8"/>
        <v>48288</v>
      </c>
      <c r="T24" s="128">
        <f t="shared" si="9"/>
        <v>1664</v>
      </c>
    </row>
    <row r="25" spans="2:20">
      <c r="B25" s="112" t="s">
        <v>179</v>
      </c>
      <c r="C25" s="116">
        <v>11606</v>
      </c>
      <c r="D25" s="128">
        <v>404</v>
      </c>
      <c r="E25" s="116">
        <v>11453</v>
      </c>
      <c r="F25" s="128">
        <v>393</v>
      </c>
      <c r="G25" s="116">
        <v>1267</v>
      </c>
      <c r="H25" s="128">
        <v>46</v>
      </c>
      <c r="I25" s="116">
        <v>15118</v>
      </c>
      <c r="J25" s="128">
        <v>529</v>
      </c>
      <c r="K25" s="116">
        <v>0</v>
      </c>
      <c r="L25" s="128">
        <v>0</v>
      </c>
      <c r="M25" s="116">
        <v>0</v>
      </c>
      <c r="N25" s="128">
        <v>0</v>
      </c>
      <c r="O25" s="116">
        <v>0</v>
      </c>
      <c r="P25" s="128">
        <v>0</v>
      </c>
      <c r="Q25" s="116">
        <v>4215</v>
      </c>
      <c r="R25" s="128">
        <v>147</v>
      </c>
      <c r="S25" s="116">
        <f t="shared" si="8"/>
        <v>43659</v>
      </c>
      <c r="T25" s="128">
        <f t="shared" si="9"/>
        <v>1519</v>
      </c>
    </row>
    <row r="26" spans="2:20">
      <c r="B26" s="130" t="s">
        <v>180</v>
      </c>
      <c r="C26" s="131">
        <v>11866</v>
      </c>
      <c r="D26" s="132">
        <v>409</v>
      </c>
      <c r="E26" s="131">
        <v>9092</v>
      </c>
      <c r="F26" s="132">
        <v>320</v>
      </c>
      <c r="G26" s="131">
        <v>1353</v>
      </c>
      <c r="H26" s="132">
        <v>47</v>
      </c>
      <c r="I26" s="131">
        <v>16069</v>
      </c>
      <c r="J26" s="132">
        <v>525</v>
      </c>
      <c r="K26" s="131">
        <v>0</v>
      </c>
      <c r="L26" s="132">
        <v>0</v>
      </c>
      <c r="M26" s="131">
        <v>0</v>
      </c>
      <c r="N26" s="132">
        <v>0</v>
      </c>
      <c r="O26" s="131">
        <v>0</v>
      </c>
      <c r="P26" s="132">
        <v>0</v>
      </c>
      <c r="Q26" s="131">
        <v>4226</v>
      </c>
      <c r="R26" s="132">
        <v>146</v>
      </c>
      <c r="S26" s="131">
        <f t="shared" si="8"/>
        <v>42606</v>
      </c>
      <c r="T26" s="132">
        <f t="shared" si="9"/>
        <v>1447</v>
      </c>
    </row>
    <row r="27" spans="2:20">
      <c r="B27" s="112" t="s">
        <v>181</v>
      </c>
      <c r="C27" s="116">
        <v>11925</v>
      </c>
      <c r="D27" s="128">
        <v>410</v>
      </c>
      <c r="E27" s="116">
        <v>10297</v>
      </c>
      <c r="F27" s="128">
        <v>357</v>
      </c>
      <c r="G27" s="116">
        <v>1453</v>
      </c>
      <c r="H27" s="128">
        <v>46</v>
      </c>
      <c r="I27" s="116">
        <v>15070</v>
      </c>
      <c r="J27" s="128">
        <v>546</v>
      </c>
      <c r="K27" s="116">
        <v>0</v>
      </c>
      <c r="L27" s="128">
        <v>0</v>
      </c>
      <c r="M27" s="116">
        <v>0</v>
      </c>
      <c r="N27" s="128">
        <v>0</v>
      </c>
      <c r="O27" s="116">
        <v>0</v>
      </c>
      <c r="P27" s="128">
        <v>0</v>
      </c>
      <c r="Q27" s="116">
        <v>4605</v>
      </c>
      <c r="R27" s="128">
        <v>152</v>
      </c>
      <c r="S27" s="116">
        <f t="shared" si="8"/>
        <v>43350</v>
      </c>
      <c r="T27" s="128">
        <f t="shared" si="9"/>
        <v>1511</v>
      </c>
    </row>
    <row r="28" spans="2:20">
      <c r="B28" s="112" t="s">
        <v>182</v>
      </c>
      <c r="C28" s="116">
        <v>12479</v>
      </c>
      <c r="D28" s="128">
        <v>419</v>
      </c>
      <c r="E28" s="116">
        <v>11301</v>
      </c>
      <c r="F28" s="128">
        <v>392</v>
      </c>
      <c r="G28" s="116">
        <v>1654</v>
      </c>
      <c r="H28" s="128">
        <v>47</v>
      </c>
      <c r="I28" s="116">
        <v>15162</v>
      </c>
      <c r="J28" s="128">
        <v>531</v>
      </c>
      <c r="K28" s="116">
        <v>0</v>
      </c>
      <c r="L28" s="128">
        <v>0</v>
      </c>
      <c r="M28" s="116">
        <v>0</v>
      </c>
      <c r="N28" s="128">
        <v>0</v>
      </c>
      <c r="O28" s="116">
        <v>0</v>
      </c>
      <c r="P28" s="128">
        <v>0</v>
      </c>
      <c r="Q28" s="116">
        <v>3912</v>
      </c>
      <c r="R28" s="128">
        <v>135</v>
      </c>
      <c r="S28" s="116">
        <f t="shared" si="8"/>
        <v>44508</v>
      </c>
      <c r="T28" s="128">
        <f t="shared" si="9"/>
        <v>1524</v>
      </c>
    </row>
    <row r="29" spans="2:20">
      <c r="B29" s="112" t="s">
        <v>183</v>
      </c>
      <c r="C29" s="116">
        <v>13999</v>
      </c>
      <c r="D29" s="128">
        <v>512</v>
      </c>
      <c r="E29" s="116">
        <v>10704</v>
      </c>
      <c r="F29" s="128">
        <v>408</v>
      </c>
      <c r="G29" s="116">
        <v>1356</v>
      </c>
      <c r="H29" s="128">
        <v>49</v>
      </c>
      <c r="I29" s="116">
        <v>17160</v>
      </c>
      <c r="J29" s="128">
        <v>632</v>
      </c>
      <c r="K29" s="116">
        <v>0</v>
      </c>
      <c r="L29" s="128">
        <v>0</v>
      </c>
      <c r="M29" s="116">
        <v>0</v>
      </c>
      <c r="N29" s="128">
        <v>0</v>
      </c>
      <c r="O29" s="116">
        <v>0</v>
      </c>
      <c r="P29" s="128">
        <v>0</v>
      </c>
      <c r="Q29" s="116">
        <v>4251</v>
      </c>
      <c r="R29" s="128">
        <v>162</v>
      </c>
      <c r="S29" s="116">
        <f t="shared" si="8"/>
        <v>47470</v>
      </c>
      <c r="T29" s="128">
        <f t="shared" si="9"/>
        <v>1763</v>
      </c>
    </row>
    <row r="30" spans="2:20">
      <c r="B30" s="130" t="s">
        <v>184</v>
      </c>
      <c r="C30" s="131">
        <v>12116</v>
      </c>
      <c r="D30" s="132">
        <v>406</v>
      </c>
      <c r="E30" s="131">
        <v>9666</v>
      </c>
      <c r="F30" s="132">
        <v>330</v>
      </c>
      <c r="G30" s="131">
        <v>1924</v>
      </c>
      <c r="H30" s="132">
        <v>53</v>
      </c>
      <c r="I30" s="131">
        <v>15364</v>
      </c>
      <c r="J30" s="132">
        <v>517</v>
      </c>
      <c r="K30" s="131">
        <v>0</v>
      </c>
      <c r="L30" s="132">
        <v>0</v>
      </c>
      <c r="M30" s="131">
        <v>0</v>
      </c>
      <c r="N30" s="132">
        <v>0</v>
      </c>
      <c r="O30" s="131">
        <v>0</v>
      </c>
      <c r="P30" s="132">
        <v>0</v>
      </c>
      <c r="Q30" s="131">
        <v>4125</v>
      </c>
      <c r="R30" s="132">
        <v>135</v>
      </c>
      <c r="S30" s="131">
        <f t="shared" si="8"/>
        <v>43195</v>
      </c>
      <c r="T30" s="132">
        <f t="shared" si="9"/>
        <v>1441</v>
      </c>
    </row>
    <row r="31" spans="2:20">
      <c r="B31" s="112" t="s">
        <v>185</v>
      </c>
      <c r="C31" s="116">
        <v>13320</v>
      </c>
      <c r="D31" s="128">
        <v>438</v>
      </c>
      <c r="E31" s="116">
        <v>10412</v>
      </c>
      <c r="F31" s="128">
        <v>340</v>
      </c>
      <c r="G31" s="116">
        <v>1714</v>
      </c>
      <c r="H31" s="128">
        <v>56</v>
      </c>
      <c r="I31" s="116">
        <v>14540</v>
      </c>
      <c r="J31" s="128">
        <v>484</v>
      </c>
      <c r="K31" s="116">
        <v>0</v>
      </c>
      <c r="L31" s="128">
        <v>0</v>
      </c>
      <c r="M31" s="116">
        <v>0</v>
      </c>
      <c r="N31" s="128">
        <v>0</v>
      </c>
      <c r="O31" s="116">
        <v>0</v>
      </c>
      <c r="P31" s="128">
        <v>0</v>
      </c>
      <c r="Q31" s="116">
        <v>3775</v>
      </c>
      <c r="R31" s="128">
        <v>124</v>
      </c>
      <c r="S31" s="116">
        <f t="shared" ref="S31:S57" si="10">C31+E31+G31+I31+K31+M31+O31+Q31</f>
        <v>43761</v>
      </c>
      <c r="T31" s="128">
        <f t="shared" si="9"/>
        <v>1442</v>
      </c>
    </row>
    <row r="32" spans="2:20">
      <c r="B32" s="112" t="s">
        <v>186</v>
      </c>
      <c r="C32" s="116">
        <v>11071</v>
      </c>
      <c r="D32" s="128">
        <v>384</v>
      </c>
      <c r="E32" s="116">
        <v>11036</v>
      </c>
      <c r="F32" s="128">
        <v>359</v>
      </c>
      <c r="G32" s="116">
        <v>1743</v>
      </c>
      <c r="H32" s="128">
        <v>54</v>
      </c>
      <c r="I32" s="116">
        <v>14832</v>
      </c>
      <c r="J32" s="128">
        <v>513</v>
      </c>
      <c r="K32" s="116">
        <v>0</v>
      </c>
      <c r="L32" s="128">
        <v>0</v>
      </c>
      <c r="M32" s="116">
        <v>0</v>
      </c>
      <c r="N32" s="128">
        <v>0</v>
      </c>
      <c r="O32" s="116">
        <v>0</v>
      </c>
      <c r="P32" s="128">
        <v>0</v>
      </c>
      <c r="Q32" s="116">
        <v>4065</v>
      </c>
      <c r="R32" s="128">
        <v>135</v>
      </c>
      <c r="S32" s="116">
        <f t="shared" si="10"/>
        <v>42747</v>
      </c>
      <c r="T32" s="128">
        <f t="shared" si="9"/>
        <v>1445</v>
      </c>
    </row>
    <row r="33" spans="2:20">
      <c r="B33" s="112" t="s">
        <v>187</v>
      </c>
      <c r="C33" s="116">
        <v>11512</v>
      </c>
      <c r="D33" s="128">
        <v>389</v>
      </c>
      <c r="E33" s="116">
        <v>9070</v>
      </c>
      <c r="F33" s="128">
        <v>303</v>
      </c>
      <c r="G33" s="116">
        <v>1274</v>
      </c>
      <c r="H33" s="128">
        <v>40</v>
      </c>
      <c r="I33" s="116">
        <v>12273</v>
      </c>
      <c r="J33" s="128">
        <v>435</v>
      </c>
      <c r="K33" s="116">
        <v>0</v>
      </c>
      <c r="L33" s="128">
        <v>0</v>
      </c>
      <c r="M33" s="116">
        <v>0</v>
      </c>
      <c r="N33" s="128">
        <v>0</v>
      </c>
      <c r="O33" s="116">
        <v>0</v>
      </c>
      <c r="P33" s="128">
        <v>0</v>
      </c>
      <c r="Q33" s="116">
        <v>3662</v>
      </c>
      <c r="R33" s="128">
        <v>128</v>
      </c>
      <c r="S33" s="116">
        <f t="shared" si="10"/>
        <v>37791</v>
      </c>
      <c r="T33" s="128">
        <f t="shared" si="9"/>
        <v>1295</v>
      </c>
    </row>
    <row r="34" spans="2:20">
      <c r="B34" s="112" t="s">
        <v>188</v>
      </c>
      <c r="C34" s="116">
        <v>10271</v>
      </c>
      <c r="D34" s="128">
        <v>386</v>
      </c>
      <c r="E34" s="116">
        <v>9421</v>
      </c>
      <c r="F34" s="128">
        <v>328</v>
      </c>
      <c r="G34" s="116">
        <v>1369</v>
      </c>
      <c r="H34" s="128">
        <v>41</v>
      </c>
      <c r="I34" s="116">
        <v>13861</v>
      </c>
      <c r="J34" s="128">
        <v>509</v>
      </c>
      <c r="K34" s="116">
        <v>0</v>
      </c>
      <c r="L34" s="128">
        <v>0</v>
      </c>
      <c r="M34" s="116">
        <v>0</v>
      </c>
      <c r="N34" s="128">
        <v>0</v>
      </c>
      <c r="O34" s="116">
        <v>0</v>
      </c>
      <c r="P34" s="128">
        <v>0</v>
      </c>
      <c r="Q34" s="116">
        <v>3891</v>
      </c>
      <c r="R34" s="128">
        <v>130</v>
      </c>
      <c r="S34" s="116">
        <f t="shared" si="10"/>
        <v>38813</v>
      </c>
      <c r="T34" s="128">
        <f t="shared" si="9"/>
        <v>1394</v>
      </c>
    </row>
    <row r="35" spans="2:20">
      <c r="B35" s="130" t="s">
        <v>189</v>
      </c>
      <c r="C35" s="131">
        <v>12738</v>
      </c>
      <c r="D35" s="132">
        <v>417</v>
      </c>
      <c r="E35" s="131">
        <v>9975</v>
      </c>
      <c r="F35" s="132">
        <v>343</v>
      </c>
      <c r="G35" s="131">
        <v>1810</v>
      </c>
      <c r="H35" s="132">
        <v>55</v>
      </c>
      <c r="I35" s="131">
        <v>14472</v>
      </c>
      <c r="J35" s="132">
        <v>514</v>
      </c>
      <c r="K35" s="131">
        <v>0</v>
      </c>
      <c r="L35" s="132">
        <v>0</v>
      </c>
      <c r="M35" s="131">
        <v>0</v>
      </c>
      <c r="N35" s="132">
        <v>0</v>
      </c>
      <c r="O35" s="131">
        <v>0</v>
      </c>
      <c r="P35" s="132">
        <v>0</v>
      </c>
      <c r="Q35" s="131">
        <v>4399</v>
      </c>
      <c r="R35" s="132">
        <v>145</v>
      </c>
      <c r="S35" s="131">
        <f t="shared" si="10"/>
        <v>43394</v>
      </c>
      <c r="T35" s="132">
        <f t="shared" si="9"/>
        <v>1474</v>
      </c>
    </row>
    <row r="36" spans="2:20">
      <c r="B36" s="112" t="s">
        <v>190</v>
      </c>
      <c r="C36" s="116">
        <v>11905</v>
      </c>
      <c r="D36" s="128">
        <v>427</v>
      </c>
      <c r="E36" s="116">
        <v>11203</v>
      </c>
      <c r="F36" s="128">
        <v>383</v>
      </c>
      <c r="G36" s="116">
        <v>1992</v>
      </c>
      <c r="H36" s="128">
        <v>59</v>
      </c>
      <c r="I36" s="116">
        <v>15287</v>
      </c>
      <c r="J36" s="128">
        <v>559</v>
      </c>
      <c r="K36" s="116">
        <v>0</v>
      </c>
      <c r="L36" s="128">
        <v>0</v>
      </c>
      <c r="M36" s="116">
        <v>0</v>
      </c>
      <c r="N36" s="128">
        <v>0</v>
      </c>
      <c r="O36" s="116">
        <v>0</v>
      </c>
      <c r="P36" s="128">
        <v>0</v>
      </c>
      <c r="Q36" s="116">
        <v>4987</v>
      </c>
      <c r="R36" s="128">
        <v>161</v>
      </c>
      <c r="S36" s="116">
        <f t="shared" si="10"/>
        <v>45374</v>
      </c>
      <c r="T36" s="128">
        <f t="shared" si="9"/>
        <v>1589</v>
      </c>
    </row>
    <row r="37" spans="2:20">
      <c r="B37" s="112" t="s">
        <v>191</v>
      </c>
      <c r="C37" s="116">
        <v>10582</v>
      </c>
      <c r="D37" s="128">
        <v>377</v>
      </c>
      <c r="E37" s="116">
        <v>10369</v>
      </c>
      <c r="F37" s="128">
        <v>361</v>
      </c>
      <c r="G37" s="116">
        <v>1508</v>
      </c>
      <c r="H37" s="128">
        <v>46</v>
      </c>
      <c r="I37" s="116">
        <v>13547</v>
      </c>
      <c r="J37" s="128">
        <v>487</v>
      </c>
      <c r="K37" s="116">
        <v>0</v>
      </c>
      <c r="L37" s="128">
        <v>0</v>
      </c>
      <c r="M37" s="116">
        <v>0</v>
      </c>
      <c r="N37" s="128">
        <v>0</v>
      </c>
      <c r="O37" s="116">
        <v>0</v>
      </c>
      <c r="P37" s="128">
        <v>0</v>
      </c>
      <c r="Q37" s="116">
        <v>3876</v>
      </c>
      <c r="R37" s="128">
        <v>124</v>
      </c>
      <c r="S37" s="116">
        <f t="shared" si="10"/>
        <v>39882</v>
      </c>
      <c r="T37" s="128">
        <f t="shared" si="9"/>
        <v>1395</v>
      </c>
    </row>
    <row r="38" spans="2:20">
      <c r="B38" s="112" t="s">
        <v>192</v>
      </c>
      <c r="C38" s="116">
        <v>8863</v>
      </c>
      <c r="D38" s="128">
        <v>321</v>
      </c>
      <c r="E38" s="116">
        <v>8465</v>
      </c>
      <c r="F38" s="128">
        <v>292</v>
      </c>
      <c r="G38" s="116">
        <v>1205</v>
      </c>
      <c r="H38" s="128">
        <v>37</v>
      </c>
      <c r="I38" s="116">
        <v>11290</v>
      </c>
      <c r="J38" s="128">
        <v>413</v>
      </c>
      <c r="K38" s="116">
        <v>0</v>
      </c>
      <c r="L38" s="128">
        <v>0</v>
      </c>
      <c r="M38" s="116">
        <v>0</v>
      </c>
      <c r="N38" s="128">
        <v>0</v>
      </c>
      <c r="O38" s="116">
        <v>0</v>
      </c>
      <c r="P38" s="128">
        <v>0</v>
      </c>
      <c r="Q38" s="116">
        <v>2908</v>
      </c>
      <c r="R38" s="128">
        <v>95</v>
      </c>
      <c r="S38" s="116">
        <f t="shared" si="10"/>
        <v>32731</v>
      </c>
      <c r="T38" s="128">
        <f t="shared" si="9"/>
        <v>1158</v>
      </c>
    </row>
    <row r="39" spans="2:20">
      <c r="B39" s="161" t="s">
        <v>193</v>
      </c>
      <c r="C39" s="131">
        <v>14017</v>
      </c>
      <c r="D39" s="132">
        <v>506</v>
      </c>
      <c r="E39" s="131">
        <v>13411</v>
      </c>
      <c r="F39" s="132">
        <v>488</v>
      </c>
      <c r="G39" s="131">
        <v>1571</v>
      </c>
      <c r="H39" s="132">
        <v>50</v>
      </c>
      <c r="I39" s="131">
        <v>18385</v>
      </c>
      <c r="J39" s="132">
        <v>717</v>
      </c>
      <c r="K39" s="131">
        <v>937</v>
      </c>
      <c r="L39" s="132">
        <v>34</v>
      </c>
      <c r="M39" s="131">
        <v>0</v>
      </c>
      <c r="N39" s="132">
        <v>0</v>
      </c>
      <c r="O39" s="131">
        <v>0</v>
      </c>
      <c r="P39" s="132">
        <v>0</v>
      </c>
      <c r="Q39" s="131">
        <v>5577</v>
      </c>
      <c r="R39" s="132">
        <v>208</v>
      </c>
      <c r="S39" s="131">
        <f t="shared" si="10"/>
        <v>53898</v>
      </c>
      <c r="T39" s="132">
        <f t="shared" si="9"/>
        <v>2003</v>
      </c>
    </row>
    <row r="40" spans="2:20">
      <c r="B40" s="112" t="s">
        <v>194</v>
      </c>
      <c r="C40" s="116">
        <v>12884</v>
      </c>
      <c r="D40" s="128">
        <v>435</v>
      </c>
      <c r="E40" s="116">
        <v>10932</v>
      </c>
      <c r="F40" s="128">
        <v>378</v>
      </c>
      <c r="G40" s="116">
        <v>1782</v>
      </c>
      <c r="H40" s="128">
        <v>60</v>
      </c>
      <c r="I40" s="116">
        <v>15427</v>
      </c>
      <c r="J40" s="128">
        <v>554</v>
      </c>
      <c r="K40" s="116">
        <v>1624</v>
      </c>
      <c r="L40" s="128">
        <v>42</v>
      </c>
      <c r="M40" s="116">
        <v>0</v>
      </c>
      <c r="N40" s="128">
        <v>0</v>
      </c>
      <c r="O40" s="116">
        <v>517</v>
      </c>
      <c r="P40" s="128">
        <v>15</v>
      </c>
      <c r="Q40" s="116">
        <v>4154</v>
      </c>
      <c r="R40" s="128">
        <v>147</v>
      </c>
      <c r="S40" s="116">
        <f t="shared" si="10"/>
        <v>47320</v>
      </c>
      <c r="T40" s="128">
        <f t="shared" si="9"/>
        <v>1631</v>
      </c>
    </row>
    <row r="41" spans="2:20">
      <c r="B41" s="112" t="s">
        <v>195</v>
      </c>
      <c r="C41" s="116"/>
      <c r="D41" s="128"/>
      <c r="E41" s="116"/>
      <c r="F41" s="128"/>
      <c r="G41" s="116"/>
      <c r="H41" s="128"/>
      <c r="I41" s="116"/>
      <c r="J41" s="128"/>
      <c r="K41" s="116"/>
      <c r="L41" s="128"/>
      <c r="M41" s="116"/>
      <c r="N41" s="128"/>
      <c r="O41" s="116"/>
      <c r="P41" s="128"/>
      <c r="Q41" s="116"/>
      <c r="R41" s="128"/>
      <c r="S41" s="116">
        <f t="shared" si="10"/>
        <v>0</v>
      </c>
      <c r="T41" s="128">
        <f t="shared" si="9"/>
        <v>0</v>
      </c>
    </row>
    <row r="42" spans="2:20">
      <c r="B42" s="112" t="s">
        <v>196</v>
      </c>
      <c r="C42" s="116"/>
      <c r="D42" s="128"/>
      <c r="E42" s="116"/>
      <c r="F42" s="128"/>
      <c r="G42" s="116"/>
      <c r="H42" s="128"/>
      <c r="I42" s="116"/>
      <c r="J42" s="128"/>
      <c r="K42" s="116"/>
      <c r="L42" s="128"/>
      <c r="M42" s="116"/>
      <c r="N42" s="128"/>
      <c r="O42" s="116"/>
      <c r="P42" s="128"/>
      <c r="Q42" s="116"/>
      <c r="R42" s="128"/>
      <c r="S42" s="116">
        <f t="shared" si="10"/>
        <v>0</v>
      </c>
      <c r="T42" s="128">
        <f t="shared" si="9"/>
        <v>0</v>
      </c>
    </row>
    <row r="43" spans="2:20">
      <c r="B43" s="130" t="s">
        <v>197</v>
      </c>
      <c r="C43" s="131"/>
      <c r="D43" s="132"/>
      <c r="E43" s="131"/>
      <c r="F43" s="132"/>
      <c r="G43" s="131"/>
      <c r="H43" s="132"/>
      <c r="I43" s="131"/>
      <c r="J43" s="132"/>
      <c r="K43" s="131"/>
      <c r="L43" s="132"/>
      <c r="M43" s="131"/>
      <c r="N43" s="132"/>
      <c r="O43" s="131"/>
      <c r="P43" s="132"/>
      <c r="Q43" s="131"/>
      <c r="R43" s="132"/>
      <c r="S43" s="131">
        <f t="shared" si="10"/>
        <v>0</v>
      </c>
      <c r="T43" s="132">
        <f t="shared" si="9"/>
        <v>0</v>
      </c>
    </row>
    <row r="44" spans="2:20">
      <c r="B44" s="112" t="s">
        <v>198</v>
      </c>
      <c r="C44" s="116"/>
      <c r="D44" s="128"/>
      <c r="E44" s="116"/>
      <c r="F44" s="128"/>
      <c r="G44" s="116"/>
      <c r="H44" s="128"/>
      <c r="I44" s="116"/>
      <c r="J44" s="128"/>
      <c r="K44" s="116"/>
      <c r="L44" s="128"/>
      <c r="M44" s="116"/>
      <c r="N44" s="128"/>
      <c r="O44" s="116"/>
      <c r="P44" s="128"/>
      <c r="Q44" s="116"/>
      <c r="R44" s="128"/>
      <c r="S44" s="116">
        <f t="shared" si="10"/>
        <v>0</v>
      </c>
      <c r="T44" s="128">
        <f t="shared" si="9"/>
        <v>0</v>
      </c>
    </row>
    <row r="45" spans="2:20">
      <c r="B45" s="112" t="s">
        <v>199</v>
      </c>
      <c r="C45" s="116"/>
      <c r="D45" s="128"/>
      <c r="E45" s="116"/>
      <c r="F45" s="128"/>
      <c r="G45" s="116"/>
      <c r="H45" s="128"/>
      <c r="I45" s="116"/>
      <c r="J45" s="128"/>
      <c r="K45" s="116"/>
      <c r="L45" s="128"/>
      <c r="M45" s="116"/>
      <c r="N45" s="128"/>
      <c r="O45" s="116"/>
      <c r="P45" s="128"/>
      <c r="Q45" s="116"/>
      <c r="R45" s="128"/>
      <c r="S45" s="116">
        <f t="shared" si="10"/>
        <v>0</v>
      </c>
      <c r="T45" s="128">
        <f t="shared" si="9"/>
        <v>0</v>
      </c>
    </row>
    <row r="46" spans="2:20">
      <c r="B46" s="112" t="s">
        <v>200</v>
      </c>
      <c r="C46" s="116"/>
      <c r="D46" s="128"/>
      <c r="E46" s="116"/>
      <c r="F46" s="128"/>
      <c r="G46" s="116"/>
      <c r="H46" s="128"/>
      <c r="I46" s="116"/>
      <c r="J46" s="128"/>
      <c r="K46" s="116"/>
      <c r="L46" s="128"/>
      <c r="M46" s="116"/>
      <c r="N46" s="128"/>
      <c r="O46" s="116"/>
      <c r="P46" s="128"/>
      <c r="Q46" s="116"/>
      <c r="R46" s="128"/>
      <c r="S46" s="116">
        <f t="shared" si="10"/>
        <v>0</v>
      </c>
      <c r="T46" s="128">
        <f t="shared" si="9"/>
        <v>0</v>
      </c>
    </row>
    <row r="47" spans="2:20">
      <c r="B47" s="112" t="s">
        <v>201</v>
      </c>
      <c r="C47" s="116"/>
      <c r="D47" s="128"/>
      <c r="E47" s="116"/>
      <c r="F47" s="128"/>
      <c r="G47" s="116"/>
      <c r="H47" s="128"/>
      <c r="I47" s="116"/>
      <c r="J47" s="128"/>
      <c r="K47" s="116"/>
      <c r="L47" s="128"/>
      <c r="M47" s="116"/>
      <c r="N47" s="128"/>
      <c r="O47" s="116"/>
      <c r="P47" s="128"/>
      <c r="Q47" s="116"/>
      <c r="R47" s="128"/>
      <c r="S47" s="116">
        <f t="shared" si="10"/>
        <v>0</v>
      </c>
      <c r="T47" s="128">
        <f t="shared" si="9"/>
        <v>0</v>
      </c>
    </row>
    <row r="48" spans="2:20">
      <c r="B48" s="130" t="s">
        <v>202</v>
      </c>
      <c r="C48" s="131"/>
      <c r="D48" s="132"/>
      <c r="E48" s="131"/>
      <c r="F48" s="132"/>
      <c r="G48" s="131"/>
      <c r="H48" s="132"/>
      <c r="I48" s="131"/>
      <c r="J48" s="132"/>
      <c r="K48" s="131"/>
      <c r="L48" s="132"/>
      <c r="M48" s="131"/>
      <c r="N48" s="132"/>
      <c r="O48" s="131"/>
      <c r="P48" s="132"/>
      <c r="Q48" s="131"/>
      <c r="R48" s="132"/>
      <c r="S48" s="131">
        <f t="shared" si="10"/>
        <v>0</v>
      </c>
      <c r="T48" s="132">
        <f t="shared" si="9"/>
        <v>0</v>
      </c>
    </row>
    <row r="49" spans="2:20">
      <c r="B49" s="112" t="s">
        <v>203</v>
      </c>
      <c r="C49" s="116"/>
      <c r="D49" s="128"/>
      <c r="E49" s="116"/>
      <c r="F49" s="128"/>
      <c r="G49" s="116"/>
      <c r="H49" s="128"/>
      <c r="I49" s="116"/>
      <c r="J49" s="128"/>
      <c r="K49" s="116"/>
      <c r="L49" s="128"/>
      <c r="M49" s="116"/>
      <c r="N49" s="128"/>
      <c r="O49" s="116"/>
      <c r="P49" s="128"/>
      <c r="Q49" s="116"/>
      <c r="R49" s="128"/>
      <c r="S49" s="116">
        <f t="shared" si="10"/>
        <v>0</v>
      </c>
      <c r="T49" s="128">
        <f t="shared" si="9"/>
        <v>0</v>
      </c>
    </row>
    <row r="50" spans="2:20">
      <c r="B50" s="112" t="s">
        <v>204</v>
      </c>
      <c r="C50" s="116"/>
      <c r="D50" s="128"/>
      <c r="E50" s="116"/>
      <c r="F50" s="128"/>
      <c r="G50" s="116"/>
      <c r="H50" s="128"/>
      <c r="I50" s="116"/>
      <c r="J50" s="128"/>
      <c r="K50" s="116"/>
      <c r="L50" s="128"/>
      <c r="M50" s="116"/>
      <c r="N50" s="128"/>
      <c r="O50" s="116"/>
      <c r="P50" s="128"/>
      <c r="Q50" s="116"/>
      <c r="R50" s="128"/>
      <c r="S50" s="116">
        <f t="shared" si="10"/>
        <v>0</v>
      </c>
      <c r="T50" s="128">
        <f t="shared" si="9"/>
        <v>0</v>
      </c>
    </row>
    <row r="51" spans="2:20">
      <c r="B51" s="112" t="s">
        <v>205</v>
      </c>
      <c r="C51" s="116"/>
      <c r="D51" s="128"/>
      <c r="E51" s="116"/>
      <c r="F51" s="128"/>
      <c r="G51" s="116"/>
      <c r="H51" s="128"/>
      <c r="I51" s="116"/>
      <c r="J51" s="128"/>
      <c r="K51" s="116"/>
      <c r="L51" s="128"/>
      <c r="M51" s="116"/>
      <c r="N51" s="128"/>
      <c r="O51" s="116"/>
      <c r="P51" s="128"/>
      <c r="Q51" s="116"/>
      <c r="R51" s="128"/>
      <c r="S51" s="116">
        <f t="shared" si="10"/>
        <v>0</v>
      </c>
      <c r="T51" s="128">
        <f t="shared" si="9"/>
        <v>0</v>
      </c>
    </row>
    <row r="52" spans="2:20">
      <c r="B52" s="130" t="s">
        <v>206</v>
      </c>
      <c r="C52" s="131"/>
      <c r="D52" s="132"/>
      <c r="E52" s="131"/>
      <c r="F52" s="132"/>
      <c r="G52" s="131"/>
      <c r="H52" s="132"/>
      <c r="I52" s="131"/>
      <c r="J52" s="132"/>
      <c r="K52" s="131"/>
      <c r="L52" s="132"/>
      <c r="M52" s="131"/>
      <c r="N52" s="132"/>
      <c r="O52" s="131"/>
      <c r="P52" s="132"/>
      <c r="Q52" s="131"/>
      <c r="R52" s="132"/>
      <c r="S52" s="131">
        <f t="shared" si="10"/>
        <v>0</v>
      </c>
      <c r="T52" s="132">
        <f t="shared" si="9"/>
        <v>0</v>
      </c>
    </row>
    <row r="53" spans="2:20">
      <c r="B53" s="112" t="s">
        <v>207</v>
      </c>
      <c r="C53" s="116"/>
      <c r="D53" s="128"/>
      <c r="E53" s="116"/>
      <c r="F53" s="128"/>
      <c r="G53" s="116"/>
      <c r="H53" s="128"/>
      <c r="I53" s="116"/>
      <c r="J53" s="128"/>
      <c r="K53" s="116"/>
      <c r="L53" s="128"/>
      <c r="M53" s="116"/>
      <c r="N53" s="128"/>
      <c r="O53" s="116"/>
      <c r="P53" s="128"/>
      <c r="Q53" s="116"/>
      <c r="R53" s="128"/>
      <c r="S53" s="116">
        <f t="shared" si="10"/>
        <v>0</v>
      </c>
      <c r="T53" s="128">
        <f t="shared" si="9"/>
        <v>0</v>
      </c>
    </row>
    <row r="54" spans="2:20">
      <c r="B54" s="112" t="s">
        <v>208</v>
      </c>
      <c r="C54" s="116"/>
      <c r="D54" s="128"/>
      <c r="E54" s="116"/>
      <c r="F54" s="128"/>
      <c r="G54" s="116"/>
      <c r="H54" s="128"/>
      <c r="I54" s="116"/>
      <c r="J54" s="128"/>
      <c r="K54" s="116"/>
      <c r="L54" s="128"/>
      <c r="M54" s="116"/>
      <c r="N54" s="128"/>
      <c r="O54" s="116"/>
      <c r="P54" s="128"/>
      <c r="Q54" s="116"/>
      <c r="R54" s="128"/>
      <c r="S54" s="116">
        <f t="shared" si="10"/>
        <v>0</v>
      </c>
      <c r="T54" s="128">
        <f t="shared" si="9"/>
        <v>0</v>
      </c>
    </row>
    <row r="55" spans="2:20">
      <c r="B55" s="112" t="s">
        <v>209</v>
      </c>
      <c r="C55" s="116"/>
      <c r="D55" s="128"/>
      <c r="E55" s="116"/>
      <c r="F55" s="128"/>
      <c r="G55" s="116"/>
      <c r="H55" s="128"/>
      <c r="I55" s="116"/>
      <c r="J55" s="128"/>
      <c r="K55" s="116"/>
      <c r="L55" s="128"/>
      <c r="M55" s="116"/>
      <c r="N55" s="128"/>
      <c r="O55" s="116"/>
      <c r="P55" s="128"/>
      <c r="Q55" s="116"/>
      <c r="R55" s="128"/>
      <c r="S55" s="116">
        <f t="shared" si="10"/>
        <v>0</v>
      </c>
      <c r="T55" s="128">
        <f t="shared" si="9"/>
        <v>0</v>
      </c>
    </row>
    <row r="56" spans="2:20">
      <c r="B56" s="112" t="s">
        <v>210</v>
      </c>
      <c r="C56" s="116"/>
      <c r="D56" s="128"/>
      <c r="E56" s="116"/>
      <c r="F56" s="128"/>
      <c r="G56" s="116"/>
      <c r="H56" s="128"/>
      <c r="I56" s="116"/>
      <c r="J56" s="128"/>
      <c r="K56" s="116"/>
      <c r="L56" s="128"/>
      <c r="M56" s="116"/>
      <c r="N56" s="128"/>
      <c r="O56" s="116"/>
      <c r="P56" s="128"/>
      <c r="Q56" s="116"/>
      <c r="R56" s="128"/>
      <c r="S56" s="116">
        <f t="shared" si="10"/>
        <v>0</v>
      </c>
      <c r="T56" s="128">
        <f t="shared" si="9"/>
        <v>0</v>
      </c>
    </row>
    <row r="57" spans="2:20">
      <c r="B57" s="130" t="s">
        <v>211</v>
      </c>
      <c r="C57" s="131"/>
      <c r="D57" s="132"/>
      <c r="E57" s="131"/>
      <c r="F57" s="132"/>
      <c r="G57" s="131"/>
      <c r="H57" s="132"/>
      <c r="I57" s="131"/>
      <c r="J57" s="132"/>
      <c r="K57" s="131"/>
      <c r="L57" s="132"/>
      <c r="M57" s="131"/>
      <c r="N57" s="132"/>
      <c r="O57" s="131"/>
      <c r="P57" s="132"/>
      <c r="Q57" s="131"/>
      <c r="R57" s="132"/>
      <c r="S57" s="131">
        <f t="shared" si="10"/>
        <v>0</v>
      </c>
      <c r="T57" s="132">
        <f t="shared" si="9"/>
        <v>0</v>
      </c>
    </row>
    <row r="58" spans="2:20">
      <c r="B58" s="112" t="s">
        <v>212</v>
      </c>
      <c r="C58" s="116"/>
      <c r="D58" s="128"/>
      <c r="E58" s="116"/>
      <c r="F58" s="128"/>
      <c r="G58" s="116"/>
      <c r="H58" s="128"/>
      <c r="I58" s="116"/>
      <c r="J58" s="128"/>
      <c r="K58" s="116"/>
      <c r="L58" s="128"/>
      <c r="M58" s="116"/>
      <c r="N58" s="128"/>
      <c r="O58" s="116"/>
      <c r="P58" s="128"/>
      <c r="Q58" s="116"/>
      <c r="R58" s="128"/>
      <c r="S58" s="116">
        <f t="shared" ref="S58:S63" si="11">C58+E58+G58+I58+K58+M58+O58+Q58</f>
        <v>0</v>
      </c>
      <c r="T58" s="128">
        <f t="shared" ref="T58:T63" si="12">D58+F58+H58+J58+L58+N58+P58+R58</f>
        <v>0</v>
      </c>
    </row>
    <row r="59" spans="2:20">
      <c r="B59" s="112" t="s">
        <v>213</v>
      </c>
      <c r="C59" s="116"/>
      <c r="D59" s="128"/>
      <c r="E59" s="116"/>
      <c r="F59" s="128"/>
      <c r="G59" s="116"/>
      <c r="H59" s="128"/>
      <c r="I59" s="116"/>
      <c r="J59" s="128"/>
      <c r="K59" s="116"/>
      <c r="L59" s="128"/>
      <c r="M59" s="116"/>
      <c r="N59" s="128"/>
      <c r="O59" s="116"/>
      <c r="P59" s="128"/>
      <c r="Q59" s="116"/>
      <c r="R59" s="128"/>
      <c r="S59" s="116">
        <f t="shared" si="11"/>
        <v>0</v>
      </c>
      <c r="T59" s="128">
        <f t="shared" si="12"/>
        <v>0</v>
      </c>
    </row>
    <row r="60" spans="2:20">
      <c r="B60" s="112" t="s">
        <v>214</v>
      </c>
      <c r="C60" s="116"/>
      <c r="D60" s="128"/>
      <c r="E60" s="116"/>
      <c r="F60" s="128"/>
      <c r="G60" s="116"/>
      <c r="H60" s="128"/>
      <c r="I60" s="116"/>
      <c r="J60" s="128"/>
      <c r="K60" s="116"/>
      <c r="L60" s="128"/>
      <c r="M60" s="116"/>
      <c r="N60" s="128"/>
      <c r="O60" s="116"/>
      <c r="P60" s="128"/>
      <c r="Q60" s="116"/>
      <c r="R60" s="128"/>
      <c r="S60" s="116">
        <f t="shared" si="11"/>
        <v>0</v>
      </c>
      <c r="T60" s="128">
        <f t="shared" si="12"/>
        <v>0</v>
      </c>
    </row>
    <row r="61" spans="2:20">
      <c r="B61" s="130" t="s">
        <v>215</v>
      </c>
      <c r="C61" s="131"/>
      <c r="D61" s="132"/>
      <c r="E61" s="131"/>
      <c r="F61" s="132"/>
      <c r="G61" s="131"/>
      <c r="H61" s="132"/>
      <c r="I61" s="131"/>
      <c r="J61" s="132"/>
      <c r="K61" s="131"/>
      <c r="L61" s="132"/>
      <c r="M61" s="131"/>
      <c r="N61" s="132"/>
      <c r="O61" s="131"/>
      <c r="P61" s="132"/>
      <c r="Q61" s="131"/>
      <c r="R61" s="132"/>
      <c r="S61" s="131">
        <f t="shared" si="11"/>
        <v>0</v>
      </c>
      <c r="T61" s="132">
        <f t="shared" si="12"/>
        <v>0</v>
      </c>
    </row>
    <row r="62" spans="2:20">
      <c r="B62" s="112" t="s">
        <v>216</v>
      </c>
      <c r="C62" s="116"/>
      <c r="D62" s="128"/>
      <c r="E62" s="116"/>
      <c r="F62" s="128"/>
      <c r="G62" s="116"/>
      <c r="H62" s="128"/>
      <c r="I62" s="116"/>
      <c r="J62" s="128"/>
      <c r="K62" s="116"/>
      <c r="L62" s="128"/>
      <c r="M62" s="116"/>
      <c r="N62" s="128"/>
      <c r="O62" s="116"/>
      <c r="P62" s="128"/>
      <c r="Q62" s="116"/>
      <c r="R62" s="128"/>
      <c r="S62" s="116">
        <f t="shared" si="11"/>
        <v>0</v>
      </c>
      <c r="T62" s="128">
        <f t="shared" si="12"/>
        <v>0</v>
      </c>
    </row>
    <row r="63" spans="2:20">
      <c r="B63" s="112" t="s">
        <v>217</v>
      </c>
      <c r="C63" s="116"/>
      <c r="D63" s="128"/>
      <c r="E63" s="116"/>
      <c r="F63" s="128"/>
      <c r="G63" s="116"/>
      <c r="H63" s="128"/>
      <c r="I63" s="116"/>
      <c r="J63" s="128"/>
      <c r="K63" s="116"/>
      <c r="L63" s="128"/>
      <c r="M63" s="116"/>
      <c r="N63" s="128"/>
      <c r="O63" s="116"/>
      <c r="P63" s="128"/>
      <c r="Q63" s="116"/>
      <c r="R63" s="128"/>
      <c r="S63" s="116">
        <f t="shared" si="11"/>
        <v>0</v>
      </c>
      <c r="T63" s="128">
        <f t="shared" si="12"/>
        <v>0</v>
      </c>
    </row>
    <row r="64" spans="2:20">
      <c r="B64" s="112" t="s">
        <v>218</v>
      </c>
      <c r="C64" s="116"/>
      <c r="D64" s="128"/>
      <c r="E64" s="116"/>
      <c r="F64" s="128"/>
      <c r="G64" s="116"/>
      <c r="H64" s="128"/>
      <c r="I64" s="116"/>
      <c r="J64" s="128"/>
      <c r="K64" s="116"/>
      <c r="L64" s="128"/>
      <c r="M64" s="116"/>
      <c r="N64" s="128"/>
      <c r="O64" s="116"/>
      <c r="P64" s="128"/>
      <c r="Q64" s="116"/>
      <c r="R64" s="128"/>
      <c r="S64" s="116">
        <f t="shared" ref="S64:T67" si="13">C64+E64+G64+I64+K64+M64+O64+Q64</f>
        <v>0</v>
      </c>
      <c r="T64" s="128">
        <f t="shared" si="13"/>
        <v>0</v>
      </c>
    </row>
    <row r="65" spans="2:20">
      <c r="B65" s="130" t="s">
        <v>219</v>
      </c>
      <c r="C65" s="131"/>
      <c r="D65" s="132"/>
      <c r="E65" s="131"/>
      <c r="F65" s="132"/>
      <c r="G65" s="131"/>
      <c r="H65" s="132"/>
      <c r="I65" s="131"/>
      <c r="J65" s="132"/>
      <c r="K65" s="131"/>
      <c r="L65" s="132"/>
      <c r="M65" s="131"/>
      <c r="N65" s="132"/>
      <c r="O65" s="131"/>
      <c r="P65" s="132"/>
      <c r="Q65" s="131"/>
      <c r="R65" s="132"/>
      <c r="S65" s="131">
        <f t="shared" si="13"/>
        <v>0</v>
      </c>
      <c r="T65" s="132">
        <f t="shared" si="13"/>
        <v>0</v>
      </c>
    </row>
    <row r="66" spans="2:20">
      <c r="B66" s="112" t="s">
        <v>220</v>
      </c>
      <c r="C66" s="116"/>
      <c r="D66" s="128"/>
      <c r="E66" s="116"/>
      <c r="F66" s="128"/>
      <c r="G66" s="116"/>
      <c r="H66" s="128"/>
      <c r="I66" s="116"/>
      <c r="J66" s="128"/>
      <c r="K66" s="116"/>
      <c r="L66" s="128"/>
      <c r="M66" s="116"/>
      <c r="N66" s="128"/>
      <c r="O66" s="116"/>
      <c r="P66" s="128"/>
      <c r="Q66" s="116"/>
      <c r="R66" s="128"/>
      <c r="S66" s="116">
        <f t="shared" si="13"/>
        <v>0</v>
      </c>
      <c r="T66" s="128">
        <f t="shared" si="13"/>
        <v>0</v>
      </c>
    </row>
    <row r="67" spans="2:20">
      <c r="B67" s="112" t="s">
        <v>221</v>
      </c>
      <c r="C67" s="116"/>
      <c r="D67" s="128"/>
      <c r="E67" s="116"/>
      <c r="F67" s="128"/>
      <c r="G67" s="116"/>
      <c r="H67" s="128"/>
      <c r="I67" s="116"/>
      <c r="J67" s="128"/>
      <c r="K67" s="116"/>
      <c r="L67" s="128"/>
      <c r="M67" s="116"/>
      <c r="N67" s="128"/>
      <c r="O67" s="116"/>
      <c r="P67" s="128"/>
      <c r="Q67" s="116"/>
      <c r="R67" s="128"/>
      <c r="S67" s="116">
        <f t="shared" si="13"/>
        <v>0</v>
      </c>
      <c r="T67" s="128">
        <f t="shared" si="13"/>
        <v>0</v>
      </c>
    </row>
    <row r="68" spans="2:20">
      <c r="B68" s="112" t="s">
        <v>222</v>
      </c>
      <c r="C68" s="116"/>
      <c r="D68" s="128"/>
      <c r="E68" s="116"/>
      <c r="F68" s="128"/>
      <c r="G68" s="116"/>
      <c r="H68" s="128"/>
      <c r="I68" s="116"/>
      <c r="J68" s="128"/>
      <c r="K68" s="116"/>
      <c r="L68" s="128"/>
      <c r="M68" s="116"/>
      <c r="N68" s="128"/>
      <c r="O68" s="116"/>
      <c r="P68" s="128"/>
      <c r="Q68" s="116"/>
      <c r="R68" s="128"/>
      <c r="S68" s="116">
        <f>C68+E68+G68+I68+K68+M68+O68+Q68</f>
        <v>0</v>
      </c>
      <c r="T68" s="128">
        <f>D68+F68+H68+J68+L68+N68+P68+R68</f>
        <v>0</v>
      </c>
    </row>
    <row r="69" spans="2:20">
      <c r="B69" s="112" t="s">
        <v>223</v>
      </c>
      <c r="C69" s="116"/>
      <c r="D69" s="128"/>
      <c r="E69" s="116"/>
      <c r="F69" s="128"/>
      <c r="G69" s="116"/>
      <c r="H69" s="128"/>
      <c r="I69" s="116"/>
      <c r="J69" s="128"/>
      <c r="K69" s="116"/>
      <c r="L69" s="128"/>
      <c r="M69" s="116"/>
      <c r="N69" s="128"/>
      <c r="O69" s="116"/>
      <c r="P69" s="128"/>
      <c r="Q69" s="116"/>
      <c r="R69" s="128"/>
      <c r="S69" s="116">
        <f>C69+E69+G69+I69+K69+M69+O69+Q69</f>
        <v>0</v>
      </c>
      <c r="T69" s="128">
        <f>D69+F69+H69+J69+L69+N69+P69+R69</f>
        <v>0</v>
      </c>
    </row>
    <row r="70" spans="2:20" ht="18" thickBot="1">
      <c r="B70" s="117"/>
      <c r="C70" s="133"/>
      <c r="D70" s="129"/>
      <c r="E70" s="118"/>
      <c r="F70" s="129"/>
      <c r="G70" s="118"/>
      <c r="H70" s="129"/>
      <c r="I70" s="118"/>
      <c r="J70" s="129"/>
      <c r="K70" s="118"/>
      <c r="L70" s="129"/>
      <c r="M70" s="118"/>
      <c r="N70" s="129"/>
      <c r="O70" s="118"/>
      <c r="P70" s="129"/>
      <c r="Q70" s="118"/>
      <c r="R70" s="129"/>
      <c r="S70" s="118"/>
      <c r="T70" s="129"/>
    </row>
  </sheetData>
  <phoneticPr fontId="5" type="noConversion"/>
  <printOptions horizontalCentered="1" verticalCentered="1"/>
  <pageMargins left="0" right="0" top="0" bottom="0" header="0" footer="0"/>
  <pageSetup paperSize="9" scale="60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A23C-035F-EC44-9A3A-26BFB4F5E000}">
  <sheetPr codeName="Feuil17">
    <tabColor rgb="FF945200"/>
    <pageSetUpPr fitToPage="1"/>
  </sheetPr>
  <dimension ref="A2:AB84"/>
  <sheetViews>
    <sheetView showGridLines="0" view="pageBreakPreview" topLeftCell="A50" zoomScaleNormal="110" zoomScaleSheetLayoutView="80" workbookViewId="0">
      <selection activeCell="N78" sqref="N78"/>
    </sheetView>
  </sheetViews>
  <sheetFormatPr baseColWidth="10" defaultColWidth="10.83203125" defaultRowHeight="16"/>
  <cols>
    <col min="1" max="1" width="2.83203125" customWidth="1"/>
    <col min="2" max="2" width="10.6640625" style="176" customWidth="1"/>
    <col min="3" max="3" width="9.1640625" customWidth="1"/>
    <col min="4" max="4" width="11.1640625" customWidth="1"/>
    <col min="5" max="5" width="12" bestFit="1" customWidth="1"/>
    <col min="6" max="6" width="10.5" bestFit="1" customWidth="1"/>
    <col min="7" max="7" width="12.83203125" bestFit="1" customWidth="1"/>
    <col min="8" max="8" width="7.6640625" bestFit="1" customWidth="1"/>
    <col min="9" max="9" width="9.33203125" bestFit="1" customWidth="1"/>
    <col min="10" max="10" width="11" bestFit="1" customWidth="1"/>
    <col min="11" max="11" width="8.1640625" bestFit="1" customWidth="1"/>
    <col min="12" max="12" width="8.6640625" bestFit="1" customWidth="1"/>
    <col min="13" max="13" width="7.6640625" bestFit="1" customWidth="1"/>
    <col min="14" max="14" width="10.5" style="176" bestFit="1" customWidth="1"/>
    <col min="15" max="15" width="7.6640625" bestFit="1" customWidth="1"/>
    <col min="16" max="19" width="11.33203125" customWidth="1"/>
    <col min="20" max="20" width="10.33203125" bestFit="1" customWidth="1"/>
    <col min="21" max="21" width="13.33203125" bestFit="1" customWidth="1"/>
    <col min="26" max="26" width="13" bestFit="1" customWidth="1"/>
    <col min="27" max="27" width="12.6640625" bestFit="1" customWidth="1"/>
    <col min="29" max="29" width="2.83203125" customWidth="1"/>
  </cols>
  <sheetData>
    <row r="2" spans="1:28" ht="30" customHeight="1">
      <c r="B2" s="162" t="s">
        <v>264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</row>
    <row r="3" spans="1:28" ht="21"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51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</row>
    <row r="4" spans="1:28" ht="16" customHeight="1" thickBot="1"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</row>
    <row r="5" spans="1:28" ht="30" customHeight="1">
      <c r="A5" s="1613"/>
      <c r="B5" s="1614"/>
      <c r="C5" s="1613"/>
      <c r="D5" s="1613"/>
      <c r="E5" s="1615" t="s">
        <v>496</v>
      </c>
      <c r="F5" s="1615" t="s">
        <v>497</v>
      </c>
      <c r="G5" s="177" t="s">
        <v>260</v>
      </c>
      <c r="H5" s="169"/>
      <c r="I5" s="169"/>
      <c r="J5" s="169"/>
      <c r="K5" s="138" t="s">
        <v>10</v>
      </c>
      <c r="L5" s="138" t="s">
        <v>25</v>
      </c>
      <c r="M5" s="138" t="s">
        <v>17</v>
      </c>
      <c r="N5" s="138" t="s">
        <v>18</v>
      </c>
      <c r="O5" s="138" t="s">
        <v>19</v>
      </c>
      <c r="P5" s="138" t="s">
        <v>20</v>
      </c>
      <c r="Q5" s="138" t="s">
        <v>21</v>
      </c>
      <c r="R5" s="138" t="s">
        <v>26</v>
      </c>
      <c r="S5" s="138" t="s">
        <v>22</v>
      </c>
      <c r="T5" s="138" t="s">
        <v>23</v>
      </c>
      <c r="U5" s="138" t="s">
        <v>24</v>
      </c>
      <c r="V5" s="138" t="s">
        <v>27</v>
      </c>
      <c r="W5" s="189" t="s">
        <v>273</v>
      </c>
    </row>
    <row r="6" spans="1:28">
      <c r="A6" s="1613" cm="1">
        <f t="array" ref="A6">+SUM(F18:F22+F28:F32+F38:F42+F48:F52+F58:F62+F68:F72)</f>
        <v>86</v>
      </c>
      <c r="B6" s="1616">
        <f>+F23+F33+F43+F53+F63+F73</f>
        <v>165462</v>
      </c>
      <c r="C6" s="1613" cm="1">
        <f t="array" ref="C6">+SUM(T18:T22+T28:T32+T38:T42+T48:T52+T58:T62+T68:T72)</f>
        <v>0</v>
      </c>
      <c r="D6" s="1616">
        <f>+T23+T33+T43+T53+T63+T73</f>
        <v>0</v>
      </c>
      <c r="E6" s="1617">
        <f t="shared" ref="E6:E13" si="0">A6*100000/B6</f>
        <v>51.975680216605625</v>
      </c>
      <c r="F6" s="1613"/>
      <c r="G6" s="167" t="s">
        <v>69</v>
      </c>
      <c r="H6" s="181"/>
      <c r="I6" s="181"/>
      <c r="J6" s="181"/>
      <c r="K6" s="182">
        <f>OPH!F24</f>
        <v>41.08584005869406</v>
      </c>
      <c r="L6" s="182">
        <f>OPH!$F34</f>
        <v>51.408925874755006</v>
      </c>
      <c r="M6" s="182">
        <f>OPH!$F44</f>
        <v>43.501227356057548</v>
      </c>
      <c r="N6" s="182">
        <f>IFERROR(OPH!F$54,"")</f>
        <v>56.088950476756082</v>
      </c>
      <c r="O6" s="183">
        <f>IFERROR(OPH!$F64,"")</f>
        <v>72.029597616475129</v>
      </c>
      <c r="P6" s="183">
        <f>F74</f>
        <v>41.499515838981878</v>
      </c>
      <c r="Q6" s="183" t="e">
        <f>T24</f>
        <v>#DIV/0!</v>
      </c>
      <c r="R6" s="183" t="e">
        <f>T34</f>
        <v>#DIV/0!</v>
      </c>
      <c r="S6" s="182" t="e">
        <f>T44</f>
        <v>#DIV/0!</v>
      </c>
      <c r="T6" s="182" t="e">
        <f>T54</f>
        <v>#DIV/0!</v>
      </c>
      <c r="U6" s="182" t="e">
        <f>T64</f>
        <v>#DIV/0!</v>
      </c>
      <c r="V6" s="182" t="e">
        <f>T74</f>
        <v>#DIV/0!</v>
      </c>
      <c r="W6" s="191">
        <f t="shared" ref="W6:W13" si="1">+Y6*100000/Z6</f>
        <v>51.975680216605625</v>
      </c>
      <c r="Y6" s="194" cm="1">
        <f t="array" ref="Y6">+SUM(F18:F22+F28:F32+F38:F42+F48:F52+F58:F62+F68:F72+T18:T22+T28:T32+T38:T42+T48:T52+T58:T62+T68:T72)</f>
        <v>86</v>
      </c>
      <c r="Z6" s="195">
        <f>+F23+F33+F43+F53+F63+F73+T23+T33+T43+T53+T63+T73</f>
        <v>165462</v>
      </c>
    </row>
    <row r="7" spans="1:28">
      <c r="A7" s="1613" cm="1">
        <f t="array" ref="A7">+SUM(G18:G22+G28:G32+G38:G42+G48:G52+G58:G62+G68:G72)</f>
        <v>68</v>
      </c>
      <c r="B7" s="1616">
        <f>+G23+G33+G43+G53+G63+G73</f>
        <v>124446</v>
      </c>
      <c r="C7" s="1613" cm="1">
        <f t="array" ref="C7">+SUM(U18:U22+U28:U32+U38:U42+U48:U52+U58:U62+U68:U72)</f>
        <v>0</v>
      </c>
      <c r="D7" s="1616">
        <f>+U23+U33+U43+U53+U63+U73</f>
        <v>0</v>
      </c>
      <c r="E7" s="1617">
        <f t="shared" si="0"/>
        <v>54.642174115680696</v>
      </c>
      <c r="F7" s="1613"/>
      <c r="G7" s="167" t="s">
        <v>29</v>
      </c>
      <c r="H7" s="181"/>
      <c r="I7" s="181"/>
      <c r="J7" s="181"/>
      <c r="K7" s="182">
        <f>OPH!G24</f>
        <v>47.950131862862619</v>
      </c>
      <c r="L7" s="182">
        <f>OPH!$G34</f>
        <v>66.131317902692487</v>
      </c>
      <c r="M7" s="182">
        <f>OPH!$G44</f>
        <v>51.174691788788088</v>
      </c>
      <c r="N7" s="182">
        <f>IFERROR(OPH!G$54,"")</f>
        <v>66.540978152378841</v>
      </c>
      <c r="O7" s="183">
        <f>IFERROR(OPH!$G64,"")</f>
        <v>49.983933735584991</v>
      </c>
      <c r="P7" s="183">
        <f>G74</f>
        <v>17.047391749062392</v>
      </c>
      <c r="Q7" s="183" t="e">
        <f>U24</f>
        <v>#DIV/0!</v>
      </c>
      <c r="R7" s="183" t="e">
        <f>U34</f>
        <v>#DIV/0!</v>
      </c>
      <c r="S7" s="182" t="e">
        <f>U44</f>
        <v>#DIV/0!</v>
      </c>
      <c r="T7" s="182" t="e">
        <f>U54</f>
        <v>#DIV/0!</v>
      </c>
      <c r="U7" s="182" t="e">
        <f>U64</f>
        <v>#DIV/0!</v>
      </c>
      <c r="V7" s="182" t="e">
        <f>U74</f>
        <v>#DIV/0!</v>
      </c>
      <c r="W7" s="191">
        <f t="shared" si="1"/>
        <v>54.642174115680696</v>
      </c>
      <c r="Y7" s="194" cm="1">
        <f t="array" ref="Y7">+SUM(G18:G22+G28:G32+G38:G42+G48:G52+G58:G62+G68:G72+U18:U22+U28:U32+U38:U42+U48:U52+U58:U62+U68:U72)</f>
        <v>68</v>
      </c>
      <c r="Z7" s="195">
        <f>+G23+G33+G43+G53+G63+G73+U23+U33+U43+U53+U63+U73</f>
        <v>124446</v>
      </c>
    </row>
    <row r="8" spans="1:28">
      <c r="A8" s="1613" cm="1">
        <f t="array" ref="A8">+SUM(H18:H22+H28:H32+H38:H42+H48:H52+H58:H62+H68:H72)</f>
        <v>29</v>
      </c>
      <c r="B8" s="1616">
        <f>+H23+H33+H43+H53+H63+H73</f>
        <v>89876</v>
      </c>
      <c r="C8" s="1613" cm="1">
        <f t="array" ref="C8">+SUM(V18:V22+V28:V32+V38:V42+V48:V52+V58:V62+V68:V72)</f>
        <v>0</v>
      </c>
      <c r="D8" s="1616">
        <f>+V23+V33+V43+V53+V63+V73</f>
        <v>0</v>
      </c>
      <c r="E8" s="1617">
        <f t="shared" si="0"/>
        <v>32.266678534870266</v>
      </c>
      <c r="F8" s="1613"/>
      <c r="G8" s="167" t="s">
        <v>30</v>
      </c>
      <c r="H8" s="181"/>
      <c r="I8" s="181"/>
      <c r="J8" s="181"/>
      <c r="K8" s="182">
        <f>OPH!H24</f>
        <v>34.604071745775421</v>
      </c>
      <c r="L8" s="182">
        <f>OPH!$H34</f>
        <v>24.818514611900479</v>
      </c>
      <c r="M8" s="182">
        <f>OPH!$H44</f>
        <v>17.740981667652278</v>
      </c>
      <c r="N8" s="182">
        <f>IFERROR(OPH!H$54,"")</f>
        <v>41.271151465125875</v>
      </c>
      <c r="O8" s="183">
        <f>IFERROR(OPH!$H64,"")</f>
        <v>43.93914428516505</v>
      </c>
      <c r="P8" s="183">
        <f>H74</f>
        <v>23.030861354214647</v>
      </c>
      <c r="Q8" s="183" t="e">
        <f>V24</f>
        <v>#DIV/0!</v>
      </c>
      <c r="R8" s="183" t="e">
        <f>V34</f>
        <v>#DIV/0!</v>
      </c>
      <c r="S8" s="182" t="e">
        <f>V44</f>
        <v>#DIV/0!</v>
      </c>
      <c r="T8" s="182" t="e">
        <f>V54</f>
        <v>#DIV/0!</v>
      </c>
      <c r="U8" s="182" t="e">
        <f>V64</f>
        <v>#DIV/0!</v>
      </c>
      <c r="V8" s="182" t="e">
        <f>V74</f>
        <v>#DIV/0!</v>
      </c>
      <c r="W8" s="191">
        <f t="shared" si="1"/>
        <v>32.266678534870266</v>
      </c>
      <c r="Y8" s="194" cm="1">
        <f t="array" ref="Y8">+SUM(H18:H22+H28:H32+H38:H42+H48:H52+H58:H62+H68:H72+V18:V22+V28:V32+V38:V42+V48:V52+V58:V62+V68:V72)</f>
        <v>29</v>
      </c>
      <c r="Z8" s="195">
        <f>+H23+H33+H43+H53+H63+H73+V23+V33+V43+V53+V63+V73</f>
        <v>89876</v>
      </c>
    </row>
    <row r="9" spans="1:28">
      <c r="A9" s="1613" cm="1">
        <f t="array" ref="A9">+SUM(I18:I22+I28:I32+I38:I42+I48:I52+I58:I62+I68:I72)</f>
        <v>55</v>
      </c>
      <c r="B9" s="1616">
        <f>+I23+I33+I43+I53+I63+I73</f>
        <v>126739</v>
      </c>
      <c r="C9" s="1613" cm="1">
        <f t="array" ref="C9">+SUM(W18:W22+W28:W32+W38:W42+W48:W52+W58:W62+V69:V73)</f>
        <v>0</v>
      </c>
      <c r="D9" s="1616">
        <f>+W23+W33+W43+W53+W63+W73</f>
        <v>0</v>
      </c>
      <c r="E9" s="1617">
        <f t="shared" si="0"/>
        <v>43.39627107677984</v>
      </c>
      <c r="F9" s="1613"/>
      <c r="G9" s="167" t="s">
        <v>31</v>
      </c>
      <c r="H9" s="181"/>
      <c r="I9" s="181"/>
      <c r="J9" s="181"/>
      <c r="K9" s="182">
        <f>OPH!I24</f>
        <v>54.670415495157762</v>
      </c>
      <c r="L9" s="182">
        <f>OPH!$I34</f>
        <v>48.434679230328918</v>
      </c>
      <c r="M9" s="182">
        <f>OPH!$I44</f>
        <v>52.591124236417329</v>
      </c>
      <c r="N9" s="182">
        <f>IFERROR(OPH!I$54,"")</f>
        <v>25.536261491317671</v>
      </c>
      <c r="O9" s="183">
        <f>IFERROR(OPH!$I64,"")</f>
        <v>20.564283951632802</v>
      </c>
      <c r="P9" s="183">
        <f>I74</f>
        <v>101.85028008827024</v>
      </c>
      <c r="Q9" s="183" t="e">
        <f>W24</f>
        <v>#DIV/0!</v>
      </c>
      <c r="R9" s="183" t="e">
        <f>W34</f>
        <v>#DIV/0!</v>
      </c>
      <c r="S9" s="182" t="e">
        <f>W44</f>
        <v>#DIV/0!</v>
      </c>
      <c r="T9" s="182" t="e">
        <f>W54</f>
        <v>#DIV/0!</v>
      </c>
      <c r="U9" s="182" t="e">
        <f>W64</f>
        <v>#DIV/0!</v>
      </c>
      <c r="V9" s="182" t="e">
        <f>W74</f>
        <v>#DIV/0!</v>
      </c>
      <c r="W9" s="191">
        <f t="shared" si="1"/>
        <v>43.39627107677984</v>
      </c>
      <c r="Y9" s="194" cm="1">
        <f t="array" ref="Y9">+SUM(I18:I22+I28:I32+I38:I42+I48:I52+I58:I62+I68:I72+W18:W22+W28:W32+W38:W42+W48:W52+W58:W62+W68:W72)</f>
        <v>55</v>
      </c>
      <c r="Z9" s="195">
        <f>+I23+I33+I43+I53+I63+I73+W23+W33+W43+W53+W63+W73</f>
        <v>126739</v>
      </c>
    </row>
    <row r="10" spans="1:28">
      <c r="A10" s="1613" cm="1">
        <f t="array" ref="A10">+SUM(J18:J22+J28:J32+J38:J42+J48:J52+J58:J62+J68:J72)</f>
        <v>24</v>
      </c>
      <c r="B10" s="1616">
        <f>+J23+J33+J43+J53+J63+J73</f>
        <v>65803</v>
      </c>
      <c r="C10" s="1613"/>
      <c r="D10" s="1613"/>
      <c r="E10" s="1617">
        <f t="shared" si="0"/>
        <v>36.47250125374223</v>
      </c>
      <c r="F10" s="1613"/>
      <c r="G10" s="167" t="s">
        <v>32</v>
      </c>
      <c r="H10" s="181"/>
      <c r="I10" s="181"/>
      <c r="J10" s="181"/>
      <c r="K10" s="182">
        <f>OPH!J24</f>
        <v>32.351989647363311</v>
      </c>
      <c r="L10" s="182">
        <f>OPH!$J34</f>
        <v>43.52746583093932</v>
      </c>
      <c r="M10" s="182">
        <f>OPH!$J44</f>
        <v>23.590469450342063</v>
      </c>
      <c r="N10" s="182">
        <f>IFERROR(OPH!J$54,"")</f>
        <v>23.404587299110627</v>
      </c>
      <c r="O10" s="183">
        <f>IFERROR(OPH!$J64,"")</f>
        <v>60.277275467148883</v>
      </c>
      <c r="P10" s="183">
        <f>J74</f>
        <v>31.796502384737678</v>
      </c>
      <c r="Q10" s="183" t="e">
        <f>X24</f>
        <v>#DIV/0!</v>
      </c>
      <c r="R10" s="183" t="e">
        <f>X34</f>
        <v>#DIV/0!</v>
      </c>
      <c r="S10" s="182" t="e">
        <f>X44</f>
        <v>#DIV/0!</v>
      </c>
      <c r="T10" s="182" t="e">
        <f>X54</f>
        <v>#DIV/0!</v>
      </c>
      <c r="U10" s="182" t="e">
        <f>X64</f>
        <v>#DIV/0!</v>
      </c>
      <c r="V10" s="182" t="e">
        <f>X74</f>
        <v>#DIV/0!</v>
      </c>
      <c r="W10" s="191">
        <f t="shared" si="1"/>
        <v>36.47250125374223</v>
      </c>
      <c r="Y10" s="194" cm="1">
        <f t="array" ref="Y10">+SUM(J18:J22+J28:J32+J38:J42+J48:J52+J58:J62+J68:J72+X18:X22+X28:X32+X38:X42+X48:X52+X58:X62+X68:X72)</f>
        <v>24</v>
      </c>
      <c r="Z10" s="195">
        <f>+J23+J33+J43+J53+J63+J73+X23+X33+X43+X53+X63+X73</f>
        <v>65803</v>
      </c>
    </row>
    <row r="11" spans="1:28">
      <c r="A11" s="1613" cm="1">
        <f t="array" ref="A11">+SUM(K18:K22+K28:K32+K38:K42+K48:K52+K58:K62+K68:K72)</f>
        <v>16</v>
      </c>
      <c r="B11" s="1616">
        <f>+K23+K33+K43+K53+K63+K73</f>
        <v>72093</v>
      </c>
      <c r="C11" s="1613"/>
      <c r="D11" s="1613"/>
      <c r="E11" s="1617">
        <f t="shared" si="0"/>
        <v>22.193555546308239</v>
      </c>
      <c r="F11" s="1613"/>
      <c r="G11" s="167" t="s">
        <v>253</v>
      </c>
      <c r="H11" s="181"/>
      <c r="I11" s="181"/>
      <c r="J11" s="181"/>
      <c r="K11" s="182">
        <f>OPH!K24</f>
        <v>22.01188641866608</v>
      </c>
      <c r="L11" s="182">
        <f>OPH!$K34</f>
        <v>30.892801977139328</v>
      </c>
      <c r="M11" s="182">
        <f>OPH!$K44</f>
        <v>14.323569433502829</v>
      </c>
      <c r="N11" s="182">
        <f>IFERROR(OPH!K$54,"")</f>
        <v>14.628437682855472</v>
      </c>
      <c r="O11" s="183">
        <f>IFERROR(OPH!$K64,"")</f>
        <v>13.785497656465399</v>
      </c>
      <c r="P11" s="183">
        <f>K74</f>
        <v>88.941595019270679</v>
      </c>
      <c r="Q11" s="183" t="e">
        <f>Y24</f>
        <v>#DIV/0!</v>
      </c>
      <c r="R11" s="183" t="e">
        <f>Y34</f>
        <v>#DIV/0!</v>
      </c>
      <c r="S11" s="182" t="e">
        <f>Y44</f>
        <v>#DIV/0!</v>
      </c>
      <c r="T11" s="182" t="e">
        <f>+Y54</f>
        <v>#DIV/0!</v>
      </c>
      <c r="U11" s="182" t="e">
        <f>Y64</f>
        <v>#DIV/0!</v>
      </c>
      <c r="V11" s="182" t="e">
        <f>Y74</f>
        <v>#DIV/0!</v>
      </c>
      <c r="W11" s="191">
        <f t="shared" si="1"/>
        <v>22.193555546308239</v>
      </c>
      <c r="Y11" s="194" cm="1">
        <f t="array" ref="Y11">+SUM(K18:K22+K28:K32+K38:K42+K48:K52+K58:K62+K68:K72+Y18:Y22+Y28:Y32+Y38:Y42+Y48:Y52+Y58:Y62+Y68:Y72)</f>
        <v>16</v>
      </c>
      <c r="Z11" s="195">
        <f>+K23+K33+K43+K53+K63+K73+Y23+Y33+Y43+Y53+Y63+Y73</f>
        <v>72093</v>
      </c>
    </row>
    <row r="12" spans="1:28">
      <c r="A12" s="1613" cm="1">
        <f t="array" ref="A12">+SUM(L18:L22+L28:L32+L38:L42+L48:L52+L58:L62+L68:L72)</f>
        <v>36</v>
      </c>
      <c r="B12" s="1616">
        <f>+L23+L33+L43+L53+L63+L73</f>
        <v>69284</v>
      </c>
      <c r="C12" s="1613"/>
      <c r="D12" s="1613"/>
      <c r="E12" s="1617">
        <f t="shared" si="0"/>
        <v>51.96004849604526</v>
      </c>
      <c r="F12" s="1613"/>
      <c r="G12" s="167" t="s">
        <v>34</v>
      </c>
      <c r="H12" s="181"/>
      <c r="I12" s="181"/>
      <c r="J12" s="181"/>
      <c r="K12" s="182">
        <f>OPH!L24</f>
        <v>72.484778196578716</v>
      </c>
      <c r="L12" s="182">
        <f>OPH!$L34</f>
        <v>53.73867649316751</v>
      </c>
      <c r="M12" s="182">
        <f>OPH!$L44</f>
        <v>22.353028835407198</v>
      </c>
      <c r="N12" s="182">
        <f>IFERROR(OPH!L$54,"")</f>
        <v>55.270430319778917</v>
      </c>
      <c r="O12" s="183">
        <f>IFERROR(OPH!$L64,"")</f>
        <v>60.670408008493858</v>
      </c>
      <c r="P12" s="183">
        <f>L74</f>
        <v>31.347962382445139</v>
      </c>
      <c r="Q12" s="183" t="e">
        <f>Z24</f>
        <v>#DIV/0!</v>
      </c>
      <c r="R12" s="183" t="e">
        <f>Z34</f>
        <v>#DIV/0!</v>
      </c>
      <c r="S12" s="182" t="e">
        <f>Z44</f>
        <v>#DIV/0!</v>
      </c>
      <c r="T12" s="182" t="e">
        <f>+Z54</f>
        <v>#DIV/0!</v>
      </c>
      <c r="U12" s="182" t="e">
        <f>Z64</f>
        <v>#DIV/0!</v>
      </c>
      <c r="V12" s="182" t="e">
        <f>Z74</f>
        <v>#DIV/0!</v>
      </c>
      <c r="W12" s="191">
        <f t="shared" si="1"/>
        <v>51.96004849604526</v>
      </c>
      <c r="Y12" s="194" cm="1">
        <f t="array" ref="Y12">+SUM(L18:L22+L28:L32+L38:L42+L48:L52+L58:L62+L68:L72+Z18:Z22+Z28:Z32+Z38:Z42+Z48:Z52+Z58:Z62+Z68:Z72)</f>
        <v>36</v>
      </c>
      <c r="Z12" s="195">
        <f>+L23+L33+L43+L53+L63+L73+Z23+Z33+Z43+Z53+Z63+Z73</f>
        <v>69284</v>
      </c>
    </row>
    <row r="13" spans="1:28">
      <c r="A13" s="1613" cm="1">
        <f t="array" ref="A13">+SUM(M18:M22+M28:M32+M38:M42+M48:M52+M58:M62+M68:M72)</f>
        <v>32</v>
      </c>
      <c r="B13" s="1616">
        <f>+M23+M33+M43+M53+M63+M73</f>
        <v>63595</v>
      </c>
      <c r="C13" s="1613"/>
      <c r="D13" s="1613"/>
      <c r="E13" s="1617">
        <f t="shared" si="0"/>
        <v>50.318421259532983</v>
      </c>
      <c r="F13" s="1613"/>
      <c r="G13" s="167" t="s">
        <v>308</v>
      </c>
      <c r="H13" s="181"/>
      <c r="I13" s="181"/>
      <c r="J13" s="181"/>
      <c r="K13" s="182">
        <f>OPH!M24</f>
        <v>46.941010796432487</v>
      </c>
      <c r="L13" s="182">
        <f>OPH!$M34</f>
        <v>53.643272239606617</v>
      </c>
      <c r="M13" s="182">
        <f>OPH!$M44</f>
        <v>73.794686782551651</v>
      </c>
      <c r="N13" s="182">
        <f>IFERROR(OPH!$M54,"")</f>
        <v>50.377833753148614</v>
      </c>
      <c r="O13" s="183">
        <f>IFERROR(OPH!$M64,"")</f>
        <v>39.777247414478921</v>
      </c>
      <c r="P13" s="183">
        <f>M74</f>
        <v>0</v>
      </c>
      <c r="Q13" s="183" t="e">
        <f>AA24</f>
        <v>#DIV/0!</v>
      </c>
      <c r="R13" s="183" t="e">
        <f>AA34</f>
        <v>#DIV/0!</v>
      </c>
      <c r="S13" s="182" t="e">
        <f>AA44</f>
        <v>#DIV/0!</v>
      </c>
      <c r="T13" s="182" t="e">
        <f>+AA54</f>
        <v>#DIV/0!</v>
      </c>
      <c r="U13" s="182" t="e">
        <f>AA64</f>
        <v>#DIV/0!</v>
      </c>
      <c r="V13" s="182" t="e">
        <f>AA74</f>
        <v>#DIV/0!</v>
      </c>
      <c r="W13" s="191">
        <f t="shared" si="1"/>
        <v>50.318421259532983</v>
      </c>
      <c r="Y13" s="194" cm="1">
        <f t="array" ref="Y13">+SUM(M18:M22+M28:M32+M38:M42+M48:M52+M58:M62+M68:M72+AA18:AA22+AA28:AA32+AA38:AA42+AA48:AA52+AA58:AA62+AA68:AA72)</f>
        <v>32</v>
      </c>
      <c r="Z13" s="195">
        <f>+M23+M33+M43+M53+M63+M73+AA23+AA33+AA43+AA53+AA63+AA73</f>
        <v>63595</v>
      </c>
    </row>
    <row r="14" spans="1:28" s="152" customFormat="1" ht="30" customHeight="1" thickBot="1">
      <c r="G14" s="174" t="s">
        <v>37</v>
      </c>
      <c r="H14" s="175"/>
      <c r="I14" s="175"/>
      <c r="J14" s="175"/>
      <c r="K14" s="147">
        <f>OPH!N24</f>
        <v>44.533659470381792</v>
      </c>
      <c r="L14" s="147">
        <f>OPH!$N34</f>
        <v>47.936923594267604</v>
      </c>
      <c r="M14" s="147">
        <f>OPH!$N44</f>
        <v>39.294328066990055</v>
      </c>
      <c r="N14" s="147">
        <f>IFERROR(OPH!$N54,"")</f>
        <v>44.330409317446033</v>
      </c>
      <c r="O14" s="147">
        <f>IFERROR(OPH!$N64,"")</f>
        <v>46.569087181211962</v>
      </c>
      <c r="P14" s="147">
        <f>N74</f>
        <v>44.459264199177504</v>
      </c>
      <c r="Q14" s="147" t="e">
        <f>AB24</f>
        <v>#DIV/0!</v>
      </c>
      <c r="R14" s="147" t="e">
        <f>AB34</f>
        <v>#DIV/0!</v>
      </c>
      <c r="S14" s="147" t="e">
        <f>+AB44</f>
        <v>#DIV/0!</v>
      </c>
      <c r="T14" s="147" t="e">
        <f>+AB54</f>
        <v>#DIV/0!</v>
      </c>
      <c r="U14" s="147" t="e">
        <f>AB64</f>
        <v>#DIV/0!</v>
      </c>
      <c r="V14" s="147" t="e">
        <f>AB74</f>
        <v>#DIV/0!</v>
      </c>
      <c r="W14" s="190">
        <f>SUM(N18:N22,N28:N32,N38:N42,N48:N52,N58:N62,N68:N72,AB18:AB22,AB28:AB32,AB38:AB42,AB48:AB52,AB58:AB62,AB68:AB72)*100000/(SUM(N23,N33,N43,N53,N63,N73,AB23,AB33,AB43,AB53,AB63,AB73))</f>
        <v>44.513172554155553</v>
      </c>
    </row>
    <row r="15" spans="1:28" ht="17" thickBot="1">
      <c r="B15" s="178"/>
      <c r="C15" s="168"/>
      <c r="D15" s="168"/>
      <c r="E15" s="168"/>
    </row>
    <row r="16" spans="1:28">
      <c r="B16" s="1760" t="s">
        <v>10</v>
      </c>
      <c r="C16" s="169"/>
      <c r="D16" s="169"/>
      <c r="E16" s="169"/>
      <c r="F16" s="138">
        <v>471</v>
      </c>
      <c r="G16" s="138">
        <v>978</v>
      </c>
      <c r="H16" s="138">
        <v>1002</v>
      </c>
      <c r="I16" s="138">
        <v>1174</v>
      </c>
      <c r="J16" s="138">
        <v>1305</v>
      </c>
      <c r="K16" s="138">
        <v>1454</v>
      </c>
      <c r="L16" s="138">
        <v>1570</v>
      </c>
      <c r="M16" s="139">
        <v>1755</v>
      </c>
      <c r="N16" s="1758" t="s">
        <v>37</v>
      </c>
      <c r="P16" s="1760" t="s">
        <v>21</v>
      </c>
      <c r="Q16" s="138"/>
      <c r="R16" s="138"/>
      <c r="S16" s="138"/>
      <c r="T16" s="138">
        <f>F66</f>
        <v>471</v>
      </c>
      <c r="U16" s="138">
        <f t="shared" ref="U16:AA16" si="2">G66</f>
        <v>978</v>
      </c>
      <c r="V16" s="138">
        <f t="shared" si="2"/>
        <v>1002</v>
      </c>
      <c r="W16" s="138">
        <f t="shared" si="2"/>
        <v>1174</v>
      </c>
      <c r="X16" s="138">
        <f t="shared" si="2"/>
        <v>1305</v>
      </c>
      <c r="Y16" s="138">
        <f t="shared" si="2"/>
        <v>1454</v>
      </c>
      <c r="Z16" s="138">
        <f t="shared" si="2"/>
        <v>1570</v>
      </c>
      <c r="AA16" s="139">
        <f t="shared" si="2"/>
        <v>1755</v>
      </c>
      <c r="AB16" s="1758" t="s">
        <v>37</v>
      </c>
    </row>
    <row r="17" spans="2:28">
      <c r="B17" s="1761"/>
      <c r="C17" s="170"/>
      <c r="D17" s="170"/>
      <c r="E17" s="170"/>
      <c r="F17" s="140" t="s">
        <v>28</v>
      </c>
      <c r="G17" s="140" t="s">
        <v>29</v>
      </c>
      <c r="H17" s="140" t="s">
        <v>30</v>
      </c>
      <c r="I17" s="140" t="s">
        <v>31</v>
      </c>
      <c r="J17" s="140" t="s">
        <v>32</v>
      </c>
      <c r="K17" s="140" t="s">
        <v>253</v>
      </c>
      <c r="L17" s="140" t="s">
        <v>34</v>
      </c>
      <c r="M17" s="141" t="s">
        <v>308</v>
      </c>
      <c r="N17" s="1759"/>
      <c r="P17" s="1761"/>
      <c r="Q17" s="140"/>
      <c r="R17" s="140"/>
      <c r="S17" s="140"/>
      <c r="T17" s="140" t="str">
        <f t="shared" ref="T17:AA17" si="3">F67</f>
        <v>CHAMBERY</v>
      </c>
      <c r="U17" s="140" t="str">
        <f t="shared" si="3"/>
        <v>AIX LES BAINS</v>
      </c>
      <c r="V17" s="140" t="str">
        <f t="shared" si="3"/>
        <v>BELLEY</v>
      </c>
      <c r="W17" s="140" t="str">
        <f t="shared" si="3"/>
        <v>ST ALBAN</v>
      </c>
      <c r="X17" s="140" t="str">
        <f t="shared" si="3"/>
        <v>LES ABRETS</v>
      </c>
      <c r="Y17" s="140" t="str">
        <f t="shared" si="3"/>
        <v>PDB</v>
      </c>
      <c r="Z17" s="140" t="str">
        <f t="shared" si="3"/>
        <v>FRANCIN</v>
      </c>
      <c r="AA17" s="141" t="str">
        <f t="shared" si="3"/>
        <v>VIVIERS</v>
      </c>
      <c r="AB17" s="1759"/>
    </row>
    <row r="18" spans="2:28">
      <c r="B18" s="167" t="s">
        <v>254</v>
      </c>
      <c r="C18" s="171"/>
      <c r="D18" s="171"/>
      <c r="E18" s="171"/>
      <c r="F18" s="143">
        <v>3</v>
      </c>
      <c r="G18" s="144">
        <v>3</v>
      </c>
      <c r="H18" s="144">
        <v>4</v>
      </c>
      <c r="I18" s="144">
        <v>9</v>
      </c>
      <c r="J18" s="144">
        <v>3</v>
      </c>
      <c r="K18" s="144">
        <v>1</v>
      </c>
      <c r="L18" s="144">
        <v>1</v>
      </c>
      <c r="M18" s="145">
        <v>2</v>
      </c>
      <c r="N18" s="208">
        <f t="shared" ref="N18:N23" si="4">SUM(F18:M18)</f>
        <v>26</v>
      </c>
      <c r="P18" s="142" t="s">
        <v>254</v>
      </c>
      <c r="Q18" s="166"/>
      <c r="R18" s="166"/>
      <c r="S18" s="166"/>
      <c r="T18" s="143"/>
      <c r="U18" s="144"/>
      <c r="V18" s="144"/>
      <c r="W18" s="144"/>
      <c r="X18" s="144"/>
      <c r="Y18" s="144"/>
      <c r="Z18" s="144"/>
      <c r="AA18" s="145"/>
      <c r="AB18" s="145">
        <f t="shared" ref="AB18:AB23" si="5">SUM(T18:AA18)</f>
        <v>0</v>
      </c>
    </row>
    <row r="19" spans="2:28">
      <c r="B19" s="179" t="s">
        <v>255</v>
      </c>
      <c r="C19" s="172"/>
      <c r="D19" s="172"/>
      <c r="E19" s="172"/>
      <c r="F19" s="154">
        <v>1</v>
      </c>
      <c r="G19" s="155">
        <v>2</v>
      </c>
      <c r="H19" s="155">
        <v>1</v>
      </c>
      <c r="I19" s="155">
        <v>1</v>
      </c>
      <c r="J19" s="155"/>
      <c r="K19" s="155"/>
      <c r="L19" s="155">
        <v>4</v>
      </c>
      <c r="M19" s="156">
        <v>2</v>
      </c>
      <c r="N19" s="209">
        <f t="shared" si="4"/>
        <v>11</v>
      </c>
      <c r="P19" s="153" t="s">
        <v>255</v>
      </c>
      <c r="Q19" s="163"/>
      <c r="R19" s="163"/>
      <c r="S19" s="163"/>
      <c r="T19" s="154"/>
      <c r="U19" s="155"/>
      <c r="V19" s="155"/>
      <c r="W19" s="155"/>
      <c r="X19" s="155"/>
      <c r="Y19" s="155"/>
      <c r="Z19" s="155"/>
      <c r="AA19" s="156"/>
      <c r="AB19" s="156">
        <f t="shared" si="5"/>
        <v>0</v>
      </c>
    </row>
    <row r="20" spans="2:28">
      <c r="B20" s="180" t="s">
        <v>256</v>
      </c>
      <c r="C20" s="173"/>
      <c r="D20" s="173"/>
      <c r="E20" s="173"/>
      <c r="F20" s="158">
        <v>8</v>
      </c>
      <c r="G20" s="159">
        <v>4</v>
      </c>
      <c r="H20" s="159">
        <v>1</v>
      </c>
      <c r="I20" s="159">
        <v>4</v>
      </c>
      <c r="J20" s="159">
        <v>1</v>
      </c>
      <c r="K20" s="159">
        <v>2</v>
      </c>
      <c r="L20" s="159">
        <v>5</v>
      </c>
      <c r="M20" s="160">
        <v>1</v>
      </c>
      <c r="N20" s="210">
        <f t="shared" si="4"/>
        <v>26</v>
      </c>
      <c r="P20" s="157" t="s">
        <v>256</v>
      </c>
      <c r="Q20" s="164"/>
      <c r="R20" s="164"/>
      <c r="S20" s="164"/>
      <c r="T20" s="158"/>
      <c r="U20" s="159"/>
      <c r="V20" s="159"/>
      <c r="W20" s="159"/>
      <c r="X20" s="159"/>
      <c r="Y20" s="159"/>
      <c r="Z20" s="1163"/>
      <c r="AA20" s="160"/>
      <c r="AB20" s="160">
        <f t="shared" si="5"/>
        <v>0</v>
      </c>
    </row>
    <row r="21" spans="2:28">
      <c r="B21" s="179" t="s">
        <v>257</v>
      </c>
      <c r="C21" s="172"/>
      <c r="D21" s="172"/>
      <c r="E21" s="172"/>
      <c r="F21" s="154">
        <v>2</v>
      </c>
      <c r="G21" s="155">
        <v>1</v>
      </c>
      <c r="H21" s="155"/>
      <c r="I21" s="155"/>
      <c r="J21" s="155"/>
      <c r="K21" s="155"/>
      <c r="L21" s="155"/>
      <c r="M21" s="156">
        <v>1</v>
      </c>
      <c r="N21" s="209">
        <f t="shared" si="4"/>
        <v>4</v>
      </c>
      <c r="P21" s="153" t="s">
        <v>257</v>
      </c>
      <c r="Q21" s="163"/>
      <c r="R21" s="163"/>
      <c r="S21" s="163"/>
      <c r="T21" s="154"/>
      <c r="U21" s="155"/>
      <c r="V21" s="155"/>
      <c r="W21" s="155"/>
      <c r="X21" s="155"/>
      <c r="Y21" s="155"/>
      <c r="Z21" s="155"/>
      <c r="AA21" s="156"/>
      <c r="AB21" s="156">
        <f t="shared" si="5"/>
        <v>0</v>
      </c>
    </row>
    <row r="22" spans="2:28">
      <c r="B22" s="167" t="s">
        <v>258</v>
      </c>
      <c r="C22" s="171"/>
      <c r="D22" s="171"/>
      <c r="E22" s="171"/>
      <c r="F22" s="143">
        <v>0</v>
      </c>
      <c r="G22" s="144">
        <v>0</v>
      </c>
      <c r="H22" s="144">
        <v>0</v>
      </c>
      <c r="I22" s="144">
        <v>0</v>
      </c>
      <c r="J22" s="144">
        <v>0</v>
      </c>
      <c r="K22" s="144">
        <v>0</v>
      </c>
      <c r="L22" s="144">
        <v>0</v>
      </c>
      <c r="M22" s="145">
        <v>0</v>
      </c>
      <c r="N22" s="208">
        <f t="shared" si="4"/>
        <v>0</v>
      </c>
      <c r="P22" s="142" t="s">
        <v>258</v>
      </c>
      <c r="Q22" s="166"/>
      <c r="R22" s="166"/>
      <c r="S22" s="166"/>
      <c r="T22" s="143"/>
      <c r="U22" s="144"/>
      <c r="V22" s="144"/>
      <c r="W22" s="144"/>
      <c r="X22" s="144"/>
      <c r="Y22" s="144"/>
      <c r="Z22" s="144"/>
      <c r="AA22" s="144"/>
      <c r="AB22" s="186">
        <f t="shared" si="5"/>
        <v>0</v>
      </c>
    </row>
    <row r="23" spans="2:28">
      <c r="B23" s="167" t="s">
        <v>259</v>
      </c>
      <c r="C23" s="171"/>
      <c r="D23" s="171"/>
      <c r="E23" s="171"/>
      <c r="F23" s="150">
        <f>'INDICES CA 💵'!D38</f>
        <v>34075</v>
      </c>
      <c r="G23" s="150">
        <f>'INDICES CA 💵'!F38</f>
        <v>20855</v>
      </c>
      <c r="H23" s="150">
        <f>'INDICES CA 💵'!H38</f>
        <v>17339</v>
      </c>
      <c r="I23" s="150">
        <f>'INDICES CA 💵'!J38</f>
        <v>25608</v>
      </c>
      <c r="J23" s="150">
        <f>'INDICES CA 💵'!L38</f>
        <v>12364</v>
      </c>
      <c r="K23" s="150">
        <f>'INDICES CA 💵'!N38</f>
        <v>13629</v>
      </c>
      <c r="L23" s="150">
        <f>'INDICES CA 💵'!P38</f>
        <v>13796</v>
      </c>
      <c r="M23" s="149">
        <f>'INDICES CA 💵'!R38</f>
        <v>12782</v>
      </c>
      <c r="N23" s="188">
        <f t="shared" si="4"/>
        <v>150448</v>
      </c>
      <c r="P23" s="142" t="s">
        <v>259</v>
      </c>
      <c r="Q23" s="166"/>
      <c r="R23" s="166"/>
      <c r="S23" s="166"/>
      <c r="T23" s="150">
        <f>'INDICES CA 💵'!D44</f>
        <v>0</v>
      </c>
      <c r="U23" s="150">
        <f>'INDICES CA 💵'!F44</f>
        <v>0</v>
      </c>
      <c r="V23" s="150">
        <f>'INDICES CA 💵'!H44</f>
        <v>0</v>
      </c>
      <c r="W23" s="150">
        <f>'INDICES CA 💵'!J44</f>
        <v>0</v>
      </c>
      <c r="X23" s="150">
        <f>'INDICES CA 💵'!L44</f>
        <v>0</v>
      </c>
      <c r="Y23" s="150">
        <f>'INDICES CA 💵'!N44</f>
        <v>0</v>
      </c>
      <c r="Z23" s="150">
        <f>'INDICES CA 💵'!P44</f>
        <v>0</v>
      </c>
      <c r="AA23" s="149">
        <f>'INDICES CA 💵'!R44</f>
        <v>0</v>
      </c>
      <c r="AB23" s="187">
        <f t="shared" si="5"/>
        <v>0</v>
      </c>
    </row>
    <row r="24" spans="2:28" ht="30" customHeight="1" thickBot="1">
      <c r="B24" s="174" t="s">
        <v>260</v>
      </c>
      <c r="C24" s="175"/>
      <c r="D24" s="175"/>
      <c r="E24" s="175"/>
      <c r="F24" s="147">
        <f>(F18+F19+F20+F21+F22)*100000/F23</f>
        <v>41.08584005869406</v>
      </c>
      <c r="G24" s="147">
        <f>(G18+G19+G20+G21+G22)*100000/G23</f>
        <v>47.950131862862619</v>
      </c>
      <c r="H24" s="147">
        <f t="shared" ref="H24:M24" si="6">(H18+H19+H20+H21+H22)*100000/H23</f>
        <v>34.604071745775421</v>
      </c>
      <c r="I24" s="147">
        <f t="shared" si="6"/>
        <v>54.670415495157762</v>
      </c>
      <c r="J24" s="147">
        <f t="shared" si="6"/>
        <v>32.351989647363311</v>
      </c>
      <c r="K24" s="147">
        <f t="shared" si="6"/>
        <v>22.01188641866608</v>
      </c>
      <c r="L24" s="147">
        <f t="shared" si="6"/>
        <v>72.484778196578716</v>
      </c>
      <c r="M24" s="148">
        <f t="shared" si="6"/>
        <v>46.941010796432487</v>
      </c>
      <c r="N24" s="148">
        <f>(N18+N19+N20+N21+N22)*100000/N23</f>
        <v>44.533659470381792</v>
      </c>
      <c r="P24" s="146" t="s">
        <v>262</v>
      </c>
      <c r="Q24" s="165"/>
      <c r="R24" s="165"/>
      <c r="S24" s="165"/>
      <c r="T24" s="147" t="e">
        <f>(T18+T19+T20+T21+T22)*100000/T23</f>
        <v>#DIV/0!</v>
      </c>
      <c r="U24" s="147" t="e">
        <f>(U18+U19+U20+U21+U22)*100000/U23</f>
        <v>#DIV/0!</v>
      </c>
      <c r="V24" s="147" t="e">
        <f t="shared" ref="V24:AB24" si="7">(V18+V19+V20+V21+V22)*100000/V23</f>
        <v>#DIV/0!</v>
      </c>
      <c r="W24" s="147" t="e">
        <f t="shared" si="7"/>
        <v>#DIV/0!</v>
      </c>
      <c r="X24" s="147" t="e">
        <f t="shared" si="7"/>
        <v>#DIV/0!</v>
      </c>
      <c r="Y24" s="147" t="e">
        <f t="shared" si="7"/>
        <v>#DIV/0!</v>
      </c>
      <c r="Z24" s="147" t="e">
        <f t="shared" si="7"/>
        <v>#DIV/0!</v>
      </c>
      <c r="AA24" s="148" t="e">
        <f t="shared" si="7"/>
        <v>#DIV/0!</v>
      </c>
      <c r="AB24" s="148" t="e">
        <f t="shared" si="7"/>
        <v>#DIV/0!</v>
      </c>
    </row>
    <row r="25" spans="2:28" ht="17" thickBot="1">
      <c r="B25" s="178"/>
      <c r="C25" s="168"/>
      <c r="D25" s="168"/>
      <c r="E25" s="168"/>
    </row>
    <row r="26" spans="2:28">
      <c r="B26" s="1760" t="s">
        <v>261</v>
      </c>
      <c r="C26" s="169"/>
      <c r="D26" s="169"/>
      <c r="E26" s="169"/>
      <c r="F26" s="138">
        <f>F16</f>
        <v>471</v>
      </c>
      <c r="G26" s="138">
        <f t="shared" ref="G26:M26" si="8">G16</f>
        <v>978</v>
      </c>
      <c r="H26" s="138">
        <f t="shared" si="8"/>
        <v>1002</v>
      </c>
      <c r="I26" s="138">
        <f t="shared" si="8"/>
        <v>1174</v>
      </c>
      <c r="J26" s="138">
        <f t="shared" si="8"/>
        <v>1305</v>
      </c>
      <c r="K26" s="138">
        <f t="shared" si="8"/>
        <v>1454</v>
      </c>
      <c r="L26" s="138">
        <f t="shared" si="8"/>
        <v>1570</v>
      </c>
      <c r="M26" s="139">
        <f t="shared" si="8"/>
        <v>1755</v>
      </c>
      <c r="N26" s="1758" t="s">
        <v>37</v>
      </c>
      <c r="P26" s="1760" t="s">
        <v>263</v>
      </c>
      <c r="Q26" s="138"/>
      <c r="R26" s="138"/>
      <c r="S26" s="138"/>
      <c r="T26" s="138">
        <f>T16</f>
        <v>471</v>
      </c>
      <c r="U26" s="138">
        <f t="shared" ref="U26:AA26" si="9">U16</f>
        <v>978</v>
      </c>
      <c r="V26" s="138">
        <f t="shared" si="9"/>
        <v>1002</v>
      </c>
      <c r="W26" s="138">
        <f t="shared" si="9"/>
        <v>1174</v>
      </c>
      <c r="X26" s="138">
        <f t="shared" si="9"/>
        <v>1305</v>
      </c>
      <c r="Y26" s="138">
        <f t="shared" si="9"/>
        <v>1454</v>
      </c>
      <c r="Z26" s="138">
        <f t="shared" si="9"/>
        <v>1570</v>
      </c>
      <c r="AA26" s="139">
        <f t="shared" si="9"/>
        <v>1755</v>
      </c>
      <c r="AB26" s="1758" t="s">
        <v>37</v>
      </c>
    </row>
    <row r="27" spans="2:28">
      <c r="B27" s="1761"/>
      <c r="C27" s="170"/>
      <c r="D27" s="170"/>
      <c r="E27" s="170"/>
      <c r="F27" s="140" t="str">
        <f t="shared" ref="F27:M27" si="10">F17</f>
        <v>CHAMBERY</v>
      </c>
      <c r="G27" s="140" t="str">
        <f t="shared" si="10"/>
        <v>AIX LES BAINS</v>
      </c>
      <c r="H27" s="140" t="str">
        <f t="shared" si="10"/>
        <v>BELLEY</v>
      </c>
      <c r="I27" s="140" t="str">
        <f t="shared" si="10"/>
        <v>ST ALBAN</v>
      </c>
      <c r="J27" s="140" t="str">
        <f t="shared" si="10"/>
        <v>LES ABRETS</v>
      </c>
      <c r="K27" s="140" t="str">
        <f t="shared" si="10"/>
        <v>PDB</v>
      </c>
      <c r="L27" s="140" t="str">
        <f t="shared" si="10"/>
        <v>FRANCIN</v>
      </c>
      <c r="M27" s="141" t="str">
        <f t="shared" si="10"/>
        <v>VIVIERS</v>
      </c>
      <c r="N27" s="1759"/>
      <c r="P27" s="1761"/>
      <c r="Q27" s="140"/>
      <c r="R27" s="140"/>
      <c r="S27" s="140"/>
      <c r="T27" s="140" t="str">
        <f t="shared" ref="T27:AA27" si="11">T17</f>
        <v>CHAMBERY</v>
      </c>
      <c r="U27" s="140" t="str">
        <f t="shared" si="11"/>
        <v>AIX LES BAINS</v>
      </c>
      <c r="V27" s="140" t="str">
        <f t="shared" si="11"/>
        <v>BELLEY</v>
      </c>
      <c r="W27" s="140" t="str">
        <f t="shared" si="11"/>
        <v>ST ALBAN</v>
      </c>
      <c r="X27" s="140" t="str">
        <f t="shared" si="11"/>
        <v>LES ABRETS</v>
      </c>
      <c r="Y27" s="140" t="str">
        <f t="shared" si="11"/>
        <v>PDB</v>
      </c>
      <c r="Z27" s="140" t="str">
        <f t="shared" si="11"/>
        <v>FRANCIN</v>
      </c>
      <c r="AA27" s="141" t="str">
        <f t="shared" si="11"/>
        <v>VIVIERS</v>
      </c>
      <c r="AB27" s="1759"/>
    </row>
    <row r="28" spans="2:28">
      <c r="B28" s="167" t="s">
        <v>254</v>
      </c>
      <c r="C28" s="171"/>
      <c r="D28" s="171"/>
      <c r="E28" s="171"/>
      <c r="F28" s="1578">
        <v>5</v>
      </c>
      <c r="G28" s="144">
        <v>5</v>
      </c>
      <c r="H28" s="144">
        <v>1</v>
      </c>
      <c r="I28" s="144">
        <v>3</v>
      </c>
      <c r="J28" s="144">
        <v>1</v>
      </c>
      <c r="K28" s="144"/>
      <c r="L28" s="144">
        <v>3</v>
      </c>
      <c r="M28" s="145">
        <v>1</v>
      </c>
      <c r="N28" s="208">
        <f t="shared" ref="N28:N33" si="12">SUM(F28:M28)</f>
        <v>19</v>
      </c>
      <c r="P28" s="142" t="s">
        <v>254</v>
      </c>
      <c r="Q28" s="166"/>
      <c r="R28" s="166"/>
      <c r="S28" s="166"/>
      <c r="T28" s="143"/>
      <c r="U28" s="144"/>
      <c r="V28" s="144"/>
      <c r="W28" s="144"/>
      <c r="X28" s="144"/>
      <c r="Y28" s="144"/>
      <c r="Z28" s="144"/>
      <c r="AA28" s="145"/>
      <c r="AB28" s="208">
        <f t="shared" ref="AB28:AB33" si="13">SUM(T28:AA28)</f>
        <v>0</v>
      </c>
    </row>
    <row r="29" spans="2:28">
      <c r="B29" s="179" t="s">
        <v>255</v>
      </c>
      <c r="C29" s="172"/>
      <c r="D29" s="172"/>
      <c r="E29" s="172"/>
      <c r="F29" s="154">
        <v>4</v>
      </c>
      <c r="G29" s="155">
        <v>3</v>
      </c>
      <c r="H29" s="155">
        <v>2</v>
      </c>
      <c r="I29" s="155">
        <v>1</v>
      </c>
      <c r="J29" s="155">
        <v>1</v>
      </c>
      <c r="K29" s="155">
        <v>1</v>
      </c>
      <c r="L29" s="155">
        <v>1</v>
      </c>
      <c r="M29" s="156">
        <v>1</v>
      </c>
      <c r="N29" s="209">
        <f t="shared" si="12"/>
        <v>14</v>
      </c>
      <c r="P29" s="153" t="s">
        <v>255</v>
      </c>
      <c r="Q29" s="163"/>
      <c r="R29" s="163"/>
      <c r="S29" s="163"/>
      <c r="T29" s="154"/>
      <c r="U29" s="155"/>
      <c r="V29" s="155"/>
      <c r="W29" s="155"/>
      <c r="X29" s="155"/>
      <c r="Y29" s="155"/>
      <c r="Z29" s="155"/>
      <c r="AA29" s="156"/>
      <c r="AB29" s="209">
        <f t="shared" si="13"/>
        <v>0</v>
      </c>
    </row>
    <row r="30" spans="2:28">
      <c r="B30" s="180" t="s">
        <v>256</v>
      </c>
      <c r="C30" s="173"/>
      <c r="D30" s="173"/>
      <c r="E30" s="173"/>
      <c r="F30" s="158">
        <v>5</v>
      </c>
      <c r="G30" s="159">
        <v>4</v>
      </c>
      <c r="H30" s="159"/>
      <c r="I30" s="159">
        <v>7</v>
      </c>
      <c r="J30" s="159">
        <v>2</v>
      </c>
      <c r="K30" s="159">
        <v>2</v>
      </c>
      <c r="L30" s="159">
        <v>2</v>
      </c>
      <c r="M30" s="160">
        <v>3</v>
      </c>
      <c r="N30" s="210">
        <f t="shared" si="12"/>
        <v>25</v>
      </c>
      <c r="P30" s="157" t="s">
        <v>256</v>
      </c>
      <c r="Q30" s="164"/>
      <c r="R30" s="164"/>
      <c r="S30" s="164"/>
      <c r="T30" s="158"/>
      <c r="U30" s="159"/>
      <c r="V30" s="159"/>
      <c r="W30" s="159"/>
      <c r="X30" s="159"/>
      <c r="Y30" s="159"/>
      <c r="Z30" s="159"/>
      <c r="AA30" s="160"/>
      <c r="AB30" s="210">
        <f t="shared" si="13"/>
        <v>0</v>
      </c>
    </row>
    <row r="31" spans="2:28">
      <c r="B31" s="179" t="s">
        <v>257</v>
      </c>
      <c r="C31" s="172"/>
      <c r="D31" s="172"/>
      <c r="E31" s="172"/>
      <c r="F31" s="154">
        <v>2</v>
      </c>
      <c r="G31" s="155">
        <v>2</v>
      </c>
      <c r="H31" s="155">
        <v>1</v>
      </c>
      <c r="I31" s="155"/>
      <c r="J31" s="155">
        <v>1</v>
      </c>
      <c r="K31" s="155">
        <v>1</v>
      </c>
      <c r="L31" s="155">
        <v>1</v>
      </c>
      <c r="M31" s="156">
        <v>1</v>
      </c>
      <c r="N31" s="209">
        <f t="shared" si="12"/>
        <v>9</v>
      </c>
      <c r="P31" s="153" t="s">
        <v>257</v>
      </c>
      <c r="Q31" s="163"/>
      <c r="R31" s="163"/>
      <c r="S31" s="163"/>
      <c r="T31" s="154"/>
      <c r="U31" s="155"/>
      <c r="V31" s="155"/>
      <c r="W31" s="155"/>
      <c r="X31" s="155"/>
      <c r="Y31" s="155"/>
      <c r="Z31" s="155"/>
      <c r="AA31" s="156"/>
      <c r="AB31" s="209">
        <f t="shared" si="13"/>
        <v>0</v>
      </c>
    </row>
    <row r="32" spans="2:28">
      <c r="B32" s="167" t="s">
        <v>258</v>
      </c>
      <c r="C32" s="171"/>
      <c r="D32" s="171"/>
      <c r="E32" s="171"/>
      <c r="F32" s="143">
        <v>0</v>
      </c>
      <c r="G32" s="144">
        <v>0</v>
      </c>
      <c r="H32" s="144">
        <v>0</v>
      </c>
      <c r="I32" s="144">
        <v>0</v>
      </c>
      <c r="J32" s="144">
        <v>0</v>
      </c>
      <c r="K32" s="144">
        <v>0</v>
      </c>
      <c r="L32" s="144">
        <v>0</v>
      </c>
      <c r="M32" s="145">
        <v>0</v>
      </c>
      <c r="N32" s="208">
        <f t="shared" si="12"/>
        <v>0</v>
      </c>
      <c r="P32" s="142" t="s">
        <v>258</v>
      </c>
      <c r="Q32" s="166"/>
      <c r="R32" s="166"/>
      <c r="S32" s="166"/>
      <c r="T32" s="143"/>
      <c r="U32" s="144"/>
      <c r="V32" s="144"/>
      <c r="W32" s="144"/>
      <c r="X32" s="144"/>
      <c r="Y32" s="144"/>
      <c r="Z32" s="144"/>
      <c r="AA32" s="145"/>
      <c r="AB32" s="208">
        <f t="shared" si="13"/>
        <v>0</v>
      </c>
    </row>
    <row r="33" spans="2:28">
      <c r="B33" s="167" t="s">
        <v>259</v>
      </c>
      <c r="C33" s="171"/>
      <c r="D33" s="171"/>
      <c r="E33" s="171"/>
      <c r="F33" s="150">
        <f>'INDICES CA 💵'!D39</f>
        <v>31123</v>
      </c>
      <c r="G33" s="150">
        <f>'INDICES CA 💵'!F39</f>
        <v>21170</v>
      </c>
      <c r="H33" s="150">
        <f>'INDICES CA 💵'!H39</f>
        <v>16117</v>
      </c>
      <c r="I33" s="150">
        <f>'INDICES CA 💵'!J39</f>
        <v>22711</v>
      </c>
      <c r="J33" s="150">
        <f>'INDICES CA 💵'!L39</f>
        <v>11487</v>
      </c>
      <c r="K33" s="150">
        <f>'INDICES CA 💵'!N39</f>
        <v>12948</v>
      </c>
      <c r="L33" s="150">
        <f>'INDICES CA 💵'!P39</f>
        <v>13026</v>
      </c>
      <c r="M33" s="149">
        <f>'INDICES CA 💵'!R39</f>
        <v>11185</v>
      </c>
      <c r="N33" s="188">
        <f t="shared" si="12"/>
        <v>139767</v>
      </c>
      <c r="P33" s="142" t="s">
        <v>259</v>
      </c>
      <c r="Q33" s="166"/>
      <c r="R33" s="166"/>
      <c r="S33" s="166"/>
      <c r="T33" s="150">
        <f>'INDICES CA 💵'!D45</f>
        <v>0</v>
      </c>
      <c r="U33" s="150">
        <f>'INDICES CA 💵'!F45</f>
        <v>0</v>
      </c>
      <c r="V33" s="150">
        <f>'INDICES CA 💵'!H45</f>
        <v>0</v>
      </c>
      <c r="W33" s="150">
        <f>'INDICES CA 💵'!J45</f>
        <v>0</v>
      </c>
      <c r="X33" s="150">
        <f>'INDICES CA 💵'!L45</f>
        <v>0</v>
      </c>
      <c r="Y33" s="150">
        <f>'INDICES CA 💵'!N45</f>
        <v>0</v>
      </c>
      <c r="Z33" s="150">
        <f>'INDICES CA 💵'!P45</f>
        <v>0</v>
      </c>
      <c r="AA33" s="149">
        <f>'INDICES CA 💵'!R45</f>
        <v>0</v>
      </c>
      <c r="AB33" s="188">
        <f t="shared" si="13"/>
        <v>0</v>
      </c>
    </row>
    <row r="34" spans="2:28" ht="30" customHeight="1" thickBot="1">
      <c r="B34" s="174" t="s">
        <v>260</v>
      </c>
      <c r="C34" s="175"/>
      <c r="D34" s="175"/>
      <c r="E34" s="175"/>
      <c r="F34" s="147">
        <f>(F28+F29+F30+F31+F32)*100000/F33</f>
        <v>51.408925874755006</v>
      </c>
      <c r="G34" s="147">
        <f>(G28+G29+G30+G31+G32)*100000/G33</f>
        <v>66.131317902692487</v>
      </c>
      <c r="H34" s="147">
        <f t="shared" ref="H34:N34" si="14">(H28+H29+H30+H31+H32)*100000/H33</f>
        <v>24.818514611900479</v>
      </c>
      <c r="I34" s="147">
        <f t="shared" si="14"/>
        <v>48.434679230328918</v>
      </c>
      <c r="J34" s="147">
        <f t="shared" si="14"/>
        <v>43.52746583093932</v>
      </c>
      <c r="K34" s="147">
        <f t="shared" si="14"/>
        <v>30.892801977139328</v>
      </c>
      <c r="L34" s="147">
        <f t="shared" si="14"/>
        <v>53.73867649316751</v>
      </c>
      <c r="M34" s="148">
        <f t="shared" si="14"/>
        <v>53.643272239606617</v>
      </c>
      <c r="N34" s="148">
        <f t="shared" si="14"/>
        <v>47.936923594267604</v>
      </c>
      <c r="P34" s="146" t="s">
        <v>262</v>
      </c>
      <c r="Q34" s="165"/>
      <c r="R34" s="165"/>
      <c r="S34" s="165"/>
      <c r="T34" s="147" t="e">
        <f>(T28+T29+T30+T31+T32)*100000/T33</f>
        <v>#DIV/0!</v>
      </c>
      <c r="U34" s="147" t="e">
        <f>(U28+U29+U30+U31+U32)*100000/U33</f>
        <v>#DIV/0!</v>
      </c>
      <c r="V34" s="147" t="e">
        <f t="shared" ref="V34:AB34" si="15">(V28+V29+V30+V31+V32)*100000/V33</f>
        <v>#DIV/0!</v>
      </c>
      <c r="W34" s="147" t="e">
        <f t="shared" si="15"/>
        <v>#DIV/0!</v>
      </c>
      <c r="X34" s="147" t="e">
        <f t="shared" si="15"/>
        <v>#DIV/0!</v>
      </c>
      <c r="Y34" s="147" t="e">
        <f t="shared" si="15"/>
        <v>#DIV/0!</v>
      </c>
      <c r="Z34" s="147" t="e">
        <f t="shared" si="15"/>
        <v>#DIV/0!</v>
      </c>
      <c r="AA34" s="148" t="e">
        <f t="shared" si="15"/>
        <v>#DIV/0!</v>
      </c>
      <c r="AB34" s="148" t="e">
        <f t="shared" si="15"/>
        <v>#DIV/0!</v>
      </c>
    </row>
    <row r="35" spans="2:28" ht="17" thickBot="1">
      <c r="B35" s="178"/>
      <c r="C35" s="168"/>
      <c r="D35" s="168"/>
      <c r="E35" s="168"/>
    </row>
    <row r="36" spans="2:28">
      <c r="B36" s="1760" t="s">
        <v>17</v>
      </c>
      <c r="C36" s="169"/>
      <c r="D36" s="169"/>
      <c r="E36" s="169"/>
      <c r="F36" s="138">
        <f t="shared" ref="F36:M36" si="16">F26</f>
        <v>471</v>
      </c>
      <c r="G36" s="138">
        <f t="shared" si="16"/>
        <v>978</v>
      </c>
      <c r="H36" s="138">
        <f t="shared" si="16"/>
        <v>1002</v>
      </c>
      <c r="I36" s="138">
        <f t="shared" si="16"/>
        <v>1174</v>
      </c>
      <c r="J36" s="138">
        <f t="shared" si="16"/>
        <v>1305</v>
      </c>
      <c r="K36" s="138">
        <f t="shared" si="16"/>
        <v>1454</v>
      </c>
      <c r="L36" s="138">
        <f t="shared" si="16"/>
        <v>1570</v>
      </c>
      <c r="M36" s="139">
        <f t="shared" si="16"/>
        <v>1755</v>
      </c>
      <c r="N36" s="1758" t="s">
        <v>37</v>
      </c>
      <c r="P36" s="1760" t="s">
        <v>22</v>
      </c>
      <c r="Q36" s="138"/>
      <c r="R36" s="138"/>
      <c r="S36" s="138"/>
      <c r="T36" s="138">
        <f>T26</f>
        <v>471</v>
      </c>
      <c r="U36" s="138">
        <f t="shared" ref="U36:AA36" si="17">U26</f>
        <v>978</v>
      </c>
      <c r="V36" s="138">
        <f t="shared" si="17"/>
        <v>1002</v>
      </c>
      <c r="W36" s="138">
        <f t="shared" si="17"/>
        <v>1174</v>
      </c>
      <c r="X36" s="138">
        <f t="shared" si="17"/>
        <v>1305</v>
      </c>
      <c r="Y36" s="138">
        <f t="shared" si="17"/>
        <v>1454</v>
      </c>
      <c r="Z36" s="138">
        <f t="shared" si="17"/>
        <v>1570</v>
      </c>
      <c r="AA36" s="139">
        <f t="shared" si="17"/>
        <v>1755</v>
      </c>
      <c r="AB36" s="1758" t="s">
        <v>37</v>
      </c>
    </row>
    <row r="37" spans="2:28">
      <c r="B37" s="1761"/>
      <c r="C37" s="170"/>
      <c r="D37" s="170"/>
      <c r="E37" s="170"/>
      <c r="F37" s="140" t="str">
        <f t="shared" ref="F37:M37" si="18">F27</f>
        <v>CHAMBERY</v>
      </c>
      <c r="G37" s="140" t="str">
        <f t="shared" si="18"/>
        <v>AIX LES BAINS</v>
      </c>
      <c r="H37" s="140" t="str">
        <f t="shared" si="18"/>
        <v>BELLEY</v>
      </c>
      <c r="I37" s="140" t="str">
        <f t="shared" si="18"/>
        <v>ST ALBAN</v>
      </c>
      <c r="J37" s="140" t="str">
        <f t="shared" si="18"/>
        <v>LES ABRETS</v>
      </c>
      <c r="K37" s="140" t="str">
        <f t="shared" si="18"/>
        <v>PDB</v>
      </c>
      <c r="L37" s="140" t="str">
        <f t="shared" si="18"/>
        <v>FRANCIN</v>
      </c>
      <c r="M37" s="141" t="str">
        <f t="shared" si="18"/>
        <v>VIVIERS</v>
      </c>
      <c r="N37" s="1759"/>
      <c r="P37" s="1761"/>
      <c r="Q37" s="140"/>
      <c r="R37" s="140"/>
      <c r="S37" s="140"/>
      <c r="T37" s="140" t="str">
        <f t="shared" ref="T37:AA37" si="19">T27</f>
        <v>CHAMBERY</v>
      </c>
      <c r="U37" s="140" t="str">
        <f t="shared" si="19"/>
        <v>AIX LES BAINS</v>
      </c>
      <c r="V37" s="140" t="str">
        <f t="shared" si="19"/>
        <v>BELLEY</v>
      </c>
      <c r="W37" s="140" t="str">
        <f t="shared" si="19"/>
        <v>ST ALBAN</v>
      </c>
      <c r="X37" s="140" t="str">
        <f t="shared" si="19"/>
        <v>LES ABRETS</v>
      </c>
      <c r="Y37" s="140" t="str">
        <f t="shared" si="19"/>
        <v>PDB</v>
      </c>
      <c r="Z37" s="140" t="str">
        <f t="shared" si="19"/>
        <v>FRANCIN</v>
      </c>
      <c r="AA37" s="141" t="str">
        <f t="shared" si="19"/>
        <v>VIVIERS</v>
      </c>
      <c r="AB37" s="1759"/>
    </row>
    <row r="38" spans="2:28">
      <c r="B38" s="167" t="s">
        <v>254</v>
      </c>
      <c r="C38" s="171"/>
      <c r="D38" s="171"/>
      <c r="E38" s="171"/>
      <c r="F38" s="143">
        <v>7</v>
      </c>
      <c r="G38" s="144">
        <v>3</v>
      </c>
      <c r="H38" s="144">
        <v>1</v>
      </c>
      <c r="I38" s="144">
        <v>3</v>
      </c>
      <c r="J38" s="144"/>
      <c r="K38" s="144">
        <v>2</v>
      </c>
      <c r="L38" s="144">
        <v>1</v>
      </c>
      <c r="M38" s="145">
        <v>3</v>
      </c>
      <c r="N38" s="208">
        <f t="shared" ref="N38:N43" si="20">SUM(F38:M38)</f>
        <v>20</v>
      </c>
      <c r="P38" s="142" t="s">
        <v>254</v>
      </c>
      <c r="Q38" s="166"/>
      <c r="R38" s="166"/>
      <c r="S38" s="166"/>
      <c r="T38" s="143"/>
      <c r="U38" s="144"/>
      <c r="V38" s="144"/>
      <c r="W38" s="144"/>
      <c r="X38" s="144"/>
      <c r="Y38" s="144"/>
      <c r="Z38" s="144"/>
      <c r="AA38" s="145"/>
      <c r="AB38" s="145">
        <f t="shared" ref="AB38:AB43" si="21">SUM(T38:AA38)</f>
        <v>0</v>
      </c>
    </row>
    <row r="39" spans="2:28">
      <c r="B39" s="179" t="s">
        <v>255</v>
      </c>
      <c r="C39" s="172"/>
      <c r="D39" s="172"/>
      <c r="E39" s="172"/>
      <c r="F39" s="154">
        <v>0</v>
      </c>
      <c r="G39" s="155">
        <v>2</v>
      </c>
      <c r="H39" s="155"/>
      <c r="I39" s="155">
        <v>2</v>
      </c>
      <c r="J39" s="155"/>
      <c r="K39" s="155"/>
      <c r="L39" s="155">
        <v>1</v>
      </c>
      <c r="M39" s="156">
        <v>1</v>
      </c>
      <c r="N39" s="209">
        <f t="shared" si="20"/>
        <v>6</v>
      </c>
      <c r="P39" s="153" t="s">
        <v>255</v>
      </c>
      <c r="Q39" s="163"/>
      <c r="R39" s="163"/>
      <c r="S39" s="163"/>
      <c r="T39" s="154"/>
      <c r="U39" s="155"/>
      <c r="V39" s="155"/>
      <c r="W39" s="155"/>
      <c r="X39" s="155"/>
      <c r="Y39" s="155"/>
      <c r="Z39" s="155"/>
      <c r="AA39" s="156"/>
      <c r="AB39" s="156">
        <f t="shared" si="21"/>
        <v>0</v>
      </c>
    </row>
    <row r="40" spans="2:28">
      <c r="B40" s="180" t="s">
        <v>256</v>
      </c>
      <c r="C40" s="173"/>
      <c r="D40" s="173"/>
      <c r="E40" s="173"/>
      <c r="F40" s="158">
        <v>6</v>
      </c>
      <c r="G40" s="159">
        <v>4</v>
      </c>
      <c r="H40" s="159">
        <v>2</v>
      </c>
      <c r="I40" s="159">
        <v>6</v>
      </c>
      <c r="J40" s="159">
        <v>2</v>
      </c>
      <c r="K40" s="159"/>
      <c r="L40" s="159">
        <v>1</v>
      </c>
      <c r="M40" s="160">
        <v>5</v>
      </c>
      <c r="N40" s="210">
        <f t="shared" si="20"/>
        <v>26</v>
      </c>
      <c r="P40" s="157" t="s">
        <v>256</v>
      </c>
      <c r="Q40" s="164"/>
      <c r="R40" s="164"/>
      <c r="S40" s="164"/>
      <c r="T40" s="158"/>
      <c r="U40" s="159"/>
      <c r="V40" s="159"/>
      <c r="W40" s="159"/>
      <c r="X40" s="159"/>
      <c r="Y40" s="159"/>
      <c r="Z40" s="159"/>
      <c r="AA40" s="160"/>
      <c r="AB40" s="160">
        <f t="shared" si="21"/>
        <v>0</v>
      </c>
    </row>
    <row r="41" spans="2:28">
      <c r="B41" s="179" t="s">
        <v>257</v>
      </c>
      <c r="C41" s="172"/>
      <c r="D41" s="172"/>
      <c r="E41" s="172"/>
      <c r="F41" s="154">
        <v>1</v>
      </c>
      <c r="G41" s="155">
        <v>2</v>
      </c>
      <c r="H41" s="155"/>
      <c r="I41" s="155">
        <v>2</v>
      </c>
      <c r="J41" s="155">
        <v>1</v>
      </c>
      <c r="K41" s="155"/>
      <c r="L41" s="155"/>
      <c r="M41" s="156"/>
      <c r="N41" s="209">
        <f t="shared" si="20"/>
        <v>6</v>
      </c>
      <c r="P41" s="153" t="s">
        <v>257</v>
      </c>
      <c r="Q41" s="163"/>
      <c r="R41" s="163"/>
      <c r="S41" s="163"/>
      <c r="T41" s="154"/>
      <c r="U41" s="155"/>
      <c r="V41" s="155"/>
      <c r="W41" s="155"/>
      <c r="X41" s="155"/>
      <c r="Y41" s="155"/>
      <c r="Z41" s="155"/>
      <c r="AA41" s="156"/>
      <c r="AB41" s="156">
        <f t="shared" si="21"/>
        <v>0</v>
      </c>
    </row>
    <row r="42" spans="2:28">
      <c r="B42" s="167" t="s">
        <v>258</v>
      </c>
      <c r="C42" s="171"/>
      <c r="D42" s="171"/>
      <c r="E42" s="171"/>
      <c r="F42" s="143"/>
      <c r="G42" s="144"/>
      <c r="H42" s="144"/>
      <c r="I42" s="144"/>
      <c r="J42" s="144"/>
      <c r="K42" s="144"/>
      <c r="L42" s="144"/>
      <c r="M42" s="145"/>
      <c r="N42" s="208">
        <f t="shared" si="20"/>
        <v>0</v>
      </c>
      <c r="P42" s="142" t="s">
        <v>258</v>
      </c>
      <c r="Q42" s="166"/>
      <c r="R42" s="166"/>
      <c r="S42" s="166"/>
      <c r="T42" s="143"/>
      <c r="U42" s="144"/>
      <c r="V42" s="144"/>
      <c r="W42" s="144"/>
      <c r="X42" s="144"/>
      <c r="Y42" s="144"/>
      <c r="Z42" s="144"/>
      <c r="AA42" s="145"/>
      <c r="AB42" s="145">
        <f t="shared" si="21"/>
        <v>0</v>
      </c>
    </row>
    <row r="43" spans="2:28">
      <c r="B43" s="167" t="s">
        <v>259</v>
      </c>
      <c r="C43" s="171"/>
      <c r="D43" s="171"/>
      <c r="E43" s="171"/>
      <c r="F43" s="150">
        <f>'INDICES CA 💵'!D40</f>
        <v>32183</v>
      </c>
      <c r="G43" s="150">
        <f>'INDICES CA 💵'!F40</f>
        <v>21495</v>
      </c>
      <c r="H43" s="150">
        <f>'INDICES CA 💵'!H40</f>
        <v>16910</v>
      </c>
      <c r="I43" s="150">
        <f>'INDICES CA 💵'!J40</f>
        <v>24719</v>
      </c>
      <c r="J43" s="150">
        <f>'INDICES CA 💵'!L40</f>
        <v>12717</v>
      </c>
      <c r="K43" s="150">
        <f>'INDICES CA 💵'!N40</f>
        <v>13963</v>
      </c>
      <c r="L43" s="150">
        <f>'INDICES CA 💵'!P40</f>
        <v>13421</v>
      </c>
      <c r="M43" s="149">
        <f>'INDICES CA 💵'!R40</f>
        <v>12196</v>
      </c>
      <c r="N43" s="188">
        <f t="shared" si="20"/>
        <v>147604</v>
      </c>
      <c r="P43" s="142" t="s">
        <v>259</v>
      </c>
      <c r="Q43" s="166"/>
      <c r="R43" s="166"/>
      <c r="S43" s="166"/>
      <c r="T43" s="150">
        <f>'INDICES CA 💵'!D46</f>
        <v>0</v>
      </c>
      <c r="U43" s="150">
        <f>'INDICES CA 💵'!F46</f>
        <v>0</v>
      </c>
      <c r="V43" s="150">
        <f>'INDICES CA 💵'!H46</f>
        <v>0</v>
      </c>
      <c r="W43" s="150">
        <f>'INDICES CA 💵'!J46</f>
        <v>0</v>
      </c>
      <c r="X43" s="150">
        <f>'INDICES CA 💵'!L46</f>
        <v>0</v>
      </c>
      <c r="Y43" s="150">
        <f>'INDICES CA 💵'!N46</f>
        <v>0</v>
      </c>
      <c r="Z43" s="150">
        <f>'INDICES CA 💵'!P46</f>
        <v>0</v>
      </c>
      <c r="AA43" s="149">
        <f>'INDICES CA 💵'!R46</f>
        <v>0</v>
      </c>
      <c r="AB43" s="149">
        <f t="shared" si="21"/>
        <v>0</v>
      </c>
    </row>
    <row r="44" spans="2:28" ht="30" customHeight="1" thickBot="1">
      <c r="B44" s="174" t="s">
        <v>260</v>
      </c>
      <c r="C44" s="175"/>
      <c r="D44" s="175"/>
      <c r="E44" s="175"/>
      <c r="F44" s="147">
        <f>(F38+F39+F40+F41+F42)*100000/F43</f>
        <v>43.501227356057548</v>
      </c>
      <c r="G44" s="147">
        <f>(G38+G39+G40+G41+G42)*100000/G43</f>
        <v>51.174691788788088</v>
      </c>
      <c r="H44" s="147">
        <f t="shared" ref="H44:N44" si="22">(H38+H39+H40+H41+H42)*100000/H43</f>
        <v>17.740981667652278</v>
      </c>
      <c r="I44" s="147">
        <f t="shared" si="22"/>
        <v>52.591124236417329</v>
      </c>
      <c r="J44" s="147">
        <f t="shared" si="22"/>
        <v>23.590469450342063</v>
      </c>
      <c r="K44" s="147">
        <f t="shared" si="22"/>
        <v>14.323569433502829</v>
      </c>
      <c r="L44" s="147">
        <f t="shared" si="22"/>
        <v>22.353028835407198</v>
      </c>
      <c r="M44" s="148">
        <f t="shared" si="22"/>
        <v>73.794686782551651</v>
      </c>
      <c r="N44" s="148">
        <f t="shared" si="22"/>
        <v>39.294328066990055</v>
      </c>
      <c r="P44" s="146" t="s">
        <v>262</v>
      </c>
      <c r="Q44" s="165"/>
      <c r="R44" s="165"/>
      <c r="S44" s="165"/>
      <c r="T44" s="147" t="e">
        <f>(T38+T39+T40+T41+T42)*100000/T43</f>
        <v>#DIV/0!</v>
      </c>
      <c r="U44" s="147" t="e">
        <f>(U38+U39+U40+U41+U42)*100000/U43</f>
        <v>#DIV/0!</v>
      </c>
      <c r="V44" s="147" t="e">
        <f t="shared" ref="V44:AB44" si="23">(V38+V39+V40+V41+V42)*100000/V43</f>
        <v>#DIV/0!</v>
      </c>
      <c r="W44" s="147" t="e">
        <f t="shared" si="23"/>
        <v>#DIV/0!</v>
      </c>
      <c r="X44" s="147" t="e">
        <f t="shared" si="23"/>
        <v>#DIV/0!</v>
      </c>
      <c r="Y44" s="147" t="e">
        <f t="shared" si="23"/>
        <v>#DIV/0!</v>
      </c>
      <c r="Z44" s="147" t="e">
        <f t="shared" si="23"/>
        <v>#DIV/0!</v>
      </c>
      <c r="AA44" s="148" t="e">
        <f t="shared" si="23"/>
        <v>#DIV/0!</v>
      </c>
      <c r="AB44" s="148" t="e">
        <f t="shared" si="23"/>
        <v>#DIV/0!</v>
      </c>
    </row>
    <row r="45" spans="2:28" ht="17" thickBot="1">
      <c r="B45" s="178"/>
      <c r="C45" s="168"/>
      <c r="D45" s="168"/>
      <c r="E45" s="168"/>
    </row>
    <row r="46" spans="2:28">
      <c r="B46" s="1760" t="s">
        <v>18</v>
      </c>
      <c r="C46" s="169"/>
      <c r="D46" s="169"/>
      <c r="E46" s="169"/>
      <c r="F46" s="138">
        <f t="shared" ref="F46:M46" si="24">F36</f>
        <v>471</v>
      </c>
      <c r="G46" s="138">
        <f t="shared" si="24"/>
        <v>978</v>
      </c>
      <c r="H46" s="138">
        <f t="shared" si="24"/>
        <v>1002</v>
      </c>
      <c r="I46" s="138">
        <f t="shared" si="24"/>
        <v>1174</v>
      </c>
      <c r="J46" s="138">
        <f t="shared" si="24"/>
        <v>1305</v>
      </c>
      <c r="K46" s="138">
        <f t="shared" si="24"/>
        <v>1454</v>
      </c>
      <c r="L46" s="138">
        <f t="shared" si="24"/>
        <v>1570</v>
      </c>
      <c r="M46" s="139">
        <f t="shared" si="24"/>
        <v>1755</v>
      </c>
      <c r="N46" s="1758" t="s">
        <v>37</v>
      </c>
      <c r="P46" s="1760" t="s">
        <v>23</v>
      </c>
      <c r="Q46" s="138"/>
      <c r="R46" s="138"/>
      <c r="S46" s="138"/>
      <c r="T46" s="138">
        <f>T36</f>
        <v>471</v>
      </c>
      <c r="U46" s="138">
        <f t="shared" ref="U46:AA46" si="25">U36</f>
        <v>978</v>
      </c>
      <c r="V46" s="138">
        <f t="shared" si="25"/>
        <v>1002</v>
      </c>
      <c r="W46" s="138">
        <f t="shared" si="25"/>
        <v>1174</v>
      </c>
      <c r="X46" s="138">
        <f t="shared" si="25"/>
        <v>1305</v>
      </c>
      <c r="Y46" s="138">
        <f t="shared" si="25"/>
        <v>1454</v>
      </c>
      <c r="Z46" s="138">
        <f t="shared" si="25"/>
        <v>1570</v>
      </c>
      <c r="AA46" s="139">
        <f t="shared" si="25"/>
        <v>1755</v>
      </c>
      <c r="AB46" s="1758" t="s">
        <v>37</v>
      </c>
    </row>
    <row r="47" spans="2:28">
      <c r="B47" s="1761"/>
      <c r="C47" s="170"/>
      <c r="D47" s="170"/>
      <c r="E47" s="170"/>
      <c r="F47" s="140" t="str">
        <f t="shared" ref="F47:M47" si="26">F37</f>
        <v>CHAMBERY</v>
      </c>
      <c r="G47" s="140" t="str">
        <f t="shared" si="26"/>
        <v>AIX LES BAINS</v>
      </c>
      <c r="H47" s="140" t="str">
        <f t="shared" si="26"/>
        <v>BELLEY</v>
      </c>
      <c r="I47" s="140" t="str">
        <f t="shared" si="26"/>
        <v>ST ALBAN</v>
      </c>
      <c r="J47" s="140" t="str">
        <f t="shared" si="26"/>
        <v>LES ABRETS</v>
      </c>
      <c r="K47" s="140" t="str">
        <f t="shared" si="26"/>
        <v>PDB</v>
      </c>
      <c r="L47" s="140" t="str">
        <f t="shared" si="26"/>
        <v>FRANCIN</v>
      </c>
      <c r="M47" s="141" t="str">
        <f t="shared" si="26"/>
        <v>VIVIERS</v>
      </c>
      <c r="N47" s="1759"/>
      <c r="P47" s="1761"/>
      <c r="Q47" s="140"/>
      <c r="R47" s="140"/>
      <c r="S47" s="140"/>
      <c r="T47" s="140" t="str">
        <f t="shared" ref="T47:AA47" si="27">T37</f>
        <v>CHAMBERY</v>
      </c>
      <c r="U47" s="140" t="str">
        <f t="shared" si="27"/>
        <v>AIX LES BAINS</v>
      </c>
      <c r="V47" s="140" t="str">
        <f t="shared" si="27"/>
        <v>BELLEY</v>
      </c>
      <c r="W47" s="140" t="str">
        <f t="shared" si="27"/>
        <v>ST ALBAN</v>
      </c>
      <c r="X47" s="140" t="str">
        <f t="shared" si="27"/>
        <v>LES ABRETS</v>
      </c>
      <c r="Y47" s="140" t="str">
        <f t="shared" si="27"/>
        <v>PDB</v>
      </c>
      <c r="Z47" s="140" t="str">
        <f t="shared" si="27"/>
        <v>FRANCIN</v>
      </c>
      <c r="AA47" s="141" t="str">
        <f t="shared" si="27"/>
        <v>VIVIERS</v>
      </c>
      <c r="AB47" s="1759"/>
    </row>
    <row r="48" spans="2:28">
      <c r="B48" s="167" t="s">
        <v>254</v>
      </c>
      <c r="C48" s="171"/>
      <c r="D48" s="171"/>
      <c r="E48" s="171"/>
      <c r="F48" s="143">
        <v>7</v>
      </c>
      <c r="G48" s="144">
        <v>5</v>
      </c>
      <c r="H48" s="144">
        <v>1</v>
      </c>
      <c r="I48" s="144">
        <v>1</v>
      </c>
      <c r="J48" s="144"/>
      <c r="K48" s="144"/>
      <c r="L48" s="144"/>
      <c r="M48" s="145">
        <v>2</v>
      </c>
      <c r="N48" s="208">
        <f t="shared" ref="N48:N53" si="28">SUM(F48:M48)</f>
        <v>16</v>
      </c>
      <c r="P48" s="142" t="s">
        <v>254</v>
      </c>
      <c r="Q48" s="166"/>
      <c r="R48" s="166"/>
      <c r="S48" s="166"/>
      <c r="T48" s="143"/>
      <c r="U48" s="144"/>
      <c r="V48" s="144"/>
      <c r="W48" s="144"/>
      <c r="X48" s="144"/>
      <c r="Y48" s="144"/>
      <c r="Z48" s="144"/>
      <c r="AA48" s="145"/>
      <c r="AB48" s="145">
        <f t="shared" ref="AB48:AB53" si="29">SUM(T48:AA48)</f>
        <v>0</v>
      </c>
    </row>
    <row r="49" spans="2:28">
      <c r="B49" s="179" t="s">
        <v>255</v>
      </c>
      <c r="C49" s="172"/>
      <c r="D49" s="172"/>
      <c r="E49" s="172"/>
      <c r="F49" s="154">
        <v>1</v>
      </c>
      <c r="G49" s="155">
        <v>2</v>
      </c>
      <c r="H49" s="155">
        <v>1</v>
      </c>
      <c r="I49" s="155">
        <v>3</v>
      </c>
      <c r="J49" s="155">
        <v>1</v>
      </c>
      <c r="K49" s="155"/>
      <c r="L49" s="155">
        <v>4</v>
      </c>
      <c r="M49" s="156">
        <v>1</v>
      </c>
      <c r="N49" s="209">
        <f t="shared" si="28"/>
        <v>13</v>
      </c>
      <c r="P49" s="153" t="s">
        <v>255</v>
      </c>
      <c r="Q49" s="163"/>
      <c r="R49" s="163"/>
      <c r="S49" s="163"/>
      <c r="T49" s="154"/>
      <c r="U49" s="155"/>
      <c r="V49" s="155"/>
      <c r="W49" s="155"/>
      <c r="X49" s="155"/>
      <c r="Y49" s="155"/>
      <c r="Z49" s="155"/>
      <c r="AA49" s="156"/>
      <c r="AB49" s="156">
        <f t="shared" si="29"/>
        <v>0</v>
      </c>
    </row>
    <row r="50" spans="2:28">
      <c r="B50" s="180" t="s">
        <v>256</v>
      </c>
      <c r="C50" s="173"/>
      <c r="D50" s="173"/>
      <c r="E50" s="173"/>
      <c r="F50" s="158">
        <v>5</v>
      </c>
      <c r="G50" s="159">
        <v>7</v>
      </c>
      <c r="H50" s="159">
        <v>3</v>
      </c>
      <c r="I50" s="159">
        <v>2</v>
      </c>
      <c r="J50" s="159">
        <v>1</v>
      </c>
      <c r="K50" s="159">
        <v>2</v>
      </c>
      <c r="L50" s="159">
        <v>1</v>
      </c>
      <c r="M50" s="160">
        <v>2</v>
      </c>
      <c r="N50" s="210">
        <f t="shared" si="28"/>
        <v>23</v>
      </c>
      <c r="P50" s="157" t="s">
        <v>256</v>
      </c>
      <c r="Q50" s="164"/>
      <c r="R50" s="164"/>
      <c r="S50" s="164"/>
      <c r="T50" s="158"/>
      <c r="U50" s="159"/>
      <c r="V50" s="159"/>
      <c r="W50" s="159"/>
      <c r="X50" s="159"/>
      <c r="Y50" s="159"/>
      <c r="Z50" s="159"/>
      <c r="AA50" s="160"/>
      <c r="AB50" s="160">
        <f t="shared" si="29"/>
        <v>0</v>
      </c>
    </row>
    <row r="51" spans="2:28">
      <c r="B51" s="179" t="s">
        <v>257</v>
      </c>
      <c r="C51" s="172"/>
      <c r="D51" s="172"/>
      <c r="E51" s="172"/>
      <c r="F51" s="154">
        <v>4</v>
      </c>
      <c r="G51" s="155">
        <v>4</v>
      </c>
      <c r="H51" s="155">
        <v>2</v>
      </c>
      <c r="I51" s="155"/>
      <c r="J51" s="155">
        <v>1</v>
      </c>
      <c r="K51" s="155"/>
      <c r="L51" s="155">
        <v>2</v>
      </c>
      <c r="M51" s="156">
        <v>1</v>
      </c>
      <c r="N51" s="209">
        <f t="shared" si="28"/>
        <v>14</v>
      </c>
      <c r="P51" s="153" t="s">
        <v>257</v>
      </c>
      <c r="Q51" s="163"/>
      <c r="R51" s="163"/>
      <c r="S51" s="163"/>
      <c r="T51" s="154"/>
      <c r="U51" s="155"/>
      <c r="V51" s="155"/>
      <c r="W51" s="155"/>
      <c r="X51" s="155"/>
      <c r="Y51" s="155"/>
      <c r="Z51" s="155"/>
      <c r="AA51" s="156"/>
      <c r="AB51" s="156">
        <f t="shared" si="29"/>
        <v>0</v>
      </c>
    </row>
    <row r="52" spans="2:28">
      <c r="B52" s="167" t="s">
        <v>258</v>
      </c>
      <c r="C52" s="171"/>
      <c r="D52" s="171"/>
      <c r="E52" s="171"/>
      <c r="F52" s="143"/>
      <c r="G52" s="144"/>
      <c r="H52" s="144"/>
      <c r="I52" s="144"/>
      <c r="J52" s="144"/>
      <c r="K52" s="144"/>
      <c r="L52" s="144"/>
      <c r="M52" s="145"/>
      <c r="N52" s="208">
        <f t="shared" si="28"/>
        <v>0</v>
      </c>
      <c r="P52" s="142" t="s">
        <v>258</v>
      </c>
      <c r="Q52" s="166"/>
      <c r="R52" s="166"/>
      <c r="S52" s="166"/>
      <c r="T52" s="143"/>
      <c r="U52" s="144"/>
      <c r="V52" s="144"/>
      <c r="W52" s="144"/>
      <c r="X52" s="144"/>
      <c r="Y52" s="144"/>
      <c r="Z52" s="144"/>
      <c r="AA52" s="145"/>
      <c r="AB52" s="145">
        <f t="shared" si="29"/>
        <v>0</v>
      </c>
    </row>
    <row r="53" spans="2:28">
      <c r="B53" s="167" t="s">
        <v>259</v>
      </c>
      <c r="C53" s="171"/>
      <c r="D53" s="171"/>
      <c r="E53" s="171"/>
      <c r="F53" s="150">
        <f>'INDICES CA 💵'!D41</f>
        <v>30309</v>
      </c>
      <c r="G53" s="150">
        <f>'INDICES CA 💵'!F41</f>
        <v>27051</v>
      </c>
      <c r="H53" s="150">
        <f>'INDICES CA 💵'!H41</f>
        <v>16961</v>
      </c>
      <c r="I53" s="150">
        <f>'INDICES CA 💵'!J41</f>
        <v>23496</v>
      </c>
      <c r="J53" s="150">
        <f>'INDICES CA 💵'!L41</f>
        <v>12818</v>
      </c>
      <c r="K53" s="150">
        <f>'INDICES CA 💵'!N41</f>
        <v>13672</v>
      </c>
      <c r="L53" s="150">
        <f>'INDICES CA 💵'!P41</f>
        <v>12665</v>
      </c>
      <c r="M53" s="149">
        <f>'INDICES CA 💵'!R41</f>
        <v>11910</v>
      </c>
      <c r="N53" s="188">
        <f t="shared" si="28"/>
        <v>148882</v>
      </c>
      <c r="P53" s="142" t="s">
        <v>259</v>
      </c>
      <c r="Q53" s="166"/>
      <c r="R53" s="166"/>
      <c r="S53" s="166"/>
      <c r="T53" s="150">
        <f>'INDICES CA 💵'!D47</f>
        <v>0</v>
      </c>
      <c r="U53" s="150">
        <f>'INDICES CA 💵'!F47</f>
        <v>0</v>
      </c>
      <c r="V53" s="150">
        <f>'INDICES CA 💵'!H47</f>
        <v>0</v>
      </c>
      <c r="W53" s="150">
        <f>'INDICES CA 💵'!J47</f>
        <v>0</v>
      </c>
      <c r="X53" s="150">
        <f>'INDICES CA 💵'!L47</f>
        <v>0</v>
      </c>
      <c r="Y53" s="150">
        <f>'INDICES CA 💵'!N47</f>
        <v>0</v>
      </c>
      <c r="Z53" s="150">
        <f>'INDICES CA 💵'!P47</f>
        <v>0</v>
      </c>
      <c r="AA53" s="149">
        <f>'INDICES CA 💵'!R47</f>
        <v>0</v>
      </c>
      <c r="AB53" s="149">
        <f t="shared" si="29"/>
        <v>0</v>
      </c>
    </row>
    <row r="54" spans="2:28" ht="30" customHeight="1" thickBot="1">
      <c r="B54" s="174" t="s">
        <v>260</v>
      </c>
      <c r="C54" s="175"/>
      <c r="D54" s="175"/>
      <c r="E54" s="175"/>
      <c r="F54" s="147">
        <f>(F48+F49+F50+F51+F52)*100000/F53</f>
        <v>56.088950476756082</v>
      </c>
      <c r="G54" s="147">
        <f>(G48+G49+G50+G51+G52)*100000/G53</f>
        <v>66.540978152378841</v>
      </c>
      <c r="H54" s="147">
        <f t="shared" ref="H54:N54" si="30">(H48+H49+H50+H51+H52)*100000/H53</f>
        <v>41.271151465125875</v>
      </c>
      <c r="I54" s="147">
        <f t="shared" si="30"/>
        <v>25.536261491317671</v>
      </c>
      <c r="J54" s="147">
        <f t="shared" si="30"/>
        <v>23.404587299110627</v>
      </c>
      <c r="K54" s="147">
        <f t="shared" si="30"/>
        <v>14.628437682855472</v>
      </c>
      <c r="L54" s="147">
        <f t="shared" si="30"/>
        <v>55.270430319778917</v>
      </c>
      <c r="M54" s="148">
        <f t="shared" si="30"/>
        <v>50.377833753148614</v>
      </c>
      <c r="N54" s="148">
        <f t="shared" si="30"/>
        <v>44.330409317446033</v>
      </c>
      <c r="P54" s="146" t="s">
        <v>262</v>
      </c>
      <c r="Q54" s="165"/>
      <c r="R54" s="165"/>
      <c r="S54" s="165"/>
      <c r="T54" s="147" t="e">
        <f>(T48+T49+T50+T51+T52)*100000/T53</f>
        <v>#DIV/0!</v>
      </c>
      <c r="U54" s="147" t="e">
        <f>(U48+U49+U50+U51+U52)*100000/U53</f>
        <v>#DIV/0!</v>
      </c>
      <c r="V54" s="147" t="e">
        <f t="shared" ref="V54:AB54" si="31">(V48+V49+V50+V51+V52)*100000/V53</f>
        <v>#DIV/0!</v>
      </c>
      <c r="W54" s="147" t="e">
        <f t="shared" si="31"/>
        <v>#DIV/0!</v>
      </c>
      <c r="X54" s="147" t="e">
        <f t="shared" si="31"/>
        <v>#DIV/0!</v>
      </c>
      <c r="Y54" s="147" t="e">
        <f t="shared" si="31"/>
        <v>#DIV/0!</v>
      </c>
      <c r="Z54" s="147" t="e">
        <f t="shared" si="31"/>
        <v>#DIV/0!</v>
      </c>
      <c r="AA54" s="148" t="e">
        <f t="shared" si="31"/>
        <v>#DIV/0!</v>
      </c>
      <c r="AB54" s="148" t="e">
        <f t="shared" si="31"/>
        <v>#DIV/0!</v>
      </c>
    </row>
    <row r="55" spans="2:28" ht="17" thickBot="1">
      <c r="B55" s="178"/>
      <c r="C55" s="168"/>
      <c r="D55" s="168"/>
      <c r="E55" s="168"/>
    </row>
    <row r="56" spans="2:28">
      <c r="B56" s="1760" t="s">
        <v>19</v>
      </c>
      <c r="C56" s="169"/>
      <c r="D56" s="169"/>
      <c r="E56" s="169"/>
      <c r="F56" s="138">
        <f t="shared" ref="F56:M56" si="32">F46</f>
        <v>471</v>
      </c>
      <c r="G56" s="138">
        <f t="shared" si="32"/>
        <v>978</v>
      </c>
      <c r="H56" s="138">
        <f t="shared" si="32"/>
        <v>1002</v>
      </c>
      <c r="I56" s="138">
        <f t="shared" si="32"/>
        <v>1174</v>
      </c>
      <c r="J56" s="138">
        <f t="shared" si="32"/>
        <v>1305</v>
      </c>
      <c r="K56" s="138">
        <f t="shared" si="32"/>
        <v>1454</v>
      </c>
      <c r="L56" s="138">
        <f t="shared" si="32"/>
        <v>1570</v>
      </c>
      <c r="M56" s="139">
        <f t="shared" si="32"/>
        <v>1755</v>
      </c>
      <c r="N56" s="1758" t="s">
        <v>37</v>
      </c>
      <c r="P56" s="1760" t="s">
        <v>24</v>
      </c>
      <c r="Q56" s="138"/>
      <c r="R56" s="138"/>
      <c r="S56" s="138"/>
      <c r="T56" s="138">
        <f>T46</f>
        <v>471</v>
      </c>
      <c r="U56" s="138">
        <f t="shared" ref="U56:AA56" si="33">U46</f>
        <v>978</v>
      </c>
      <c r="V56" s="138">
        <f t="shared" si="33"/>
        <v>1002</v>
      </c>
      <c r="W56" s="138">
        <f t="shared" si="33"/>
        <v>1174</v>
      </c>
      <c r="X56" s="138">
        <f t="shared" si="33"/>
        <v>1305</v>
      </c>
      <c r="Y56" s="138">
        <f t="shared" si="33"/>
        <v>1454</v>
      </c>
      <c r="Z56" s="138">
        <f t="shared" si="33"/>
        <v>1570</v>
      </c>
      <c r="AA56" s="139">
        <f t="shared" si="33"/>
        <v>1755</v>
      </c>
      <c r="AB56" s="1758" t="s">
        <v>37</v>
      </c>
    </row>
    <row r="57" spans="2:28">
      <c r="B57" s="1761"/>
      <c r="C57" s="170"/>
      <c r="D57" s="170"/>
      <c r="E57" s="170"/>
      <c r="F57" s="140" t="str">
        <f t="shared" ref="F57:M57" si="34">F47</f>
        <v>CHAMBERY</v>
      </c>
      <c r="G57" s="140" t="str">
        <f t="shared" si="34"/>
        <v>AIX LES BAINS</v>
      </c>
      <c r="H57" s="140" t="str">
        <f t="shared" si="34"/>
        <v>BELLEY</v>
      </c>
      <c r="I57" s="140" t="str">
        <f t="shared" si="34"/>
        <v>ST ALBAN</v>
      </c>
      <c r="J57" s="140" t="str">
        <f t="shared" si="34"/>
        <v>LES ABRETS</v>
      </c>
      <c r="K57" s="140" t="str">
        <f t="shared" si="34"/>
        <v>PDB</v>
      </c>
      <c r="L57" s="140" t="str">
        <f t="shared" si="34"/>
        <v>FRANCIN</v>
      </c>
      <c r="M57" s="141" t="str">
        <f t="shared" si="34"/>
        <v>VIVIERS</v>
      </c>
      <c r="N57" s="1759"/>
      <c r="P57" s="1761"/>
      <c r="Q57" s="140"/>
      <c r="R57" s="140"/>
      <c r="S57" s="140"/>
      <c r="T57" s="140" t="str">
        <f t="shared" ref="T57:AA57" si="35">T47</f>
        <v>CHAMBERY</v>
      </c>
      <c r="U57" s="140" t="str">
        <f t="shared" si="35"/>
        <v>AIX LES BAINS</v>
      </c>
      <c r="V57" s="140" t="str">
        <f t="shared" si="35"/>
        <v>BELLEY</v>
      </c>
      <c r="W57" s="140" t="str">
        <f t="shared" si="35"/>
        <v>ST ALBAN</v>
      </c>
      <c r="X57" s="140" t="str">
        <f t="shared" si="35"/>
        <v>LES ABRETS</v>
      </c>
      <c r="Y57" s="140" t="str">
        <f t="shared" si="35"/>
        <v>PDB</v>
      </c>
      <c r="Z57" s="140" t="str">
        <f t="shared" si="35"/>
        <v>FRANCIN</v>
      </c>
      <c r="AA57" s="141" t="str">
        <f t="shared" si="35"/>
        <v>VIVIERS</v>
      </c>
      <c r="AB57" s="1759"/>
    </row>
    <row r="58" spans="2:28">
      <c r="B58" s="167" t="s">
        <v>254</v>
      </c>
      <c r="C58" s="171"/>
      <c r="D58" s="171"/>
      <c r="E58" s="171"/>
      <c r="F58" s="143">
        <v>4</v>
      </c>
      <c r="G58" s="144">
        <v>3</v>
      </c>
      <c r="H58" s="144">
        <v>4</v>
      </c>
      <c r="I58" s="144">
        <v>2</v>
      </c>
      <c r="J58" s="144">
        <v>3</v>
      </c>
      <c r="K58" s="144">
        <v>1</v>
      </c>
      <c r="L58" s="144">
        <v>3</v>
      </c>
      <c r="M58" s="145">
        <v>1</v>
      </c>
      <c r="N58" s="208">
        <f t="shared" ref="N58:N63" si="36">SUM(F58:M58)</f>
        <v>21</v>
      </c>
      <c r="P58" s="142" t="s">
        <v>254</v>
      </c>
      <c r="Q58" s="166"/>
      <c r="R58" s="166"/>
      <c r="S58" s="166"/>
      <c r="T58" s="143"/>
      <c r="U58" s="144"/>
      <c r="V58" s="144"/>
      <c r="W58" s="144"/>
      <c r="X58" s="144"/>
      <c r="Y58" s="144"/>
      <c r="Z58" s="144"/>
      <c r="AA58" s="145"/>
      <c r="AB58" s="145">
        <f t="shared" ref="AB58:AB63" si="37">SUM(T58:AA58)</f>
        <v>0</v>
      </c>
    </row>
    <row r="59" spans="2:28">
      <c r="B59" s="179" t="s">
        <v>255</v>
      </c>
      <c r="C59" s="172"/>
      <c r="D59" s="172"/>
      <c r="E59" s="172"/>
      <c r="F59" s="154">
        <v>7</v>
      </c>
      <c r="G59" s="155">
        <v>1</v>
      </c>
      <c r="H59" s="155"/>
      <c r="I59" s="155">
        <v>3</v>
      </c>
      <c r="J59" s="155">
        <v>1</v>
      </c>
      <c r="K59" s="155">
        <v>1</v>
      </c>
      <c r="L59" s="155"/>
      <c r="M59" s="156">
        <v>2</v>
      </c>
      <c r="N59" s="209">
        <f t="shared" si="36"/>
        <v>15</v>
      </c>
      <c r="P59" s="153" t="s">
        <v>255</v>
      </c>
      <c r="Q59" s="163"/>
      <c r="R59" s="163"/>
      <c r="S59" s="163"/>
      <c r="T59" s="154"/>
      <c r="U59" s="155"/>
      <c r="V59" s="155"/>
      <c r="W59" s="155"/>
      <c r="X59" s="155"/>
      <c r="Y59" s="155"/>
      <c r="Z59" s="155"/>
      <c r="AA59" s="156"/>
      <c r="AB59" s="156">
        <f t="shared" si="37"/>
        <v>0</v>
      </c>
    </row>
    <row r="60" spans="2:28">
      <c r="B60" s="180" t="s">
        <v>256</v>
      </c>
      <c r="C60" s="173"/>
      <c r="D60" s="173"/>
      <c r="E60" s="173"/>
      <c r="F60" s="158">
        <v>7</v>
      </c>
      <c r="G60" s="159">
        <v>7</v>
      </c>
      <c r="H60" s="159">
        <v>3</v>
      </c>
      <c r="I60" s="159"/>
      <c r="J60" s="159">
        <v>3</v>
      </c>
      <c r="K60" s="159"/>
      <c r="L60" s="159">
        <v>3</v>
      </c>
      <c r="M60" s="160">
        <v>2</v>
      </c>
      <c r="N60" s="210">
        <f t="shared" si="36"/>
        <v>25</v>
      </c>
      <c r="P60" s="157" t="s">
        <v>256</v>
      </c>
      <c r="Q60" s="164"/>
      <c r="R60" s="164"/>
      <c r="S60" s="164"/>
      <c r="T60" s="158"/>
      <c r="U60" s="159"/>
      <c r="V60" s="159"/>
      <c r="W60" s="159"/>
      <c r="X60" s="159"/>
      <c r="Y60" s="159"/>
      <c r="Z60" s="159"/>
      <c r="AA60" s="160"/>
      <c r="AB60" s="160">
        <f t="shared" si="37"/>
        <v>0</v>
      </c>
    </row>
    <row r="61" spans="2:28">
      <c r="B61" s="179" t="s">
        <v>257</v>
      </c>
      <c r="C61" s="172"/>
      <c r="D61" s="172"/>
      <c r="E61" s="172"/>
      <c r="F61" s="154">
        <v>4</v>
      </c>
      <c r="G61" s="155">
        <v>3</v>
      </c>
      <c r="H61" s="155">
        <v>1</v>
      </c>
      <c r="I61" s="155"/>
      <c r="J61" s="155">
        <v>1</v>
      </c>
      <c r="K61" s="155"/>
      <c r="L61" s="155">
        <v>2</v>
      </c>
      <c r="M61" s="156"/>
      <c r="N61" s="209">
        <f t="shared" si="36"/>
        <v>11</v>
      </c>
      <c r="P61" s="153" t="s">
        <v>257</v>
      </c>
      <c r="Q61" s="163"/>
      <c r="R61" s="163"/>
      <c r="S61" s="163"/>
      <c r="T61" s="154"/>
      <c r="U61" s="155"/>
      <c r="V61" s="155"/>
      <c r="W61" s="155"/>
      <c r="X61" s="155"/>
      <c r="Y61" s="155"/>
      <c r="Z61" s="155"/>
      <c r="AA61" s="156"/>
      <c r="AB61" s="156">
        <f t="shared" si="37"/>
        <v>0</v>
      </c>
    </row>
    <row r="62" spans="2:28">
      <c r="B62" s="167" t="s">
        <v>258</v>
      </c>
      <c r="C62" s="171"/>
      <c r="D62" s="171"/>
      <c r="E62" s="171"/>
      <c r="F62" s="143"/>
      <c r="G62" s="144"/>
      <c r="H62" s="144"/>
      <c r="I62" s="144"/>
      <c r="J62" s="144"/>
      <c r="K62" s="144"/>
      <c r="L62" s="144"/>
      <c r="M62" s="145"/>
      <c r="N62" s="208">
        <f t="shared" si="36"/>
        <v>0</v>
      </c>
      <c r="P62" s="142" t="s">
        <v>258</v>
      </c>
      <c r="Q62" s="166"/>
      <c r="R62" s="166"/>
      <c r="S62" s="166"/>
      <c r="T62" s="143"/>
      <c r="U62" s="144"/>
      <c r="V62" s="144"/>
      <c r="W62" s="144"/>
      <c r="X62" s="144"/>
      <c r="Y62" s="144"/>
      <c r="Z62" s="144"/>
      <c r="AA62" s="145"/>
      <c r="AB62" s="145">
        <f t="shared" si="37"/>
        <v>0</v>
      </c>
    </row>
    <row r="63" spans="2:28">
      <c r="B63" s="167" t="s">
        <v>259</v>
      </c>
      <c r="C63" s="171"/>
      <c r="D63" s="171"/>
      <c r="E63" s="171"/>
      <c r="F63" s="150">
        <f>'INDICES CA 💵'!D42</f>
        <v>30543</v>
      </c>
      <c r="G63" s="150">
        <f>'INDICES CA 💵'!F42</f>
        <v>28009</v>
      </c>
      <c r="H63" s="150">
        <f>'INDICES CA 💵'!H42</f>
        <v>18207</v>
      </c>
      <c r="I63" s="150">
        <f>'INDICES CA 💵'!J42</f>
        <v>24314</v>
      </c>
      <c r="J63" s="150">
        <f>'INDICES CA 💵'!L42</f>
        <v>13272</v>
      </c>
      <c r="K63" s="150">
        <f>'INDICES CA 💵'!N42</f>
        <v>14508</v>
      </c>
      <c r="L63" s="150">
        <f>'INDICES CA 💵'!P42</f>
        <v>13186</v>
      </c>
      <c r="M63" s="149">
        <f>'INDICES CA 💵'!R42</f>
        <v>12570</v>
      </c>
      <c r="N63" s="188">
        <f t="shared" si="36"/>
        <v>154609</v>
      </c>
      <c r="P63" s="142" t="s">
        <v>259</v>
      </c>
      <c r="Q63" s="166"/>
      <c r="R63" s="166"/>
      <c r="S63" s="166"/>
      <c r="T63" s="150">
        <f>'INDICES CA 💵'!D48</f>
        <v>0</v>
      </c>
      <c r="U63" s="150">
        <f>'INDICES CA 💵'!F48</f>
        <v>0</v>
      </c>
      <c r="V63" s="150">
        <f>'INDICES CA 💵'!H48</f>
        <v>0</v>
      </c>
      <c r="W63" s="150">
        <f>'INDICES CA 💵'!J48</f>
        <v>0</v>
      </c>
      <c r="X63" s="150">
        <f>'INDICES CA 💵'!L48</f>
        <v>0</v>
      </c>
      <c r="Y63" s="150">
        <f>'INDICES CA 💵'!N48</f>
        <v>0</v>
      </c>
      <c r="Z63" s="150">
        <f>'INDICES CA 💵'!P48</f>
        <v>0</v>
      </c>
      <c r="AA63" s="149">
        <f>'INDICES CA 💵'!R48</f>
        <v>0</v>
      </c>
      <c r="AB63" s="149">
        <f t="shared" si="37"/>
        <v>0</v>
      </c>
    </row>
    <row r="64" spans="2:28" ht="30" customHeight="1" thickBot="1">
      <c r="B64" s="174" t="s">
        <v>262</v>
      </c>
      <c r="C64" s="175"/>
      <c r="D64" s="175"/>
      <c r="E64" s="175"/>
      <c r="F64" s="147">
        <f>(F58+F59+F60+F61+F62)*100000/F63</f>
        <v>72.029597616475129</v>
      </c>
      <c r="G64" s="147">
        <f>(G58+G59+G60+G61+G62)*100000/G63</f>
        <v>49.983933735584991</v>
      </c>
      <c r="H64" s="147">
        <f t="shared" ref="H64:N64" si="38">(H58+H59+H60+H61+H62)*100000/H63</f>
        <v>43.93914428516505</v>
      </c>
      <c r="I64" s="147">
        <f t="shared" si="38"/>
        <v>20.564283951632802</v>
      </c>
      <c r="J64" s="147">
        <f t="shared" si="38"/>
        <v>60.277275467148883</v>
      </c>
      <c r="K64" s="147">
        <f t="shared" si="38"/>
        <v>13.785497656465399</v>
      </c>
      <c r="L64" s="147">
        <f t="shared" si="38"/>
        <v>60.670408008493858</v>
      </c>
      <c r="M64" s="148">
        <f t="shared" si="38"/>
        <v>39.777247414478921</v>
      </c>
      <c r="N64" s="148">
        <f t="shared" si="38"/>
        <v>46.569087181211962</v>
      </c>
      <c r="P64" s="146" t="s">
        <v>262</v>
      </c>
      <c r="Q64" s="165"/>
      <c r="R64" s="165"/>
      <c r="S64" s="165"/>
      <c r="T64" s="147" t="e">
        <f>(T58+T59+T60+T61+T62)*100000/T63</f>
        <v>#DIV/0!</v>
      </c>
      <c r="U64" s="147" t="e">
        <f>(U58+U59+U60+U61+U62)*100000/U63</f>
        <v>#DIV/0!</v>
      </c>
      <c r="V64" s="147" t="e">
        <f t="shared" ref="V64:AB64" si="39">(V58+V59+V60+V61+V62)*100000/V63</f>
        <v>#DIV/0!</v>
      </c>
      <c r="W64" s="147" t="e">
        <f t="shared" si="39"/>
        <v>#DIV/0!</v>
      </c>
      <c r="X64" s="147" t="e">
        <f t="shared" si="39"/>
        <v>#DIV/0!</v>
      </c>
      <c r="Y64" s="147" t="e">
        <f t="shared" si="39"/>
        <v>#DIV/0!</v>
      </c>
      <c r="Z64" s="147" t="e">
        <f t="shared" si="39"/>
        <v>#DIV/0!</v>
      </c>
      <c r="AA64" s="148" t="e">
        <f t="shared" si="39"/>
        <v>#DIV/0!</v>
      </c>
      <c r="AB64" s="148" t="e">
        <f t="shared" si="39"/>
        <v>#DIV/0!</v>
      </c>
    </row>
    <row r="65" spans="2:28" ht="17" thickBot="1">
      <c r="B65" s="178"/>
      <c r="C65" s="168"/>
      <c r="D65" s="168"/>
      <c r="E65" s="168"/>
    </row>
    <row r="66" spans="2:28">
      <c r="B66" s="1760" t="s">
        <v>20</v>
      </c>
      <c r="C66" s="169"/>
      <c r="D66" s="169"/>
      <c r="E66" s="169"/>
      <c r="F66" s="138">
        <f t="shared" ref="F66:M66" si="40">F56</f>
        <v>471</v>
      </c>
      <c r="G66" s="138">
        <f t="shared" si="40"/>
        <v>978</v>
      </c>
      <c r="H66" s="138">
        <f t="shared" si="40"/>
        <v>1002</v>
      </c>
      <c r="I66" s="138">
        <f t="shared" si="40"/>
        <v>1174</v>
      </c>
      <c r="J66" s="138">
        <f t="shared" si="40"/>
        <v>1305</v>
      </c>
      <c r="K66" s="138">
        <f t="shared" si="40"/>
        <v>1454</v>
      </c>
      <c r="L66" s="138">
        <f t="shared" si="40"/>
        <v>1570</v>
      </c>
      <c r="M66" s="139">
        <f t="shared" si="40"/>
        <v>1755</v>
      </c>
      <c r="N66" s="1758" t="s">
        <v>37</v>
      </c>
      <c r="P66" s="1760" t="s">
        <v>265</v>
      </c>
      <c r="Q66" s="138"/>
      <c r="R66" s="138"/>
      <c r="S66" s="138"/>
      <c r="T66" s="138">
        <f>T56</f>
        <v>471</v>
      </c>
      <c r="U66" s="138">
        <f t="shared" ref="U66:AA66" si="41">U56</f>
        <v>978</v>
      </c>
      <c r="V66" s="138">
        <f t="shared" si="41"/>
        <v>1002</v>
      </c>
      <c r="W66" s="138">
        <f t="shared" si="41"/>
        <v>1174</v>
      </c>
      <c r="X66" s="138">
        <f t="shared" si="41"/>
        <v>1305</v>
      </c>
      <c r="Y66" s="138">
        <f t="shared" si="41"/>
        <v>1454</v>
      </c>
      <c r="Z66" s="138">
        <f t="shared" si="41"/>
        <v>1570</v>
      </c>
      <c r="AA66" s="139">
        <f t="shared" si="41"/>
        <v>1755</v>
      </c>
      <c r="AB66" s="1758" t="s">
        <v>37</v>
      </c>
    </row>
    <row r="67" spans="2:28">
      <c r="B67" s="1761"/>
      <c r="C67" s="170"/>
      <c r="D67" s="170"/>
      <c r="E67" s="170"/>
      <c r="F67" s="140" t="str">
        <f t="shared" ref="F67:M67" si="42">F57</f>
        <v>CHAMBERY</v>
      </c>
      <c r="G67" s="140" t="str">
        <f t="shared" si="42"/>
        <v>AIX LES BAINS</v>
      </c>
      <c r="H67" s="140" t="str">
        <f t="shared" si="42"/>
        <v>BELLEY</v>
      </c>
      <c r="I67" s="140" t="str">
        <f t="shared" si="42"/>
        <v>ST ALBAN</v>
      </c>
      <c r="J67" s="140" t="str">
        <f t="shared" si="42"/>
        <v>LES ABRETS</v>
      </c>
      <c r="K67" s="140" t="str">
        <f t="shared" si="42"/>
        <v>PDB</v>
      </c>
      <c r="L67" s="140" t="str">
        <f t="shared" si="42"/>
        <v>FRANCIN</v>
      </c>
      <c r="M67" s="141" t="str">
        <f t="shared" si="42"/>
        <v>VIVIERS</v>
      </c>
      <c r="N67" s="1759"/>
      <c r="P67" s="1761"/>
      <c r="Q67" s="140"/>
      <c r="R67" s="140"/>
      <c r="S67" s="140"/>
      <c r="T67" s="140" t="str">
        <f t="shared" ref="T67:AA67" si="43">T57</f>
        <v>CHAMBERY</v>
      </c>
      <c r="U67" s="140" t="str">
        <f t="shared" si="43"/>
        <v>AIX LES BAINS</v>
      </c>
      <c r="V67" s="140" t="str">
        <f t="shared" si="43"/>
        <v>BELLEY</v>
      </c>
      <c r="W67" s="140" t="str">
        <f t="shared" si="43"/>
        <v>ST ALBAN</v>
      </c>
      <c r="X67" s="140" t="str">
        <f t="shared" si="43"/>
        <v>LES ABRETS</v>
      </c>
      <c r="Y67" s="140" t="str">
        <f t="shared" si="43"/>
        <v>PDB</v>
      </c>
      <c r="Z67" s="140" t="str">
        <f t="shared" si="43"/>
        <v>FRANCIN</v>
      </c>
      <c r="AA67" s="141" t="str">
        <f t="shared" si="43"/>
        <v>VIVIERS</v>
      </c>
      <c r="AB67" s="1759"/>
    </row>
    <row r="68" spans="2:28">
      <c r="B68" s="167" t="s">
        <v>254</v>
      </c>
      <c r="C68" s="171"/>
      <c r="D68" s="171"/>
      <c r="E68" s="171"/>
      <c r="F68" s="143"/>
      <c r="G68" s="144">
        <v>1</v>
      </c>
      <c r="H68" s="144">
        <v>1</v>
      </c>
      <c r="I68" s="144">
        <v>4</v>
      </c>
      <c r="J68" s="144"/>
      <c r="K68" s="144">
        <v>1</v>
      </c>
      <c r="L68" s="144"/>
      <c r="M68" s="145"/>
      <c r="N68" s="208">
        <f t="shared" ref="N68:N73" si="44">SUM(F68:M68)</f>
        <v>7</v>
      </c>
      <c r="P68" s="142" t="s">
        <v>254</v>
      </c>
      <c r="Q68" s="166"/>
      <c r="R68" s="166"/>
      <c r="S68" s="166"/>
      <c r="T68" s="143"/>
      <c r="U68" s="144"/>
      <c r="V68" s="144"/>
      <c r="W68" s="144"/>
      <c r="X68" s="144"/>
      <c r="Y68" s="144"/>
      <c r="Z68" s="144"/>
      <c r="AA68" s="145"/>
      <c r="AB68" s="145">
        <f t="shared" ref="AB68:AB73" si="45">SUM(T68:AA68)</f>
        <v>0</v>
      </c>
    </row>
    <row r="69" spans="2:28">
      <c r="B69" s="179" t="s">
        <v>255</v>
      </c>
      <c r="C69" s="172"/>
      <c r="D69" s="172"/>
      <c r="E69" s="172"/>
      <c r="F69" s="154"/>
      <c r="G69" s="155"/>
      <c r="H69" s="155"/>
      <c r="I69" s="155"/>
      <c r="J69" s="155">
        <v>1</v>
      </c>
      <c r="K69" s="155">
        <v>1</v>
      </c>
      <c r="L69" s="155"/>
      <c r="M69" s="156"/>
      <c r="N69" s="209">
        <f t="shared" si="44"/>
        <v>2</v>
      </c>
      <c r="P69" s="153" t="s">
        <v>255</v>
      </c>
      <c r="Q69" s="163"/>
      <c r="R69" s="163"/>
      <c r="S69" s="163"/>
      <c r="T69" s="154"/>
      <c r="U69" s="155"/>
      <c r="V69" s="155"/>
      <c r="W69" s="155"/>
      <c r="X69" s="155"/>
      <c r="Y69" s="155"/>
      <c r="Z69" s="155"/>
      <c r="AA69" s="156"/>
      <c r="AB69" s="156">
        <f t="shared" si="45"/>
        <v>0</v>
      </c>
    </row>
    <row r="70" spans="2:28">
      <c r="B70" s="180" t="s">
        <v>256</v>
      </c>
      <c r="C70" s="173"/>
      <c r="D70" s="173"/>
      <c r="E70" s="173"/>
      <c r="F70" s="158">
        <v>3</v>
      </c>
      <c r="G70" s="159"/>
      <c r="H70" s="159"/>
      <c r="I70" s="159">
        <v>2</v>
      </c>
      <c r="J70" s="159"/>
      <c r="K70" s="159">
        <v>1</v>
      </c>
      <c r="L70" s="159"/>
      <c r="M70" s="160"/>
      <c r="N70" s="210">
        <f t="shared" si="44"/>
        <v>6</v>
      </c>
      <c r="P70" s="157" t="s">
        <v>256</v>
      </c>
      <c r="Q70" s="164"/>
      <c r="R70" s="164"/>
      <c r="S70" s="164"/>
      <c r="T70" s="158"/>
      <c r="U70" s="159"/>
      <c r="V70" s="159"/>
      <c r="W70" s="159"/>
      <c r="X70" s="159"/>
      <c r="Y70" s="159"/>
      <c r="Z70" s="159"/>
      <c r="AA70" s="160"/>
      <c r="AB70" s="160">
        <f t="shared" si="45"/>
        <v>0</v>
      </c>
    </row>
    <row r="71" spans="2:28">
      <c r="B71" s="179" t="s">
        <v>257</v>
      </c>
      <c r="C71" s="172"/>
      <c r="D71" s="172"/>
      <c r="E71" s="172"/>
      <c r="F71" s="154"/>
      <c r="G71" s="155"/>
      <c r="H71" s="155"/>
      <c r="I71" s="155"/>
      <c r="J71" s="155"/>
      <c r="K71" s="155"/>
      <c r="L71" s="155">
        <v>1</v>
      </c>
      <c r="M71" s="156"/>
      <c r="N71" s="209">
        <f t="shared" si="44"/>
        <v>1</v>
      </c>
      <c r="P71" s="153" t="s">
        <v>257</v>
      </c>
      <c r="Q71" s="163"/>
      <c r="R71" s="163"/>
      <c r="S71" s="163"/>
      <c r="T71" s="154"/>
      <c r="U71" s="155"/>
      <c r="V71" s="155"/>
      <c r="W71" s="155"/>
      <c r="X71" s="155"/>
      <c r="Y71" s="155"/>
      <c r="Z71" s="155"/>
      <c r="AA71" s="156"/>
      <c r="AB71" s="156">
        <f t="shared" si="45"/>
        <v>0</v>
      </c>
    </row>
    <row r="72" spans="2:28">
      <c r="B72" s="167" t="s">
        <v>258</v>
      </c>
      <c r="C72" s="171"/>
      <c r="D72" s="171"/>
      <c r="E72" s="171"/>
      <c r="F72" s="143"/>
      <c r="G72" s="144"/>
      <c r="H72" s="144"/>
      <c r="I72" s="144"/>
      <c r="J72" s="144"/>
      <c r="K72" s="144"/>
      <c r="L72" s="144"/>
      <c r="M72" s="145"/>
      <c r="N72" s="208">
        <f t="shared" si="44"/>
        <v>0</v>
      </c>
      <c r="P72" s="142" t="s">
        <v>258</v>
      </c>
      <c r="Q72" s="166"/>
      <c r="R72" s="166"/>
      <c r="S72" s="166"/>
      <c r="T72" s="143"/>
      <c r="U72" s="144"/>
      <c r="V72" s="144"/>
      <c r="W72" s="144"/>
      <c r="X72" s="144"/>
      <c r="Y72" s="144"/>
      <c r="Z72" s="144"/>
      <c r="AA72" s="145"/>
      <c r="AB72" s="145">
        <f t="shared" si="45"/>
        <v>0</v>
      </c>
    </row>
    <row r="73" spans="2:28">
      <c r="B73" s="167" t="s">
        <v>259</v>
      </c>
      <c r="C73" s="171"/>
      <c r="D73" s="171"/>
      <c r="E73" s="171"/>
      <c r="F73" s="150">
        <f>'INDICES CA 💵'!D43</f>
        <v>7229</v>
      </c>
      <c r="G73" s="150">
        <f>'INDICES CA 💵'!F43</f>
        <v>5866</v>
      </c>
      <c r="H73" s="150">
        <f>'INDICES CA 💵'!H43</f>
        <v>4342</v>
      </c>
      <c r="I73" s="150">
        <f>'INDICES CA 💵'!J43</f>
        <v>5891</v>
      </c>
      <c r="J73" s="150">
        <f>'INDICES CA 💵'!L43</f>
        <v>3145</v>
      </c>
      <c r="K73" s="150">
        <f>'INDICES CA 💵'!N43</f>
        <v>3373</v>
      </c>
      <c r="L73" s="150">
        <f>'INDICES CA 💵'!P43</f>
        <v>3190</v>
      </c>
      <c r="M73" s="149">
        <f>'INDICES CA 💵'!R43</f>
        <v>2952</v>
      </c>
      <c r="N73" s="184">
        <f t="shared" si="44"/>
        <v>35988</v>
      </c>
      <c r="P73" s="142" t="s">
        <v>259</v>
      </c>
      <c r="Q73" s="166"/>
      <c r="R73" s="166"/>
      <c r="S73" s="166"/>
      <c r="T73" s="150">
        <f>'INDICES CA 💵'!D49</f>
        <v>0</v>
      </c>
      <c r="U73" s="150">
        <f>'INDICES CA 💵'!F49</f>
        <v>0</v>
      </c>
      <c r="V73" s="150">
        <f>'INDICES CA 💵'!H49</f>
        <v>0</v>
      </c>
      <c r="W73" s="150">
        <f>'INDICES CA 💵'!J49</f>
        <v>0</v>
      </c>
      <c r="X73" s="150">
        <f>'INDICES CA 💵'!L49</f>
        <v>0</v>
      </c>
      <c r="Y73" s="150">
        <f>'INDICES CA 💵'!N49</f>
        <v>0</v>
      </c>
      <c r="Z73" s="150">
        <f>'INDICES CA 💵'!P49</f>
        <v>0</v>
      </c>
      <c r="AA73" s="149">
        <f>'INDICES CA 💵'!R49</f>
        <v>0</v>
      </c>
      <c r="AB73" s="149">
        <f t="shared" si="45"/>
        <v>0</v>
      </c>
    </row>
    <row r="74" spans="2:28" ht="30" customHeight="1" thickBot="1">
      <c r="B74" s="174" t="s">
        <v>262</v>
      </c>
      <c r="C74" s="175"/>
      <c r="D74" s="175"/>
      <c r="E74" s="175"/>
      <c r="F74" s="147">
        <f>(F68+F69+F70+F71+F72)*100000/F73</f>
        <v>41.499515838981878</v>
      </c>
      <c r="G74" s="147">
        <f>(G68+G69+G70+G71+G72)*100000/G73</f>
        <v>17.047391749062392</v>
      </c>
      <c r="H74" s="147">
        <f t="shared" ref="H74:N74" si="46">(H68+H69+H70+H71+H72)*100000/H73</f>
        <v>23.030861354214647</v>
      </c>
      <c r="I74" s="147">
        <f t="shared" si="46"/>
        <v>101.85028008827024</v>
      </c>
      <c r="J74" s="147">
        <f t="shared" si="46"/>
        <v>31.796502384737678</v>
      </c>
      <c r="K74" s="147">
        <f t="shared" si="46"/>
        <v>88.941595019270679</v>
      </c>
      <c r="L74" s="147">
        <f t="shared" si="46"/>
        <v>31.347962382445139</v>
      </c>
      <c r="M74" s="148">
        <f t="shared" si="46"/>
        <v>0</v>
      </c>
      <c r="N74" s="148">
        <f t="shared" si="46"/>
        <v>44.459264199177504</v>
      </c>
      <c r="P74" s="146" t="s">
        <v>262</v>
      </c>
      <c r="Q74" s="165"/>
      <c r="R74" s="165"/>
      <c r="S74" s="165"/>
      <c r="T74" s="147" t="e">
        <f>(T68+T69+T70+T71+T72)*100000/T73</f>
        <v>#DIV/0!</v>
      </c>
      <c r="U74" s="147" t="e">
        <f>(U68+U69+U70+U71+U72)*100000/U73</f>
        <v>#DIV/0!</v>
      </c>
      <c r="V74" s="147" t="e">
        <f t="shared" ref="V74:AB74" si="47">(V68+V69+V70+V71+V72)*100000/V73</f>
        <v>#DIV/0!</v>
      </c>
      <c r="W74" s="147" t="e">
        <f t="shared" si="47"/>
        <v>#DIV/0!</v>
      </c>
      <c r="X74" s="147" t="e">
        <f t="shared" si="47"/>
        <v>#DIV/0!</v>
      </c>
      <c r="Y74" s="147" t="e">
        <f t="shared" si="47"/>
        <v>#DIV/0!</v>
      </c>
      <c r="Z74" s="147" t="e">
        <f t="shared" si="47"/>
        <v>#DIV/0!</v>
      </c>
      <c r="AA74" s="148" t="e">
        <f t="shared" si="47"/>
        <v>#DIV/0!</v>
      </c>
      <c r="AB74" s="148" t="e">
        <f t="shared" si="47"/>
        <v>#DIV/0!</v>
      </c>
    </row>
    <row r="84" ht="30" customHeight="1"/>
  </sheetData>
  <mergeCells count="24">
    <mergeCell ref="B26:B27"/>
    <mergeCell ref="B36:B37"/>
    <mergeCell ref="B46:B47"/>
    <mergeCell ref="P66:P67"/>
    <mergeCell ref="N16:N17"/>
    <mergeCell ref="N26:N27"/>
    <mergeCell ref="N36:N37"/>
    <mergeCell ref="N46:N47"/>
    <mergeCell ref="AB16:AB17"/>
    <mergeCell ref="AB26:AB27"/>
    <mergeCell ref="N56:N57"/>
    <mergeCell ref="B66:B67"/>
    <mergeCell ref="P16:P17"/>
    <mergeCell ref="P26:P27"/>
    <mergeCell ref="AB36:AB37"/>
    <mergeCell ref="AB46:AB47"/>
    <mergeCell ref="P56:P57"/>
    <mergeCell ref="AB56:AB57"/>
    <mergeCell ref="AB66:AB67"/>
    <mergeCell ref="P36:P37"/>
    <mergeCell ref="P46:P47"/>
    <mergeCell ref="B56:B57"/>
    <mergeCell ref="N66:N67"/>
    <mergeCell ref="B16:B17"/>
  </mergeCells>
  <phoneticPr fontId="5" type="noConversion"/>
  <printOptions horizontalCentered="1" verticalCentered="1"/>
  <pageMargins left="0" right="0" top="0" bottom="0" header="0" footer="0"/>
  <pageSetup paperSize="9" scale="46" orientation="landscape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14079-15F9-A34E-B70F-079614EF9F39}">
  <sheetPr codeName="Feuil18"/>
  <dimension ref="B1:U40"/>
  <sheetViews>
    <sheetView showGridLines="0" view="pageBreakPreview" topLeftCell="A18" zoomScaleNormal="100" zoomScaleSheetLayoutView="100" workbookViewId="0">
      <selection activeCell="F32" sqref="F32"/>
    </sheetView>
  </sheetViews>
  <sheetFormatPr baseColWidth="10" defaultColWidth="10.83203125" defaultRowHeight="19"/>
  <cols>
    <col min="1" max="1" width="3" style="211" customWidth="1"/>
    <col min="2" max="2" width="2.83203125" style="211" customWidth="1"/>
    <col min="3" max="3" width="13.33203125" style="211" bestFit="1" customWidth="1"/>
    <col min="4" max="4" width="14.83203125" style="211" bestFit="1" customWidth="1"/>
    <col min="5" max="5" width="8.6640625" style="211" bestFit="1" customWidth="1"/>
    <col min="6" max="6" width="14.83203125" style="211" customWidth="1"/>
    <col min="7" max="7" width="9.1640625" style="211" bestFit="1" customWidth="1"/>
    <col min="8" max="8" width="12.6640625" style="211" bestFit="1" customWidth="1"/>
    <col min="9" max="9" width="8.6640625" style="390" bestFit="1" customWidth="1"/>
    <col min="10" max="10" width="13" style="211" bestFit="1" customWidth="1"/>
    <col min="11" max="11" width="9.1640625" style="390" bestFit="1" customWidth="1"/>
    <col min="12" max="12" width="11.33203125" style="211" bestFit="1" customWidth="1"/>
    <col min="13" max="13" width="9.1640625" style="390" bestFit="1" customWidth="1"/>
    <col min="14" max="14" width="13.83203125" style="211" bestFit="1" customWidth="1"/>
    <col min="15" max="15" width="9.83203125" style="390" bestFit="1" customWidth="1"/>
    <col min="16" max="16" width="11.33203125" style="211" bestFit="1" customWidth="1"/>
    <col min="17" max="17" width="9.6640625" style="390" bestFit="1" customWidth="1"/>
    <col min="18" max="18" width="13.33203125" style="211" bestFit="1" customWidth="1"/>
    <col min="19" max="19" width="8.5" style="390" bestFit="1" customWidth="1"/>
    <col min="20" max="20" width="13.5" style="211" customWidth="1"/>
    <col min="21" max="21" width="10.83203125" style="211"/>
    <col min="22" max="22" width="4.1640625" style="211" customWidth="1"/>
    <col min="23" max="16384" width="10.83203125" style="211"/>
  </cols>
  <sheetData>
    <row r="1" spans="3:19" ht="20" thickBot="1"/>
    <row r="2" spans="3:19" ht="40">
      <c r="C2" s="765" t="s">
        <v>140</v>
      </c>
      <c r="D2" s="766" t="s">
        <v>28</v>
      </c>
      <c r="E2" s="767" t="s">
        <v>138</v>
      </c>
      <c r="F2" s="768" t="s">
        <v>29</v>
      </c>
      <c r="G2" s="767" t="s">
        <v>138</v>
      </c>
      <c r="H2" s="769" t="s">
        <v>30</v>
      </c>
      <c r="I2" s="767" t="s">
        <v>138</v>
      </c>
      <c r="J2" s="769" t="s">
        <v>31</v>
      </c>
      <c r="K2" s="767" t="s">
        <v>138</v>
      </c>
      <c r="L2" s="769" t="s">
        <v>32</v>
      </c>
      <c r="M2" s="767" t="s">
        <v>138</v>
      </c>
      <c r="N2" s="768" t="s">
        <v>33</v>
      </c>
      <c r="O2" s="767" t="s">
        <v>138</v>
      </c>
      <c r="P2" s="769" t="s">
        <v>34</v>
      </c>
      <c r="Q2" s="767" t="s">
        <v>138</v>
      </c>
      <c r="R2" s="769" t="s">
        <v>309</v>
      </c>
      <c r="S2" s="770" t="s">
        <v>138</v>
      </c>
    </row>
    <row r="3" spans="3:19" s="778" customFormat="1" ht="30" customHeight="1">
      <c r="C3" s="771" t="s">
        <v>139</v>
      </c>
      <c r="D3" s="772">
        <v>691983</v>
      </c>
      <c r="E3" s="773">
        <v>45139</v>
      </c>
      <c r="F3" s="774">
        <v>679831</v>
      </c>
      <c r="G3" s="773">
        <v>45139</v>
      </c>
      <c r="H3" s="774">
        <v>451077</v>
      </c>
      <c r="I3" s="773">
        <v>45108</v>
      </c>
      <c r="J3" s="775">
        <v>495353</v>
      </c>
      <c r="K3" s="773">
        <v>44927</v>
      </c>
      <c r="L3" s="774">
        <v>355924</v>
      </c>
      <c r="M3" s="773">
        <v>45139</v>
      </c>
      <c r="N3" s="774">
        <v>336869</v>
      </c>
      <c r="O3" s="776">
        <v>45139</v>
      </c>
      <c r="P3" s="774">
        <v>308035</v>
      </c>
      <c r="Q3" s="773">
        <v>45108</v>
      </c>
      <c r="R3" s="774">
        <v>245585</v>
      </c>
      <c r="S3" s="777">
        <v>45778</v>
      </c>
    </row>
    <row r="4" spans="3:19" s="778" customFormat="1" ht="30" customHeight="1">
      <c r="C4" s="771" t="s">
        <v>39</v>
      </c>
      <c r="D4" s="772">
        <v>184846</v>
      </c>
      <c r="E4" s="779" t="s">
        <v>166</v>
      </c>
      <c r="F4" s="774">
        <v>173307</v>
      </c>
      <c r="G4" s="779" t="s">
        <v>150</v>
      </c>
      <c r="H4" s="774">
        <v>107655</v>
      </c>
      <c r="I4" s="779" t="s">
        <v>228</v>
      </c>
      <c r="J4" s="1421">
        <v>125864</v>
      </c>
      <c r="K4" s="1425" t="s">
        <v>474</v>
      </c>
      <c r="L4" s="774">
        <v>87001</v>
      </c>
      <c r="M4" s="779"/>
      <c r="N4" s="1421">
        <v>87161</v>
      </c>
      <c r="O4" s="1425" t="s">
        <v>439</v>
      </c>
      <c r="P4" s="774">
        <v>78147</v>
      </c>
      <c r="Q4" s="780" t="s">
        <v>231</v>
      </c>
      <c r="R4" s="1421">
        <v>68965</v>
      </c>
      <c r="S4" s="1423" t="s">
        <v>473</v>
      </c>
    </row>
    <row r="5" spans="3:19" s="778" customFormat="1" ht="30" customHeight="1">
      <c r="C5" s="771" t="s">
        <v>141</v>
      </c>
      <c r="D5" s="772">
        <v>40353</v>
      </c>
      <c r="E5" s="781">
        <v>45292</v>
      </c>
      <c r="F5" s="774">
        <v>36941</v>
      </c>
      <c r="G5" s="781">
        <v>45658</v>
      </c>
      <c r="H5" s="774" t="s">
        <v>227</v>
      </c>
      <c r="I5" s="781">
        <v>44927</v>
      </c>
      <c r="J5" s="1421">
        <v>28992</v>
      </c>
      <c r="K5" s="1422">
        <v>46023</v>
      </c>
      <c r="L5" s="774">
        <v>21422</v>
      </c>
      <c r="M5" s="781">
        <v>44927</v>
      </c>
      <c r="N5" s="1421">
        <v>19583</v>
      </c>
      <c r="O5" s="1422">
        <v>46023</v>
      </c>
      <c r="P5" s="774">
        <v>20339</v>
      </c>
      <c r="Q5" s="781">
        <v>44927</v>
      </c>
      <c r="R5" s="1421">
        <v>15507</v>
      </c>
      <c r="S5" s="1424">
        <v>46023</v>
      </c>
    </row>
    <row r="6" spans="3:19" s="778" customFormat="1" ht="30" customHeight="1">
      <c r="C6" s="771" t="s">
        <v>142</v>
      </c>
      <c r="D6" s="772">
        <v>6204</v>
      </c>
      <c r="E6" s="781">
        <v>45292</v>
      </c>
      <c r="F6" s="774">
        <v>6070</v>
      </c>
      <c r="G6" s="781">
        <v>45658</v>
      </c>
      <c r="H6" s="1421">
        <v>5521</v>
      </c>
      <c r="I6" s="1422">
        <v>46023</v>
      </c>
      <c r="J6" s="774">
        <v>5344</v>
      </c>
      <c r="K6" s="781">
        <v>45039</v>
      </c>
      <c r="L6" s="774">
        <v>4671</v>
      </c>
      <c r="M6" s="781">
        <v>44927</v>
      </c>
      <c r="N6" s="774">
        <v>4044</v>
      </c>
      <c r="O6" s="781">
        <v>45809</v>
      </c>
      <c r="P6" s="774">
        <v>4491</v>
      </c>
      <c r="Q6" s="781">
        <v>44982</v>
      </c>
      <c r="R6" s="774">
        <v>3171</v>
      </c>
      <c r="S6" s="782">
        <v>45660</v>
      </c>
    </row>
    <row r="7" spans="3:19" s="778" customFormat="1" ht="30" customHeight="1">
      <c r="C7" s="771" t="s">
        <v>143</v>
      </c>
      <c r="D7" s="772">
        <v>1812</v>
      </c>
      <c r="E7" s="781">
        <v>45292</v>
      </c>
      <c r="F7" s="774">
        <v>1579</v>
      </c>
      <c r="G7" s="781">
        <v>45658</v>
      </c>
      <c r="H7" s="1421">
        <v>1704</v>
      </c>
      <c r="I7" s="1422">
        <v>46023</v>
      </c>
      <c r="J7" s="774">
        <v>1519</v>
      </c>
      <c r="K7" s="781" t="s">
        <v>438</v>
      </c>
      <c r="L7" s="774">
        <v>1503</v>
      </c>
      <c r="M7" s="781">
        <v>45844</v>
      </c>
      <c r="N7" s="774">
        <v>1451</v>
      </c>
      <c r="O7" s="781">
        <v>45809</v>
      </c>
      <c r="P7" s="774">
        <v>1381.39</v>
      </c>
      <c r="Q7" s="781">
        <v>44982</v>
      </c>
      <c r="R7" s="1421">
        <v>1047</v>
      </c>
      <c r="S7" s="1424">
        <v>46110</v>
      </c>
    </row>
    <row r="8" spans="3:19" s="778" customFormat="1" ht="30" customHeight="1">
      <c r="C8" s="771" t="s">
        <v>46</v>
      </c>
      <c r="D8" s="772">
        <v>2821</v>
      </c>
      <c r="E8" s="781">
        <v>45292</v>
      </c>
      <c r="F8" s="774">
        <v>2126</v>
      </c>
      <c r="G8" s="781">
        <v>45658</v>
      </c>
      <c r="H8" s="774">
        <v>2498</v>
      </c>
      <c r="I8" s="781">
        <v>45292</v>
      </c>
      <c r="J8" s="783">
        <v>1961</v>
      </c>
      <c r="K8" s="781">
        <v>45109</v>
      </c>
      <c r="L8" s="774">
        <v>1912</v>
      </c>
      <c r="M8" s="781">
        <v>44955</v>
      </c>
      <c r="N8" s="774">
        <v>1628</v>
      </c>
      <c r="O8" s="781">
        <v>45054</v>
      </c>
      <c r="P8" s="774">
        <v>1982</v>
      </c>
      <c r="Q8" s="781">
        <v>45032</v>
      </c>
      <c r="R8" s="774">
        <v>1440</v>
      </c>
      <c r="S8" s="782">
        <v>45660</v>
      </c>
    </row>
    <row r="9" spans="3:19" s="778" customFormat="1" ht="30" customHeight="1">
      <c r="C9" s="771" t="s">
        <v>144</v>
      </c>
      <c r="D9" s="784">
        <v>112</v>
      </c>
      <c r="E9" s="781">
        <v>45214</v>
      </c>
      <c r="F9" s="785">
        <v>86</v>
      </c>
      <c r="G9" s="773">
        <v>44378</v>
      </c>
      <c r="H9" s="785">
        <v>83</v>
      </c>
      <c r="I9" s="786">
        <v>45116</v>
      </c>
      <c r="J9" s="785">
        <v>92</v>
      </c>
      <c r="K9" s="781">
        <v>44568</v>
      </c>
      <c r="L9" s="785">
        <v>80</v>
      </c>
      <c r="M9" s="781">
        <v>44955</v>
      </c>
      <c r="N9" s="785">
        <v>68</v>
      </c>
      <c r="O9" s="781">
        <v>44969</v>
      </c>
      <c r="P9" s="785">
        <v>70</v>
      </c>
      <c r="Q9" s="781">
        <v>45032</v>
      </c>
      <c r="R9" s="785">
        <v>51</v>
      </c>
      <c r="S9" s="782">
        <v>45662</v>
      </c>
    </row>
    <row r="10" spans="3:19" s="778" customFormat="1" ht="30" customHeight="1">
      <c r="C10" s="771" t="s">
        <v>286</v>
      </c>
      <c r="D10" s="784">
        <v>32</v>
      </c>
      <c r="E10" s="781">
        <v>45214</v>
      </c>
      <c r="F10" s="785">
        <v>26</v>
      </c>
      <c r="G10" s="779"/>
      <c r="H10" s="785"/>
      <c r="I10" s="779"/>
      <c r="J10" s="785">
        <v>27</v>
      </c>
      <c r="K10" s="781">
        <v>44603</v>
      </c>
      <c r="L10" s="785"/>
      <c r="M10" s="779"/>
      <c r="N10" s="785">
        <v>20</v>
      </c>
      <c r="O10" s="786">
        <v>44969</v>
      </c>
      <c r="P10" s="785">
        <v>21</v>
      </c>
      <c r="Q10" s="781">
        <v>45032</v>
      </c>
      <c r="R10" s="785">
        <v>21</v>
      </c>
      <c r="S10" s="782">
        <v>45841</v>
      </c>
    </row>
    <row r="11" spans="3:19" s="778" customFormat="1" ht="30" customHeight="1">
      <c r="C11" s="771" t="s">
        <v>145</v>
      </c>
      <c r="D11" s="772">
        <v>67656</v>
      </c>
      <c r="E11" s="773">
        <v>45627</v>
      </c>
      <c r="F11" s="787">
        <v>51063</v>
      </c>
      <c r="G11" s="773">
        <v>45627</v>
      </c>
      <c r="H11" s="774">
        <v>5674</v>
      </c>
      <c r="I11" s="773">
        <v>44866</v>
      </c>
      <c r="J11" s="774">
        <v>84808.92</v>
      </c>
      <c r="K11" s="773">
        <v>44927</v>
      </c>
      <c r="L11" s="774">
        <v>4951</v>
      </c>
      <c r="M11" s="773">
        <v>45047</v>
      </c>
      <c r="N11" s="774">
        <v>2882</v>
      </c>
      <c r="O11" s="773">
        <v>45261</v>
      </c>
      <c r="P11" s="774">
        <v>2668.05</v>
      </c>
      <c r="Q11" s="773">
        <v>45261</v>
      </c>
      <c r="R11" s="774">
        <v>20039</v>
      </c>
      <c r="S11" s="777">
        <v>45809</v>
      </c>
    </row>
    <row r="12" spans="3:19" s="778" customFormat="1" ht="30" customHeight="1">
      <c r="C12" s="771" t="s">
        <v>151</v>
      </c>
      <c r="D12" s="788">
        <v>1860</v>
      </c>
      <c r="E12" s="781">
        <v>45292</v>
      </c>
      <c r="F12" s="785">
        <v>1936</v>
      </c>
      <c r="G12" s="781">
        <v>45116</v>
      </c>
      <c r="H12" s="785"/>
      <c r="I12" s="781"/>
      <c r="J12" s="785" t="s">
        <v>229</v>
      </c>
      <c r="K12" s="781">
        <v>44927</v>
      </c>
      <c r="L12" s="785"/>
      <c r="M12" s="781"/>
      <c r="N12" s="785">
        <v>842</v>
      </c>
      <c r="O12" s="781">
        <v>44927</v>
      </c>
      <c r="P12" s="785">
        <v>909</v>
      </c>
      <c r="Q12" s="781">
        <v>44927</v>
      </c>
      <c r="R12" s="785">
        <v>670</v>
      </c>
      <c r="S12" s="782">
        <v>45702</v>
      </c>
    </row>
    <row r="13" spans="3:19" ht="17" customHeight="1">
      <c r="C13" s="789"/>
      <c r="D13" s="1769"/>
      <c r="E13" s="1766"/>
      <c r="F13" s="1765"/>
      <c r="G13" s="1766"/>
      <c r="H13" s="1765"/>
      <c r="I13" s="1766"/>
      <c r="J13" s="1765" t="s">
        <v>476</v>
      </c>
      <c r="K13" s="1766"/>
      <c r="L13" s="1765"/>
      <c r="M13" s="1766"/>
      <c r="N13" s="1765" t="s">
        <v>476</v>
      </c>
      <c r="O13" s="1766"/>
      <c r="P13" s="1765"/>
      <c r="Q13" s="1766"/>
      <c r="R13" s="1769" t="s">
        <v>477</v>
      </c>
      <c r="S13" s="1770"/>
    </row>
    <row r="14" spans="3:19" ht="20" thickBot="1">
      <c r="C14" s="790"/>
      <c r="D14" s="1771"/>
      <c r="E14" s="1768"/>
      <c r="F14" s="1767"/>
      <c r="G14" s="1768"/>
      <c r="H14" s="1767"/>
      <c r="I14" s="1768"/>
      <c r="J14" s="1767"/>
      <c r="K14" s="1768"/>
      <c r="L14" s="1767"/>
      <c r="M14" s="1768"/>
      <c r="N14" s="1767"/>
      <c r="O14" s="1768"/>
      <c r="P14" s="1767"/>
      <c r="Q14" s="1768"/>
      <c r="R14" s="1771"/>
      <c r="S14" s="1772"/>
    </row>
    <row r="15" spans="3:19" ht="20" thickBot="1"/>
    <row r="16" spans="3:19" ht="20">
      <c r="C16" s="791" t="s">
        <v>320</v>
      </c>
      <c r="D16" s="792"/>
      <c r="E16" s="792"/>
      <c r="F16" s="792"/>
      <c r="G16" s="793" t="s">
        <v>10</v>
      </c>
      <c r="H16" s="793" t="s">
        <v>25</v>
      </c>
      <c r="I16" s="793" t="s">
        <v>17</v>
      </c>
      <c r="J16" s="793" t="s">
        <v>18</v>
      </c>
      <c r="K16" s="793" t="s">
        <v>19</v>
      </c>
      <c r="L16" s="793" t="s">
        <v>20</v>
      </c>
      <c r="M16" s="793" t="s">
        <v>21</v>
      </c>
      <c r="N16" s="793" t="s">
        <v>26</v>
      </c>
      <c r="O16" s="793" t="s">
        <v>22</v>
      </c>
      <c r="P16" s="793" t="s">
        <v>23</v>
      </c>
      <c r="Q16" s="793" t="s">
        <v>24</v>
      </c>
      <c r="R16" s="793" t="s">
        <v>27</v>
      </c>
      <c r="S16" s="794" t="s">
        <v>273</v>
      </c>
    </row>
    <row r="17" spans="2:21">
      <c r="C17" s="795" t="s">
        <v>69</v>
      </c>
      <c r="D17" s="796"/>
      <c r="E17" s="796"/>
      <c r="F17" s="796"/>
      <c r="G17" s="797">
        <f>OPH!K6</f>
        <v>41.08584005869406</v>
      </c>
      <c r="H17" s="798">
        <f>OPH!L6</f>
        <v>51.408925874755006</v>
      </c>
      <c r="I17" s="798">
        <f>OPH!M6</f>
        <v>43.501227356057548</v>
      </c>
      <c r="J17" s="798">
        <f>OPH!N6</f>
        <v>56.088950476756082</v>
      </c>
      <c r="K17" s="798">
        <f>OPH!O6</f>
        <v>72.029597616475129</v>
      </c>
      <c r="L17" s="798">
        <f>OPH!P6</f>
        <v>41.499515838981878</v>
      </c>
      <c r="M17" s="798" t="e">
        <f>OPH!Q6</f>
        <v>#DIV/0!</v>
      </c>
      <c r="N17" s="798" t="e">
        <f>OPH!R6</f>
        <v>#DIV/0!</v>
      </c>
      <c r="O17" s="798" t="e">
        <f>OPH!S6</f>
        <v>#DIV/0!</v>
      </c>
      <c r="P17" s="798" t="e">
        <f>OPH!T6</f>
        <v>#DIV/0!</v>
      </c>
      <c r="Q17" s="798" t="e">
        <f>OPH!U6</f>
        <v>#DIV/0!</v>
      </c>
      <c r="R17" s="798" t="e">
        <f>OPH!V6</f>
        <v>#DIV/0!</v>
      </c>
      <c r="S17" s="799">
        <f>OPH!W6</f>
        <v>51.975680216605625</v>
      </c>
    </row>
    <row r="18" spans="2:21">
      <c r="C18" s="795" t="s">
        <v>29</v>
      </c>
      <c r="D18" s="796"/>
      <c r="E18" s="796"/>
      <c r="F18" s="796"/>
      <c r="G18" s="797">
        <f>OPH!K7</f>
        <v>47.950131862862619</v>
      </c>
      <c r="H18" s="798">
        <f>OPH!L7</f>
        <v>66.131317902692487</v>
      </c>
      <c r="I18" s="798">
        <f>OPH!M7</f>
        <v>51.174691788788088</v>
      </c>
      <c r="J18" s="798">
        <f>OPH!N7</f>
        <v>66.540978152378841</v>
      </c>
      <c r="K18" s="798">
        <f>OPH!O7</f>
        <v>49.983933735584991</v>
      </c>
      <c r="L18" s="798">
        <f>OPH!P7</f>
        <v>17.047391749062392</v>
      </c>
      <c r="M18" s="798" t="e">
        <f>OPH!Q7</f>
        <v>#DIV/0!</v>
      </c>
      <c r="N18" s="798" t="e">
        <f>OPH!R7</f>
        <v>#DIV/0!</v>
      </c>
      <c r="O18" s="798" t="e">
        <f>OPH!S7</f>
        <v>#DIV/0!</v>
      </c>
      <c r="P18" s="798" t="e">
        <f>OPH!T7</f>
        <v>#DIV/0!</v>
      </c>
      <c r="Q18" s="798" t="e">
        <f>OPH!U7</f>
        <v>#DIV/0!</v>
      </c>
      <c r="R18" s="798" t="e">
        <f>OPH!V7</f>
        <v>#DIV/0!</v>
      </c>
      <c r="S18" s="799">
        <f>OPH!W7</f>
        <v>54.642174115680696</v>
      </c>
    </row>
    <row r="19" spans="2:21">
      <c r="C19" s="795" t="s">
        <v>30</v>
      </c>
      <c r="D19" s="796"/>
      <c r="E19" s="796"/>
      <c r="F19" s="796"/>
      <c r="G19" s="797">
        <f>OPH!K8</f>
        <v>34.604071745775421</v>
      </c>
      <c r="H19" s="798">
        <f>OPH!L8</f>
        <v>24.818514611900479</v>
      </c>
      <c r="I19" s="798">
        <f>OPH!M8</f>
        <v>17.740981667652278</v>
      </c>
      <c r="J19" s="798">
        <f>OPH!N8</f>
        <v>41.271151465125875</v>
      </c>
      <c r="K19" s="798">
        <f>OPH!O8</f>
        <v>43.93914428516505</v>
      </c>
      <c r="L19" s="798">
        <f>OPH!P8</f>
        <v>23.030861354214647</v>
      </c>
      <c r="M19" s="798" t="e">
        <f>OPH!Q8</f>
        <v>#DIV/0!</v>
      </c>
      <c r="N19" s="798" t="e">
        <f>OPH!R8</f>
        <v>#DIV/0!</v>
      </c>
      <c r="O19" s="798" t="e">
        <f>OPH!S8</f>
        <v>#DIV/0!</v>
      </c>
      <c r="P19" s="798" t="e">
        <f>OPH!T8</f>
        <v>#DIV/0!</v>
      </c>
      <c r="Q19" s="798" t="e">
        <f>OPH!U8</f>
        <v>#DIV/0!</v>
      </c>
      <c r="R19" s="798" t="e">
        <f>OPH!V8</f>
        <v>#DIV/0!</v>
      </c>
      <c r="S19" s="799">
        <f>OPH!W8</f>
        <v>32.266678534870266</v>
      </c>
    </row>
    <row r="20" spans="2:21">
      <c r="C20" s="795" t="s">
        <v>31</v>
      </c>
      <c r="D20" s="796"/>
      <c r="E20" s="796"/>
      <c r="F20" s="796"/>
      <c r="G20" s="797">
        <f>OPH!K9</f>
        <v>54.670415495157762</v>
      </c>
      <c r="H20" s="798">
        <f>OPH!L9</f>
        <v>48.434679230328918</v>
      </c>
      <c r="I20" s="798">
        <f>OPH!M9</f>
        <v>52.591124236417329</v>
      </c>
      <c r="J20" s="798">
        <f>OPH!N9</f>
        <v>25.536261491317671</v>
      </c>
      <c r="K20" s="798">
        <f>OPH!O9</f>
        <v>20.564283951632802</v>
      </c>
      <c r="L20" s="798">
        <f>OPH!P9</f>
        <v>101.85028008827024</v>
      </c>
      <c r="M20" s="798" t="e">
        <f>OPH!Q9</f>
        <v>#DIV/0!</v>
      </c>
      <c r="N20" s="798" t="e">
        <f>OPH!R9</f>
        <v>#DIV/0!</v>
      </c>
      <c r="O20" s="798" t="e">
        <f>OPH!S9</f>
        <v>#DIV/0!</v>
      </c>
      <c r="P20" s="798" t="e">
        <f>OPH!T9</f>
        <v>#DIV/0!</v>
      </c>
      <c r="Q20" s="798" t="e">
        <f>OPH!U9</f>
        <v>#DIV/0!</v>
      </c>
      <c r="R20" s="798" t="e">
        <f>OPH!V9</f>
        <v>#DIV/0!</v>
      </c>
      <c r="S20" s="799">
        <f>OPH!W9</f>
        <v>43.39627107677984</v>
      </c>
    </row>
    <row r="21" spans="2:21">
      <c r="C21" s="795" t="s">
        <v>32</v>
      </c>
      <c r="D21" s="796"/>
      <c r="E21" s="796"/>
      <c r="F21" s="796"/>
      <c r="G21" s="797">
        <f>OPH!K10</f>
        <v>32.351989647363311</v>
      </c>
      <c r="H21" s="798">
        <f>OPH!L10</f>
        <v>43.52746583093932</v>
      </c>
      <c r="I21" s="798">
        <f>OPH!M10</f>
        <v>23.590469450342063</v>
      </c>
      <c r="J21" s="798">
        <f>OPH!N10</f>
        <v>23.404587299110627</v>
      </c>
      <c r="K21" s="798">
        <f>OPH!O10</f>
        <v>60.277275467148883</v>
      </c>
      <c r="L21" s="798">
        <f>OPH!P10</f>
        <v>31.796502384737678</v>
      </c>
      <c r="M21" s="798" t="e">
        <f>OPH!Q10</f>
        <v>#DIV/0!</v>
      </c>
      <c r="N21" s="798" t="e">
        <f>OPH!R10</f>
        <v>#DIV/0!</v>
      </c>
      <c r="O21" s="798" t="e">
        <f>OPH!S10</f>
        <v>#DIV/0!</v>
      </c>
      <c r="P21" s="798" t="e">
        <f>OPH!T10</f>
        <v>#DIV/0!</v>
      </c>
      <c r="Q21" s="798" t="e">
        <f>OPH!U10</f>
        <v>#DIV/0!</v>
      </c>
      <c r="R21" s="798" t="e">
        <f>OPH!V10</f>
        <v>#DIV/0!</v>
      </c>
      <c r="S21" s="799">
        <f>OPH!W10</f>
        <v>36.47250125374223</v>
      </c>
    </row>
    <row r="22" spans="2:21">
      <c r="C22" s="795" t="s">
        <v>253</v>
      </c>
      <c r="D22" s="796"/>
      <c r="E22" s="796"/>
      <c r="F22" s="796"/>
      <c r="G22" s="797">
        <f>OPH!K11</f>
        <v>22.01188641866608</v>
      </c>
      <c r="H22" s="798">
        <f>OPH!L11</f>
        <v>30.892801977139328</v>
      </c>
      <c r="I22" s="798">
        <f>OPH!M11</f>
        <v>14.323569433502829</v>
      </c>
      <c r="J22" s="798">
        <f>OPH!N11</f>
        <v>14.628437682855472</v>
      </c>
      <c r="K22" s="798">
        <f>OPH!O11</f>
        <v>13.785497656465399</v>
      </c>
      <c r="L22" s="798">
        <f>OPH!P11</f>
        <v>88.941595019270679</v>
      </c>
      <c r="M22" s="798" t="e">
        <f>OPH!Q11</f>
        <v>#DIV/0!</v>
      </c>
      <c r="N22" s="798" t="e">
        <f>OPH!R11</f>
        <v>#DIV/0!</v>
      </c>
      <c r="O22" s="798" t="e">
        <f>OPH!S11</f>
        <v>#DIV/0!</v>
      </c>
      <c r="P22" s="798" t="e">
        <f>OPH!T11</f>
        <v>#DIV/0!</v>
      </c>
      <c r="Q22" s="798" t="e">
        <f>OPH!U11</f>
        <v>#DIV/0!</v>
      </c>
      <c r="R22" s="798" t="e">
        <f>OPH!V11</f>
        <v>#DIV/0!</v>
      </c>
      <c r="S22" s="799">
        <f>OPH!W11</f>
        <v>22.193555546308239</v>
      </c>
    </row>
    <row r="23" spans="2:21">
      <c r="C23" s="795" t="s">
        <v>34</v>
      </c>
      <c r="D23" s="796"/>
      <c r="E23" s="796"/>
      <c r="F23" s="796"/>
      <c r="G23" s="797">
        <f>OPH!K12</f>
        <v>72.484778196578716</v>
      </c>
      <c r="H23" s="798">
        <f>OPH!L12</f>
        <v>53.73867649316751</v>
      </c>
      <c r="I23" s="798">
        <f>OPH!M12</f>
        <v>22.353028835407198</v>
      </c>
      <c r="J23" s="798">
        <f>OPH!N12</f>
        <v>55.270430319778917</v>
      </c>
      <c r="K23" s="798">
        <f>OPH!O12</f>
        <v>60.670408008493858</v>
      </c>
      <c r="L23" s="798">
        <f>OPH!P12</f>
        <v>31.347962382445139</v>
      </c>
      <c r="M23" s="798" t="e">
        <f>OPH!Q12</f>
        <v>#DIV/0!</v>
      </c>
      <c r="N23" s="798" t="e">
        <f>OPH!R12</f>
        <v>#DIV/0!</v>
      </c>
      <c r="O23" s="798" t="e">
        <f>OPH!S12</f>
        <v>#DIV/0!</v>
      </c>
      <c r="P23" s="798" t="e">
        <f>OPH!T12</f>
        <v>#DIV/0!</v>
      </c>
      <c r="Q23" s="798" t="e">
        <f>OPH!U12</f>
        <v>#DIV/0!</v>
      </c>
      <c r="R23" s="798" t="e">
        <f>OPH!V12</f>
        <v>#DIV/0!</v>
      </c>
      <c r="S23" s="799">
        <f>OPH!W12</f>
        <v>51.96004849604526</v>
      </c>
    </row>
    <row r="24" spans="2:21">
      <c r="C24" s="795" t="s">
        <v>308</v>
      </c>
      <c r="D24" s="796"/>
      <c r="E24" s="796"/>
      <c r="F24" s="796"/>
      <c r="G24" s="797">
        <f>OPH!K13</f>
        <v>46.941010796432487</v>
      </c>
      <c r="H24" s="798">
        <f>OPH!L13</f>
        <v>53.643272239606617</v>
      </c>
      <c r="I24" s="798">
        <f>OPH!M13</f>
        <v>73.794686782551651</v>
      </c>
      <c r="J24" s="798">
        <f>OPH!N13</f>
        <v>50.377833753148614</v>
      </c>
      <c r="K24" s="798">
        <f>OPH!O13</f>
        <v>39.777247414478921</v>
      </c>
      <c r="L24" s="798">
        <f>OPH!P13</f>
        <v>0</v>
      </c>
      <c r="M24" s="798" t="e">
        <f>OPH!Q13</f>
        <v>#DIV/0!</v>
      </c>
      <c r="N24" s="798" t="e">
        <f>OPH!R13</f>
        <v>#DIV/0!</v>
      </c>
      <c r="O24" s="798" t="e">
        <f>OPH!S13</f>
        <v>#DIV/0!</v>
      </c>
      <c r="P24" s="798" t="e">
        <f>OPH!T13</f>
        <v>#DIV/0!</v>
      </c>
      <c r="Q24" s="798" t="e">
        <f>OPH!U13</f>
        <v>#DIV/0!</v>
      </c>
      <c r="R24" s="798" t="e">
        <f>OPH!V13</f>
        <v>#DIV/0!</v>
      </c>
      <c r="S24" s="799">
        <f>OPH!W13</f>
        <v>50.318421259532983</v>
      </c>
    </row>
    <row r="25" spans="2:21" ht="20" thickBot="1">
      <c r="C25" s="800" t="s">
        <v>37</v>
      </c>
      <c r="D25" s="801"/>
      <c r="E25" s="801"/>
      <c r="F25" s="801"/>
      <c r="G25" s="802">
        <f>OPH!K14</f>
        <v>44.533659470381792</v>
      </c>
      <c r="H25" s="802">
        <f>OPH!L14</f>
        <v>47.936923594267604</v>
      </c>
      <c r="I25" s="802">
        <f>OPH!M14</f>
        <v>39.294328066990055</v>
      </c>
      <c r="J25" s="802">
        <f>OPH!N14</f>
        <v>44.330409317446033</v>
      </c>
      <c r="K25" s="802">
        <f>OPH!O14</f>
        <v>46.569087181211962</v>
      </c>
      <c r="L25" s="802">
        <f>OPH!P14</f>
        <v>44.459264199177504</v>
      </c>
      <c r="M25" s="802" t="e">
        <f>OPH!Q14</f>
        <v>#DIV/0!</v>
      </c>
      <c r="N25" s="802" t="e">
        <f>OPH!R14</f>
        <v>#DIV/0!</v>
      </c>
      <c r="O25" s="802" t="e">
        <f>OPH!S14</f>
        <v>#DIV/0!</v>
      </c>
      <c r="P25" s="802" t="e">
        <f>OPH!T14</f>
        <v>#DIV/0!</v>
      </c>
      <c r="Q25" s="802" t="e">
        <f>OPH!U14</f>
        <v>#DIV/0!</v>
      </c>
      <c r="R25" s="1394" t="e">
        <f>OPH!V14</f>
        <v>#DIV/0!</v>
      </c>
      <c r="S25" s="1066">
        <f>OPH!W14</f>
        <v>44.513172554155553</v>
      </c>
    </row>
    <row r="26" spans="2:21" ht="20" thickBot="1"/>
    <row r="27" spans="2:21" s="856" customFormat="1" ht="36">
      <c r="B27" s="1762" t="s">
        <v>329</v>
      </c>
      <c r="C27" s="848" t="s">
        <v>310</v>
      </c>
      <c r="D27" s="849" t="s">
        <v>28</v>
      </c>
      <c r="E27" s="849" t="s">
        <v>475</v>
      </c>
      <c r="F27" s="850" t="s">
        <v>29</v>
      </c>
      <c r="G27" s="849" t="s">
        <v>475</v>
      </c>
      <c r="H27" s="851" t="s">
        <v>30</v>
      </c>
      <c r="I27" s="849" t="s">
        <v>475</v>
      </c>
      <c r="J27" s="852" t="s">
        <v>31</v>
      </c>
      <c r="K27" s="849" t="s">
        <v>475</v>
      </c>
      <c r="L27" s="849" t="s">
        <v>32</v>
      </c>
      <c r="M27" s="849" t="s">
        <v>475</v>
      </c>
      <c r="N27" s="850" t="s">
        <v>253</v>
      </c>
      <c r="O27" s="849" t="s">
        <v>475</v>
      </c>
      <c r="P27" s="851" t="s">
        <v>34</v>
      </c>
      <c r="Q27" s="849" t="s">
        <v>475</v>
      </c>
      <c r="R27" s="852" t="s">
        <v>308</v>
      </c>
      <c r="S27" s="849" t="s">
        <v>475</v>
      </c>
      <c r="T27" s="853" t="s">
        <v>37</v>
      </c>
      <c r="U27" s="854" t="s">
        <v>490</v>
      </c>
    </row>
    <row r="28" spans="2:21" s="213" customFormat="1">
      <c r="B28" s="1763"/>
      <c r="C28" s="215" t="s">
        <v>10</v>
      </c>
      <c r="D28" s="216">
        <f>CHAMNORD!L377</f>
        <v>658679.48999999976</v>
      </c>
      <c r="E28" s="217">
        <f>+CHAMNORD!V377</f>
        <v>-4.8128591007687335E-2</v>
      </c>
      <c r="F28" s="216">
        <f>AIX!L377</f>
        <v>384720.66000000009</v>
      </c>
      <c r="G28" s="217">
        <f>+AIX!V377</f>
        <v>-4.7966546445181134E-2</v>
      </c>
      <c r="H28" s="218">
        <f>BELLEY!L377</f>
        <v>363719.49000000005</v>
      </c>
      <c r="I28" s="219">
        <f>BELLEY!V377</f>
        <v>3.9423295871519028E-2</v>
      </c>
      <c r="J28" s="218">
        <f>STALBAN!L377</f>
        <v>493505.06000000006</v>
      </c>
      <c r="K28" s="219">
        <f>STALBAN!V377</f>
        <v>2.9401491042004707E-2</v>
      </c>
      <c r="L28" s="218">
        <f>ABRETS!L377</f>
        <v>276758.16000000009</v>
      </c>
      <c r="M28" s="219">
        <f>ABRETS!$V377</f>
        <v>2.3259528455981171E-2</v>
      </c>
      <c r="N28" s="218">
        <f>PONT!L377</f>
        <v>287700</v>
      </c>
      <c r="O28" s="219">
        <f>PONT!$V377</f>
        <v>1.4206648570522085E-2</v>
      </c>
      <c r="P28" s="218">
        <f>FRANCIN!L377</f>
        <v>289041.29999999993</v>
      </c>
      <c r="Q28" s="219">
        <f>FRANCIN!$V377</f>
        <v>2.7016334830264731E-2</v>
      </c>
      <c r="R28" s="218">
        <f>VIVIERS!L377</f>
        <v>253415.66000000003</v>
      </c>
      <c r="S28" s="219">
        <f>VIVIERS!$V377</f>
        <v>8.4195266646353337E-2</v>
      </c>
      <c r="T28" s="222">
        <f>D28+F28+H28+J28+L28+N28+P28+R28</f>
        <v>3007539.82</v>
      </c>
      <c r="U28" s="223">
        <f>FRANCHISE!V377</f>
        <v>4.2764044220529292E-3</v>
      </c>
    </row>
    <row r="29" spans="2:21" s="229" customFormat="1">
      <c r="B29" s="1763"/>
      <c r="C29" s="224" t="s">
        <v>25</v>
      </c>
      <c r="D29" s="216">
        <f>CHAMNORD!L378</f>
        <v>607702.89000000013</v>
      </c>
      <c r="E29" s="217">
        <f>IF(D29=0,"",((CHAMNORD!$L378-CHAMNORD!$D378)/CHAMNORD!$D378))</f>
        <v>-3.4827229019146526E-2</v>
      </c>
      <c r="F29" s="225">
        <f>AIX!L378</f>
        <v>383624.50999999995</v>
      </c>
      <c r="G29" s="217">
        <f>+AIX!V378</f>
        <v>4.1085727987558553E-3</v>
      </c>
      <c r="H29" s="225">
        <f>BELLEY!L378</f>
        <v>339986.69999999995</v>
      </c>
      <c r="I29" s="217">
        <f>BELLEY!V378</f>
        <v>-2.5400043067536893E-2</v>
      </c>
      <c r="J29" s="225">
        <f>STALBAN!L378</f>
        <v>441461.42</v>
      </c>
      <c r="K29" s="217">
        <f>IF(J29=0,"",((STALBAN!$L378-STALBAN!$D378)/STALBAN!$D378))</f>
        <v>1.2317701208643071E-3</v>
      </c>
      <c r="L29" s="218">
        <f>ABRETS!L378</f>
        <v>251484.16899999999</v>
      </c>
      <c r="M29" s="217">
        <f>IF(L29=0,"",((ABRETS!$L378-ABRETS!$D378)/ABRETS!$D378))</f>
        <v>-2.9201267622553588E-2</v>
      </c>
      <c r="N29" s="225">
        <f>PONT!L378</f>
        <v>267583</v>
      </c>
      <c r="O29" s="219">
        <f>PONT!$V378</f>
        <v>-1.0575241363244751E-2</v>
      </c>
      <c r="P29" s="225">
        <f>FRANCIN!L378</f>
        <v>275546.76</v>
      </c>
      <c r="Q29" s="219">
        <f>FRANCIN!$V378</f>
        <v>-8.2807997306148327E-3</v>
      </c>
      <c r="R29" s="1426">
        <f>VIVIERS!$D378</f>
        <v>229347.88999999998</v>
      </c>
      <c r="S29" s="219">
        <f>VIVIERS!$V378</f>
        <v>-3.8326142874041534E-2</v>
      </c>
      <c r="T29" s="222">
        <f t="shared" ref="T29:T39" si="0">D29+F29+H29+J29+L29+N29+P29+R29</f>
        <v>2796737.3390000002</v>
      </c>
      <c r="U29" s="223">
        <f>FRANCHISE!V378</f>
        <v>-1.7684691355119499E-2</v>
      </c>
    </row>
    <row r="30" spans="2:21" s="229" customFormat="1">
      <c r="B30" s="1763"/>
      <c r="C30" s="224" t="s">
        <v>17</v>
      </c>
      <c r="D30" s="216">
        <f>CHAMNORD!L379</f>
        <v>609514.53000000026</v>
      </c>
      <c r="E30" s="217">
        <f>IF(D30=0,"",((CHAMNORD!$L379-CHAMNORD!$D379)/CHAMNORD!$D379))</f>
        <v>-7.7204248362549438E-2</v>
      </c>
      <c r="F30" s="225">
        <f>AIX!L379</f>
        <v>385296.22999999992</v>
      </c>
      <c r="G30" s="217">
        <f>+AIX!V379</f>
        <v>-6.4389636356528321E-2</v>
      </c>
      <c r="H30" s="225">
        <f>BELLEY!L379</f>
        <v>353332.67999999982</v>
      </c>
      <c r="I30" s="217">
        <f>BELLEY!V379</f>
        <v>-4.0852302391706036E-2</v>
      </c>
      <c r="J30" s="225">
        <f>STALBAN!L379</f>
        <v>471494.39999999997</v>
      </c>
      <c r="K30" s="217">
        <f>IF(J30=0,"",((STALBAN!$L379-STALBAN!$D379)/STALBAN!$D379))</f>
        <v>1.3672268660955304E-2</v>
      </c>
      <c r="L30" s="218">
        <f>ABRETS!L379</f>
        <v>281150.61</v>
      </c>
      <c r="M30" s="217">
        <f>IF(L30=0,"",((ABRETS!$L379-ABRETS!$D379)/ABRETS!$D379))</f>
        <v>-1.603283779853627E-2</v>
      </c>
      <c r="N30" s="225">
        <f>PONT!L379</f>
        <v>292365</v>
      </c>
      <c r="O30" s="217">
        <f>IF(N30=0,"",((PONT!$L379-PONT!$D379)/PONT!$D379))</f>
        <v>-1.1609234649204358E-2</v>
      </c>
      <c r="P30" s="225">
        <f>FRANCIN!L379</f>
        <v>279942.99</v>
      </c>
      <c r="Q30" s="217">
        <f>IF(P30=0,"",((FRANCIN!$L379-FRANCIN!$D379)/FRANCIN!$D379))</f>
        <v>-2.5313718790935375E-2</v>
      </c>
      <c r="R30" s="1426">
        <f>VIVIERS!$D379</f>
        <v>242711.71000000002</v>
      </c>
      <c r="S30" s="219">
        <f>VIVIERS!$V379</f>
        <v>-1.6651936571169246E-2</v>
      </c>
      <c r="T30" s="222">
        <f t="shared" si="0"/>
        <v>2915808.1499999994</v>
      </c>
      <c r="U30" s="223">
        <f>FRANCHISE!V379</f>
        <v>-3.4974215075002937E-2</v>
      </c>
    </row>
    <row r="31" spans="2:21" s="229" customFormat="1">
      <c r="B31" s="1763"/>
      <c r="C31" s="224" t="s">
        <v>18</v>
      </c>
      <c r="D31" s="225">
        <f>CHAMNORD!L380</f>
        <v>581204.20999999985</v>
      </c>
      <c r="E31" s="217">
        <f>IF(D31=0,"",((CHAMNORD!$L380-CHAMNORD!$D380)/CHAMNORD!$D380))</f>
        <v>-7.9066540240468289E-2</v>
      </c>
      <c r="F31" s="225">
        <f>AIX!L380</f>
        <v>469413.27999999997</v>
      </c>
      <c r="G31" s="217">
        <f>+AIX!V380</f>
        <v>-1.6970804796050006E-2</v>
      </c>
      <c r="H31" s="225">
        <f>BELLEY!L380</f>
        <v>351708.42000000004</v>
      </c>
      <c r="I31" s="217">
        <f>BELLEY!V380</f>
        <v>-5.0965289825752193E-2</v>
      </c>
      <c r="J31" s="225">
        <f>STALBAN!L380</f>
        <v>446988.02000000008</v>
      </c>
      <c r="K31" s="217">
        <f>IF(J31=0,"",((STALBAN!$L380-STALBAN!$D380)/STALBAN!$D380))</f>
        <v>-2.9180636686483075E-2</v>
      </c>
      <c r="L31" s="218">
        <f>ABRETS!L380</f>
        <v>285321.81</v>
      </c>
      <c r="M31" s="217">
        <f>IF(L31=0,"",((ABRETS!$L380-ABRETS!$D380)/ABRETS!$D380))</f>
        <v>-3.3992959961950557E-2</v>
      </c>
      <c r="N31" s="225">
        <f>PONT!L380</f>
        <v>283216</v>
      </c>
      <c r="O31" s="217">
        <f>IF(N31=0,"",((PONT!$L380-PONT!$D380)/PONT!$D380))</f>
        <v>-4.4577134568026179E-2</v>
      </c>
      <c r="P31" s="225">
        <f>FRANCIN!L380</f>
        <v>261665.66</v>
      </c>
      <c r="Q31" s="217">
        <f>IF(P31=0,"",((FRANCIN!$L380-FRANCIN!$D380)/FRANCIN!$D380))</f>
        <v>-4.8985146338669933E-2</v>
      </c>
      <c r="R31" s="1426">
        <f>VIVIERS!$D380</f>
        <v>247568.9</v>
      </c>
      <c r="S31" s="219">
        <f>VIVIERS!$V380</f>
        <v>-3.479605071557839E-2</v>
      </c>
      <c r="T31" s="222">
        <f t="shared" si="0"/>
        <v>2927086.3</v>
      </c>
      <c r="U31" s="223">
        <f>FRANCHISE!V380</f>
        <v>-4.4422453270522549E-2</v>
      </c>
    </row>
    <row r="32" spans="2:21" s="213" customFormat="1">
      <c r="B32" s="1763"/>
      <c r="C32" s="215" t="s">
        <v>19</v>
      </c>
      <c r="D32" s="225">
        <f>CHAMNORD!L381</f>
        <v>567959.03000000014</v>
      </c>
      <c r="E32" s="217">
        <f>IF(D32=0,"",((CHAMNORD!$L381-CHAMNORD!$D381)/CHAMNORD!$D381))</f>
        <v>-8.8621504454892294E-2</v>
      </c>
      <c r="F32" s="225">
        <f>AIX!L381</f>
        <v>471842.93000000011</v>
      </c>
      <c r="G32" s="217">
        <f>+AIX!V381</f>
        <v>-3.2404368138896085E-2</v>
      </c>
      <c r="H32" s="225">
        <f>BELLEY!L381</f>
        <v>371144.75</v>
      </c>
      <c r="I32" s="217">
        <f>BELLEY!V381</f>
        <v>5.8682394514668725E-3</v>
      </c>
      <c r="J32" s="225">
        <f>STALBAN!L381</f>
        <v>450725.87</v>
      </c>
      <c r="K32" s="217">
        <f>IF(J32=0,"",((STALBAN!$L381-STALBAN!$D381)/STALBAN!$D381))</f>
        <v>-1.4004661584892764E-2</v>
      </c>
      <c r="L32" s="218">
        <f>ABRETS!L381</f>
        <v>288703.46000000008</v>
      </c>
      <c r="M32" s="217">
        <f>IF(L32=0,"",((ABRETS!$L381-ABRETS!$D381)/ABRETS!$D381))</f>
        <v>-5.5861954348218494E-2</v>
      </c>
      <c r="N32" s="225">
        <f>PONT!L381</f>
        <v>297095</v>
      </c>
      <c r="O32" s="217">
        <f>IF(N32=0,"",((PONT!$L381-PONT!$D381)/PONT!$D381))</f>
        <v>-4.9107342896830733E-2</v>
      </c>
      <c r="P32" s="225">
        <f>FRANCIN!L381</f>
        <v>269487.59000000003</v>
      </c>
      <c r="Q32" s="217">
        <f>IF(P32=0,"",((FRANCIN!$L381-FRANCIN!$D381)/FRANCIN!$D381))</f>
        <v>-1.0376941829921792E-2</v>
      </c>
      <c r="R32" s="1426">
        <f>VIVIERS!$D381</f>
        <v>248157.83</v>
      </c>
      <c r="S32" s="219">
        <f>VIVIERS!$V381</f>
        <v>1.7598477549548692E-3</v>
      </c>
      <c r="T32" s="222">
        <f t="shared" si="0"/>
        <v>2965116.46</v>
      </c>
      <c r="U32" s="223">
        <f>FRANCHISE!V381</f>
        <v>-3.5791019854470689E-2</v>
      </c>
    </row>
    <row r="33" spans="2:21" s="229" customFormat="1">
      <c r="B33" s="1763"/>
      <c r="C33" s="997" t="s">
        <v>20</v>
      </c>
      <c r="D33" s="998">
        <f>CHAMNORD!L382</f>
        <v>132697.91999999998</v>
      </c>
      <c r="E33" s="999">
        <f>IF(D33=0,"",((CHAMNORD!$L382-CHAMNORD!$D382)/CHAMNORD!$D382))</f>
        <v>-0.10979570799419354</v>
      </c>
      <c r="F33" s="998">
        <f>AIX!L382</f>
        <v>100619.3</v>
      </c>
      <c r="G33" s="999"/>
      <c r="H33" s="998">
        <f>BELLEY!L382</f>
        <v>86494.209999999992</v>
      </c>
      <c r="I33" s="999"/>
      <c r="J33" s="225">
        <f>STALBAN!L382</f>
        <v>108211.94999999998</v>
      </c>
      <c r="K33" s="217">
        <f>IF(J33=0,"",((STALBAN!$L382-STALBAN!$D382)/STALBAN!$D382))</f>
        <v>-8.4092287571387675E-2</v>
      </c>
      <c r="L33" s="218">
        <f>ABRETS!L382</f>
        <v>68516.53</v>
      </c>
      <c r="M33" s="217">
        <f>IF(L33=0,"",((ABRETS!$L382-ABRETS!$D382)/ABRETS!$D382))</f>
        <v>-6.9494440450196343E-2</v>
      </c>
      <c r="N33" s="998">
        <f>PONT!L382</f>
        <v>67855</v>
      </c>
      <c r="O33" s="999">
        <f>IF(N33=0,"",((PONT!$L382-PONT!$D382)/PONT!$D382))</f>
        <v>-0.11881200976572645</v>
      </c>
      <c r="P33" s="998">
        <f>FRANCIN!L382</f>
        <v>66934.899999999994</v>
      </c>
      <c r="Q33" s="999">
        <f>IF(P33=0,"",((FRANCIN!$L382-FRANCIN!$D382)/FRANCIN!$D382))</f>
        <v>3.4453448134372386E-2</v>
      </c>
      <c r="R33" s="1427">
        <f>VIVIERS!$D382</f>
        <v>58695.630000000005</v>
      </c>
      <c r="S33" s="1001"/>
      <c r="T33" s="1002">
        <f t="shared" si="0"/>
        <v>690025.44</v>
      </c>
      <c r="U33" s="223">
        <f>FRANCHISE!V382</f>
        <v>-6.4872741357706973E-2</v>
      </c>
    </row>
    <row r="34" spans="2:21" s="229" customFormat="1">
      <c r="B34" s="1763"/>
      <c r="C34" s="224" t="s">
        <v>21</v>
      </c>
      <c r="D34" s="225">
        <f>CHAMNORD!L383</f>
        <v>0</v>
      </c>
      <c r="E34" s="217" t="str">
        <f>IF(D34=0,"",((CHAMNORD!$L383-CHAMNORD!$D383)/CHAMNORD!$D383))</f>
        <v/>
      </c>
      <c r="F34" s="225">
        <f>AIX!L383</f>
        <v>0</v>
      </c>
      <c r="G34" s="217"/>
      <c r="H34" s="225">
        <f>BELLEY!L383</f>
        <v>0</v>
      </c>
      <c r="I34" s="217"/>
      <c r="J34" s="1504">
        <f>STALBAN!L383</f>
        <v>0</v>
      </c>
      <c r="K34" s="1505" t="str">
        <f>IF(J34=0,"",((STALBAN!$L383-STALBAN!$D383)/STALBAN!$D383))</f>
        <v/>
      </c>
      <c r="L34" s="1506">
        <f>ABRETS!L383</f>
        <v>0</v>
      </c>
      <c r="M34" s="1505" t="str">
        <f>IF(L34=0,"",((ABRETS!$L383-ABRETS!$D383)/ABRETS!$D383))</f>
        <v/>
      </c>
      <c r="N34" s="225">
        <f>PONT!L383</f>
        <v>0</v>
      </c>
      <c r="O34" s="217" t="str">
        <f>IF(N34=0,"",((PONT!$L383-PONT!$D383)/PONT!$D383))</f>
        <v/>
      </c>
      <c r="P34" s="225">
        <f>FRANCIN!L383</f>
        <v>0</v>
      </c>
      <c r="Q34" s="217" t="str">
        <f>IF(P34=0,"",((FRANCIN!$L383-FRANCIN!$D383)/FRANCIN!$D383))</f>
        <v/>
      </c>
      <c r="R34" s="1426">
        <f>VIVIERS!$D383</f>
        <v>0</v>
      </c>
      <c r="S34" s="227"/>
      <c r="T34" s="1134">
        <f t="shared" si="0"/>
        <v>0</v>
      </c>
      <c r="U34" s="223" t="e">
        <f>FRANCHISE!V383</f>
        <v>#DIV/0!</v>
      </c>
    </row>
    <row r="35" spans="2:21" s="213" customFormat="1">
      <c r="B35" s="1763"/>
      <c r="C35" s="215" t="s">
        <v>26</v>
      </c>
      <c r="D35" s="225">
        <f>CHAMNORD!L384</f>
        <v>0</v>
      </c>
      <c r="E35" s="217" t="str">
        <f>IF(D35=0,"",((CHAMNORD!$L384-CHAMNORD!$D384)/CHAMNORD!$D384))</f>
        <v/>
      </c>
      <c r="F35" s="225">
        <f>AIX!L384</f>
        <v>0</v>
      </c>
      <c r="G35" s="217"/>
      <c r="H35" s="225">
        <f>BELLEY!L384</f>
        <v>0</v>
      </c>
      <c r="I35" s="217"/>
      <c r="J35" s="225">
        <f>STALBAN!L384</f>
        <v>0</v>
      </c>
      <c r="K35" s="217" t="str">
        <f>IF(J35=0,"",((STALBAN!$L384-STALBAN!$D384)/STALBAN!$D384))</f>
        <v/>
      </c>
      <c r="L35" s="218">
        <f>ABRETS!L384</f>
        <v>0</v>
      </c>
      <c r="M35" s="217" t="str">
        <f>IF(L35=0,"",((ABRETS!$L384-ABRETS!$D384)/ABRETS!$D384))</f>
        <v/>
      </c>
      <c r="N35" s="225">
        <f>PONT!L384</f>
        <v>0</v>
      </c>
      <c r="O35" s="217" t="str">
        <f>IF(N35=0,"",((PONT!$L384-PONT!$D384)/PONT!$D384))</f>
        <v/>
      </c>
      <c r="P35" s="225">
        <f>FRANCIN!L384</f>
        <v>0</v>
      </c>
      <c r="Q35" s="217" t="str">
        <f>IF(P35=0,"",((FRANCIN!$L384-FRANCIN!$D384)/FRANCIN!$D384))</f>
        <v/>
      </c>
      <c r="R35" s="1426">
        <f>VIVIERS!$D384</f>
        <v>0</v>
      </c>
      <c r="S35" s="227"/>
      <c r="T35" s="1164">
        <f t="shared" si="0"/>
        <v>0</v>
      </c>
      <c r="U35" s="223" t="e">
        <f>FRANCHISE!V384</f>
        <v>#DIV/0!</v>
      </c>
    </row>
    <row r="36" spans="2:21" s="213" customFormat="1">
      <c r="B36" s="1763"/>
      <c r="C36" s="215" t="s">
        <v>22</v>
      </c>
      <c r="D36" s="225">
        <f>CHAMNORD!L385</f>
        <v>0</v>
      </c>
      <c r="E36" s="217" t="str">
        <f>IF(D36=0,"",((CHAMNORD!$L385-CHAMNORD!$D385)/CHAMNORD!$D385))</f>
        <v/>
      </c>
      <c r="F36" s="225">
        <f>AIX!L385</f>
        <v>0</v>
      </c>
      <c r="G36" s="217"/>
      <c r="H36" s="225">
        <f>BELLEY!L385</f>
        <v>0</v>
      </c>
      <c r="I36" s="217"/>
      <c r="J36" s="225">
        <f>STALBAN!L385</f>
        <v>0</v>
      </c>
      <c r="K36" s="217" t="str">
        <f>IF(J36=0,"",((STALBAN!$L385-STALBAN!$D385)/STALBAN!$D385))</f>
        <v/>
      </c>
      <c r="L36" s="218">
        <f>ABRETS!L385</f>
        <v>0</v>
      </c>
      <c r="M36" s="217" t="str">
        <f>IF(L36=0,"",((ABRETS!$L385-ABRETS!$D385)/ABRETS!$D385))</f>
        <v/>
      </c>
      <c r="N36" s="225">
        <f>PONT!L385</f>
        <v>0</v>
      </c>
      <c r="O36" s="217" t="str">
        <f>IF(N36=0,"",((PONT!$L385-PONT!$D385)/PONT!$D385))</f>
        <v/>
      </c>
      <c r="P36" s="225">
        <f>FRANCIN!L385</f>
        <v>0</v>
      </c>
      <c r="Q36" s="217" t="str">
        <f>IF(P36=0,"",((FRANCIN!$L385-FRANCIN!$D385)/FRANCIN!$D385))</f>
        <v/>
      </c>
      <c r="R36" s="1426">
        <f>VIVIERS!$D385</f>
        <v>0</v>
      </c>
      <c r="S36" s="230"/>
      <c r="T36" s="1164">
        <f t="shared" si="0"/>
        <v>0</v>
      </c>
      <c r="U36" s="223" t="e">
        <f>FRANCHISE!V385</f>
        <v>#DIV/0!</v>
      </c>
    </row>
    <row r="37" spans="2:21" s="213" customFormat="1">
      <c r="B37" s="1763"/>
      <c r="C37" s="215" t="s">
        <v>23</v>
      </c>
      <c r="D37" s="225">
        <f>CHAMNORD!L386</f>
        <v>0</v>
      </c>
      <c r="E37" s="217" t="str">
        <f>IF(D37=0,"",((CHAMNORD!$L386-CHAMNORD!$D386)/CHAMNORD!$D386))</f>
        <v/>
      </c>
      <c r="F37" s="225">
        <f>AIX!L386</f>
        <v>0</v>
      </c>
      <c r="G37" s="217"/>
      <c r="H37" s="225">
        <f>BELLEY!L386</f>
        <v>0</v>
      </c>
      <c r="I37" s="217"/>
      <c r="J37" s="225">
        <f>STALBAN!L386</f>
        <v>0</v>
      </c>
      <c r="K37" s="217" t="str">
        <f>IF(J37=0,"",((STALBAN!$L386-STALBAN!$D386)/STALBAN!$D386))</f>
        <v/>
      </c>
      <c r="L37" s="218">
        <f>ABRETS!L386</f>
        <v>0</v>
      </c>
      <c r="M37" s="217" t="str">
        <f>IF(L37=0,"",((ABRETS!$L386-ABRETS!$D386)/ABRETS!$D386))</f>
        <v/>
      </c>
      <c r="N37" s="225">
        <f>PONT!L386</f>
        <v>0</v>
      </c>
      <c r="O37" s="217" t="str">
        <f>IF(N37=0,"",((PONT!$L386-PONT!$D386)/PONT!$D386))</f>
        <v/>
      </c>
      <c r="P37" s="225">
        <f>FRANCIN!L386</f>
        <v>0</v>
      </c>
      <c r="Q37" s="217" t="str">
        <f>IF(P37=0,"",((FRANCIN!$L386-FRANCIN!$D386)/FRANCIN!$D386))</f>
        <v/>
      </c>
      <c r="R37" s="1426">
        <f>VIVIERS!$D386</f>
        <v>0</v>
      </c>
      <c r="S37" s="227"/>
      <c r="T37" s="1164">
        <f t="shared" si="0"/>
        <v>0</v>
      </c>
      <c r="U37" s="223" t="e">
        <f>FRANCHISE!V386</f>
        <v>#DIV/0!</v>
      </c>
    </row>
    <row r="38" spans="2:21" s="213" customFormat="1">
      <c r="B38" s="1763"/>
      <c r="C38" s="215" t="s">
        <v>24</v>
      </c>
      <c r="D38" s="225">
        <f>CHAMNORD!L387</f>
        <v>0</v>
      </c>
      <c r="E38" s="217" t="str">
        <f>IF(D38=0,"",((CHAMNORD!$L387-CHAMNORD!$D387)/CHAMNORD!$D387))</f>
        <v/>
      </c>
      <c r="F38" s="225">
        <f>AIX!L387</f>
        <v>0</v>
      </c>
      <c r="G38" s="217"/>
      <c r="H38" s="225">
        <f>BELLEY!L387</f>
        <v>0</v>
      </c>
      <c r="I38" s="217"/>
      <c r="J38" s="225">
        <f>STALBAN!L387</f>
        <v>0</v>
      </c>
      <c r="K38" s="217" t="str">
        <f>IF(J38=0,"",((STALBAN!$L387-STALBAN!$D387)/STALBAN!$D387))</f>
        <v/>
      </c>
      <c r="L38" s="218">
        <f>ABRETS!L387</f>
        <v>0</v>
      </c>
      <c r="M38" s="217" t="str">
        <f>IF(L38=0,"",((ABRETS!$L387-ABRETS!$D387)/ABRETS!$D387))</f>
        <v/>
      </c>
      <c r="N38" s="225">
        <f>PONT!L387</f>
        <v>0</v>
      </c>
      <c r="O38" s="217" t="str">
        <f>IF(N38=0,"",((PONT!$L387-PONT!$D387)/PONT!$D387))</f>
        <v/>
      </c>
      <c r="P38" s="225">
        <f>FRANCIN!L387</f>
        <v>0</v>
      </c>
      <c r="Q38" s="217" t="str">
        <f>IF(P38=0,"",((FRANCIN!$L387-FRANCIN!$D387)/FRANCIN!$D387))</f>
        <v/>
      </c>
      <c r="R38" s="1426">
        <f>VIVIERS!$D387</f>
        <v>0</v>
      </c>
      <c r="S38" s="227"/>
      <c r="T38" s="1164">
        <f t="shared" si="0"/>
        <v>0</v>
      </c>
      <c r="U38" s="223" t="e">
        <f>FRANCHISE!V387</f>
        <v>#DIV/0!</v>
      </c>
    </row>
    <row r="39" spans="2:21" s="213" customFormat="1">
      <c r="B39" s="1763"/>
      <c r="C39" s="215" t="s">
        <v>27</v>
      </c>
      <c r="D39" s="225">
        <f>CHAMNORD!L388</f>
        <v>0</v>
      </c>
      <c r="E39" s="217" t="str">
        <f>IF(D39=0,"",((CHAMNORD!$L388-CHAMNORD!$D388)/CHAMNORD!$D388))</f>
        <v/>
      </c>
      <c r="F39" s="225">
        <f>AIX!L388</f>
        <v>0</v>
      </c>
      <c r="G39" s="217"/>
      <c r="H39" s="225">
        <f>BELLEY!L388</f>
        <v>0</v>
      </c>
      <c r="I39" s="217"/>
      <c r="J39" s="225">
        <f>STALBAN!L388</f>
        <v>0</v>
      </c>
      <c r="K39" s="217" t="str">
        <f>IF(J39=0,"",((STALBAN!$L388-STALBAN!$D388)/STALBAN!$D388))</f>
        <v/>
      </c>
      <c r="L39" s="218">
        <f>ABRETS!L388</f>
        <v>0</v>
      </c>
      <c r="M39" s="217" t="str">
        <f>IF(L39=0,"",((ABRETS!$L388-ABRETS!$D388)/ABRETS!$D388))</f>
        <v/>
      </c>
      <c r="N39" s="225">
        <f>PONT!L388</f>
        <v>0</v>
      </c>
      <c r="O39" s="217" t="str">
        <f>IF(N39=0,"",((PONT!$L388-PONT!$D388)/PONT!$D388))</f>
        <v/>
      </c>
      <c r="P39" s="225">
        <f>FRANCIN!L388</f>
        <v>0</v>
      </c>
      <c r="Q39" s="217" t="str">
        <f>IF(P39=0,"",((FRANCIN!$L388-FRANCIN!$D388)/FRANCIN!$D388))</f>
        <v/>
      </c>
      <c r="R39" s="1426">
        <f>VIVIERS!$D388</f>
        <v>0</v>
      </c>
      <c r="S39" s="227"/>
      <c r="T39" s="1164">
        <f t="shared" si="0"/>
        <v>0</v>
      </c>
      <c r="U39" s="223" t="e">
        <f>FRANCHISE!V388</f>
        <v>#DIV/0!</v>
      </c>
    </row>
    <row r="40" spans="2:21" s="213" customFormat="1" ht="21" thickBot="1">
      <c r="B40" s="1764"/>
      <c r="C40" s="232" t="s">
        <v>45</v>
      </c>
      <c r="D40" s="233">
        <f>+CHAMNORD!D389</f>
        <v>3385478.2100000004</v>
      </c>
      <c r="E40" s="234">
        <f>CHAMNORD!V389</f>
        <v>-6.7263803183657211E-2</v>
      </c>
      <c r="F40" s="233">
        <f>+AIX!D389</f>
        <v>2266610.35</v>
      </c>
      <c r="G40" s="234">
        <f>IF(F40=0,"",((CHAMNORD!$L389-CHAMNORD!$D389)/CHAMNORD!$D389))</f>
        <v>-6.7263803183657211E-2</v>
      </c>
      <c r="H40" s="233">
        <f>BELLEY!$D389</f>
        <v>1899447.45</v>
      </c>
      <c r="I40" s="234">
        <f>IF(H40=0,"",((BELLEY!$L389-BELLEY!$D389)/BELLEY!$D389))</f>
        <v>-1.7405693429423604E-2</v>
      </c>
      <c r="J40" s="233">
        <f>STALBAN!$D389</f>
        <v>2421161.44</v>
      </c>
      <c r="K40" s="234">
        <f>IF(J40=0,"",((STALBAN!$L389-STALBAN!$D389)/STALBAN!$D389))</f>
        <v>-3.624177989551882E-3</v>
      </c>
      <c r="L40" s="233">
        <f>ABRETS!$D389</f>
        <v>1490028.5599999998</v>
      </c>
      <c r="M40" s="234">
        <f>IF(L40=0,"",((ABRETS!$L389-ABRETS!$D389)/ABRETS!$D389))</f>
        <v>-2.5565832778399588E-2</v>
      </c>
      <c r="N40" s="233">
        <f>PONT!$D389</f>
        <v>1535784</v>
      </c>
      <c r="O40" s="234">
        <f>IF(N40=0,"",((PONT!$L389-PONT!$D389)/PONT!$D389))</f>
        <v>-2.6025795294129905E-2</v>
      </c>
      <c r="P40" s="233">
        <f>FRANCIN!$D389</f>
        <v>1458661.4200000002</v>
      </c>
      <c r="Q40" s="234">
        <f>IF(P40=0,"",((FRANCIN!$L389-FRANCIN!$D389)/FRANCIN!$D389))</f>
        <v>-1.0997905188991838E-2</v>
      </c>
      <c r="R40" s="235">
        <f>VIVIERS!$D389</f>
        <v>1260218.1400000001</v>
      </c>
      <c r="S40" s="236"/>
      <c r="T40" s="1067">
        <f>SUM(T28:T39)</f>
        <v>15302313.509000001</v>
      </c>
      <c r="U40" s="1589">
        <f>+FRANCHISE!V389</f>
        <v>-2.7772116931755735E-2</v>
      </c>
    </row>
  </sheetData>
  <mergeCells count="9">
    <mergeCell ref="B27:B40"/>
    <mergeCell ref="P13:Q14"/>
    <mergeCell ref="R13:S14"/>
    <mergeCell ref="L13:M14"/>
    <mergeCell ref="N13:O14"/>
    <mergeCell ref="D13:E14"/>
    <mergeCell ref="F13:G14"/>
    <mergeCell ref="H13:I14"/>
    <mergeCell ref="J13:K14"/>
  </mergeCells>
  <conditionalFormatting sqref="E28:E40">
    <cfRule type="cellIs" dxfId="319" priority="25" operator="lessThan">
      <formula>0</formula>
    </cfRule>
    <cfRule type="cellIs" dxfId="318" priority="26" operator="greaterThan">
      <formula>0</formula>
    </cfRule>
  </conditionalFormatting>
  <conditionalFormatting sqref="G28:G40">
    <cfRule type="cellIs" dxfId="317" priority="3" operator="lessThan">
      <formula>0</formula>
    </cfRule>
    <cfRule type="cellIs" dxfId="316" priority="4" operator="greaterThan">
      <formula>0</formula>
    </cfRule>
  </conditionalFormatting>
  <conditionalFormatting sqref="I28:I40">
    <cfRule type="cellIs" dxfId="315" priority="17" operator="lessThan">
      <formula>0</formula>
    </cfRule>
    <cfRule type="cellIs" dxfId="314" priority="18" operator="greaterThan">
      <formula>0</formula>
    </cfRule>
  </conditionalFormatting>
  <conditionalFormatting sqref="K28:K40">
    <cfRule type="cellIs" dxfId="313" priority="15" operator="lessThan">
      <formula>0</formula>
    </cfRule>
    <cfRule type="cellIs" dxfId="312" priority="16" operator="greaterThan">
      <formula>0</formula>
    </cfRule>
  </conditionalFormatting>
  <conditionalFormatting sqref="M28:M40">
    <cfRule type="cellIs" dxfId="311" priority="13" operator="lessThan">
      <formula>0</formula>
    </cfRule>
    <cfRule type="cellIs" dxfId="310" priority="14" operator="greaterThan">
      <formula>0</formula>
    </cfRule>
  </conditionalFormatting>
  <conditionalFormatting sqref="O28:O40">
    <cfRule type="cellIs" dxfId="309" priority="11" operator="lessThan">
      <formula>0</formula>
    </cfRule>
    <cfRule type="cellIs" dxfId="308" priority="12" operator="greaterThan">
      <formula>0</formula>
    </cfRule>
  </conditionalFormatting>
  <conditionalFormatting sqref="Q28:Q40">
    <cfRule type="cellIs" dxfId="307" priority="9" operator="lessThan">
      <formula>0</formula>
    </cfRule>
    <cfRule type="cellIs" dxfId="306" priority="10" operator="greaterThan">
      <formula>0</formula>
    </cfRule>
  </conditionalFormatting>
  <conditionalFormatting sqref="S28:S40">
    <cfRule type="cellIs" dxfId="305" priority="5" operator="lessThan">
      <formula>0</formula>
    </cfRule>
    <cfRule type="cellIs" dxfId="304" priority="6" operator="greaterThan">
      <formula>0</formula>
    </cfRule>
  </conditionalFormatting>
  <conditionalFormatting sqref="U28:U40">
    <cfRule type="cellIs" dxfId="303" priority="1" operator="lessThan">
      <formula>0</formula>
    </cfRule>
    <cfRule type="cellIs" dxfId="302" priority="2" operator="greaterThan">
      <formula>0</formula>
    </cfRule>
  </conditionalFormatting>
  <printOptions horizontalCentered="1" verticalCentered="1"/>
  <pageMargins left="0" right="0" top="0" bottom="0" header="0.3" footer="0.3"/>
  <pageSetup paperSize="9" scale="59" fitToWidth="2" fitToHeight="2"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85256-7C1C-E64B-9E09-54DDA66455C3}">
  <sheetPr codeName="Feuil19">
    <tabColor theme="9" tint="0.39997558519241921"/>
    <pageSetUpPr fitToPage="1"/>
  </sheetPr>
  <dimension ref="B1:Y111"/>
  <sheetViews>
    <sheetView showGridLines="0" view="pageBreakPreview" topLeftCell="A83" zoomScaleNormal="100" zoomScaleSheetLayoutView="100" workbookViewId="0">
      <selection activeCell="E76" sqref="E76"/>
    </sheetView>
  </sheetViews>
  <sheetFormatPr baseColWidth="10" defaultColWidth="10.83203125" defaultRowHeight="19"/>
  <cols>
    <col min="1" max="1" width="2.83203125" style="211" customWidth="1"/>
    <col min="2" max="2" width="3.5" style="211" bestFit="1" customWidth="1"/>
    <col min="3" max="3" width="16" style="211" bestFit="1" customWidth="1"/>
    <col min="4" max="4" width="12.1640625" style="211" customWidth="1"/>
    <col min="5" max="5" width="9.5" style="211" bestFit="1" customWidth="1"/>
    <col min="6" max="6" width="12" style="211" customWidth="1"/>
    <col min="7" max="7" width="8.83203125" style="211" customWidth="1"/>
    <col min="8" max="8" width="12" style="211" customWidth="1"/>
    <col min="9" max="9" width="8.5" style="211" customWidth="1"/>
    <col min="10" max="10" width="12" style="211" customWidth="1"/>
    <col min="11" max="11" width="8.5" style="211" customWidth="1"/>
    <col min="12" max="12" width="12.83203125" style="211" customWidth="1"/>
    <col min="13" max="13" width="8.5" style="211" customWidth="1"/>
    <col min="14" max="14" width="12.83203125" style="211" customWidth="1"/>
    <col min="15" max="15" width="9.33203125" style="211" bestFit="1" customWidth="1"/>
    <col min="16" max="16" width="12.83203125" style="211" customWidth="1"/>
    <col min="17" max="17" width="8.5" style="211" customWidth="1"/>
    <col min="18" max="18" width="12.83203125" style="211" customWidth="1"/>
    <col min="19" max="19" width="8.83203125" style="211" bestFit="1" customWidth="1"/>
    <col min="20" max="20" width="12.83203125" style="211" customWidth="1"/>
    <col min="21" max="21" width="9.5" style="211" bestFit="1" customWidth="1"/>
    <col min="22" max="22" width="2.6640625" style="211" customWidth="1"/>
    <col min="23" max="23" width="10.83203125" style="211"/>
    <col min="24" max="24" width="12.6640625" style="211" bestFit="1" customWidth="1"/>
    <col min="25" max="16384" width="10.83203125" style="211"/>
  </cols>
  <sheetData>
    <row r="1" spans="2:25" ht="20" thickBot="1"/>
    <row r="2" spans="2:25" ht="20" thickBot="1">
      <c r="B2" s="212"/>
      <c r="C2" s="1779" t="s">
        <v>232</v>
      </c>
      <c r="D2" s="1779"/>
      <c r="E2" s="1779"/>
      <c r="F2" s="1779"/>
      <c r="G2" s="1779"/>
      <c r="H2" s="1779"/>
      <c r="I2" s="1779"/>
      <c r="J2" s="1779"/>
      <c r="K2" s="1779"/>
      <c r="L2" s="1779"/>
      <c r="M2" s="1779"/>
      <c r="N2" s="1779"/>
      <c r="O2" s="1779"/>
      <c r="P2" s="1779"/>
      <c r="Q2" s="1779"/>
      <c r="R2" s="1779"/>
      <c r="S2" s="1779"/>
      <c r="T2" s="1779"/>
      <c r="U2" s="1780"/>
    </row>
    <row r="3" spans="2:25" s="213" customFormat="1" ht="20" thickBot="1">
      <c r="D3" s="214">
        <f>D33-D34</f>
        <v>3410800</v>
      </c>
      <c r="F3" s="214">
        <f>F33-F34</f>
        <v>2247845</v>
      </c>
      <c r="H3" s="214">
        <f>H33-H34</f>
        <v>1902600</v>
      </c>
      <c r="J3" s="214">
        <f>J33-J34</f>
        <v>2420550</v>
      </c>
      <c r="L3" s="214">
        <f>L33-L34</f>
        <v>1495300</v>
      </c>
      <c r="N3" s="214">
        <f>N33-N34</f>
        <v>1548900</v>
      </c>
      <c r="P3" s="214">
        <f>P33-P34</f>
        <v>1459600</v>
      </c>
      <c r="R3" s="214">
        <f>R33-R34</f>
        <v>1294200</v>
      </c>
    </row>
    <row r="4" spans="2:25" s="324" customFormat="1" ht="36">
      <c r="B4" s="1782" t="s">
        <v>241</v>
      </c>
      <c r="C4" s="848" t="s">
        <v>452</v>
      </c>
      <c r="D4" s="849" t="s">
        <v>28</v>
      </c>
      <c r="E4" s="849" t="s">
        <v>463</v>
      </c>
      <c r="F4" s="850" t="s">
        <v>29</v>
      </c>
      <c r="G4" s="849" t="s">
        <v>463</v>
      </c>
      <c r="H4" s="851" t="s">
        <v>30</v>
      </c>
      <c r="I4" s="849" t="s">
        <v>463</v>
      </c>
      <c r="J4" s="852" t="s">
        <v>31</v>
      </c>
      <c r="K4" s="849" t="s">
        <v>463</v>
      </c>
      <c r="L4" s="849" t="s">
        <v>32</v>
      </c>
      <c r="M4" s="849" t="s">
        <v>463</v>
      </c>
      <c r="N4" s="850" t="s">
        <v>253</v>
      </c>
      <c r="O4" s="849" t="s">
        <v>463</v>
      </c>
      <c r="P4" s="851" t="s">
        <v>34</v>
      </c>
      <c r="Q4" s="849" t="s">
        <v>463</v>
      </c>
      <c r="R4" s="852" t="s">
        <v>308</v>
      </c>
      <c r="S4" s="849" t="s">
        <v>463</v>
      </c>
      <c r="T4" s="853" t="s">
        <v>37</v>
      </c>
      <c r="U4" s="854" t="s">
        <v>463</v>
      </c>
      <c r="X4" s="324" t="str">
        <f>D4</f>
        <v>CHAMBERY</v>
      </c>
      <c r="Y4" s="855">
        <f>E17</f>
        <v>-6.2983657690405953E-2</v>
      </c>
    </row>
    <row r="5" spans="2:25">
      <c r="B5" s="1783"/>
      <c r="C5" s="215" t="s">
        <v>10</v>
      </c>
      <c r="D5" s="238">
        <f>CHAMNORD!$L$377</f>
        <v>658679.48999999976</v>
      </c>
      <c r="E5" s="221">
        <f>IF(D5=0,"",(D5-CHAMNORD!$H$377)/CHAMNORD!$H$377)</f>
        <v>-3.8186119949592146E-2</v>
      </c>
      <c r="F5" s="220">
        <f>AIX!$L$377</f>
        <v>384720.66000000009</v>
      </c>
      <c r="G5" s="221">
        <f>IF(F5=0,"",(F5-AIX!$H$377)/AIX!$H$377)</f>
        <v>3.7168401518188634E-3</v>
      </c>
      <c r="H5" s="220">
        <f>BELLEY!$L$377</f>
        <v>363719.49000000005</v>
      </c>
      <c r="I5" s="221">
        <f>IF(H5=0,"",(H5-BELLEY!$H$377)/BELLEY!$H$377)</f>
        <v>5.2391320450308164E-2</v>
      </c>
      <c r="J5" s="220">
        <f>STALBAN!$L$377</f>
        <v>493505.06000000006</v>
      </c>
      <c r="K5" s="221">
        <f>IF(J5=0,"",(J5-STALBAN!$H$377)/STALBAN!$H$377)</f>
        <v>3.9697913864892409E-2</v>
      </c>
      <c r="L5" s="220">
        <f>ABRETS!$L$377</f>
        <v>276758.16000000009</v>
      </c>
      <c r="M5" s="221">
        <f>IF(L5=0,"",(L5-ABRETS!$H$377)/ABRETS!$H$377)</f>
        <v>5.4617074591066732E-2</v>
      </c>
      <c r="N5" s="220">
        <f>PONT!$L$377</f>
        <v>287700</v>
      </c>
      <c r="O5" s="221">
        <f>IF(N5=0,"",(N5-PONT!$H$377)/PONT!$H$377)</f>
        <v>3.5674430325065697E-2</v>
      </c>
      <c r="P5" s="220">
        <f>FRANCIN!$L$377</f>
        <v>289041.29999999993</v>
      </c>
      <c r="Q5" s="221">
        <f>IF(P5=0,"",(P5-FRANCIN!$H$377)/FRANCIN!$H$377)</f>
        <v>2.0621626537426725E-2</v>
      </c>
      <c r="R5" s="220">
        <f>VIVIERS!$L$377</f>
        <v>253415.66000000003</v>
      </c>
      <c r="S5" s="221">
        <f>IF(R5=0,"",(R5-VIVIERS!$I$377)/VIVIERS!$I$377)</f>
        <v>4.797670906105965E-2</v>
      </c>
      <c r="T5" s="239">
        <f>FRANCHISE!$L$377</f>
        <v>3007539.8200000003</v>
      </c>
      <c r="U5" s="223">
        <f>FRANCHISE!X377</f>
        <v>1.804976945104346E-2</v>
      </c>
      <c r="X5" s="211" t="str">
        <f>F4</f>
        <v>AIX LES BAINS</v>
      </c>
      <c r="Y5" s="237">
        <f>G17</f>
        <v>-2.5569719099677961E-2</v>
      </c>
    </row>
    <row r="6" spans="2:25" s="229" customFormat="1">
      <c r="B6" s="1783"/>
      <c r="C6" s="224" t="s">
        <v>25</v>
      </c>
      <c r="D6" s="240">
        <f>CHAMNORD!$L$378</f>
        <v>607702.89000000013</v>
      </c>
      <c r="E6" s="227">
        <f>IF(D6=0,"",(D6-CHAMNORD!$H$378)/CHAMNORD!$H$378)</f>
        <v>-3.2615706976504392E-2</v>
      </c>
      <c r="F6" s="226">
        <f>AIX!$L$378</f>
        <v>383624.50999999995</v>
      </c>
      <c r="G6" s="227">
        <f>IF(F6=0,"",(F6-AIX!$H$378)/AIX!$H$378)</f>
        <v>2.5564601710890028E-3</v>
      </c>
      <c r="H6" s="226">
        <f>BELLEY!$L$378</f>
        <v>339986.69999999995</v>
      </c>
      <c r="I6" s="227">
        <f>IF(H6=0,"",(H6-BELLEY!$H$378)/BELLEY!$H$378)</f>
        <v>-2.4675722830339936E-2</v>
      </c>
      <c r="J6" s="226">
        <f>STALBAN!$L$378</f>
        <v>441461.42</v>
      </c>
      <c r="K6" s="227">
        <f>IF(J6=0,"",(J6-STALBAN!$H$378)/STALBAN!$H$378)</f>
        <v>9.6099713083335151E-3</v>
      </c>
      <c r="L6" s="226">
        <f>ABRETS!$L$378</f>
        <v>251484.16899999999</v>
      </c>
      <c r="M6" s="227">
        <f>IF(L6=0,"",(L6-ABRETS!$H$378)/ABRETS!$H$378)</f>
        <v>-3.0179329394854931E-2</v>
      </c>
      <c r="N6" s="226">
        <f>PONT!$L$378</f>
        <v>267583</v>
      </c>
      <c r="O6" s="227">
        <f>IF(N6=0,"",(N6-PONT!$H$378)/PONT!$H$378)</f>
        <v>-1.4082275566035998E-2</v>
      </c>
      <c r="P6" s="226">
        <f>FRANCIN!$L$378</f>
        <v>275546.76</v>
      </c>
      <c r="Q6" s="227">
        <f>IF(P6=0,"",(P6-FRANCIN!$H$378)/FRANCIN!$H$378)</f>
        <v>-5.0004416253920086E-3</v>
      </c>
      <c r="R6" s="226">
        <f>VIVIERS!$L$378</f>
        <v>220557.87000000002</v>
      </c>
      <c r="S6" s="221">
        <f>IF(R6=0,"",(R6-VIVIERS!$I$378)/VIVIERS!$I$378)</f>
        <v>-2.4180998298671031E-2</v>
      </c>
      <c r="T6" s="241">
        <f>FRANCHISE!$L$378</f>
        <v>2787947.3190000011</v>
      </c>
      <c r="U6" s="223">
        <f>FRANCHISE!X378</f>
        <v>-1.7449348746047633E-2</v>
      </c>
      <c r="X6" s="229" t="str">
        <f>H4</f>
        <v>BELLEY</v>
      </c>
      <c r="Y6" s="242">
        <f>I17</f>
        <v>-1.5047165228759915E-2</v>
      </c>
    </row>
    <row r="7" spans="2:25" s="229" customFormat="1">
      <c r="B7" s="1783"/>
      <c r="C7" s="224" t="s">
        <v>17</v>
      </c>
      <c r="D7" s="240">
        <f>CHAMNORD!$L$379</f>
        <v>609514.53000000026</v>
      </c>
      <c r="E7" s="227">
        <f>IF(D7=0,"",(D7-CHAMNORD!$H$379)/CHAMNORD!$H$379)</f>
        <v>-5.883074049571009E-2</v>
      </c>
      <c r="F7" s="226">
        <f>AIX!$L$379</f>
        <v>385296.22999999992</v>
      </c>
      <c r="G7" s="227">
        <f>IF(F7=0,"",(F7-AIX!$H$379)/AIX!$H$379)</f>
        <v>-5.3390781012086462E-2</v>
      </c>
      <c r="H7" s="226">
        <f>BELLEY!$L$379</f>
        <v>353332.67999999982</v>
      </c>
      <c r="I7" s="227">
        <f>IF(H7=0,"",(H7-BELLEY!$H$379)/BELLEY!$H$379)</f>
        <v>-1.7293041531869419E-2</v>
      </c>
      <c r="J7" s="226">
        <f>STALBAN!$L$379</f>
        <v>471494.39999999997</v>
      </c>
      <c r="K7" s="227">
        <f>IF(J7=0,"",(J7-STALBAN!$H$379)/STALBAN!$H$379)</f>
        <v>2.5989414796975547E-2</v>
      </c>
      <c r="L7" s="226">
        <f>ABRETS!$L$379</f>
        <v>281150.61</v>
      </c>
      <c r="M7" s="227">
        <f>IF(L7=0,"",(L7-ABRETS!$H$379)/ABRETS!$H$379)</f>
        <v>-6.5263249542321189E-5</v>
      </c>
      <c r="N7" s="226">
        <f>PONT!$L$379</f>
        <v>292365</v>
      </c>
      <c r="O7" s="227">
        <f>IF(N7=0,"",(N7-PONT!$H$379)/PONT!$H$379)</f>
        <v>6.2606265445058614E-3</v>
      </c>
      <c r="P7" s="226">
        <f>FRANCIN!$L$379</f>
        <v>279942.99</v>
      </c>
      <c r="Q7" s="227">
        <f>IF(P7=0,"",(P7-FRANCIN!$H$379)/FRANCIN!$H$379)</f>
        <v>3.8789894431027401E-3</v>
      </c>
      <c r="R7" s="226">
        <f>VIVIERS!$L$379</f>
        <v>238670.09</v>
      </c>
      <c r="S7" s="221">
        <f>IF(R7=0,"",(R7-VIVIERS!$I$379)/VIVIERS!$I$379)</f>
        <v>3.9603987050947469E-3</v>
      </c>
      <c r="T7" s="241">
        <f>FRANCHISE!$L$379</f>
        <v>2911766.5300000003</v>
      </c>
      <c r="U7" s="223">
        <f>FRANCHISE!X379</f>
        <v>-1.866981382732864E-2</v>
      </c>
      <c r="X7" s="229" t="str">
        <f>J4</f>
        <v>ST ALBAN</v>
      </c>
      <c r="Y7" s="242">
        <f>K17</f>
        <v>-8.6545796122239387E-5</v>
      </c>
    </row>
    <row r="8" spans="2:25" s="229" customFormat="1">
      <c r="B8" s="1783"/>
      <c r="C8" s="224" t="s">
        <v>18</v>
      </c>
      <c r="D8" s="240">
        <f>CHAMNORD!$L$380</f>
        <v>581204.20999999985</v>
      </c>
      <c r="E8" s="227">
        <f>IF(D8=0,"",(D8-CHAMNORD!$H$380)/CHAMNORD!$H$380)</f>
        <v>-8.6390835302627519E-2</v>
      </c>
      <c r="F8" s="226">
        <f>AIX!$L$380</f>
        <v>469413.27999999997</v>
      </c>
      <c r="G8" s="227">
        <f>IF(F8=0,"",(F8-AIX!$H$380)/AIX!$H$380)</f>
        <v>-4.8872488876084218E-2</v>
      </c>
      <c r="H8" s="226">
        <f>BELLEY!$L$380</f>
        <v>351708.42000000004</v>
      </c>
      <c r="I8" s="227">
        <f>IF(H8=0,"",(H8-BELLEY!$H$380)/BELLEY!$H$380)</f>
        <v>-7.0865630018463494E-2</v>
      </c>
      <c r="J8" s="226">
        <f>STALBAN!$L$380</f>
        <v>446988.02000000008</v>
      </c>
      <c r="K8" s="227">
        <f>IF(J8=0,"",(J8-STALBAN!$H$380)/STALBAN!$H$380)</f>
        <v>-3.6396079936945838E-2</v>
      </c>
      <c r="L8" s="226">
        <f>ABRETS!$L$380</f>
        <v>285321.81</v>
      </c>
      <c r="M8" s="227">
        <f>IF(L8=0,"",(L8-ABRETS!$H$380)/ABRETS!$H$380)</f>
        <v>-6.0091037373299856E-2</v>
      </c>
      <c r="N8" s="226">
        <f>PONT!$L$380</f>
        <v>283216</v>
      </c>
      <c r="O8" s="227">
        <f>IF(N8=0,"",(N8-PONT!$H$380)/PONT!$H$380)</f>
        <v>-6.267044401493288E-2</v>
      </c>
      <c r="P8" s="226">
        <f>FRANCIN!$L$380</f>
        <v>261665.66</v>
      </c>
      <c r="Q8" s="227">
        <f>IF(P8=0,"",(P8-FRANCIN!$H$380)/FRANCIN!$H$380)</f>
        <v>-6.7870597760023993E-2</v>
      </c>
      <c r="R8" s="226">
        <f>VIVIERS!$L$380</f>
        <v>238954.48000000004</v>
      </c>
      <c r="S8" s="221">
        <f>IF(R8=0,"",(R8-VIVIERS!$I$380)/VIVIERS!$I$380)</f>
        <v>-3.8387944254830497E-2</v>
      </c>
      <c r="T8" s="241">
        <f>FRANCHISE!$L$380</f>
        <v>2918471.88</v>
      </c>
      <c r="U8" s="223">
        <f>FRANCHISE!X380</f>
        <v>-6.6468518304697993E-2</v>
      </c>
      <c r="X8" s="229" t="str">
        <f>L4</f>
        <v>LES ABRETS</v>
      </c>
      <c r="Y8" s="242">
        <f>M17</f>
        <v>-2.1430945508756561E-2</v>
      </c>
    </row>
    <row r="9" spans="2:25">
      <c r="B9" s="1783"/>
      <c r="C9" s="215" t="s">
        <v>19</v>
      </c>
      <c r="D9" s="240">
        <f>CHAMNORD!$L$381</f>
        <v>567959.03000000014</v>
      </c>
      <c r="E9" s="227">
        <f>IF(D9=0,"",(D9-CHAMNORD!$H$381)/CHAMNORD!$H$381)</f>
        <v>-0.10004272728590782</v>
      </c>
      <c r="F9" s="226">
        <f>AIX!$L$381</f>
        <v>471842.93000000011</v>
      </c>
      <c r="G9" s="227">
        <f>IF(F9=0,"",(F9-AIX!$H$381)/AIX!$H$381)</f>
        <v>-2.3204301832550726E-2</v>
      </c>
      <c r="H9" s="226">
        <f>BELLEY!$L$381</f>
        <v>371144.75</v>
      </c>
      <c r="I9" s="227">
        <f>IF(H9=0,"",(H9-BELLEY!$H$381)/BELLEY!$H$381)</f>
        <v>2.4379181817323601E-4</v>
      </c>
      <c r="J9" s="226">
        <f>STALBAN!$L$381</f>
        <v>450725.87</v>
      </c>
      <c r="K9" s="227">
        <f>IF(J9=0,"",(J9-STALBAN!$H$381)/STALBAN!$H$381)</f>
        <v>-2.1893739834718349E-2</v>
      </c>
      <c r="L9" s="226">
        <f>ABRETS!$L$381</f>
        <v>288703.46000000008</v>
      </c>
      <c r="M9" s="227">
        <f>IF(L9=0,"",(L9-ABRETS!$H$381)/ABRETS!$H$381)</f>
        <v>-5.6212265288327942E-2</v>
      </c>
      <c r="N9" s="226">
        <f>PONT!$L$381</f>
        <v>297095</v>
      </c>
      <c r="O9" s="227">
        <f>IF(N9=0,"",(N9-PONT!$H$381)/PONT!$H$381)</f>
        <v>-5.2515929863950352E-2</v>
      </c>
      <c r="P9" s="226">
        <f>FRANCIN!$L$381</f>
        <v>269487.59000000003</v>
      </c>
      <c r="Q9" s="227">
        <f>IF(P9=0,"",(P9-FRANCIN!$H$381)/FRANCIN!$H$381)</f>
        <v>-1.0502921188637934E-2</v>
      </c>
      <c r="R9" s="226">
        <f>VIVIERS!$L$381</f>
        <v>248594.54999999996</v>
      </c>
      <c r="S9" s="221">
        <f>IF(R9=0,"",(R9-VIVIERS!$I$381)/VIVIERS!$I$381)</f>
        <v>8.568516977428187E-3</v>
      </c>
      <c r="T9" s="241">
        <f>FRANCHISE!$L$381</f>
        <v>2965553.18</v>
      </c>
      <c r="U9" s="228">
        <f>FRANCHISE!X381</f>
        <v>-4.3621015626499587E-2</v>
      </c>
      <c r="X9" s="211" t="str">
        <f>N4</f>
        <v>PDB</v>
      </c>
      <c r="Y9" s="237">
        <f>O17</f>
        <v>-2.3743729579935702E-2</v>
      </c>
    </row>
    <row r="10" spans="2:25" s="229" customFormat="1">
      <c r="B10" s="1783"/>
      <c r="C10" s="997" t="s">
        <v>20</v>
      </c>
      <c r="D10" s="1003">
        <f>CHAMNORD!$L$382</f>
        <v>132697.91999999998</v>
      </c>
      <c r="E10" s="1001">
        <f>IF(D10=0,"",(D10-CHAMNORD!$H$382)/CHAMNORD!$H$382)</f>
        <v>-6.6290080847740393E-2</v>
      </c>
      <c r="F10" s="1000">
        <f>AIX!$L$382</f>
        <v>100619.3</v>
      </c>
      <c r="G10" s="1001">
        <f>IF(F10=0,"",(F10-AIX!$H$382)/AIX!$H$382)</f>
        <v>-2.8521989522022249E-2</v>
      </c>
      <c r="H10" s="1000">
        <f>BELLEY!$L$382</f>
        <v>86494.209999999992</v>
      </c>
      <c r="I10" s="1001">
        <f>IF(H10=0,"",(H10-BELLEY!$H$382)/BELLEY!$H$382)</f>
        <v>-5.5329814629104315E-2</v>
      </c>
      <c r="J10" s="1000">
        <f>STALBAN!$L$382</f>
        <v>108211.94999999998</v>
      </c>
      <c r="K10" s="1001">
        <f>IF(J10=0,"",(J10-STALBAN!$H$382)/STALBAN!$H$382)</f>
        <v>-7.0641881939894E-2</v>
      </c>
      <c r="L10" s="1000">
        <f>ABRETS!$L$382</f>
        <v>68516.53</v>
      </c>
      <c r="M10" s="1001">
        <f>IF(L10=0,"",(L10-ABRETS!$H$382)/ABRETS!$H$382)</f>
        <v>-3.993266857587572E-2</v>
      </c>
      <c r="N10" s="1000">
        <f>PONT!$L$382</f>
        <v>67855</v>
      </c>
      <c r="O10" s="1001">
        <f>IF(N10=0,"",(N10-PONT!$H$382)/PONT!$H$382)</f>
        <v>-0.11576903530147643</v>
      </c>
      <c r="P10" s="1000">
        <f>FRANCIN!$L$382</f>
        <v>66934.899999999994</v>
      </c>
      <c r="Q10" s="1001">
        <f>IF(P10=0,"",(P10-FRANCIN!$H$382)/FRANCIN!$H$382)</f>
        <v>6.6440956109918417E-2</v>
      </c>
      <c r="R10" s="1000">
        <f>VIVIERS!$L$382</f>
        <v>58275.849999999991</v>
      </c>
      <c r="S10" s="1001"/>
      <c r="T10" s="1004">
        <f>FRANCHISE!$L$382</f>
        <v>689605.66</v>
      </c>
      <c r="U10" s="231">
        <f>FRANCHISE!X382</f>
        <v>-4.804213774455237E-2</v>
      </c>
      <c r="X10" s="229" t="str">
        <f>P4</f>
        <v>FRANCIN</v>
      </c>
      <c r="Y10" s="242">
        <f>Q17</f>
        <v>-8.3898887029039849E-3</v>
      </c>
    </row>
    <row r="11" spans="2:25" s="229" customFormat="1">
      <c r="B11" s="1783"/>
      <c r="C11" s="224" t="s">
        <v>21</v>
      </c>
      <c r="D11" s="240">
        <f>CHAMNORD!$L$383</f>
        <v>0</v>
      </c>
      <c r="E11" s="1073" t="str">
        <f>IF(D11=0,"",(D11-CHAMNORD!$H$383)/CHAMNORD!$H$383)</f>
        <v/>
      </c>
      <c r="F11" s="1074">
        <f>AIX!$L$383</f>
        <v>0</v>
      </c>
      <c r="G11" s="1075" t="str">
        <f>IF(F11=0,"",(F11-AIX!$H$383)/AIX!$H$383)</f>
        <v/>
      </c>
      <c r="H11" s="1074">
        <f>BELLEY!$L$383</f>
        <v>0</v>
      </c>
      <c r="I11" s="1075" t="str">
        <f>IF(H11=0,"",(H11-BELLEY!$H$383)/BELLEY!$H$383)</f>
        <v/>
      </c>
      <c r="J11" s="1074">
        <f>STALBAN!$L$383</f>
        <v>0</v>
      </c>
      <c r="K11" s="1075" t="str">
        <f>IF(J11=0,"",(J11-STALBAN!$H$383)/STALBAN!$H$383)</f>
        <v/>
      </c>
      <c r="L11" s="1074">
        <f>ABRETS!$L$383</f>
        <v>0</v>
      </c>
      <c r="M11" s="1075" t="str">
        <f>IF(L11=0,"",(L11-ABRETS!$H$383)/ABRETS!$H$383)</f>
        <v/>
      </c>
      <c r="N11" s="1074">
        <f>PONT!$L$383</f>
        <v>0</v>
      </c>
      <c r="O11" s="1075" t="str">
        <f>IF(N11=0,"",(N11-PONT!$H$383)/PONT!$H$383)</f>
        <v/>
      </c>
      <c r="P11" s="1074">
        <f>FRANCIN!$L$383</f>
        <v>0</v>
      </c>
      <c r="Q11" s="1075" t="str">
        <f>IF(P11=0,"",(P11-FRANCIN!$H$383)/FRANCIN!$H$383)</f>
        <v/>
      </c>
      <c r="R11" s="1074">
        <f>VIVIERS!$L$383</f>
        <v>0</v>
      </c>
      <c r="S11" s="1073"/>
      <c r="T11" s="241">
        <f>FRANCHISE!$L$383</f>
        <v>0</v>
      </c>
      <c r="U11" s="228" t="e">
        <f>FRANCHISE!X383</f>
        <v>#DIV/0!</v>
      </c>
      <c r="X11" s="229" t="str">
        <f>R4</f>
        <v>VIVIERS</v>
      </c>
      <c r="Y11" s="242">
        <f>S17</f>
        <v>0</v>
      </c>
    </row>
    <row r="12" spans="2:25">
      <c r="B12" s="1783"/>
      <c r="C12" s="215" t="s">
        <v>26</v>
      </c>
      <c r="D12" s="240">
        <f>CHAMNORD!$L$384</f>
        <v>0</v>
      </c>
      <c r="E12" s="227" t="str">
        <f>IF(D12=0,"",(D12-CHAMNORD!$H$384)/CHAMNORD!$H$384)</f>
        <v/>
      </c>
      <c r="F12" s="226">
        <f>AIX!$L$384</f>
        <v>0</v>
      </c>
      <c r="G12" s="227" t="str">
        <f>IF(F12=0,"",(F12-AIX!$H$384)/AIX!$H$384)</f>
        <v/>
      </c>
      <c r="H12" s="226">
        <f>BELLEY!$L$384</f>
        <v>0</v>
      </c>
      <c r="I12" s="227" t="str">
        <f>IF(H12=0,"",(H12-BELLEY!$H$384)/BELLEY!$H$384)</f>
        <v/>
      </c>
      <c r="J12" s="226">
        <f>STALBAN!$L$384</f>
        <v>0</v>
      </c>
      <c r="K12" s="227" t="str">
        <f>IF(J12=0,"",(J12-STALBAN!$H$384)/STALBAN!$H$384)</f>
        <v/>
      </c>
      <c r="L12" s="226">
        <f>ABRETS!$L$384</f>
        <v>0</v>
      </c>
      <c r="M12" s="227" t="str">
        <f>IF(L12=0,"",(L12-ABRETS!$H$384)/ABRETS!$H$384)</f>
        <v/>
      </c>
      <c r="N12" s="226">
        <f>PONT!$L$384</f>
        <v>0</v>
      </c>
      <c r="O12" s="227" t="str">
        <f>IF(N12=0,"",(N12-PONT!$H$384)/PONT!$H$384)</f>
        <v/>
      </c>
      <c r="P12" s="226">
        <f>FRANCIN!$L$384</f>
        <v>0</v>
      </c>
      <c r="Q12" s="227" t="str">
        <f>IF(P12=0,"",(P12-FRANCIN!$H$384)/FRANCIN!$H$384)</f>
        <v/>
      </c>
      <c r="R12" s="226">
        <f>VIVIERS!$L$384</f>
        <v>0</v>
      </c>
      <c r="S12" s="258"/>
      <c r="T12" s="241">
        <f>FRANCHISE!$L$384</f>
        <v>0</v>
      </c>
      <c r="U12" s="228" t="e">
        <f>FRANCHISE!X384</f>
        <v>#DIV/0!</v>
      </c>
    </row>
    <row r="13" spans="2:25">
      <c r="B13" s="1783"/>
      <c r="C13" s="215" t="s">
        <v>22</v>
      </c>
      <c r="D13" s="240">
        <f>CHAMNORD!$L$385</f>
        <v>0</v>
      </c>
      <c r="E13" s="227" t="str">
        <f>IF(D13=0,"",(D13-CHAMNORD!$H$385)/CHAMNORD!$H$385)</f>
        <v/>
      </c>
      <c r="F13" s="226">
        <f>AIX!$L$385</f>
        <v>0</v>
      </c>
      <c r="G13" s="227" t="str">
        <f>IF(F13=0,"",(F13-AIX!$H$385)/AIX!$H$385)</f>
        <v/>
      </c>
      <c r="H13" s="226">
        <f>BELLEY!$L$385</f>
        <v>0</v>
      </c>
      <c r="I13" s="227" t="str">
        <f>IF(H13=0,"",(H13-BELLEY!$H$385)/BELLEY!$H$385)</f>
        <v/>
      </c>
      <c r="J13" s="226">
        <f>STALBAN!$L$385</f>
        <v>0</v>
      </c>
      <c r="K13" s="227" t="str">
        <f>IF(J13=0,"",(J13-STALBAN!$H$385)/STALBAN!$H$385)</f>
        <v/>
      </c>
      <c r="L13" s="226">
        <f>ABRETS!$L$385</f>
        <v>0</v>
      </c>
      <c r="M13" s="227" t="str">
        <f>IF(L13=0,"",(L13-ABRETS!$H$385)/ABRETS!$H$385)</f>
        <v/>
      </c>
      <c r="N13" s="226">
        <f>PONT!$L$385</f>
        <v>0</v>
      </c>
      <c r="O13" s="227" t="str">
        <f>IF(N13=0,"",(N13-PONT!$H$385)/PONT!$H$385)</f>
        <v/>
      </c>
      <c r="P13" s="226">
        <f>FRANCIN!$L$385</f>
        <v>0</v>
      </c>
      <c r="Q13" s="227" t="str">
        <f>IF(P13=0,"",(P13-FRANCIN!$H$385)/FRANCIN!$H$385)</f>
        <v/>
      </c>
      <c r="R13" s="226">
        <f>VIVIERS!$L$385</f>
        <v>0</v>
      </c>
      <c r="S13" s="258"/>
      <c r="T13" s="241">
        <f>FRANCHISE!$L$385</f>
        <v>0</v>
      </c>
      <c r="U13" s="228" t="e">
        <f>FRANCHISE!X385</f>
        <v>#DIV/0!</v>
      </c>
    </row>
    <row r="14" spans="2:25">
      <c r="B14" s="1783"/>
      <c r="C14" s="215" t="s">
        <v>23</v>
      </c>
      <c r="D14" s="240">
        <f>CHAMNORD!$L$386</f>
        <v>0</v>
      </c>
      <c r="E14" s="227" t="str">
        <f>IF(D14=0,"",(D14-CHAMNORD!$H$386)/CHAMNORD!$H$386)</f>
        <v/>
      </c>
      <c r="F14" s="226">
        <f>AIX!$L$386</f>
        <v>0</v>
      </c>
      <c r="G14" s="227" t="str">
        <f>IF(F14=0,"",(F14-AIX!$H$386)/AIX!$H$386)</f>
        <v/>
      </c>
      <c r="H14" s="226">
        <f>BELLEY!$L$386</f>
        <v>0</v>
      </c>
      <c r="I14" s="227" t="str">
        <f>IF(H14=0,"",(H14-BELLEY!$H$386)/BELLEY!$H$386)</f>
        <v/>
      </c>
      <c r="J14" s="226">
        <f>STALBAN!$L$386</f>
        <v>0</v>
      </c>
      <c r="K14" s="227" t="str">
        <f>IF(J14=0,"",(J14-STALBAN!$H$386)/STALBAN!$H$386)</f>
        <v/>
      </c>
      <c r="L14" s="226">
        <f>ABRETS!$L$386</f>
        <v>0</v>
      </c>
      <c r="M14" s="227" t="str">
        <f>IF(L14=0,"",(L14-ABRETS!$H$386)/ABRETS!$H$386)</f>
        <v/>
      </c>
      <c r="N14" s="226">
        <f>PONT!$L$386</f>
        <v>0</v>
      </c>
      <c r="O14" s="227" t="str">
        <f>IF(N14=0,"",(N14-PONT!$H$386)/PONT!$H$386)</f>
        <v/>
      </c>
      <c r="P14" s="226">
        <f>FRANCIN!$L$386</f>
        <v>0</v>
      </c>
      <c r="Q14" s="227" t="str">
        <f>IF(P14=0,"",(P14-FRANCIN!$H$386)/FRANCIN!$H$386)</f>
        <v/>
      </c>
      <c r="R14" s="226">
        <f>VIVIERS!$L$386</f>
        <v>0</v>
      </c>
      <c r="S14" s="258"/>
      <c r="T14" s="241">
        <f>FRANCHISE!$L$386</f>
        <v>0</v>
      </c>
      <c r="U14" s="228" t="e">
        <f>FRANCHISE!X386</f>
        <v>#DIV/0!</v>
      </c>
    </row>
    <row r="15" spans="2:25">
      <c r="B15" s="1783"/>
      <c r="C15" s="215" t="s">
        <v>24</v>
      </c>
      <c r="D15" s="240">
        <f>CHAMNORD!$L$387</f>
        <v>0</v>
      </c>
      <c r="E15" s="227" t="str">
        <f>IF(D15=0,"",(D15-CHAMNORD!$H$387)/CHAMNORD!$H$387)</f>
        <v/>
      </c>
      <c r="F15" s="226">
        <f>AIX!$L$387</f>
        <v>0</v>
      </c>
      <c r="G15" s="227" t="str">
        <f>IF(F15=0,"",(F15-AIX!$H$387)/AIX!$H$387)</f>
        <v/>
      </c>
      <c r="H15" s="226">
        <f>BELLEY!$L$387</f>
        <v>0</v>
      </c>
      <c r="I15" s="227" t="str">
        <f>IF(H15=0,"",(H15-BELLEY!$H$387)/BELLEY!$H$387)</f>
        <v/>
      </c>
      <c r="J15" s="226">
        <f>STALBAN!$L$387</f>
        <v>0</v>
      </c>
      <c r="K15" s="227" t="str">
        <f>IF(J15=0,"",(J15-STALBAN!$H$387)/STALBAN!$H$387)</f>
        <v/>
      </c>
      <c r="L15" s="226">
        <f>ABRETS!$L$387</f>
        <v>0</v>
      </c>
      <c r="M15" s="227" t="str">
        <f>IF(L15=0,"",(L15-ABRETS!$H$387)/ABRETS!$H$387)</f>
        <v/>
      </c>
      <c r="N15" s="226">
        <f>PONT!$L$387</f>
        <v>0</v>
      </c>
      <c r="O15" s="227" t="str">
        <f>IF(N15=0,"",(N15-PONT!$H$387)/PONT!$H$387)</f>
        <v/>
      </c>
      <c r="P15" s="226">
        <f>FRANCIN!$L$387</f>
        <v>0</v>
      </c>
      <c r="Q15" s="227" t="str">
        <f>IF(P15=0,"",(P15-FRANCIN!$H$387)/FRANCIN!$H$387)</f>
        <v/>
      </c>
      <c r="R15" s="226">
        <f>VIVIERS!$L$387</f>
        <v>0</v>
      </c>
      <c r="S15" s="258"/>
      <c r="T15" s="241">
        <f>FRANCHISE!$L$387</f>
        <v>0</v>
      </c>
      <c r="U15" s="228" t="e">
        <f>FRANCHISE!X387</f>
        <v>#DIV/0!</v>
      </c>
    </row>
    <row r="16" spans="2:25">
      <c r="B16" s="1783"/>
      <c r="C16" s="215" t="s">
        <v>27</v>
      </c>
      <c r="D16" s="240">
        <f>CHAMNORD!$L$388</f>
        <v>0</v>
      </c>
      <c r="E16" s="227" t="str">
        <f>IF(D16=0,"",(D16-CHAMNORD!$H$387)/CHAMNORD!$H$387)</f>
        <v/>
      </c>
      <c r="F16" s="226">
        <f>AIX!$L$388</f>
        <v>0</v>
      </c>
      <c r="G16" s="227" t="str">
        <f>IF(F16=0,"",(F16-AIX!$H$387)/AIX!$H$387)</f>
        <v/>
      </c>
      <c r="H16" s="226">
        <f>BELLEY!$L$388</f>
        <v>0</v>
      </c>
      <c r="I16" s="227" t="str">
        <f>IF(H16=0,"",(H16-BELLEY!$H$387)/BELLEY!$H$387)</f>
        <v/>
      </c>
      <c r="J16" s="226">
        <f>STALBAN!$L$388</f>
        <v>0</v>
      </c>
      <c r="K16" s="227" t="str">
        <f>IF(J16=0,"",(J16-STALBAN!$H$387)/STALBAN!$H$387)</f>
        <v/>
      </c>
      <c r="L16" s="226">
        <f>ABRETS!$L$388</f>
        <v>0</v>
      </c>
      <c r="M16" s="227" t="str">
        <f>IF(L16=0,"",(L16-ABRETS!$H$387)/ABRETS!$H$387)</f>
        <v/>
      </c>
      <c r="N16" s="226">
        <f>PONT!$L$388</f>
        <v>0</v>
      </c>
      <c r="O16" s="227" t="str">
        <f>IF(N16=0,"",(N16-PONT!$H$387)/PONT!$H$387)</f>
        <v/>
      </c>
      <c r="P16" s="226">
        <f>FRANCIN!$L$388</f>
        <v>0</v>
      </c>
      <c r="Q16" s="227" t="str">
        <f>IF(P16=0,"",(P16-FRANCIN!$H$387)/FRANCIN!$H$387)</f>
        <v/>
      </c>
      <c r="R16" s="226">
        <f>VIVIERS!$L$388</f>
        <v>0</v>
      </c>
      <c r="S16" s="258"/>
      <c r="T16" s="241">
        <f>FRANCHISE!$L$388</f>
        <v>0</v>
      </c>
      <c r="U16" s="228" t="e">
        <f>FRANCHISE!X388</f>
        <v>#DIV/0!</v>
      </c>
    </row>
    <row r="17" spans="2:21" ht="21" thickBot="1">
      <c r="B17" s="1783"/>
      <c r="C17" s="243" t="s">
        <v>45</v>
      </c>
      <c r="D17" s="244">
        <f>SUM(D5:D16)</f>
        <v>3157758.0700000003</v>
      </c>
      <c r="E17" s="245">
        <f>IF(D17=0,"",(D17-CHAMNORD!$H$389)/CHAMNORD!$H$389)</f>
        <v>-6.2983657690405953E-2</v>
      </c>
      <c r="F17" s="246">
        <f>SUM(F5:F16)</f>
        <v>2195516.91</v>
      </c>
      <c r="G17" s="245">
        <f>IF(F17=0,"",(F17-AIX!$H$389)/AIX!$H$389)</f>
        <v>-2.5569719099677961E-2</v>
      </c>
      <c r="H17" s="246">
        <f>SUM(H5:H16)</f>
        <v>1866386.2499999995</v>
      </c>
      <c r="I17" s="245">
        <f>IF(H17=0,"",(H17-BELLEY!$H$389)/BELLEY!$H$389)</f>
        <v>-1.5047165228759915E-2</v>
      </c>
      <c r="J17" s="246">
        <f>SUM(J5:J16)</f>
        <v>2412386.7200000002</v>
      </c>
      <c r="K17" s="245">
        <f>IF(J17=0,"",(J17-STALBAN!$H$389)/STALBAN!$H$389)</f>
        <v>-8.6545796122239387E-5</v>
      </c>
      <c r="L17" s="246">
        <f>SUM(L5:L16)</f>
        <v>1451934.7390000003</v>
      </c>
      <c r="M17" s="245">
        <f>IF(L17=0,"",(L17-ABRETS!$H$389)/ABRETS!$H$389)</f>
        <v>-2.1430945508756561E-2</v>
      </c>
      <c r="N17" s="246">
        <f>SUM(N5:N16)</f>
        <v>1495814</v>
      </c>
      <c r="O17" s="245">
        <f>IF(N17=0,"",(N17-PONT!$H$389)/PONT!$H$389)</f>
        <v>-2.3743729579935702E-2</v>
      </c>
      <c r="P17" s="246">
        <f>SUM(P5:P16)</f>
        <v>1442619.2</v>
      </c>
      <c r="Q17" s="245">
        <f>IF(P17=0,"",(P17-FRANCIN!$H$389)/FRANCIN!$H$389)</f>
        <v>-8.3898887029039849E-3</v>
      </c>
      <c r="R17" s="246">
        <f>SUM(R5:R16)</f>
        <v>1258468.5000000002</v>
      </c>
      <c r="S17" s="245"/>
      <c r="T17" s="246">
        <f>SUM(T5:T16)</f>
        <v>15280884.389000002</v>
      </c>
      <c r="U17" s="247">
        <f>FRANCHISE!X389</f>
        <v>-2.7279903607828875E-2</v>
      </c>
    </row>
    <row r="18" spans="2:21" ht="21" thickBot="1">
      <c r="B18" s="1783"/>
      <c r="C18" s="243" t="s">
        <v>311</v>
      </c>
      <c r="D18" s="1781">
        <f>D17-CHAMNORD!$H$389</f>
        <v>-212255.80000000028</v>
      </c>
      <c r="E18" s="1781"/>
      <c r="F18" s="1773">
        <f>F17-AIX!$H$389</f>
        <v>-57611.870000000112</v>
      </c>
      <c r="G18" s="1774"/>
      <c r="H18" s="1773">
        <f>H17-BELLEY!$H$389</f>
        <v>-28512.860000000102</v>
      </c>
      <c r="I18" s="1774"/>
      <c r="J18" s="1773">
        <f>J17-STALBAN!$H$389</f>
        <v>-208.79999999934807</v>
      </c>
      <c r="K18" s="1774"/>
      <c r="L18" s="1773">
        <f>L17-ABRETS!$H$389</f>
        <v>-31797.790999999503</v>
      </c>
      <c r="M18" s="1774"/>
      <c r="N18" s="1773">
        <f>N17-PONT!$H$389</f>
        <v>-36380</v>
      </c>
      <c r="O18" s="1774"/>
      <c r="P18" s="1773">
        <f>P17-FRANCIN!$H$389</f>
        <v>-12205.820000000065</v>
      </c>
      <c r="Q18" s="1774"/>
      <c r="R18" s="1773">
        <f>R17-VIVIERS!$H$389</f>
        <v>-12194.669999999693</v>
      </c>
      <c r="S18" s="1774"/>
      <c r="T18" s="1773">
        <f>T17-FRANCHISE!$H$389</f>
        <v>-391167.61099999771</v>
      </c>
      <c r="U18" s="1777"/>
    </row>
    <row r="19" spans="2:21" s="213" customFormat="1">
      <c r="B19" s="1783"/>
      <c r="C19" s="248"/>
      <c r="D19" s="214">
        <f>D33-D35</f>
        <v>3327955.5</v>
      </c>
      <c r="F19" s="214">
        <f>F33-F35</f>
        <v>2216159.0500000003</v>
      </c>
      <c r="H19" s="214">
        <f>H33-H35</f>
        <v>1877531.5000000002</v>
      </c>
      <c r="J19" s="214">
        <f>J33-J35</f>
        <v>2373301.71</v>
      </c>
      <c r="L19" s="214">
        <f>L33-L35</f>
        <v>1470056.52</v>
      </c>
      <c r="N19" s="214">
        <f>N33-N35</f>
        <v>1518962</v>
      </c>
      <c r="P19" s="214">
        <f>P33-P35</f>
        <v>1441956.71</v>
      </c>
      <c r="R19" s="214">
        <f>R33-R35</f>
        <v>1256479.5900000001</v>
      </c>
      <c r="U19" s="249"/>
    </row>
    <row r="20" spans="2:21" s="324" customFormat="1" ht="36">
      <c r="B20" s="1783"/>
      <c r="C20" s="857" t="s">
        <v>457</v>
      </c>
      <c r="D20" s="858" t="s">
        <v>28</v>
      </c>
      <c r="E20" s="858" t="s">
        <v>463</v>
      </c>
      <c r="F20" s="859" t="s">
        <v>29</v>
      </c>
      <c r="G20" s="858" t="s">
        <v>463</v>
      </c>
      <c r="H20" s="860" t="s">
        <v>30</v>
      </c>
      <c r="I20" s="858" t="s">
        <v>463</v>
      </c>
      <c r="J20" s="861" t="s">
        <v>31</v>
      </c>
      <c r="K20" s="858" t="s">
        <v>463</v>
      </c>
      <c r="L20" s="858" t="s">
        <v>32</v>
      </c>
      <c r="M20" s="858" t="s">
        <v>463</v>
      </c>
      <c r="N20" s="859" t="s">
        <v>253</v>
      </c>
      <c r="O20" s="858" t="s">
        <v>463</v>
      </c>
      <c r="P20" s="860" t="s">
        <v>34</v>
      </c>
      <c r="Q20" s="858" t="s">
        <v>463</v>
      </c>
      <c r="R20" s="861" t="str">
        <f>R4</f>
        <v>VIVIERS</v>
      </c>
      <c r="S20" s="858" t="s">
        <v>463</v>
      </c>
      <c r="T20" s="862" t="s">
        <v>37</v>
      </c>
      <c r="U20" s="863" t="s">
        <v>463</v>
      </c>
    </row>
    <row r="21" spans="2:21">
      <c r="B21" s="1783"/>
      <c r="C21" s="215" t="s">
        <v>10</v>
      </c>
      <c r="D21" s="238">
        <f>CHAMNORD!$M$377</f>
        <v>649651</v>
      </c>
      <c r="E21" s="221">
        <f>IF(D21=0,"",(D21-CHAMNORD!$I$377)/CHAMNORD!$I$377)</f>
        <v>-3.9195739818363495E-2</v>
      </c>
      <c r="F21" s="220">
        <f>AIX!$M$377</f>
        <v>376787.68999999994</v>
      </c>
      <c r="G21" s="221">
        <f>IF(F21=0,"",(F21-AIX!$I$377)/AIX!$I$377)</f>
        <v>2.4703133513823104E-3</v>
      </c>
      <c r="H21" s="220">
        <f>BELLEY!$M$377</f>
        <v>361006.19000000012</v>
      </c>
      <c r="I21" s="221">
        <f>IF(H21=0,"",(H21-BELLEY!$I$377)/BELLEY!$I$377)</f>
        <v>5.4757852201566495E-2</v>
      </c>
      <c r="J21" s="220">
        <f>STALBAN!$M$377</f>
        <v>485451.76000000007</v>
      </c>
      <c r="K21" s="221">
        <f>IF(J21=0,"",(J21-STALBAN!$I$377)/STALBAN!$I$377)</f>
        <v>3.9283733685370373E-2</v>
      </c>
      <c r="L21" s="220">
        <f>ABRETS!$M$377</f>
        <v>274368.39999999991</v>
      </c>
      <c r="M21" s="221">
        <f>IF(L21=0,"",(L21-ABRETS!$I$377)/ABRETS!$I$377)</f>
        <v>5.5215186387694404E-2</v>
      </c>
      <c r="N21" s="220">
        <f>PONT!$M$377</f>
        <v>285405</v>
      </c>
      <c r="O21" s="221">
        <f>IF(N21=0,"",(N21-PONT!$I$377)/PONT!$I$377)</f>
        <v>3.7930720974634055E-2</v>
      </c>
      <c r="P21" s="226">
        <f>FRANCIN!$M$377</f>
        <v>287029.88999999996</v>
      </c>
      <c r="Q21" s="221">
        <f>IF(P21=0,"",(P21-FRANCIN!$I$377)/FRANCIN!$I$377)</f>
        <v>2.6616352681748973E-2</v>
      </c>
      <c r="R21" s="220">
        <f>VIVIERS!$M$377</f>
        <v>250733.68999999997</v>
      </c>
      <c r="S21" s="221">
        <f>IF(R21=0,"",(R21-VIVIERS!$I$377)/VIVIERS!$I$377)</f>
        <v>3.6885673509426599E-2</v>
      </c>
      <c r="T21" s="239">
        <f>FRANCHISE!$M$377</f>
        <v>2970433.62</v>
      </c>
      <c r="U21" s="223">
        <f>+FRANCHISE!W377</f>
        <v>1.7530311276856881E-2</v>
      </c>
    </row>
    <row r="22" spans="2:21" s="229" customFormat="1">
      <c r="B22" s="1783"/>
      <c r="C22" s="224" t="s">
        <v>25</v>
      </c>
      <c r="D22" s="240">
        <f>CHAMNORD!$M$378</f>
        <v>599540.34000000008</v>
      </c>
      <c r="E22" s="227">
        <f>IF(D22=0,"",(D22-CHAMNORD!$I$378)/CHAMNORD!$I$378)</f>
        <v>-3.4617090813473902E-2</v>
      </c>
      <c r="F22" s="226">
        <f>AIX!$M$378</f>
        <v>375717.3899999999</v>
      </c>
      <c r="G22" s="227">
        <f>IF(F22=0,"",(F22-AIX!$I$378)/AIX!$I$378)</f>
        <v>-2.5533399536447794E-3</v>
      </c>
      <c r="H22" s="226">
        <f>BELLEY!$M$378</f>
        <v>336817.51</v>
      </c>
      <c r="I22" s="227">
        <f>IF(H22=0,"",(H22-BELLEY!$I$378)/BELLEY!$I$378)</f>
        <v>-2.5417852797540535E-2</v>
      </c>
      <c r="J22" s="226">
        <f>STALBAN!$M$378</f>
        <v>434425.76</v>
      </c>
      <c r="K22" s="227">
        <f>IF(J22=0,"",(J22-STALBAN!$I$378)/STALBAN!$I$378)</f>
        <v>7.8246774856479562E-3</v>
      </c>
      <c r="L22" s="226">
        <f>ABRETS!$M$378</f>
        <v>249974.94</v>
      </c>
      <c r="M22" s="227">
        <f>IF(L22=0,"",(L22-ABRETS!$I$378)/ABRETS!$I$378)</f>
        <v>-2.7781214375548039E-2</v>
      </c>
      <c r="N22" s="226">
        <f>PONT!$M$378</f>
        <v>265323</v>
      </c>
      <c r="O22" s="227">
        <f>IF(N22=0,"",(N22-PONT!$I$378)/PONT!$I$378)</f>
        <v>-1.4716695260800784E-2</v>
      </c>
      <c r="P22" s="226">
        <f>FRANCIN!$M$378</f>
        <v>273292.01</v>
      </c>
      <c r="Q22" s="227">
        <f>IF(P22=0,"",(P22-FRANCIN!$I$378)/FRANCIN!$I$378)</f>
        <v>-5.9166240479910249E-3</v>
      </c>
      <c r="R22" s="226">
        <f>VIVIERS!$M$378</f>
        <v>217739.77000000002</v>
      </c>
      <c r="S22" s="221">
        <f>IF(R22=0,"",(R22-VIVIERS!$I$378)/VIVIERS!$I$378)</f>
        <v>-3.6649179682062702E-2</v>
      </c>
      <c r="T22" s="241">
        <f>FRANCHISE!$M$378</f>
        <v>2752830.72</v>
      </c>
      <c r="U22" s="223">
        <f>+FRANCHISE!W378</f>
        <v>-1.5833897736311744E-2</v>
      </c>
    </row>
    <row r="23" spans="2:21" s="229" customFormat="1">
      <c r="B23" s="1783"/>
      <c r="C23" s="224" t="s">
        <v>17</v>
      </c>
      <c r="D23" s="240">
        <f>CHAMNORD!$M$379</f>
        <v>600376.44999999995</v>
      </c>
      <c r="E23" s="227">
        <f>IF(D23=0,"",(D23-CHAMNORD!$I$379)/CHAMNORD!$I$379)</f>
        <v>-6.0005061203914856E-2</v>
      </c>
      <c r="F23" s="226">
        <f>AIX!$M$379</f>
        <v>377521.33</v>
      </c>
      <c r="G23" s="227">
        <f>IF(F23=0,"",(F23-AIX!$I$379)/AIX!$I$379)</f>
        <v>-5.6909604184716668E-2</v>
      </c>
      <c r="H23" s="226">
        <f>BELLEY!$M$379</f>
        <v>349535.83999999991</v>
      </c>
      <c r="I23" s="227">
        <f>IF(H23=0,"",(H23-BELLEY!$I$379)/BELLEY!$I$379)</f>
        <v>-1.782406129273437E-2</v>
      </c>
      <c r="J23" s="226">
        <f>STALBAN!$M$379</f>
        <v>463172.76999999996</v>
      </c>
      <c r="K23" s="227">
        <f>IF(J23=0,"",(J23-STALBAN!$I$379)/STALBAN!$I$379)</f>
        <v>2.5787310916097275E-2</v>
      </c>
      <c r="L23" s="226">
        <f>ABRETS!$M$379</f>
        <v>278175.40000000008</v>
      </c>
      <c r="M23" s="227">
        <f>IF(L23=0,"",(L23-ABRETS!$I$379)/ABRETS!$I$379)</f>
        <v>8.8302816414443719E-4</v>
      </c>
      <c r="N23" s="226">
        <f>PONT!$M$379</f>
        <v>289585</v>
      </c>
      <c r="O23" s="227">
        <f>IF(N23=0,"",(N23-PONT!$I$379)/PONT!$I$379)</f>
        <v>7.5009828514172195E-3</v>
      </c>
      <c r="P23" s="226">
        <f>FRANCIN!$M$379</f>
        <v>277451.66000000003</v>
      </c>
      <c r="Q23" s="227">
        <f>IF(P23=0,"",(P23-FRANCIN!$I$379)/FRANCIN!$I$379)</f>
        <v>4.2476398692868952E-3</v>
      </c>
      <c r="R23" s="226">
        <f>VIVIERS!$M$379</f>
        <v>235335.78999999992</v>
      </c>
      <c r="S23" s="221">
        <f>IF(R23=0,"",(R23-VIVIERS!$I$379)/VIVIERS!$I$379)</f>
        <v>-1.0065259714870961E-2</v>
      </c>
      <c r="T23" s="241">
        <f>FRANCHISE!$M$379</f>
        <v>2871154.24</v>
      </c>
      <c r="U23" s="223">
        <f>+FRANCHISE!W379</f>
        <v>-1.8034702454923262E-2</v>
      </c>
    </row>
    <row r="24" spans="2:21" s="229" customFormat="1">
      <c r="B24" s="1783"/>
      <c r="C24" s="224" t="s">
        <v>18</v>
      </c>
      <c r="D24" s="240">
        <f>CHAMNORD!$M$380</f>
        <v>570268.02000000014</v>
      </c>
      <c r="E24" s="227">
        <f>IF(D24=0,"",(D24-CHAMNORD!$I$380)/CHAMNORD!$I$380)</f>
        <v>-9.1120770382651969E-2</v>
      </c>
      <c r="F24" s="226">
        <f>AIX!$M$380</f>
        <v>458295.83999999997</v>
      </c>
      <c r="G24" s="227">
        <f>IF(F24=0,"",(F24-AIX!$I$380)/AIX!$I$380)</f>
        <v>-5.5367664836540958E-2</v>
      </c>
      <c r="H24" s="226">
        <f>BELLEY!$M$380</f>
        <v>346272.50999999995</v>
      </c>
      <c r="I24" s="227">
        <f>IF(H24=0,"",(H24-BELLEY!$I$380)/BELLEY!$I$380)</f>
        <v>-7.6732253654449495E-2</v>
      </c>
      <c r="J24" s="226">
        <f>STALBAN!$M$380</f>
        <v>437157.8</v>
      </c>
      <c r="K24" s="227">
        <f>IF(J24=0,"",(J24-STALBAN!$I$380)/STALBAN!$I$380)</f>
        <v>-3.6547339954998648E-2</v>
      </c>
      <c r="L24" s="226">
        <f>ABRETS!$M$380</f>
        <v>280976.31</v>
      </c>
      <c r="M24" s="227">
        <f>IF(L24=0,"",(L24-ABRETS!$I$380)/ABRETS!$I$380)</f>
        <v>-6.5880554946978295E-2</v>
      </c>
      <c r="N24" s="226">
        <f>PONT!$M$380</f>
        <v>279412</v>
      </c>
      <c r="O24" s="227">
        <f>IF(N24=0,"",(N24-PONT!$I$380)/PONT!$I$380)</f>
        <v>-6.79400491695549E-2</v>
      </c>
      <c r="P24" s="226">
        <f>FRANCIN!$M$380</f>
        <v>258025.78000000003</v>
      </c>
      <c r="Q24" s="227">
        <f>IF(P24=0,"",(P24-FRANCIN!$I$380)/FRANCIN!$I$380)</f>
        <v>-7.3181197458126637E-2</v>
      </c>
      <c r="R24" s="226">
        <f>VIVIERS!$M$380</f>
        <v>234464.84999999995</v>
      </c>
      <c r="S24" s="221">
        <f>IF(R24=0,"",(R24-VIVIERS!$I$380)/VIVIERS!$I$380)</f>
        <v>-5.6455328192705496E-2</v>
      </c>
      <c r="T24" s="241">
        <f>FRANCHISE!$M$380</f>
        <v>2864873.1099999994</v>
      </c>
      <c r="U24" s="223">
        <f>+FRANCHISE!W380</f>
        <v>-6.1671214360516202E-2</v>
      </c>
    </row>
    <row r="25" spans="2:21">
      <c r="B25" s="1783"/>
      <c r="C25" s="215" t="s">
        <v>19</v>
      </c>
      <c r="D25" s="240">
        <f>CHAMNORD!$M$381</f>
        <v>558994.46000000008</v>
      </c>
      <c r="E25" s="227">
        <f>IF(D25=0,"",(D25-CHAMNORD!$I$381)/CHAMNORD!$I$381)</f>
        <v>-0.10446270522005177</v>
      </c>
      <c r="F25" s="226">
        <f>AIX!$M$381</f>
        <v>462146.93</v>
      </c>
      <c r="G25" s="227">
        <f>IF(F25=0,"",(F25-AIX!$I$381)/AIX!$I$381)</f>
        <v>-2.9446309459513962E-2</v>
      </c>
      <c r="H25" s="226">
        <f>BELLEY!$M$381</f>
        <v>366621.17999999988</v>
      </c>
      <c r="I25" s="227">
        <f>IF(H25=0,"",(H25-BELLEY!$I$381)/BELLEY!$I$381)</f>
        <v>-3.5759663253141847E-3</v>
      </c>
      <c r="J25" s="226">
        <f>STALBAN!$M$381</f>
        <v>442386.8</v>
      </c>
      <c r="K25" s="227">
        <f>IF(J25=0,"",(J25-STALBAN!$I$381)/STALBAN!$I$381)</f>
        <v>-2.7904478569345591E-2</v>
      </c>
      <c r="L25" s="226">
        <f>ABRETS!$M$381</f>
        <v>285856.66000000009</v>
      </c>
      <c r="M25" s="227">
        <f>IF(L25=0,"",(L25-ABRETS!$I$381)/ABRETS!$I$381)</f>
        <v>-5.7897002214722514E-2</v>
      </c>
      <c r="N25" s="226">
        <f>PONT!$M$381</f>
        <v>294166</v>
      </c>
      <c r="O25" s="227">
        <f>IF(N25=0,"",(N25-PONT!$I$381)/PONT!$I$381)</f>
        <v>-5.5173698545660108E-2</v>
      </c>
      <c r="P25" s="226">
        <f>FRANCIN!$M$381</f>
        <v>266786.63</v>
      </c>
      <c r="Q25" s="227">
        <f>IF(P25=0,"",(P25-FRANCIN!$I$381)/FRANCIN!$I$381)</f>
        <v>-1.3585654598211653E-2</v>
      </c>
      <c r="R25" s="226">
        <f>VIVIERS!$M$381</f>
        <v>244877.3</v>
      </c>
      <c r="S25" s="221">
        <f>IF(R25=0,"",(R25-VIVIERS!$I$381)/VIVIERS!$I$381)</f>
        <v>-6.5126717281742338E-3</v>
      </c>
      <c r="T25" s="241">
        <f>FRANCHISE!$M$381</f>
        <v>2921835.9600000004</v>
      </c>
      <c r="U25" s="223">
        <f>+FRANCHISE!W381</f>
        <v>-3.9297785567815484E-2</v>
      </c>
    </row>
    <row r="26" spans="2:21" s="229" customFormat="1">
      <c r="B26" s="1783"/>
      <c r="C26" s="997" t="s">
        <v>20</v>
      </c>
      <c r="D26" s="1003">
        <f>CHAMNORD!$M$382</f>
        <v>130685.65</v>
      </c>
      <c r="E26" s="1001">
        <f>IF(D26=0,"",(D26-CHAMNORD!$I$382)/CHAMNORD!$I$382)</f>
        <v>-6.9326217181868197E-2</v>
      </c>
      <c r="F26" s="1000">
        <f>AIX!$M$382</f>
        <v>98677.01</v>
      </c>
      <c r="G26" s="1001">
        <f>IF(F26=0,"",(F26-AIX!$I$382)/AIX!$I$382)</f>
        <v>-3.2503020333151451E-2</v>
      </c>
      <c r="H26" s="1000">
        <f>BELLEY!$M$382</f>
        <v>85294.92</v>
      </c>
      <c r="I26" s="1001">
        <f>IF(H26=0,"",(H26-BELLEY!$I$382)/BELLEY!$I$382)</f>
        <v>-6.0608253284790435E-2</v>
      </c>
      <c r="J26" s="1000">
        <f>STALBAN!$M$382</f>
        <v>106221.75999999999</v>
      </c>
      <c r="K26" s="1001">
        <f>IF(J26=0,"",(J26-STALBAN!$I$382)/STALBAN!$I$382)</f>
        <v>-7.4650477703122248E-2</v>
      </c>
      <c r="L26" s="1000">
        <f>ABRETS!$M$382</f>
        <v>67538.31</v>
      </c>
      <c r="M26" s="1001">
        <f>IF(L26=0,"",(L26-ABRETS!$I$382)/ABRETS!$I$382)</f>
        <v>-4.5800193698648205E-2</v>
      </c>
      <c r="N26" s="1000">
        <f>PONT!$M$382</f>
        <v>67012</v>
      </c>
      <c r="O26" s="1001">
        <f>IF(N26=0,"",(N26-PONT!$I$382)/PONT!$I$382)</f>
        <v>-0.11998844370904412</v>
      </c>
      <c r="P26" s="1000">
        <f>FRANCIN!$M$382</f>
        <v>66163.850000000006</v>
      </c>
      <c r="Q26" s="1001">
        <f>IF(P26=0,"",(P26-FRANCIN!$I$382)/FRANCIN!$I$382)</f>
        <v>6.182729908904204E-2</v>
      </c>
      <c r="R26" s="1000">
        <f>VIVIERS!$M$382</f>
        <v>57322.979999999996</v>
      </c>
      <c r="S26" s="1001"/>
      <c r="T26" s="241">
        <f>FRANCHISE!$M$382</f>
        <v>678916.48</v>
      </c>
      <c r="U26" s="223">
        <f>+FRANCHISE!W382</f>
        <v>-4.3721204142034349E-2</v>
      </c>
    </row>
    <row r="27" spans="2:21" s="229" customFormat="1">
      <c r="B27" s="1783"/>
      <c r="C27" s="224" t="s">
        <v>21</v>
      </c>
      <c r="D27" s="240">
        <f>CHAMNORD!$M$383</f>
        <v>0</v>
      </c>
      <c r="E27" s="227" t="str">
        <f>IF(D27=0,"",(D27-CHAMNORD!$I$383)/CHAMNORD!$I$383)</f>
        <v/>
      </c>
      <c r="F27" s="226">
        <f>AIX!$M$383</f>
        <v>0</v>
      </c>
      <c r="G27" s="227" t="str">
        <f>IF(F27=0,"",(F27-AIX!$I$383)/AIX!$I$383)</f>
        <v/>
      </c>
      <c r="H27" s="226">
        <f>BELLEY!$M$383</f>
        <v>0</v>
      </c>
      <c r="I27" s="227" t="str">
        <f>IF(H27=0,"",(H27-BELLEY!$I$383)/BELLEY!$I$383)</f>
        <v/>
      </c>
      <c r="J27" s="226">
        <f>STALBAN!$M$383</f>
        <v>0</v>
      </c>
      <c r="K27" s="227" t="str">
        <f>IF(J27=0,"",(J27-STALBAN!$I$383)/STALBAN!$I$383)</f>
        <v/>
      </c>
      <c r="L27" s="226">
        <f>ABRETS!$M$383</f>
        <v>0</v>
      </c>
      <c r="M27" s="227" t="str">
        <f>IF(L27=0,"",(L27-ABRETS!$I$383)/ABRETS!$I$383)</f>
        <v/>
      </c>
      <c r="N27" s="226">
        <f>PONT!$M$383</f>
        <v>0</v>
      </c>
      <c r="O27" s="227" t="str">
        <f>IF(N27=0,"",(N27-PONT!$I$383)/PONT!$I$383)</f>
        <v/>
      </c>
      <c r="P27" s="226">
        <f>FRANCIN!$M$383</f>
        <v>0</v>
      </c>
      <c r="Q27" s="227" t="str">
        <f>IF(P27=0,"",(P27-FRANCIN!$I$383)/FRANCIN!$I$383)</f>
        <v/>
      </c>
      <c r="R27" s="226">
        <f>VIVIERS!$M$383</f>
        <v>0</v>
      </c>
      <c r="S27" s="227"/>
      <c r="T27" s="1239">
        <f>FRANCHISE!$M$383</f>
        <v>0</v>
      </c>
      <c r="U27" s="1240" t="e">
        <f>+FRANCHISE!W383</f>
        <v>#DIV/0!</v>
      </c>
    </row>
    <row r="28" spans="2:21">
      <c r="B28" s="1783"/>
      <c r="C28" s="215" t="s">
        <v>26</v>
      </c>
      <c r="D28" s="240">
        <f>CHAMNORD!$M$384</f>
        <v>0</v>
      </c>
      <c r="E28" s="227" t="str">
        <f>IF(D28=0,"",(D28-CHAMNORD!$I$384)/CHAMNORD!$I$384)</f>
        <v/>
      </c>
      <c r="F28" s="226">
        <f>AIX!$M$384</f>
        <v>0</v>
      </c>
      <c r="G28" s="227" t="str">
        <f>IF(F28=0,"",(F28-AIX!$I$384)/AIX!$I$384)</f>
        <v/>
      </c>
      <c r="H28" s="226">
        <f>BELLEY!$M$384</f>
        <v>0</v>
      </c>
      <c r="I28" s="227" t="str">
        <f>IF(H28=0,"",(H28-BELLEY!$I$384)/BELLEY!$I$384)</f>
        <v/>
      </c>
      <c r="J28" s="226">
        <f>STALBAN!$M$384</f>
        <v>0</v>
      </c>
      <c r="K28" s="227" t="str">
        <f>IF(J28=0,"",(J28-STALBAN!$I$384)/STALBAN!$I$384)</f>
        <v/>
      </c>
      <c r="L28" s="226">
        <f>ABRETS!$M$384</f>
        <v>0</v>
      </c>
      <c r="M28" s="227" t="str">
        <f>IF(L28=0,"",(L28-ABRETS!$I$384)/ABRETS!$I$384)</f>
        <v/>
      </c>
      <c r="N28" s="226">
        <f>PONT!$M$384</f>
        <v>0</v>
      </c>
      <c r="O28" s="227" t="str">
        <f>IF(N28=0,"",(N28-PONT!$I$384)/PONT!$I$384)</f>
        <v/>
      </c>
      <c r="P28" s="226">
        <f>FRANCIN!$M$384</f>
        <v>0</v>
      </c>
      <c r="Q28" s="227" t="str">
        <f>IF(P28=0,"",(P28-FRANCIN!$I$384)/FRANCIN!$I$384)</f>
        <v/>
      </c>
      <c r="R28" s="226">
        <f>VIVIERS!$M$384</f>
        <v>0</v>
      </c>
      <c r="S28" s="227"/>
      <c r="T28" s="241">
        <f>FRANCHISE!$M$384</f>
        <v>0</v>
      </c>
      <c r="U28" s="223" t="e">
        <f>+FRANCHISE!W384</f>
        <v>#DIV/0!</v>
      </c>
    </row>
    <row r="29" spans="2:21">
      <c r="B29" s="1783"/>
      <c r="C29" s="215" t="s">
        <v>22</v>
      </c>
      <c r="D29" s="240">
        <f>CHAMNORD!$M$385</f>
        <v>0</v>
      </c>
      <c r="E29" s="227" t="str">
        <f>IF(D29=0,"",(D29-CHAMNORD!$I$385)/CHAMNORD!$I$385)</f>
        <v/>
      </c>
      <c r="F29" s="226">
        <f>AIX!$M$385</f>
        <v>0</v>
      </c>
      <c r="G29" s="227" t="str">
        <f>IF(F29=0,"",(F29-AIX!$I$385)/AIX!$I$385)</f>
        <v/>
      </c>
      <c r="H29" s="226">
        <f>BELLEY!$M$385</f>
        <v>0</v>
      </c>
      <c r="I29" s="227" t="str">
        <f>IF(H29=0,"",(H29-BELLEY!$I$385)/BELLEY!$I$385)</f>
        <v/>
      </c>
      <c r="J29" s="226">
        <f>STALBAN!$M$385</f>
        <v>0</v>
      </c>
      <c r="K29" s="227" t="str">
        <f>IF(J29=0,"",(J29-STALBAN!$I$385)/STALBAN!$I$385)</f>
        <v/>
      </c>
      <c r="L29" s="226">
        <f>ABRETS!$M$385</f>
        <v>0</v>
      </c>
      <c r="M29" s="227" t="str">
        <f>IF(L29=0,"",(L29-ABRETS!$I$385)/ABRETS!$I$385)</f>
        <v/>
      </c>
      <c r="N29" s="226">
        <f>PONT!$M$385</f>
        <v>0</v>
      </c>
      <c r="O29" s="227" t="str">
        <f>IF(N29=0,"",(N29-PONT!$I$385)/PONT!$I$385)</f>
        <v/>
      </c>
      <c r="P29" s="226">
        <f>FRANCIN!$M$385</f>
        <v>0</v>
      </c>
      <c r="Q29" s="227" t="str">
        <f>IF(P29=0,"",(P29-FRANCIN!$I$385)/FRANCIN!$I$385)</f>
        <v/>
      </c>
      <c r="R29" s="226">
        <f>VIVIERS!$M$385</f>
        <v>0</v>
      </c>
      <c r="S29" s="227"/>
      <c r="T29" s="241">
        <f>FRANCHISE!$M$385</f>
        <v>0</v>
      </c>
      <c r="U29" s="223" t="e">
        <f>+FRANCHISE!W385</f>
        <v>#DIV/0!</v>
      </c>
    </row>
    <row r="30" spans="2:21">
      <c r="B30" s="1783"/>
      <c r="C30" s="215" t="s">
        <v>23</v>
      </c>
      <c r="D30" s="240">
        <f>CHAMNORD!$M$386</f>
        <v>0</v>
      </c>
      <c r="E30" s="227" t="str">
        <f>IF(D30=0,"",(D30-CHAMNORD!$I$386)/CHAMNORD!$I$386)</f>
        <v/>
      </c>
      <c r="F30" s="226">
        <f>AIX!$M$386</f>
        <v>0</v>
      </c>
      <c r="G30" s="227" t="str">
        <f>IF(F30=0,"",(F30-AIX!$I$386)/AIX!$I$386)</f>
        <v/>
      </c>
      <c r="H30" s="226">
        <f>BELLEY!$M$386</f>
        <v>0</v>
      </c>
      <c r="I30" s="227" t="str">
        <f>IF(H30=0,"",(H30-BELLEY!$I$386)/BELLEY!$I$386)</f>
        <v/>
      </c>
      <c r="J30" s="226">
        <f>STALBAN!$M$386</f>
        <v>0</v>
      </c>
      <c r="K30" s="227" t="str">
        <f>IF(J30=0,"",(J30-STALBAN!$I$386)/STALBAN!$I$386)</f>
        <v/>
      </c>
      <c r="L30" s="226">
        <f>ABRETS!$M$386</f>
        <v>0</v>
      </c>
      <c r="M30" s="227" t="str">
        <f>IF(L30=0,"",(L30-ABRETS!$I$386)/ABRETS!$I$386)</f>
        <v/>
      </c>
      <c r="N30" s="226">
        <f>PONT!$M$386</f>
        <v>0</v>
      </c>
      <c r="O30" s="227" t="str">
        <f>IF(N30=0,"",(N30-PONT!$I$386)/PONT!$I$386)</f>
        <v/>
      </c>
      <c r="P30" s="226">
        <f>FRANCIN!$M$386</f>
        <v>0</v>
      </c>
      <c r="Q30" s="227" t="str">
        <f>IF(P30=0,"",(P30-FRANCIN!$I$386)/FRANCIN!$I$386)</f>
        <v/>
      </c>
      <c r="R30" s="226">
        <f>VIVIERS!$M$386</f>
        <v>0</v>
      </c>
      <c r="S30" s="227"/>
      <c r="T30" s="241">
        <f>FRANCHISE!$M$386</f>
        <v>0</v>
      </c>
      <c r="U30" s="223" t="e">
        <f>+FRANCHISE!W386</f>
        <v>#DIV/0!</v>
      </c>
    </row>
    <row r="31" spans="2:21">
      <c r="B31" s="1783"/>
      <c r="C31" s="215" t="s">
        <v>24</v>
      </c>
      <c r="D31" s="240">
        <f>CHAMNORD!$M$387</f>
        <v>0</v>
      </c>
      <c r="E31" s="227" t="str">
        <f>IF(D31=0,"",(D31-CHAMNORD!$I$387)/CHAMNORD!$I$387)</f>
        <v/>
      </c>
      <c r="F31" s="226">
        <f>AIX!$M$387</f>
        <v>0</v>
      </c>
      <c r="G31" s="227" t="str">
        <f>IF(F31=0,"",(F31-AIX!$I$387)/AIX!$I$387)</f>
        <v/>
      </c>
      <c r="H31" s="226">
        <f>BELLEY!$M$387</f>
        <v>0</v>
      </c>
      <c r="I31" s="227" t="str">
        <f>IF(H31=0,"",(H31-BELLEY!$I$387)/BELLEY!$I$387)</f>
        <v/>
      </c>
      <c r="J31" s="226">
        <f>STALBAN!$M$387</f>
        <v>0</v>
      </c>
      <c r="K31" s="227" t="str">
        <f>IF(J31=0,"",(J31-STALBAN!$I$387)/STALBAN!$I$387)</f>
        <v/>
      </c>
      <c r="L31" s="226">
        <f>ABRETS!$M$387</f>
        <v>0</v>
      </c>
      <c r="M31" s="227" t="str">
        <f>IF(L31=0,"",(L31-ABRETS!$I$387)/ABRETS!$I$387)</f>
        <v/>
      </c>
      <c r="N31" s="226">
        <f>PONT!$M$387</f>
        <v>0</v>
      </c>
      <c r="O31" s="227" t="str">
        <f>IF(N31=0,"",(N31-PONT!$I$387)/PONT!$I$387)</f>
        <v/>
      </c>
      <c r="P31" s="226">
        <f>FRANCIN!$M$387</f>
        <v>0</v>
      </c>
      <c r="Q31" s="227" t="str">
        <f>IF(P31=0,"",(P31-FRANCIN!$I$387)/FRANCIN!$I$387)</f>
        <v/>
      </c>
      <c r="R31" s="226">
        <f>VIVIERS!$M$387</f>
        <v>0</v>
      </c>
      <c r="S31" s="227"/>
      <c r="T31" s="241">
        <f>FRANCHISE!$M$387</f>
        <v>0</v>
      </c>
      <c r="U31" s="228" t="str">
        <f>IF(T31=0,"",(T31-FRANCHISE!$I$387)/FRANCHISE!$I$387)</f>
        <v/>
      </c>
    </row>
    <row r="32" spans="2:21">
      <c r="B32" s="1783"/>
      <c r="C32" s="215" t="s">
        <v>27</v>
      </c>
      <c r="D32" s="240">
        <f>CHAMNORD!$M$388</f>
        <v>0</v>
      </c>
      <c r="E32" s="227" t="str">
        <f>IF(D32=0,"",(D32-CHAMNORD!$I$388)/CHAMNORD!$I$388)</f>
        <v/>
      </c>
      <c r="F32" s="226">
        <f>AIX!$M$388</f>
        <v>0</v>
      </c>
      <c r="G32" s="227" t="str">
        <f>IF(F32=0,"",(F32-AIX!$I$388)/AIX!$I$388)</f>
        <v/>
      </c>
      <c r="H32" s="226">
        <f>BELLEY!$M$388</f>
        <v>0</v>
      </c>
      <c r="I32" s="227" t="str">
        <f>IF(H32=0,"",(H32-BELLEY!$I$388)/BELLEY!$I$388)</f>
        <v/>
      </c>
      <c r="J32" s="226">
        <f>STALBAN!$M$388</f>
        <v>0</v>
      </c>
      <c r="K32" s="227" t="str">
        <f>IF(J32=0,"",(J32-STALBAN!$I$388)/STALBAN!$I$388)</f>
        <v/>
      </c>
      <c r="L32" s="226">
        <f>ABRETS!$M$388</f>
        <v>0</v>
      </c>
      <c r="M32" s="227" t="str">
        <f>IF(L32=0,"",(L32-ABRETS!$I$388)/ABRETS!$I$388)</f>
        <v/>
      </c>
      <c r="N32" s="226">
        <f>PONT!$M$388</f>
        <v>0</v>
      </c>
      <c r="O32" s="227" t="str">
        <f>IF(N32=0,"",(N32-PONT!$I$388)/PONT!$I$388)</f>
        <v/>
      </c>
      <c r="P32" s="226">
        <f>FRANCIN!$M$388</f>
        <v>0</v>
      </c>
      <c r="Q32" s="227" t="str">
        <f>IF(P32=0,"",(P32-FRANCIN!$I$388)/FRANCIN!$I$388)</f>
        <v/>
      </c>
      <c r="R32" s="226">
        <f>VIVIERS!$M$388</f>
        <v>0</v>
      </c>
      <c r="S32" s="227"/>
      <c r="T32" s="241">
        <f>FRANCHISE!$M$388</f>
        <v>0</v>
      </c>
      <c r="U32" s="228" t="str">
        <f>IF(T32=0,"",(T32-FRANCHISE!$I$388)/FRANCHISE!$I$388)</f>
        <v/>
      </c>
    </row>
    <row r="33" spans="2:25" ht="21" thickBot="1">
      <c r="B33" s="1783"/>
      <c r="C33" s="243" t="s">
        <v>45</v>
      </c>
      <c r="D33" s="244">
        <f>SUM(D21:D32)</f>
        <v>3109515.92</v>
      </c>
      <c r="E33" s="245">
        <f>IF(D33=0,"",(D33-CHAMNORD!$I$389)/CHAMNORD!$I$389)</f>
        <v>-6.5637770697354603E-2</v>
      </c>
      <c r="F33" s="246">
        <f>SUM(F21:F32)</f>
        <v>2149146.19</v>
      </c>
      <c r="G33" s="245">
        <f>IF(F33=0,"",(F33-AIX!$I$389)/AIX!$I$389)</f>
        <v>-3.0238289981939847E-2</v>
      </c>
      <c r="H33" s="246">
        <f>SUM(H21:H32)</f>
        <v>1845548.15</v>
      </c>
      <c r="I33" s="245">
        <f>IF(H33=0,"",(H33-BELLEY!$I$389)/BELLEY!$I$389)</f>
        <v>-1.7034787432328204E-2</v>
      </c>
      <c r="J33" s="246">
        <f>SUM(J21:J32)</f>
        <v>2368816.65</v>
      </c>
      <c r="K33" s="245">
        <f>IF(J33=0,"",(J33-STALBAN!$I$389)/STALBAN!$I$389)</f>
        <v>-1.8897976524021702E-3</v>
      </c>
      <c r="L33" s="246">
        <f>SUM(L21:L32)</f>
        <v>1436890.0200000003</v>
      </c>
      <c r="M33" s="245">
        <f>IF(L33=0,"",(L33-ABRETS!$I$389)/ABRETS!$I$389)</f>
        <v>-2.2561377436018423E-2</v>
      </c>
      <c r="N33" s="246">
        <f>SUM(N21:N32)</f>
        <v>1480903</v>
      </c>
      <c r="O33" s="245">
        <f>IF(N33=0,"",(N33-PONT!$I$389)/PONT!$I$389)</f>
        <v>-2.5055926349704601E-2</v>
      </c>
      <c r="P33" s="246">
        <f>SUM(P21:P32)</f>
        <v>1428749.8199999998</v>
      </c>
      <c r="Q33" s="245">
        <f>IF(P33=0,"",(P33-FRANCIN!$I$389)/FRANCIN!$I$389)</f>
        <v>-9.1590058899896735E-3</v>
      </c>
      <c r="R33" s="246">
        <f>SUM(R21:R32)</f>
        <v>1240474.3799999999</v>
      </c>
      <c r="S33" s="245"/>
      <c r="T33" s="246">
        <f>SUM(T21:T32)</f>
        <v>15060044.130000001</v>
      </c>
      <c r="U33" s="247">
        <f>+FRANCHISE!W389</f>
        <v>-2.4959565665044866E-2</v>
      </c>
    </row>
    <row r="34" spans="2:25" ht="21" thickBot="1">
      <c r="B34" s="1783"/>
      <c r="C34" s="243" t="s">
        <v>458</v>
      </c>
      <c r="D34" s="1781">
        <f>D33-CHAMNORD!$K$389</f>
        <v>-301284.08000000007</v>
      </c>
      <c r="E34" s="1781"/>
      <c r="F34" s="1773">
        <f>F33-AIX!$K$389</f>
        <v>-98698.810000000056</v>
      </c>
      <c r="G34" s="1774"/>
      <c r="H34" s="1773">
        <f>H33-BELLEY!$K$389</f>
        <v>-57051.850000000093</v>
      </c>
      <c r="I34" s="1774"/>
      <c r="J34" s="1773">
        <f>J33-STALBAN!$K$389</f>
        <v>-51733.350000000093</v>
      </c>
      <c r="K34" s="1774"/>
      <c r="L34" s="1773">
        <f>L33-ABRETS!$K$389</f>
        <v>-58409.979999999749</v>
      </c>
      <c r="M34" s="1774"/>
      <c r="N34" s="1773">
        <f>N33-PONT!$K$389</f>
        <v>-67997</v>
      </c>
      <c r="O34" s="1774"/>
      <c r="P34" s="1773">
        <f>P33-FRANCIN!$K$389</f>
        <v>-30850.180000000168</v>
      </c>
      <c r="Q34" s="1774"/>
      <c r="R34" s="1773">
        <f>R33-VIVIERS!$K$389</f>
        <v>-53725.620000000112</v>
      </c>
      <c r="S34" s="1774"/>
      <c r="T34" s="1773">
        <f>T33-FRANCHISE!$K$389</f>
        <v>-704750.86999999918</v>
      </c>
      <c r="U34" s="1777"/>
    </row>
    <row r="35" spans="2:25" ht="21" thickBot="1">
      <c r="B35" s="1783"/>
      <c r="C35" s="250" t="s">
        <v>459</v>
      </c>
      <c r="D35" s="1781">
        <f>D33-CHAMNORD!$I$389</f>
        <v>-218439.58000000007</v>
      </c>
      <c r="E35" s="1781"/>
      <c r="F35" s="1773">
        <f>F33-AIX!$I$389</f>
        <v>-67012.860000000335</v>
      </c>
      <c r="G35" s="1774"/>
      <c r="H35" s="1773">
        <f>H33-BELLEY!$I$389</f>
        <v>-31983.350000000326</v>
      </c>
      <c r="I35" s="1774"/>
      <c r="J35" s="1773">
        <f>J33-STALBAN!$I$389</f>
        <v>-4485.0600000000559</v>
      </c>
      <c r="K35" s="1774"/>
      <c r="L35" s="1773">
        <f>L33-ABRETS!$I$389</f>
        <v>-33166.499999999767</v>
      </c>
      <c r="M35" s="1774"/>
      <c r="N35" s="1773">
        <f>N33-PONT!$I$389</f>
        <v>-38059</v>
      </c>
      <c r="O35" s="1774"/>
      <c r="P35" s="1773">
        <f>P33-FRANCIN!$I$389</f>
        <v>-13206.89000000013</v>
      </c>
      <c r="Q35" s="1774"/>
      <c r="R35" s="1773">
        <f>R33-VIVIERS!$I$389</f>
        <v>-16005.210000000196</v>
      </c>
      <c r="S35" s="1774"/>
      <c r="T35" s="1773"/>
      <c r="U35" s="1777"/>
    </row>
    <row r="36" spans="2:25" s="213" customFormat="1" ht="20" thickBot="1">
      <c r="B36" s="1783"/>
      <c r="C36" s="248"/>
      <c r="D36" s="251">
        <f>D50-D51</f>
        <v>187132</v>
      </c>
      <c r="F36" s="251">
        <f>F50-F51</f>
        <v>132760</v>
      </c>
      <c r="H36" s="251">
        <f>H50-H51</f>
        <v>96507</v>
      </c>
      <c r="J36" s="251">
        <f>J50-J51</f>
        <v>133395</v>
      </c>
      <c r="L36" s="251">
        <f>L50-L51</f>
        <v>71236</v>
      </c>
      <c r="N36" s="251">
        <f>N50-N51</f>
        <v>77760</v>
      </c>
      <c r="P36" s="251">
        <f>P50-P51</f>
        <v>72541</v>
      </c>
      <c r="R36" s="251">
        <f>R50-R51</f>
        <v>67485</v>
      </c>
      <c r="U36" s="249"/>
    </row>
    <row r="37" spans="2:25" s="324" customFormat="1" ht="36">
      <c r="B37" s="1783"/>
      <c r="C37" s="864" t="s">
        <v>456</v>
      </c>
      <c r="D37" s="865" t="s">
        <v>28</v>
      </c>
      <c r="E37" s="865" t="s">
        <v>464</v>
      </c>
      <c r="F37" s="866" t="s">
        <v>29</v>
      </c>
      <c r="G37" s="867" t="s">
        <v>464</v>
      </c>
      <c r="H37" s="868" t="s">
        <v>30</v>
      </c>
      <c r="I37" s="865" t="s">
        <v>464</v>
      </c>
      <c r="J37" s="869" t="s">
        <v>31</v>
      </c>
      <c r="K37" s="867" t="s">
        <v>464</v>
      </c>
      <c r="L37" s="865" t="s">
        <v>32</v>
      </c>
      <c r="M37" s="865" t="s">
        <v>464</v>
      </c>
      <c r="N37" s="866" t="s">
        <v>253</v>
      </c>
      <c r="O37" s="867" t="s">
        <v>464</v>
      </c>
      <c r="P37" s="868" t="s">
        <v>34</v>
      </c>
      <c r="Q37" s="865" t="s">
        <v>464</v>
      </c>
      <c r="R37" s="869" t="s">
        <v>308</v>
      </c>
      <c r="S37" s="867" t="s">
        <v>464</v>
      </c>
      <c r="T37" s="868" t="s">
        <v>37</v>
      </c>
      <c r="U37" s="870" t="s">
        <v>464</v>
      </c>
      <c r="X37" s="324" t="str">
        <f>D37</f>
        <v>CHAMBERY</v>
      </c>
      <c r="Y37" s="855">
        <f>E50</f>
        <v>-0.11580061133317658</v>
      </c>
    </row>
    <row r="38" spans="2:25">
      <c r="B38" s="1783"/>
      <c r="C38" s="215" t="s">
        <v>10</v>
      </c>
      <c r="D38" s="252">
        <f>CHAMNORD!$N$377</f>
        <v>34075</v>
      </c>
      <c r="E38" s="221">
        <f>IF(D38=0,"",(D38-CHAMNORD!$J$377)/CHAMNORD!$J$377)</f>
        <v>-9.9045503820628752E-2</v>
      </c>
      <c r="F38" s="253">
        <f>AIX!$N$377</f>
        <v>20855</v>
      </c>
      <c r="G38" s="254">
        <f>IF(F38=0,"",(F38-AIX!$J$377)/AIX!$J$377)</f>
        <v>-6.2485951899303213E-2</v>
      </c>
      <c r="H38" s="252">
        <f>BELLEY!$N$377</f>
        <v>17339</v>
      </c>
      <c r="I38" s="221">
        <f>IF(H38=0,"",(H38-BELLEY!$J$377)/BELLEY!$J$377)</f>
        <v>-2.3044850123957628E-2</v>
      </c>
      <c r="J38" s="253">
        <f>STALBAN!$N$377</f>
        <v>25608</v>
      </c>
      <c r="K38" s="254">
        <f>IF(J38=0,"",(J38-STALBAN!$J$377)/STALBAN!$J$377)</f>
        <v>-2.1400183430143688E-2</v>
      </c>
      <c r="L38" s="252">
        <f>ABRETS!$N$377</f>
        <v>12364</v>
      </c>
      <c r="M38" s="221">
        <f>IF(L38=0,"",(L38-ABRETS!$J$377)/ABRETS!$J$377)</f>
        <v>-2.1525799303577082E-2</v>
      </c>
      <c r="N38" s="253">
        <f>PONT!$N$377</f>
        <v>13629</v>
      </c>
      <c r="O38" s="254">
        <f>IF(N38=0,"",(N38-PONT!$J$377)/PONT!$J$377)</f>
        <v>-3.8450684351629745E-2</v>
      </c>
      <c r="P38" s="252">
        <f>FRANCIN!$N$377</f>
        <v>13796</v>
      </c>
      <c r="Q38" s="221">
        <f>IF(P38=0,"",(P38-FRANCIN!$J$377)/FRANCIN!$J$377)</f>
        <v>-3.6928446771378708E-2</v>
      </c>
      <c r="R38" s="253">
        <f>VIVIERS!$N$377</f>
        <v>12782</v>
      </c>
      <c r="S38" s="1420">
        <f>IF(R38=0,"",(R38-VIVIERS!$J$377)/VIVIERS!$J$377)</f>
        <v>-5.4515866558177382E-2</v>
      </c>
      <c r="T38" s="255">
        <f>FRANCHISE!$N$377</f>
        <v>150448</v>
      </c>
      <c r="U38" s="223">
        <f>+FRANCHISE!Y377</f>
        <v>-5.1615018028694622E-2</v>
      </c>
      <c r="X38" s="211" t="str">
        <f>F37</f>
        <v>AIX LES BAINS</v>
      </c>
      <c r="Y38" s="237">
        <f>G50</f>
        <v>-6.2624284423018983E-2</v>
      </c>
    </row>
    <row r="39" spans="2:25" s="229" customFormat="1">
      <c r="B39" s="1783"/>
      <c r="C39" s="224" t="s">
        <v>25</v>
      </c>
      <c r="D39" s="256">
        <f>CHAMNORD!$N$378</f>
        <v>31123</v>
      </c>
      <c r="E39" s="227">
        <f>IF(D39=0,"",(D39-CHAMNORD!$J$378)/CHAMNORD!$J$378)</f>
        <v>-9.4498268889470771E-2</v>
      </c>
      <c r="F39" s="257">
        <f>AIX!$N$378</f>
        <v>21170</v>
      </c>
      <c r="G39" s="258">
        <f>IF(F39=0,"",(F39-AIX!$J$378)/AIX!$J$378)</f>
        <v>-4.3855291088930042E-2</v>
      </c>
      <c r="H39" s="256">
        <f>BELLEY!$N$378</f>
        <v>16117</v>
      </c>
      <c r="I39" s="227">
        <f>IF(H39=0,"",(H39-BELLEY!$J$378)/BELLEY!$J$378)</f>
        <v>-8.2123127740759722E-2</v>
      </c>
      <c r="J39" s="257">
        <f>STALBAN!$N$378</f>
        <v>22711</v>
      </c>
      <c r="K39" s="258">
        <f>IF(J39=0,"",(J39-STALBAN!$J$378)/STALBAN!$J$378)</f>
        <v>-6.0052975747040806E-2</v>
      </c>
      <c r="L39" s="256">
        <f>ABRETS!$N$378</f>
        <v>11487</v>
      </c>
      <c r="M39" s="227">
        <f>IF(L39=0,"",(L39-ABRETS!$J$378)/ABRETS!$J$378)</f>
        <v>-8.8478019362006027E-2</v>
      </c>
      <c r="N39" s="257">
        <f>PONT!$N$378</f>
        <v>12948</v>
      </c>
      <c r="O39" s="258">
        <f>IF(N39=0,"",(N39-PONT!$J$378)/PONT!$J$378)</f>
        <v>-6.3571273595139949E-2</v>
      </c>
      <c r="P39" s="256">
        <f>FRANCIN!$N$378</f>
        <v>13026</v>
      </c>
      <c r="Q39" s="227">
        <f>IF(P39=0,"",(P39-FRANCIN!$J$378)/FRANCIN!$J$378)</f>
        <v>-3.7606206132249721E-2</v>
      </c>
      <c r="R39" s="257">
        <f>VIVIERS!$N$378</f>
        <v>11185</v>
      </c>
      <c r="S39" s="1420">
        <f>IF(R39=0,"",(R39-VIVIERS!$J$378)/VIVIERS!$J$378)</f>
        <v>-8.9465971996092478E-2</v>
      </c>
      <c r="T39" s="259">
        <f>FRANCHISE!$N$378</f>
        <v>139767</v>
      </c>
      <c r="U39" s="228">
        <f>+FRANCHISE!Y378</f>
        <v>-7.1198357267694926E-2</v>
      </c>
      <c r="X39" s="229" t="str">
        <f>H37</f>
        <v>BELLEY</v>
      </c>
      <c r="Y39" s="242">
        <f>I50</f>
        <v>-6.8710041758628909E-2</v>
      </c>
    </row>
    <row r="40" spans="2:25" s="229" customFormat="1">
      <c r="B40" s="1783"/>
      <c r="C40" s="224" t="s">
        <v>17</v>
      </c>
      <c r="D40" s="256">
        <f>CHAMNORD!$N$379</f>
        <v>32183</v>
      </c>
      <c r="E40" s="227">
        <f>IF(D40=0,"",(D40-CHAMNORD!$J$379)/CHAMNORD!$J$379)</f>
        <v>-0.10682171403197158</v>
      </c>
      <c r="F40" s="257">
        <f>AIX!$N$379</f>
        <v>21495</v>
      </c>
      <c r="G40" s="258">
        <f>IF(F40=0,"",(F40-AIX!$J$379)/AIX!$J$379)</f>
        <v>-0.10002512142019762</v>
      </c>
      <c r="H40" s="256">
        <f>BELLEY!$N$379</f>
        <v>16910</v>
      </c>
      <c r="I40" s="227">
        <f>IF(H40=0,"",(H40-BELLEY!$J$379)/BELLEY!$J$379)</f>
        <v>-7.4742832129568837E-2</v>
      </c>
      <c r="J40" s="257">
        <f>STALBAN!$N$379</f>
        <v>24719</v>
      </c>
      <c r="K40" s="258">
        <f>IF(J40=0,"",(J40-STALBAN!$J$379)/STALBAN!$J$379)</f>
        <v>-2.7040856490592773E-2</v>
      </c>
      <c r="L40" s="256">
        <f>ABRETS!$N$379</f>
        <v>12717</v>
      </c>
      <c r="M40" s="227">
        <f>IF(L40=0,"",(L40-ABRETS!$J$379)/ABRETS!$J$379)</f>
        <v>-4.9054064159126595E-2</v>
      </c>
      <c r="N40" s="257">
        <f>PONT!$N$379</f>
        <v>13963</v>
      </c>
      <c r="O40" s="258">
        <f>IF(N40=0,"",(N40-PONT!$J$379)/PONT!$J$379)</f>
        <v>-5.4253589813058792E-2</v>
      </c>
      <c r="P40" s="256">
        <f>FRANCIN!$N$379</f>
        <v>13421</v>
      </c>
      <c r="Q40" s="227">
        <f>IF(P40=0,"",(P40-FRANCIN!$J$379)/FRANCIN!$J$379)</f>
        <v>-4.6465364120781526E-2</v>
      </c>
      <c r="R40" s="257">
        <f>VIVIERS!$N$379</f>
        <v>12196</v>
      </c>
      <c r="S40" s="1420">
        <f>IF(R40=0,"",(R40-VIVIERS!$J$379)/VIVIERS!$J$379)</f>
        <v>-4.4874304957318506E-2</v>
      </c>
      <c r="T40" s="259">
        <f>FRANCHISE!$N$379</f>
        <v>147604</v>
      </c>
      <c r="U40" s="228">
        <f>+FRANCHISE!Y379</f>
        <v>-6.920840716614432E-2</v>
      </c>
      <c r="X40" s="229" t="str">
        <f>J37</f>
        <v>ST ALBAN</v>
      </c>
      <c r="Y40" s="242">
        <f>K50</f>
        <v>-4.9896922673263615E-2</v>
      </c>
    </row>
    <row r="41" spans="2:25" s="229" customFormat="1">
      <c r="B41" s="1783"/>
      <c r="C41" s="224" t="s">
        <v>18</v>
      </c>
      <c r="D41" s="256">
        <f>CHAMNORD!$N$380</f>
        <v>30309</v>
      </c>
      <c r="E41" s="227">
        <f>IF(D41=0,"",(D41-CHAMNORD!$J$380)/CHAMNORD!$J$380)</f>
        <v>-0.14761797626413184</v>
      </c>
      <c r="F41" s="257">
        <f>AIX!$N$380</f>
        <v>27051</v>
      </c>
      <c r="G41" s="258">
        <f>IF(F41=0,"",(F41-AIX!$J$380)/AIX!$J$380)</f>
        <v>-8.0054412514878423E-2</v>
      </c>
      <c r="H41" s="256">
        <f>BELLEY!$N$380</f>
        <v>16961</v>
      </c>
      <c r="I41" s="227">
        <f>IF(H41=0,"",(H41-BELLEY!$J$380)/BELLEY!$J$380)</f>
        <v>-0.12463872832369942</v>
      </c>
      <c r="J41" s="257">
        <f>STALBAN!$N$380</f>
        <v>23496</v>
      </c>
      <c r="K41" s="258">
        <f>IF(J41=0,"",(J41-STALBAN!$J$380)/STALBAN!$J$380)</f>
        <v>-7.2147849780831649E-2</v>
      </c>
      <c r="L41" s="256">
        <f>ABRETS!$N$380</f>
        <v>12818</v>
      </c>
      <c r="M41" s="227">
        <f>IF(L41=0,"",(L41-ABRETS!$J$380)/ABRETS!$J$380)</f>
        <v>-0.11934043284094813</v>
      </c>
      <c r="N41" s="257">
        <f>PONT!$N$380</f>
        <v>13672</v>
      </c>
      <c r="O41" s="258">
        <f>IF(N41=0,"",(N41-PONT!$J$380)/PONT!$J$380)</f>
        <v>-0.11076422764227642</v>
      </c>
      <c r="P41" s="256">
        <f>FRANCIN!$N$380</f>
        <v>12665</v>
      </c>
      <c r="Q41" s="227">
        <f>IF(P41=0,"",(P41-FRANCIN!$J$380)/FRANCIN!$J$380)</f>
        <v>-9.1919409191940915E-2</v>
      </c>
      <c r="R41" s="257">
        <f>VIVIERS!$N$380</f>
        <v>11910</v>
      </c>
      <c r="S41" s="1420">
        <f>IF(R41=0,"",(R41-VIVIERS!$J$380)/VIVIERS!$J$380)</f>
        <v>-8.1231196482295764E-2</v>
      </c>
      <c r="T41" s="259">
        <f>FRANCHISE!$N$380</f>
        <v>148882</v>
      </c>
      <c r="U41" s="228">
        <f>+FRANCHISE!Y380</f>
        <v>-0.10582455466000408</v>
      </c>
      <c r="X41" s="229" t="str">
        <f>L37</f>
        <v>LES ABRETS</v>
      </c>
      <c r="Y41" s="242">
        <f>M50</f>
        <v>-7.6267617496771301E-2</v>
      </c>
    </row>
    <row r="42" spans="2:25">
      <c r="B42" s="1783"/>
      <c r="C42" s="215" t="s">
        <v>19</v>
      </c>
      <c r="D42" s="256">
        <f>CHAMNORD!$N$381</f>
        <v>30543</v>
      </c>
      <c r="E42" s="227">
        <f>IF(D42=0,"",(D42-CHAMNORD!$J$381)/CHAMNORD!$J$381)</f>
        <v>-0.13732523654851009</v>
      </c>
      <c r="F42" s="257">
        <f>AIX!$N$381</f>
        <v>28009</v>
      </c>
      <c r="G42" s="258">
        <f>IF(F42=0,"",(F42-AIX!$J$381)/AIX!$J$381)</f>
        <v>-3.7855106317199683E-2</v>
      </c>
      <c r="H42" s="256">
        <f>BELLEY!$N$381</f>
        <v>18207</v>
      </c>
      <c r="I42" s="227">
        <f>IF(H42=0,"",(H42-BELLEY!$J$381)/BELLEY!$J$381)</f>
        <v>-3.9664539268948786E-2</v>
      </c>
      <c r="J42" s="257">
        <f>STALBAN!$N$381</f>
        <v>24314</v>
      </c>
      <c r="K42" s="258">
        <f>IF(J42=0,"",(J42-STALBAN!$J$381)/STALBAN!$J$381)</f>
        <v>-5.8582103999690244E-2</v>
      </c>
      <c r="L42" s="256">
        <f>ABRETS!$N$381</f>
        <v>13272</v>
      </c>
      <c r="M42" s="227">
        <f>IF(L42=0,"",(L42-ABRETS!$J$381)/ABRETS!$J$381)</f>
        <v>-9.5481496626456761E-2</v>
      </c>
      <c r="N42" s="257">
        <f>PONT!$N$381</f>
        <v>14508</v>
      </c>
      <c r="O42" s="258">
        <f>IF(N42=0,"",(N42-PONT!$J$381)/PONT!$J$381)</f>
        <v>-7.90325652256713E-2</v>
      </c>
      <c r="P42" s="256">
        <f>FRANCIN!$N$381</f>
        <v>13186</v>
      </c>
      <c r="Q42" s="227">
        <f>IF(P42=0,"",(P42-FRANCIN!$J$381)/FRANCIN!$J$381)</f>
        <v>-2.455984613108448E-2</v>
      </c>
      <c r="R42" s="257">
        <f>VIVIERS!$N$381</f>
        <v>12570</v>
      </c>
      <c r="S42" s="1420">
        <f>IF(R42=0,"",(R42-VIVIERS!$J$381)/VIVIERS!$J$381)</f>
        <v>-2.2018205866334708E-2</v>
      </c>
      <c r="T42" s="259">
        <f>FRANCHISE!$N$381</f>
        <v>154609</v>
      </c>
      <c r="U42" s="228">
        <f>+FRANCHISE!Y381</f>
        <v>-6.9175612134931577E-2</v>
      </c>
      <c r="X42" s="211" t="str">
        <f>N37</f>
        <v>PDB</v>
      </c>
      <c r="Y42" s="237">
        <f>O50</f>
        <v>-7.2878086419753088E-2</v>
      </c>
    </row>
    <row r="43" spans="2:25" s="229" customFormat="1">
      <c r="B43" s="1783"/>
      <c r="C43" s="1005" t="s">
        <v>20</v>
      </c>
      <c r="D43" s="1006">
        <f>CHAMNORD!$N$382</f>
        <v>7229</v>
      </c>
      <c r="E43" s="1007">
        <f>IF(D43=0,"",(D43-CHAMNORD!$J$382)/CHAMNORD!$J$382)</f>
        <v>-9.0119572057898042E-2</v>
      </c>
      <c r="F43" s="1008">
        <f>AIX!$N$382</f>
        <v>5866</v>
      </c>
      <c r="G43" s="1009">
        <f>IF(F43=0,"",(F43-AIX!$J$382)/AIX!$J$382)</f>
        <v>-1.8078339471041177E-2</v>
      </c>
      <c r="H43" s="1006">
        <f>BELLEY!$N$382</f>
        <v>4342</v>
      </c>
      <c r="I43" s="1007">
        <f>IF(H43=0,"",(H43-BELLEY!$J$382)/BELLEY!$J$382)</f>
        <v>-5.3824362606232294E-2</v>
      </c>
      <c r="J43" s="1008">
        <f>STALBAN!$N$382</f>
        <v>5891</v>
      </c>
      <c r="K43" s="1009">
        <f>IF(J43=0,"",(J43-STALBAN!$J$382)/STALBAN!$J$382)</f>
        <v>-9.4945460132124751E-2</v>
      </c>
      <c r="L43" s="1006">
        <f>ABRETS!$N$382</f>
        <v>3145</v>
      </c>
      <c r="M43" s="1007">
        <f>IF(L43=0,"",(L43-ABRETS!$J$382)/ABRETS!$J$382)</f>
        <v>-7.4183102737709741E-2</v>
      </c>
      <c r="N43" s="1008">
        <f>PONT!$N$382</f>
        <v>3373</v>
      </c>
      <c r="O43" s="1009">
        <f>IF(N43=0,"",(N43-PONT!$J$382)/PONT!$J$382)</f>
        <v>-0.12774760796483062</v>
      </c>
      <c r="P43" s="1006">
        <f>FRANCIN!$N$382</f>
        <v>3190</v>
      </c>
      <c r="Q43" s="1007">
        <f>IF(P43=0,"",(P43-FRANCIN!$J$382)/FRANCIN!$J$382)</f>
        <v>1.5600127347978351E-2</v>
      </c>
      <c r="R43" s="1008">
        <f>VIVIERS!$N$382</f>
        <v>2952</v>
      </c>
      <c r="S43" s="1009"/>
      <c r="T43" s="1010">
        <f>FRANCHISE!$N$382</f>
        <v>35988</v>
      </c>
      <c r="U43" s="260">
        <f>+FRANCHISE!Y382</f>
        <v>-6.5707832498247618E-2</v>
      </c>
      <c r="X43" s="229" t="str">
        <f>P37</f>
        <v>FRANCIN</v>
      </c>
      <c r="Y43" s="242">
        <f>Q50</f>
        <v>-4.489874691553742E-2</v>
      </c>
    </row>
    <row r="44" spans="2:25" s="229" customFormat="1">
      <c r="B44" s="1783"/>
      <c r="C44" s="224" t="s">
        <v>21</v>
      </c>
      <c r="D44" s="256">
        <f>CHAMNORD!$N$383</f>
        <v>0</v>
      </c>
      <c r="E44" s="227" t="str">
        <f>IF(D44=0,"",(D44-CHAMNORD!$J$383)/CHAMNORD!$J$383)</f>
        <v/>
      </c>
      <c r="F44" s="257">
        <f>AIX!$N$383</f>
        <v>0</v>
      </c>
      <c r="G44" s="258" t="str">
        <f>IF(F44=0,"",(F44-AIX!$J$383)/AIX!$J$383)</f>
        <v/>
      </c>
      <c r="H44" s="256">
        <f>BELLEY!$N$383</f>
        <v>0</v>
      </c>
      <c r="I44" s="227" t="str">
        <f>IF(H44=0,"",(H44-BELLEY!$J$383)/BELLEY!$J$383)</f>
        <v/>
      </c>
      <c r="J44" s="257">
        <f>STALBAN!$N$383</f>
        <v>0</v>
      </c>
      <c r="K44" s="258" t="str">
        <f>IF(J44=0,"",(J44-STALBAN!$J$383)/STALBAN!$J$383)</f>
        <v/>
      </c>
      <c r="L44" s="256">
        <f>ABRETS!$N$383</f>
        <v>0</v>
      </c>
      <c r="M44" s="227" t="str">
        <f>IF(L44=0,"",(L44-ABRETS!$J$383)/ABRETS!$J$383)</f>
        <v/>
      </c>
      <c r="N44" s="257">
        <f>PONT!$N$383</f>
        <v>0</v>
      </c>
      <c r="O44" s="258" t="str">
        <f>IF(N44=0,"",(N44-PONT!$J$383)/PONT!$J$383)</f>
        <v/>
      </c>
      <c r="P44" s="256">
        <f>FRANCIN!$N$383</f>
        <v>0</v>
      </c>
      <c r="Q44" s="227" t="str">
        <f>IF(P44=0,"",(P44-FRANCIN!$J$383)/FRANCIN!$J$383)</f>
        <v/>
      </c>
      <c r="R44" s="257">
        <f>VIVIERS!$N$383</f>
        <v>0</v>
      </c>
      <c r="S44" s="258"/>
      <c r="T44" s="259">
        <f>FRANCHISE!$N$383</f>
        <v>0</v>
      </c>
      <c r="U44" s="228" t="e">
        <f>+FRANCHISE!Y383</f>
        <v>#DIV/0!</v>
      </c>
      <c r="X44" s="229" t="str">
        <f>R37</f>
        <v>VIVIERS</v>
      </c>
      <c r="Y44" s="242">
        <f>S50</f>
        <v>-5.7642439060531972E-2</v>
      </c>
    </row>
    <row r="45" spans="2:25">
      <c r="B45" s="1783"/>
      <c r="C45" s="215" t="s">
        <v>26</v>
      </c>
      <c r="D45" s="256">
        <f>CHAMNORD!$N$384</f>
        <v>0</v>
      </c>
      <c r="E45" s="227" t="str">
        <f>IF(D45=0,"",(D45-CHAMNORD!$J$384)/CHAMNORD!$J$384)</f>
        <v/>
      </c>
      <c r="F45" s="257">
        <f>AIX!$N$384</f>
        <v>0</v>
      </c>
      <c r="G45" s="258" t="str">
        <f>IF(F45=0,"",(F45-AIX!$J$384)/AIX!$J$384)</f>
        <v/>
      </c>
      <c r="H45" s="256">
        <f>BELLEY!$N$384</f>
        <v>0</v>
      </c>
      <c r="I45" s="227" t="str">
        <f>IF(H45=0,"",(H45-BELLEY!$J$384)/BELLEY!$J$384)</f>
        <v/>
      </c>
      <c r="J45" s="257">
        <f>STALBAN!$N$384</f>
        <v>0</v>
      </c>
      <c r="K45" s="258" t="str">
        <f>IF(J45=0,"",(J45-STALBAN!$J$384)/STALBAN!$J$384)</f>
        <v/>
      </c>
      <c r="L45" s="256">
        <f>ABRETS!$N$384</f>
        <v>0</v>
      </c>
      <c r="M45" s="227" t="str">
        <f>IF(L45=0,"",(L45-ABRETS!$J$384)/ABRETS!$J$384)</f>
        <v/>
      </c>
      <c r="N45" s="257">
        <f>PONT!$N$384</f>
        <v>0</v>
      </c>
      <c r="O45" s="258" t="str">
        <f>IF(N45=0,"",(N45-PONT!$J$384)/PONT!$J$384)</f>
        <v/>
      </c>
      <c r="P45" s="256">
        <f>FRANCIN!$N$384</f>
        <v>0</v>
      </c>
      <c r="Q45" s="227" t="str">
        <f>IF(P45=0,"",(P45-FRANCIN!$J$384)/FRANCIN!$J$384)</f>
        <v/>
      </c>
      <c r="R45" s="257">
        <f>VIVIERS!$N$384</f>
        <v>0</v>
      </c>
      <c r="S45" s="258"/>
      <c r="T45" s="259">
        <f>FRANCHISE!$N$384</f>
        <v>0</v>
      </c>
      <c r="U45" s="228" t="e">
        <f>+FRANCHISE!Y384</f>
        <v>#DIV/0!</v>
      </c>
    </row>
    <row r="46" spans="2:25">
      <c r="B46" s="1783"/>
      <c r="C46" s="215" t="s">
        <v>22</v>
      </c>
      <c r="D46" s="256">
        <f>CHAMNORD!$N$385</f>
        <v>0</v>
      </c>
      <c r="E46" s="227" t="str">
        <f>IF(D46=0,"",(D46-CHAMNORD!$J$385)/CHAMNORD!$J$385)</f>
        <v/>
      </c>
      <c r="F46" s="257">
        <f>AIX!$N$385</f>
        <v>0</v>
      </c>
      <c r="G46" s="258" t="str">
        <f>IF(F46=0,"",(F46-AIX!$J$385)/AIX!$J$385)</f>
        <v/>
      </c>
      <c r="H46" s="256">
        <f>BELLEY!$N$385</f>
        <v>0</v>
      </c>
      <c r="I46" s="227" t="str">
        <f>IF(H46=0,"",(H46-BELLEY!$J$385)/BELLEY!$J$385)</f>
        <v/>
      </c>
      <c r="J46" s="257">
        <f>STALBAN!$N$385</f>
        <v>0</v>
      </c>
      <c r="K46" s="258" t="str">
        <f>IF(J46=0,"",(J46-STALBAN!$J$385)/STALBAN!$J$385)</f>
        <v/>
      </c>
      <c r="L46" s="256">
        <f>ABRETS!$N$385</f>
        <v>0</v>
      </c>
      <c r="M46" s="227" t="str">
        <f>IF(L46=0,"",(L46-ABRETS!$J$385)/ABRETS!$J$385)</f>
        <v/>
      </c>
      <c r="N46" s="257">
        <f>PONT!$N$385</f>
        <v>0</v>
      </c>
      <c r="O46" s="258" t="str">
        <f>IF(N46=0,"",(N46-PONT!$J$385)/PONT!$J$385)</f>
        <v/>
      </c>
      <c r="P46" s="256">
        <f>FRANCIN!$N$385</f>
        <v>0</v>
      </c>
      <c r="Q46" s="227" t="str">
        <f>IF(P46=0,"",(P46-FRANCIN!$J$385)/FRANCIN!$J$385)</f>
        <v/>
      </c>
      <c r="R46" s="257">
        <f>VIVIERS!$N$385</f>
        <v>0</v>
      </c>
      <c r="S46" s="258"/>
      <c r="T46" s="259">
        <f>FRANCHISE!$N$385</f>
        <v>0</v>
      </c>
      <c r="U46" s="228" t="e">
        <f>+FRANCHISE!Y385</f>
        <v>#DIV/0!</v>
      </c>
    </row>
    <row r="47" spans="2:25">
      <c r="B47" s="1783"/>
      <c r="C47" s="215" t="s">
        <v>23</v>
      </c>
      <c r="D47" s="256">
        <f>CHAMNORD!$N$386</f>
        <v>0</v>
      </c>
      <c r="E47" s="227" t="str">
        <f>IF(D47=0,"",(D47-CHAMNORD!$J$386)/CHAMNORD!$J$386)</f>
        <v/>
      </c>
      <c r="F47" s="257">
        <f>AIX!$N$386</f>
        <v>0</v>
      </c>
      <c r="G47" s="258" t="str">
        <f>IF(F47=0,"",(F47-AIX!$J$386)/AIX!$J$386)</f>
        <v/>
      </c>
      <c r="H47" s="256">
        <f>BELLEY!$N$386</f>
        <v>0</v>
      </c>
      <c r="I47" s="227" t="str">
        <f>IF(H47=0,"",(H47-BELLEY!$J$386)/BELLEY!$J$386)</f>
        <v/>
      </c>
      <c r="J47" s="257">
        <f>STALBAN!$N$386</f>
        <v>0</v>
      </c>
      <c r="K47" s="258" t="str">
        <f>IF(J47=0,"",(J47-STALBAN!$J$386)/STALBAN!$J$386)</f>
        <v/>
      </c>
      <c r="L47" s="256">
        <f>ABRETS!$N$386</f>
        <v>0</v>
      </c>
      <c r="M47" s="227" t="str">
        <f>IF(L47=0,"",(L47-ABRETS!$J$386)/ABRETS!$J$386)</f>
        <v/>
      </c>
      <c r="N47" s="257">
        <f>PONT!$N$386</f>
        <v>0</v>
      </c>
      <c r="O47" s="258" t="str">
        <f>IF(N47=0,"",(N47-PONT!$J$386)/PONT!$J$386)</f>
        <v/>
      </c>
      <c r="P47" s="256">
        <f>FRANCIN!$N$386</f>
        <v>0</v>
      </c>
      <c r="Q47" s="227" t="str">
        <f>IF(P47=0,"",(P47-FRANCIN!$J$386)/FRANCIN!$J$386)</f>
        <v/>
      </c>
      <c r="R47" s="257">
        <f>VIVIERS!$N$386</f>
        <v>0</v>
      </c>
      <c r="S47" s="258"/>
      <c r="T47" s="259">
        <f>FRANCHISE!$N$386</f>
        <v>0</v>
      </c>
      <c r="U47" s="228" t="e">
        <f>+FRANCHISE!Y386</f>
        <v>#DIV/0!</v>
      </c>
    </row>
    <row r="48" spans="2:25">
      <c r="B48" s="1783"/>
      <c r="C48" s="215" t="s">
        <v>24</v>
      </c>
      <c r="D48" s="256">
        <f>CHAMNORD!$N$387</f>
        <v>0</v>
      </c>
      <c r="E48" s="227" t="str">
        <f>IF(D48=0,"",(D48-CHAMNORD!$J$387)/CHAMNORD!$J$387)</f>
        <v/>
      </c>
      <c r="F48" s="257">
        <f>AIX!$N$387</f>
        <v>0</v>
      </c>
      <c r="G48" s="258" t="str">
        <f>IF(F48=0,"",(F48-AIX!$J$387)/AIX!$J$387)</f>
        <v/>
      </c>
      <c r="H48" s="256">
        <f>BELLEY!$N$387</f>
        <v>0</v>
      </c>
      <c r="I48" s="227" t="str">
        <f>IF(H48=0,"",(H48-BELLEY!$J$387)/BELLEY!$J$387)</f>
        <v/>
      </c>
      <c r="J48" s="257">
        <f>STALBAN!$N$387</f>
        <v>0</v>
      </c>
      <c r="K48" s="258" t="str">
        <f>IF(J48=0,"",(J48-STALBAN!$J$387)/STALBAN!$J$387)</f>
        <v/>
      </c>
      <c r="L48" s="256">
        <f>ABRETS!$N$387</f>
        <v>0</v>
      </c>
      <c r="M48" s="227" t="str">
        <f>IF(L48=0,"",(L48-ABRETS!$J$387)/ABRETS!$J$387)</f>
        <v/>
      </c>
      <c r="N48" s="257">
        <f>PONT!$N$387</f>
        <v>0</v>
      </c>
      <c r="O48" s="258" t="str">
        <f>IF(N48=0,"",(N48-PONT!$J$387)/PONT!$J$387)</f>
        <v/>
      </c>
      <c r="P48" s="256">
        <f>FRANCIN!$N$387</f>
        <v>0</v>
      </c>
      <c r="Q48" s="227" t="str">
        <f>IF(P48=0,"",(P48-FRANCIN!$J$387)/FRANCIN!$J$387)</f>
        <v/>
      </c>
      <c r="R48" s="257">
        <f>VIVIERS!$N$387</f>
        <v>0</v>
      </c>
      <c r="S48" s="258"/>
      <c r="T48" s="259">
        <f>FRANCHISE!$N$387</f>
        <v>0</v>
      </c>
      <c r="U48" s="228" t="e">
        <f>+FRANCHISE!Y387</f>
        <v>#DIV/0!</v>
      </c>
    </row>
    <row r="49" spans="2:25">
      <c r="B49" s="1783"/>
      <c r="C49" s="215" t="s">
        <v>27</v>
      </c>
      <c r="D49" s="256">
        <f>CHAMNORD!$N$388</f>
        <v>0</v>
      </c>
      <c r="E49" s="1389" t="str">
        <f>IF(D49=0,"",(D49-CHAMNORD!$J$388)/CHAMNORD!$J$388)</f>
        <v/>
      </c>
      <c r="F49" s="257">
        <f>AIX!$N$388</f>
        <v>0</v>
      </c>
      <c r="G49" s="1390" t="str">
        <f>IF(F49=0,"",(F49-AIX!$J$388)/AIX!$J$388)</f>
        <v/>
      </c>
      <c r="H49" s="256">
        <f>BELLEY!$N$388</f>
        <v>0</v>
      </c>
      <c r="I49" s="1389" t="str">
        <f>IF(H49=0,"",(H49-BELLEY!$J$388)/BELLEY!$J$388)</f>
        <v/>
      </c>
      <c r="J49" s="257">
        <f>STALBAN!$N$388</f>
        <v>0</v>
      </c>
      <c r="K49" s="1390" t="str">
        <f>IF(J49=0,"",(J49-STALBAN!$J$388)/STALBAN!$J$388)</f>
        <v/>
      </c>
      <c r="L49" s="256">
        <f>ABRETS!$N$388</f>
        <v>0</v>
      </c>
      <c r="M49" s="1389" t="str">
        <f>IF(L49=0,"",(L49-ABRETS!$J$388)/ABRETS!$J$388)</f>
        <v/>
      </c>
      <c r="N49" s="257">
        <f>PONT!$N$388</f>
        <v>0</v>
      </c>
      <c r="O49" s="1390" t="str">
        <f>IF(N49=0,"",(N49-PONT!$J$388)/PONT!$J$388)</f>
        <v/>
      </c>
      <c r="P49" s="256">
        <f>FRANCIN!$N$388</f>
        <v>0</v>
      </c>
      <c r="Q49" s="1389" t="str">
        <f>IF(P49=0,"",(P49-FRANCIN!$J$388)/FRANCIN!$J$388)</f>
        <v/>
      </c>
      <c r="R49" s="257">
        <f>VIVIERS!$N$388</f>
        <v>0</v>
      </c>
      <c r="S49" s="258"/>
      <c r="T49" s="259">
        <f>FRANCHISE!$N$388</f>
        <v>0</v>
      </c>
      <c r="U49" s="228" t="e">
        <f>+FRANCHISE!Y388</f>
        <v>#DIV/0!</v>
      </c>
    </row>
    <row r="50" spans="2:25">
      <c r="B50" s="1783"/>
      <c r="C50" s="261" t="s">
        <v>45</v>
      </c>
      <c r="D50" s="262">
        <f>SUM(D38:D49)</f>
        <v>165462</v>
      </c>
      <c r="E50" s="263">
        <f>IF(D50=0,"",(D50-CHAMNORD!$J$389)/CHAMNORD!$J$389)</f>
        <v>-0.11580061133317658</v>
      </c>
      <c r="F50" s="264">
        <f>SUM(F38:F49)</f>
        <v>124446</v>
      </c>
      <c r="G50" s="265">
        <f>IF(F50=0,"",(F50-AIX!$J$389)/AIX!$J$389)</f>
        <v>-6.2624284423018983E-2</v>
      </c>
      <c r="H50" s="262">
        <f>SUM(H38:H49)</f>
        <v>89876</v>
      </c>
      <c r="I50" s="263">
        <f>IF(H50=0,"",(H50-BELLEY!$J$389)/BELLEY!$J$389)</f>
        <v>-6.8710041758628909E-2</v>
      </c>
      <c r="J50" s="264">
        <f>SUM(J38:J49)</f>
        <v>126739</v>
      </c>
      <c r="K50" s="265">
        <f>IF(J50=0,"",(J50-STALBAN!$J$389)/STALBAN!$J$389)</f>
        <v>-4.9896922673263615E-2</v>
      </c>
      <c r="L50" s="262">
        <f>SUM(L38:L49)</f>
        <v>65803</v>
      </c>
      <c r="M50" s="263">
        <f>IF(L50=0,"",(L50-ABRETS!$J$389)/ABRETS!$J$389)</f>
        <v>-7.6267617496771301E-2</v>
      </c>
      <c r="N50" s="264">
        <f>SUM(N38:N49)</f>
        <v>72093</v>
      </c>
      <c r="O50" s="265">
        <f>IF(N50=0,"",(N50-PONT!$J$389)/PONT!$J$389)</f>
        <v>-7.2878086419753088E-2</v>
      </c>
      <c r="P50" s="262">
        <f>SUM(P38:P49)</f>
        <v>69284</v>
      </c>
      <c r="Q50" s="263">
        <f>IF(P50=0,"",(P50-FRANCIN!$J$389)/FRANCIN!$J$389)</f>
        <v>-4.489874691553742E-2</v>
      </c>
      <c r="R50" s="264">
        <f>SUM(R38:R49)</f>
        <v>63595</v>
      </c>
      <c r="S50" s="263">
        <f>IF(R50=0,"",(R50-VIVIERS!$J$389)/VIVIERS!$J$389)</f>
        <v>-5.7642439060531972E-2</v>
      </c>
      <c r="T50" s="262">
        <f>SUM(T38:T49)</f>
        <v>777298</v>
      </c>
      <c r="U50" s="266">
        <f>+FRANCHISE!Y389</f>
        <v>-7.3339087475680007E-2</v>
      </c>
    </row>
    <row r="51" spans="2:25" ht="20" thickBot="1">
      <c r="B51" s="1783"/>
      <c r="C51" s="267" t="s">
        <v>311</v>
      </c>
      <c r="D51" s="1775">
        <f>+CHAMNORD!$N$389-CHAMNORD!$J$389</f>
        <v>-21670</v>
      </c>
      <c r="E51" s="1776"/>
      <c r="F51" s="1775">
        <f>+AIX!$N$389-AIX!$J$389</f>
        <v>-8314</v>
      </c>
      <c r="G51" s="1776"/>
      <c r="H51" s="1775">
        <f>+BELLEY!$N$389-BELLEY!$J$389</f>
        <v>-6631</v>
      </c>
      <c r="I51" s="1776"/>
      <c r="J51" s="1775">
        <f>+STALBAN!$N$389-STALBAN!$J$389</f>
        <v>-6656</v>
      </c>
      <c r="K51" s="1776"/>
      <c r="L51" s="1775">
        <f>+ABRETS!$N$389-ABRETS!$J$389</f>
        <v>-5433</v>
      </c>
      <c r="M51" s="1776"/>
      <c r="N51" s="1775">
        <f>+PONT!$N$389-PONT!$J$389</f>
        <v>-5667</v>
      </c>
      <c r="O51" s="1776"/>
      <c r="P51" s="1775">
        <f>+FRANCIN!$N$389-FRANCIN!$J$389</f>
        <v>-3257</v>
      </c>
      <c r="Q51" s="1776"/>
      <c r="R51" s="1775">
        <f>+VIVIERS!$N$389-VIVIERS!$J$389</f>
        <v>-3890</v>
      </c>
      <c r="S51" s="1776"/>
      <c r="T51" s="1775">
        <f>+FRANCHISE!$N$389-FRANCHISE!$J$389-R51</f>
        <v>-57628</v>
      </c>
      <c r="U51" s="1778"/>
    </row>
    <row r="52" spans="2:25" s="213" customFormat="1" ht="20" thickBot="1">
      <c r="B52" s="1783"/>
      <c r="C52" s="248"/>
      <c r="D52" s="269" t="e">
        <f>#REF!</f>
        <v>#REF!</v>
      </c>
      <c r="F52" s="269" t="e">
        <f>#REF!</f>
        <v>#REF!</v>
      </c>
      <c r="H52" s="269" t="e">
        <f>#REF!</f>
        <v>#REF!</v>
      </c>
      <c r="J52" s="269" t="e">
        <f>#REF!</f>
        <v>#REF!</v>
      </c>
      <c r="L52" s="269" t="e">
        <f>#REF!</f>
        <v>#REF!</v>
      </c>
      <c r="N52" s="269" t="e">
        <f>#REF!</f>
        <v>#REF!</v>
      </c>
      <c r="P52" s="269" t="e">
        <f>#REF!</f>
        <v>#REF!</v>
      </c>
      <c r="R52" s="269" t="e">
        <f>#REF!</f>
        <v>#REF!</v>
      </c>
      <c r="U52" s="249"/>
    </row>
    <row r="53" spans="2:25" s="324" customFormat="1" ht="36">
      <c r="B53" s="1783"/>
      <c r="C53" s="864" t="s">
        <v>455</v>
      </c>
      <c r="D53" s="865" t="s">
        <v>28</v>
      </c>
      <c r="E53" s="865" t="s">
        <v>465</v>
      </c>
      <c r="F53" s="871" t="s">
        <v>29</v>
      </c>
      <c r="G53" s="865" t="s">
        <v>466</v>
      </c>
      <c r="H53" s="869" t="s">
        <v>30</v>
      </c>
      <c r="I53" s="872" t="s">
        <v>466</v>
      </c>
      <c r="J53" s="873" t="s">
        <v>31</v>
      </c>
      <c r="K53" s="865" t="s">
        <v>466</v>
      </c>
      <c r="L53" s="866" t="s">
        <v>32</v>
      </c>
      <c r="M53" s="872" t="s">
        <v>466</v>
      </c>
      <c r="N53" s="871" t="s">
        <v>253</v>
      </c>
      <c r="O53" s="865" t="s">
        <v>466</v>
      </c>
      <c r="P53" s="869" t="s">
        <v>34</v>
      </c>
      <c r="Q53" s="872" t="s">
        <v>466</v>
      </c>
      <c r="R53" s="873" t="s">
        <v>308</v>
      </c>
      <c r="S53" s="872" t="s">
        <v>466</v>
      </c>
      <c r="T53" s="868" t="s">
        <v>37</v>
      </c>
      <c r="U53" s="870" t="s">
        <v>466</v>
      </c>
      <c r="X53" s="324" t="str">
        <f>D53</f>
        <v>CHAMBERY</v>
      </c>
      <c r="Y53" s="874">
        <f>E66</f>
        <v>0.84321805496317737</v>
      </c>
    </row>
    <row r="54" spans="2:25">
      <c r="B54" s="1783"/>
      <c r="C54" s="215" t="s">
        <v>10</v>
      </c>
      <c r="D54" s="271">
        <f t="shared" ref="D54:D65" si="0">IF(D38=0,"",D21/D38)</f>
        <v>19.065326485693323</v>
      </c>
      <c r="E54" s="272">
        <f>D54-'[10]INDICES CA 💵'!D54</f>
        <v>1.1156137166606577</v>
      </c>
      <c r="F54" s="273">
        <f t="shared" ref="F54:F65" si="1">IF(F38=0,"",F21/F38)</f>
        <v>18.067019419803401</v>
      </c>
      <c r="G54" s="272">
        <f>F54-'[10]INDICES CA 💵'!F54</f>
        <v>0.85699552130682832</v>
      </c>
      <c r="H54" s="274">
        <f t="shared" ref="H54:H65" si="2">IF(H38=0,"",H21/H38)</f>
        <v>20.820473499048394</v>
      </c>
      <c r="I54" s="272">
        <f>H54-'[10]INDICES CA 💵'!H54</f>
        <v>1.3674952296340521</v>
      </c>
      <c r="J54" s="273">
        <f t="shared" ref="J54:J65" si="3">IF(J38=0,"",J21/J38)</f>
        <v>18.957035301468295</v>
      </c>
      <c r="K54" s="272">
        <f>J54-'[10]INDICES CA 💵'!J54</f>
        <v>0.96975012659510895</v>
      </c>
      <c r="L54" s="274">
        <f t="shared" ref="L54:L65" si="4">IF(L38=0,"",L21/L38)</f>
        <v>22.190909090909084</v>
      </c>
      <c r="M54" s="272">
        <f>L54-'[10]INDICES CA 💵'!L54</f>
        <v>1.4230464658993967</v>
      </c>
      <c r="N54" s="273">
        <f t="shared" ref="N54:N65" si="5">IF(N38=0,"",N21/N38)</f>
        <v>20.941008144397976</v>
      </c>
      <c r="O54" s="272">
        <f>N54-'[10]INDICES CA 💵'!N54</f>
        <v>1.3819530262877393</v>
      </c>
      <c r="P54" s="274">
        <f t="shared" ref="P54:P65" si="6">IF(P38=0,"",P21/P38)</f>
        <v>20.805297912438384</v>
      </c>
      <c r="Q54" s="272">
        <f>P54-'[10]INDICES CA 💵'!P54</f>
        <v>1.1807451358381336</v>
      </c>
      <c r="R54" s="273">
        <f t="shared" ref="R54:R65" si="7">IF(R38=0,"",R21/R38)</f>
        <v>19.61615474886559</v>
      </c>
      <c r="S54" s="272">
        <f>R54-'[10]INDICES CA 💵'!R54</f>
        <v>1.78653948262982</v>
      </c>
      <c r="T54" s="275">
        <f t="shared" ref="T54:T65" si="8">IF(T38=0,"",T21/T38)</f>
        <v>19.743922285440817</v>
      </c>
      <c r="U54" s="276">
        <f>T54-'[10]INDICES CA 💵'!T54</f>
        <v>1.215348411651668</v>
      </c>
      <c r="X54" s="211" t="str">
        <f>F53</f>
        <v>AIX LES BAINS</v>
      </c>
      <c r="Y54" s="270">
        <f>G66</f>
        <v>-0.68000389932210936</v>
      </c>
    </row>
    <row r="55" spans="2:25" s="229" customFormat="1">
      <c r="B55" s="1783"/>
      <c r="C55" s="224" t="s">
        <v>25</v>
      </c>
      <c r="D55" s="277">
        <f t="shared" si="0"/>
        <v>19.263578061240885</v>
      </c>
      <c r="E55" s="272">
        <f>D55-'[10]INDICES CA 💵'!D55</f>
        <v>1.2189066405376359</v>
      </c>
      <c r="F55" s="278">
        <f t="shared" si="1"/>
        <v>17.747632971185634</v>
      </c>
      <c r="G55" s="272">
        <f>F55-'[10]INDICES CA 💵'!F55</f>
        <v>0.73502789495163867</v>
      </c>
      <c r="H55" s="279">
        <f t="shared" si="2"/>
        <v>20.898275733697339</v>
      </c>
      <c r="I55" s="272">
        <f>H55-'[10]INDICES CA 💵'!H55</f>
        <v>1.3267400578075588</v>
      </c>
      <c r="J55" s="278">
        <f t="shared" si="3"/>
        <v>19.128429395447142</v>
      </c>
      <c r="K55" s="272">
        <f>J55-'[10]INDICES CA 💵'!J55</f>
        <v>1.3268693528521212</v>
      </c>
      <c r="L55" s="279">
        <f t="shared" si="4"/>
        <v>21.761551318882216</v>
      </c>
      <c r="M55" s="272">
        <f>L55-'[10]INDICES CA 💵'!L55</f>
        <v>1.3890150352752677</v>
      </c>
      <c r="N55" s="278">
        <f t="shared" si="5"/>
        <v>20.491427247451345</v>
      </c>
      <c r="O55" s="272">
        <f>N55-'[10]INDICES CA 💵'!N55</f>
        <v>1.0448731493282928</v>
      </c>
      <c r="P55" s="279">
        <f t="shared" si="6"/>
        <v>20.980501305082143</v>
      </c>
      <c r="Q55" s="272">
        <f>P55-'[10]INDICES CA 💵'!P55</f>
        <v>0.89348899895820821</v>
      </c>
      <c r="R55" s="278">
        <f t="shared" si="7"/>
        <v>19.467122932498885</v>
      </c>
      <c r="S55" s="272">
        <f>R55-'[10]INDICES CA 💵'!R55</f>
        <v>1.1082513906771752</v>
      </c>
      <c r="T55" s="281">
        <f t="shared" si="8"/>
        <v>19.695856103372041</v>
      </c>
      <c r="U55" s="276">
        <f>T55-'[10]INDICES CA 💵'!T55</f>
        <v>1.1295635746668147</v>
      </c>
      <c r="X55" s="229" t="str">
        <f>H53</f>
        <v>BELLEY</v>
      </c>
      <c r="Y55" s="282">
        <f>I66</f>
        <v>2.5846696022344133</v>
      </c>
    </row>
    <row r="56" spans="2:25" s="229" customFormat="1">
      <c r="B56" s="1783"/>
      <c r="C56" s="224" t="s">
        <v>17</v>
      </c>
      <c r="D56" s="277">
        <f t="shared" si="0"/>
        <v>18.655080321909082</v>
      </c>
      <c r="E56" s="272">
        <f>D56-'[10]INDICES CA 💵'!D56</f>
        <v>0.77028977617503358</v>
      </c>
      <c r="F56" s="278">
        <f t="shared" si="1"/>
        <v>17.563216096766691</v>
      </c>
      <c r="G56" s="272">
        <f>F56-'[10]INDICES CA 💵'!F56</f>
        <v>0.75156222666915795</v>
      </c>
      <c r="H56" s="279">
        <f t="shared" si="2"/>
        <v>20.670363098758127</v>
      </c>
      <c r="I56" s="272">
        <f>H56-'[10]INDICES CA 💵'!H56</f>
        <v>1.037656380411871</v>
      </c>
      <c r="J56" s="278">
        <f t="shared" si="3"/>
        <v>18.737520530765806</v>
      </c>
      <c r="K56" s="272">
        <f>J56-'[10]INDICES CA 💵'!J56</f>
        <v>0.82020101990902106</v>
      </c>
      <c r="L56" s="279">
        <f t="shared" si="4"/>
        <v>21.87429425178895</v>
      </c>
      <c r="M56" s="272">
        <f>L56-'[10]INDICES CA 💵'!L56</f>
        <v>0.96829780392393161</v>
      </c>
      <c r="N56" s="278">
        <f t="shared" si="5"/>
        <v>20.739454272004583</v>
      </c>
      <c r="O56" s="272">
        <f>N56-'[10]INDICES CA 💵'!N56</f>
        <v>1.2309220762973432</v>
      </c>
      <c r="P56" s="279">
        <f t="shared" si="6"/>
        <v>20.672949854705315</v>
      </c>
      <c r="Q56" s="272">
        <f>P56-'[10]INDICES CA 💵'!P56</f>
        <v>0.80746580361297404</v>
      </c>
      <c r="R56" s="278">
        <f t="shared" si="7"/>
        <v>19.29614545752705</v>
      </c>
      <c r="S56" s="272">
        <f>R56-'[10]INDICES CA 💵'!R56</f>
        <v>0.53034365572524678</v>
      </c>
      <c r="T56" s="281">
        <f t="shared" si="8"/>
        <v>19.451737351291296</v>
      </c>
      <c r="U56" s="276">
        <f>T56-'[10]INDICES CA 💵'!T56</f>
        <v>0.86634489092429945</v>
      </c>
      <c r="X56" s="229" t="str">
        <f>J53</f>
        <v>ST ALBAN</v>
      </c>
      <c r="Y56" s="282">
        <f>K66</f>
        <v>0.74079804452906473</v>
      </c>
    </row>
    <row r="57" spans="2:25" s="229" customFormat="1">
      <c r="B57" s="1783"/>
      <c r="C57" s="224" t="s">
        <v>18</v>
      </c>
      <c r="D57" s="277">
        <f t="shared" si="0"/>
        <v>18.815138077798679</v>
      </c>
      <c r="E57" s="272">
        <f>D57-'[10]INDICES CA 💵'!D57</f>
        <v>1.2573710190415177</v>
      </c>
      <c r="F57" s="278">
        <f t="shared" si="1"/>
        <v>16.941918598203394</v>
      </c>
      <c r="G57" s="272">
        <f>F57-'[10]INDICES CA 💵'!F57</f>
        <v>0.48557172955902672</v>
      </c>
      <c r="H57" s="279">
        <f t="shared" si="2"/>
        <v>20.415807440599018</v>
      </c>
      <c r="I57" s="272">
        <f>H57-'[10]INDICES CA 💵'!H57</f>
        <v>1.1333666611463151</v>
      </c>
      <c r="J57" s="278">
        <f t="shared" si="3"/>
        <v>18.605626489615254</v>
      </c>
      <c r="K57" s="272">
        <f>J57-'[10]INDICES CA 💵'!J57</f>
        <v>0.80874637577676722</v>
      </c>
      <c r="L57" s="279">
        <f t="shared" si="4"/>
        <v>21.920448587923232</v>
      </c>
      <c r="M57" s="272">
        <f>L57-'[10]INDICES CA 💵'!L57</f>
        <v>1.4031482583530774</v>
      </c>
      <c r="N57" s="278">
        <f t="shared" si="5"/>
        <v>20.436805149210063</v>
      </c>
      <c r="O57" s="272">
        <f>N57-'[10]INDICES CA 💵'!N57</f>
        <v>0.97555688658513873</v>
      </c>
      <c r="P57" s="279">
        <f t="shared" si="6"/>
        <v>20.373136991709437</v>
      </c>
      <c r="Q57" s="272">
        <f>P57-'[10]INDICES CA 💵'!P57</f>
        <v>0.53904581823262987</v>
      </c>
      <c r="R57" s="278">
        <f t="shared" si="7"/>
        <v>19.686385390428207</v>
      </c>
      <c r="S57" s="272">
        <f>R57-'[10]INDICES CA 💵'!R57</f>
        <v>0.66165445047026239</v>
      </c>
      <c r="T57" s="281">
        <f t="shared" si="8"/>
        <v>19.242575395279481</v>
      </c>
      <c r="U57" s="276">
        <f>T57-'[10]INDICES CA 💵'!T57</f>
        <v>0.90204237687099109</v>
      </c>
      <c r="X57" s="229" t="str">
        <f>L53</f>
        <v>LES ABRETS</v>
      </c>
      <c r="Y57" s="282">
        <f>M66</f>
        <v>3.8865260042755452</v>
      </c>
    </row>
    <row r="58" spans="2:25">
      <c r="B58" s="1783"/>
      <c r="C58" s="215" t="s">
        <v>19</v>
      </c>
      <c r="D58" s="277">
        <f t="shared" si="0"/>
        <v>18.301884556199457</v>
      </c>
      <c r="E58" s="272">
        <f>D58-'[10]INDICES CA 💵'!D58</f>
        <v>0.76005426386505803</v>
      </c>
      <c r="F58" s="278">
        <f t="shared" si="1"/>
        <v>16.499943946588598</v>
      </c>
      <c r="G58" s="272">
        <f>F58-'[10]INDICES CA 💵'!F58</f>
        <v>0.19290703520306351</v>
      </c>
      <c r="H58" s="279">
        <f t="shared" si="2"/>
        <v>20.136276157521827</v>
      </c>
      <c r="I58" s="272">
        <f>H58-'[10]INDICES CA 💵'!H58</f>
        <v>0.77720039834290588</v>
      </c>
      <c r="J58" s="278">
        <f t="shared" si="3"/>
        <v>18.194735543308383</v>
      </c>
      <c r="K58" s="272">
        <f>J58-'[10]INDICES CA 💵'!J58</f>
        <v>0.64438761919082665</v>
      </c>
      <c r="L58" s="279">
        <f t="shared" si="4"/>
        <v>21.538325798673906</v>
      </c>
      <c r="M58" s="272">
        <f>L58-'[10]INDICES CA 💵'!L58</f>
        <v>0.92584024168348833</v>
      </c>
      <c r="N58" s="278">
        <f t="shared" si="5"/>
        <v>20.276123518059002</v>
      </c>
      <c r="O58" s="272">
        <f>N58-'[10]INDICES CA 💵'!N58</f>
        <v>0.59916043293912224</v>
      </c>
      <c r="P58" s="279">
        <f t="shared" si="6"/>
        <v>20.232567116638858</v>
      </c>
      <c r="Q58" s="272">
        <f>P58-'[10]INDICES CA 💵'!P58</f>
        <v>0.24203041226981981</v>
      </c>
      <c r="R58" s="278">
        <f t="shared" si="7"/>
        <v>19.481089896579157</v>
      </c>
      <c r="S58" s="272">
        <f>R58-'[10]INDICES CA 💵'!R58</f>
        <v>0.42133203860476698</v>
      </c>
      <c r="T58" s="281">
        <f t="shared" si="8"/>
        <v>18.898226882005577</v>
      </c>
      <c r="U58" s="276">
        <f>T58-'[10]INDICES CA 💵'!T58</f>
        <v>0.57568390206288811</v>
      </c>
      <c r="X58" s="211" t="str">
        <f>N53</f>
        <v>PDB</v>
      </c>
      <c r="Y58" s="270">
        <f>O66</f>
        <v>2.5918515992139071</v>
      </c>
    </row>
    <row r="59" spans="2:25" s="229" customFormat="1">
      <c r="B59" s="1783"/>
      <c r="C59" s="1005" t="s">
        <v>20</v>
      </c>
      <c r="D59" s="1011">
        <f t="shared" si="0"/>
        <v>18.077970673675473</v>
      </c>
      <c r="E59" s="1012">
        <f>D59-'[10]INDICES CA 💵'!D59</f>
        <v>0.67370790799565228</v>
      </c>
      <c r="F59" s="1013">
        <f t="shared" si="1"/>
        <v>16.82185646096147</v>
      </c>
      <c r="G59" s="1012">
        <f>F59-'[10]INDICES CA 💵'!F59</f>
        <v>1.0704329934924957</v>
      </c>
      <c r="H59" s="1014">
        <f t="shared" si="2"/>
        <v>19.644154767388301</v>
      </c>
      <c r="I59" s="1015">
        <f>H59-'[10]INDICES CA 💵'!H59</f>
        <v>0.51305672608534536</v>
      </c>
      <c r="J59" s="1013">
        <f t="shared" si="3"/>
        <v>18.031193345781698</v>
      </c>
      <c r="K59" s="1012">
        <f>J59-'[10]INDICES CA 💵'!J59</f>
        <v>0.51319465609463322</v>
      </c>
      <c r="L59" s="1014">
        <f t="shared" si="4"/>
        <v>21.474820349761526</v>
      </c>
      <c r="M59" s="1015">
        <f>L59-'[10]INDICES CA 💵'!L59</f>
        <v>1.033846940454783</v>
      </c>
      <c r="N59" s="1013">
        <f t="shared" si="5"/>
        <v>19.86718055143789</v>
      </c>
      <c r="O59" s="1012">
        <f>N59-'[10]INDICES CA 💵'!N59</f>
        <v>0.62922627796053376</v>
      </c>
      <c r="P59" s="1014">
        <f t="shared" si="6"/>
        <v>20.741018808777433</v>
      </c>
      <c r="Q59" s="1015">
        <f>P59-'[10]INDICES CA 💵'!P59</f>
        <v>1.6614100573521142</v>
      </c>
      <c r="R59" s="1013">
        <f t="shared" si="7"/>
        <v>19.418353658536585</v>
      </c>
      <c r="S59" s="272">
        <f>R59-'[10]INDICES CA 💵'!R59</f>
        <v>0.78353749347297708</v>
      </c>
      <c r="T59" s="283">
        <f t="shared" si="8"/>
        <v>18.865079470934756</v>
      </c>
      <c r="U59" s="1016">
        <f>T59-'[10]INDICES CA 💵'!T59</f>
        <v>0.89220706617765444</v>
      </c>
      <c r="X59" s="229" t="str">
        <f>P53</f>
        <v>FRANCIN</v>
      </c>
      <c r="Y59" s="282">
        <f>Q66</f>
        <v>2.6719288798328726</v>
      </c>
    </row>
    <row r="60" spans="2:25" s="229" customFormat="1">
      <c r="B60" s="1783"/>
      <c r="C60" s="1133" t="s">
        <v>21</v>
      </c>
      <c r="D60" s="1076" t="str">
        <f t="shared" si="0"/>
        <v/>
      </c>
      <c r="E60" s="1077" t="e">
        <f>D60-'[10]INDICES CA 💵'!D60</f>
        <v>#VALUE!</v>
      </c>
      <c r="F60" s="1078" t="str">
        <f t="shared" si="1"/>
        <v/>
      </c>
      <c r="G60" s="1077" t="e">
        <f>F60-'[10]INDICES CA 💵'!F60</f>
        <v>#VALUE!</v>
      </c>
      <c r="H60" s="1079" t="str">
        <f t="shared" si="2"/>
        <v/>
      </c>
      <c r="I60" s="1080" t="e">
        <f>H60-'[10]INDICES CA 💵'!H60</f>
        <v>#VALUE!</v>
      </c>
      <c r="J60" s="1078" t="str">
        <f t="shared" si="3"/>
        <v/>
      </c>
      <c r="K60" s="1077" t="e">
        <f>J60-'[10]INDICES CA 💵'!J60</f>
        <v>#VALUE!</v>
      </c>
      <c r="L60" s="1079" t="str">
        <f t="shared" si="4"/>
        <v/>
      </c>
      <c r="M60" s="1080" t="e">
        <f>L60-'[10]INDICES CA 💵'!L60</f>
        <v>#VALUE!</v>
      </c>
      <c r="N60" s="1078" t="str">
        <f t="shared" si="5"/>
        <v/>
      </c>
      <c r="O60" s="1077" t="e">
        <f>N60-'[10]INDICES CA 💵'!N60</f>
        <v>#VALUE!</v>
      </c>
      <c r="P60" s="1079" t="str">
        <f t="shared" si="6"/>
        <v/>
      </c>
      <c r="Q60" s="1080" t="e">
        <f>P60-'[10]INDICES CA 💵'!P60</f>
        <v>#VALUE!</v>
      </c>
      <c r="R60" s="1078" t="str">
        <f t="shared" si="7"/>
        <v/>
      </c>
      <c r="S60" s="1077"/>
      <c r="T60" s="284" t="str">
        <f t="shared" si="8"/>
        <v/>
      </c>
      <c r="U60" s="1081" t="e">
        <f>T60-'[10]INDICES CA 💵'!T60</f>
        <v>#VALUE!</v>
      </c>
      <c r="X60" s="229" t="str">
        <f>R53</f>
        <v>VIVIERS</v>
      </c>
      <c r="Y60" s="282">
        <f>S66</f>
        <v>0</v>
      </c>
    </row>
    <row r="61" spans="2:25">
      <c r="B61" s="1783"/>
      <c r="C61" s="215" t="s">
        <v>26</v>
      </c>
      <c r="D61" s="277" t="str">
        <f t="shared" si="0"/>
        <v/>
      </c>
      <c r="E61" s="280" t="e">
        <f>D61-'[10]INDICES CA 💵'!D61</f>
        <v>#VALUE!</v>
      </c>
      <c r="F61" s="278" t="str">
        <f t="shared" si="1"/>
        <v/>
      </c>
      <c r="G61" s="280" t="e">
        <f>F61-'[10]INDICES CA 💵'!F61</f>
        <v>#VALUE!</v>
      </c>
      <c r="H61" s="279" t="str">
        <f t="shared" si="2"/>
        <v/>
      </c>
      <c r="I61" s="1141" t="e">
        <f>H61-'[10]INDICES CA 💵'!H61</f>
        <v>#VALUE!</v>
      </c>
      <c r="J61" s="278" t="str">
        <f t="shared" si="3"/>
        <v/>
      </c>
      <c r="K61" s="280" t="e">
        <f>J61-'[10]INDICES CA 💵'!J61</f>
        <v>#VALUE!</v>
      </c>
      <c r="L61" s="279" t="str">
        <f t="shared" si="4"/>
        <v/>
      </c>
      <c r="M61" s="1141" t="e">
        <f>L61-'[10]INDICES CA 💵'!L61</f>
        <v>#VALUE!</v>
      </c>
      <c r="N61" s="278" t="str">
        <f t="shared" si="5"/>
        <v/>
      </c>
      <c r="O61" s="280" t="e">
        <f>N61-'[10]INDICES CA 💵'!N61</f>
        <v>#VALUE!</v>
      </c>
      <c r="P61" s="279" t="str">
        <f t="shared" si="6"/>
        <v/>
      </c>
      <c r="Q61" s="1141" t="e">
        <f>P61-'[10]INDICES CA 💵'!P61</f>
        <v>#VALUE!</v>
      </c>
      <c r="R61" s="278" t="str">
        <f t="shared" si="7"/>
        <v/>
      </c>
      <c r="S61" s="280"/>
      <c r="T61" s="281" t="str">
        <f t="shared" si="8"/>
        <v/>
      </c>
      <c r="U61" s="1142" t="e">
        <f>T61-'[10]INDICES CA 💵'!T61</f>
        <v>#VALUE!</v>
      </c>
    </row>
    <row r="62" spans="2:25">
      <c r="B62" s="1783"/>
      <c r="C62" s="215" t="s">
        <v>22</v>
      </c>
      <c r="D62" s="277" t="str">
        <f t="shared" si="0"/>
        <v/>
      </c>
      <c r="E62" s="280" t="e">
        <f>D62-'[10]INDICES CA 💵'!D62</f>
        <v>#VALUE!</v>
      </c>
      <c r="F62" s="278" t="str">
        <f t="shared" si="1"/>
        <v/>
      </c>
      <c r="G62" s="280" t="e">
        <f>F62-'[10]INDICES CA 💵'!F62</f>
        <v>#VALUE!</v>
      </c>
      <c r="H62" s="279" t="str">
        <f t="shared" si="2"/>
        <v/>
      </c>
      <c r="I62" s="1141" t="e">
        <f>H62-'[10]INDICES CA 💵'!H62</f>
        <v>#VALUE!</v>
      </c>
      <c r="J62" s="278" t="str">
        <f t="shared" si="3"/>
        <v/>
      </c>
      <c r="K62" s="280" t="e">
        <f>J62-'[10]INDICES CA 💵'!J62</f>
        <v>#VALUE!</v>
      </c>
      <c r="L62" s="279" t="str">
        <f t="shared" si="4"/>
        <v/>
      </c>
      <c r="M62" s="1141" t="e">
        <f>L62-'[10]INDICES CA 💵'!L62</f>
        <v>#VALUE!</v>
      </c>
      <c r="N62" s="278" t="str">
        <f t="shared" si="5"/>
        <v/>
      </c>
      <c r="O62" s="280" t="e">
        <f>N62-'[10]INDICES CA 💵'!N62</f>
        <v>#VALUE!</v>
      </c>
      <c r="P62" s="279" t="str">
        <f t="shared" si="6"/>
        <v/>
      </c>
      <c r="Q62" s="1141" t="e">
        <f>P62-'[10]INDICES CA 💵'!P62</f>
        <v>#VALUE!</v>
      </c>
      <c r="R62" s="278" t="str">
        <f t="shared" si="7"/>
        <v/>
      </c>
      <c r="S62" s="280"/>
      <c r="T62" s="281" t="str">
        <f t="shared" si="8"/>
        <v/>
      </c>
      <c r="U62" s="1142" t="e">
        <f>T62-'[10]INDICES CA 💵'!T62</f>
        <v>#VALUE!</v>
      </c>
    </row>
    <row r="63" spans="2:25">
      <c r="B63" s="1783"/>
      <c r="C63" s="215" t="s">
        <v>23</v>
      </c>
      <c r="D63" s="277" t="str">
        <f t="shared" si="0"/>
        <v/>
      </c>
      <c r="E63" s="280" t="e">
        <f>D63-'[10]INDICES CA 💵'!D63</f>
        <v>#VALUE!</v>
      </c>
      <c r="F63" s="278" t="str">
        <f t="shared" si="1"/>
        <v/>
      </c>
      <c r="G63" s="280" t="e">
        <f>F63-'[10]INDICES CA 💵'!F63</f>
        <v>#VALUE!</v>
      </c>
      <c r="H63" s="279" t="str">
        <f t="shared" si="2"/>
        <v/>
      </c>
      <c r="I63" s="1141" t="e">
        <f>H63-'[10]INDICES CA 💵'!H63</f>
        <v>#VALUE!</v>
      </c>
      <c r="J63" s="278" t="str">
        <f t="shared" si="3"/>
        <v/>
      </c>
      <c r="K63" s="280" t="e">
        <f>J63-'[10]INDICES CA 💵'!J63</f>
        <v>#VALUE!</v>
      </c>
      <c r="L63" s="279" t="str">
        <f t="shared" si="4"/>
        <v/>
      </c>
      <c r="M63" s="1141" t="e">
        <f>L63-'[10]INDICES CA 💵'!L63</f>
        <v>#VALUE!</v>
      </c>
      <c r="N63" s="278" t="str">
        <f t="shared" si="5"/>
        <v/>
      </c>
      <c r="O63" s="280" t="e">
        <f>N63-'[10]INDICES CA 💵'!N63</f>
        <v>#VALUE!</v>
      </c>
      <c r="P63" s="279" t="str">
        <f t="shared" si="6"/>
        <v/>
      </c>
      <c r="Q63" s="1141" t="e">
        <f>P63-'[10]INDICES CA 💵'!P63</f>
        <v>#VALUE!</v>
      </c>
      <c r="R63" s="278" t="str">
        <f t="shared" si="7"/>
        <v/>
      </c>
      <c r="S63" s="280"/>
      <c r="T63" s="281" t="str">
        <f t="shared" si="8"/>
        <v/>
      </c>
      <c r="U63" s="1142" t="e">
        <f>T63-'[10]INDICES CA 💵'!T63</f>
        <v>#VALUE!</v>
      </c>
    </row>
    <row r="64" spans="2:25">
      <c r="B64" s="1783"/>
      <c r="C64" s="215" t="s">
        <v>24</v>
      </c>
      <c r="D64" s="277" t="str">
        <f t="shared" si="0"/>
        <v/>
      </c>
      <c r="E64" s="280" t="e">
        <f>D64-'[10]INDICES CA 💵'!D64</f>
        <v>#VALUE!</v>
      </c>
      <c r="F64" s="278" t="str">
        <f t="shared" si="1"/>
        <v/>
      </c>
      <c r="G64" s="280" t="e">
        <f>F64-'[10]INDICES CA 💵'!F64</f>
        <v>#VALUE!</v>
      </c>
      <c r="H64" s="279" t="str">
        <f t="shared" si="2"/>
        <v/>
      </c>
      <c r="I64" s="1141" t="e">
        <f>H64-'[10]INDICES CA 💵'!H64</f>
        <v>#VALUE!</v>
      </c>
      <c r="J64" s="278" t="str">
        <f t="shared" si="3"/>
        <v/>
      </c>
      <c r="K64" s="280" t="e">
        <f>J64-'[10]INDICES CA 💵'!J64</f>
        <v>#VALUE!</v>
      </c>
      <c r="L64" s="279" t="str">
        <f t="shared" si="4"/>
        <v/>
      </c>
      <c r="M64" s="1141" t="e">
        <f>L64-'[10]INDICES CA 💵'!L64</f>
        <v>#VALUE!</v>
      </c>
      <c r="N64" s="278" t="str">
        <f t="shared" si="5"/>
        <v/>
      </c>
      <c r="O64" s="280" t="e">
        <f>N64-'[10]INDICES CA 💵'!N64</f>
        <v>#VALUE!</v>
      </c>
      <c r="P64" s="279" t="str">
        <f t="shared" si="6"/>
        <v/>
      </c>
      <c r="Q64" s="1141" t="e">
        <f>P64-'[10]INDICES CA 💵'!P64</f>
        <v>#VALUE!</v>
      </c>
      <c r="R64" s="278" t="str">
        <f t="shared" si="7"/>
        <v/>
      </c>
      <c r="S64" s="280"/>
      <c r="T64" s="281" t="str">
        <f t="shared" si="8"/>
        <v/>
      </c>
      <c r="U64" s="1142" t="e">
        <f>T64-'[10]INDICES CA 💵'!T64</f>
        <v>#VALUE!</v>
      </c>
    </row>
    <row r="65" spans="2:21">
      <c r="B65" s="1783"/>
      <c r="C65" s="215" t="s">
        <v>27</v>
      </c>
      <c r="D65" s="277" t="str">
        <f t="shared" si="0"/>
        <v/>
      </c>
      <c r="E65" s="280" t="e">
        <f>D65-'[10]INDICES CA 💵'!D65</f>
        <v>#VALUE!</v>
      </c>
      <c r="F65" s="278" t="str">
        <f t="shared" si="1"/>
        <v/>
      </c>
      <c r="G65" s="280" t="e">
        <f>F65-'[10]INDICES CA 💵'!F65</f>
        <v>#VALUE!</v>
      </c>
      <c r="H65" s="279" t="str">
        <f t="shared" si="2"/>
        <v/>
      </c>
      <c r="I65" s="1141" t="e">
        <f>H65-'[10]INDICES CA 💵'!H65</f>
        <v>#VALUE!</v>
      </c>
      <c r="J65" s="278" t="str">
        <f t="shared" si="3"/>
        <v/>
      </c>
      <c r="K65" s="280" t="e">
        <f>J65-'[10]INDICES CA 💵'!J65</f>
        <v>#VALUE!</v>
      </c>
      <c r="L65" s="279" t="str">
        <f t="shared" si="4"/>
        <v/>
      </c>
      <c r="M65" s="1141" t="e">
        <f>L65-'[10]INDICES CA 💵'!L65</f>
        <v>#VALUE!</v>
      </c>
      <c r="N65" s="278" t="str">
        <f t="shared" si="5"/>
        <v/>
      </c>
      <c r="O65" s="280" t="e">
        <f>N65-'[10]INDICES CA 💵'!N65</f>
        <v>#VALUE!</v>
      </c>
      <c r="P65" s="279" t="str">
        <f t="shared" si="6"/>
        <v/>
      </c>
      <c r="Q65" s="1141" t="e">
        <f>P65-'[10]INDICES CA 💵'!P65</f>
        <v>#VALUE!</v>
      </c>
      <c r="R65" s="278" t="str">
        <f t="shared" si="7"/>
        <v/>
      </c>
      <c r="S65" s="280"/>
      <c r="T65" s="281" t="str">
        <f t="shared" si="8"/>
        <v/>
      </c>
      <c r="U65" s="1142" t="e">
        <f>T65-'[10]INDICES CA 💵'!T65</f>
        <v>#VALUE!</v>
      </c>
    </row>
    <row r="66" spans="2:21" ht="21" thickBot="1">
      <c r="B66" s="1784"/>
      <c r="C66" s="285" t="s">
        <v>54</v>
      </c>
      <c r="D66" s="286">
        <f>D33/D50</f>
        <v>18.792930823995842</v>
      </c>
      <c r="E66" s="287">
        <f>D66-'[10]INDICES CA 💵'!$D$54</f>
        <v>0.84321805496317737</v>
      </c>
      <c r="F66" s="288">
        <f>F33/F50</f>
        <v>17.269708869710556</v>
      </c>
      <c r="G66" s="287">
        <f>F66-'[10]INDICES CA 💵'!$D$54</f>
        <v>-0.68000389932210936</v>
      </c>
      <c r="H66" s="289">
        <f>H33/H50</f>
        <v>20.534382371267078</v>
      </c>
      <c r="I66" s="287">
        <f>H66-'[10]INDICES CA 💵'!$D$54</f>
        <v>2.5846696022344133</v>
      </c>
      <c r="J66" s="288">
        <f>J33/J50</f>
        <v>18.69051081356173</v>
      </c>
      <c r="K66" s="287">
        <f>J66-'[10]INDICES CA 💵'!$D$54</f>
        <v>0.74079804452906473</v>
      </c>
      <c r="L66" s="289">
        <f>L33/L50</f>
        <v>21.83623877330821</v>
      </c>
      <c r="M66" s="287">
        <f>L66-'[10]INDICES CA 💵'!$D$54</f>
        <v>3.8865260042755452</v>
      </c>
      <c r="N66" s="288">
        <f>N33/N50</f>
        <v>20.541564368246572</v>
      </c>
      <c r="O66" s="287">
        <f>N66-'[10]INDICES CA 💵'!$D$54</f>
        <v>2.5918515992139071</v>
      </c>
      <c r="P66" s="289">
        <f>P33/P50</f>
        <v>20.621641648865538</v>
      </c>
      <c r="Q66" s="287">
        <f>P66-'[10]INDICES CA 💵'!$D$54</f>
        <v>2.6719288798328726</v>
      </c>
      <c r="R66" s="288">
        <f>R33/R50</f>
        <v>19.505847629530621</v>
      </c>
      <c r="S66" s="287"/>
      <c r="T66" s="290">
        <f>T33/T50</f>
        <v>19.374865405545879</v>
      </c>
      <c r="U66" s="291">
        <f>T66-'[10]INDICES CA 💵'!$D$54</f>
        <v>1.4251526365132143</v>
      </c>
    </row>
    <row r="67" spans="2:21" ht="20" thickBot="1">
      <c r="C67" s="292"/>
      <c r="D67" s="293"/>
      <c r="E67" s="293"/>
      <c r="F67" s="293"/>
      <c r="G67" s="293"/>
      <c r="H67" s="293"/>
      <c r="I67" s="293"/>
      <c r="J67" s="293"/>
      <c r="K67" s="293"/>
      <c r="L67" s="293"/>
      <c r="M67" s="293"/>
      <c r="N67" s="293"/>
      <c r="O67" s="293"/>
      <c r="P67" s="293"/>
      <c r="Q67" s="293"/>
      <c r="R67" s="293"/>
      <c r="S67" s="293"/>
      <c r="T67" s="293"/>
      <c r="U67" s="293"/>
    </row>
    <row r="68" spans="2:21" s="324" customFormat="1" ht="36">
      <c r="B68" s="1782" t="s">
        <v>46</v>
      </c>
      <c r="C68" s="848" t="s">
        <v>226</v>
      </c>
      <c r="D68" s="849" t="s">
        <v>28</v>
      </c>
      <c r="E68" s="849" t="s">
        <v>36</v>
      </c>
      <c r="F68" s="850" t="s">
        <v>29</v>
      </c>
      <c r="G68" s="875" t="s">
        <v>36</v>
      </c>
      <c r="H68" s="851" t="s">
        <v>30</v>
      </c>
      <c r="I68" s="849" t="s">
        <v>36</v>
      </c>
      <c r="J68" s="852" t="s">
        <v>31</v>
      </c>
      <c r="K68" s="875" t="s">
        <v>36</v>
      </c>
      <c r="L68" s="849" t="s">
        <v>32</v>
      </c>
      <c r="M68" s="849" t="s">
        <v>36</v>
      </c>
      <c r="N68" s="850" t="s">
        <v>253</v>
      </c>
      <c r="O68" s="875" t="s">
        <v>36</v>
      </c>
      <c r="P68" s="851" t="s">
        <v>34</v>
      </c>
      <c r="Q68" s="849" t="s">
        <v>36</v>
      </c>
      <c r="R68" s="852" t="s">
        <v>308</v>
      </c>
      <c r="S68" s="875" t="s">
        <v>36</v>
      </c>
      <c r="T68" s="851" t="s">
        <v>37</v>
      </c>
      <c r="U68" s="854" t="s">
        <v>36</v>
      </c>
    </row>
    <row r="69" spans="2:21">
      <c r="B69" s="1783"/>
      <c r="C69" s="215" t="s">
        <v>10</v>
      </c>
      <c r="D69" s="240">
        <f>'DRIVE 🏎️'!C3</f>
        <v>216308</v>
      </c>
      <c r="E69" s="294">
        <f t="shared" ref="E69:E79" si="9">D69/D5</f>
        <v>0.32839644058144285</v>
      </c>
      <c r="F69" s="226">
        <f>'DRIVE 🏎️'!E3</f>
        <v>139430</v>
      </c>
      <c r="G69" s="294">
        <f t="shared" ref="G69:G79" si="10">F69/F5</f>
        <v>0.362418800175691</v>
      </c>
      <c r="H69" s="295">
        <f>'DRIVE 🏎️'!G3</f>
        <v>136476</v>
      </c>
      <c r="I69" s="294">
        <f t="shared" ref="I69:I79" si="11">H69/H5</f>
        <v>0.37522322490884386</v>
      </c>
      <c r="J69" s="226">
        <f>'DRIVE 🏎️'!I3</f>
        <v>163030</v>
      </c>
      <c r="K69" s="294">
        <f t="shared" ref="K69:K79" si="12">J69/J5</f>
        <v>0.33035122274126222</v>
      </c>
      <c r="L69" s="295">
        <f>'DRIVE 🏎️'!K3</f>
        <v>101767</v>
      </c>
      <c r="M69" s="294">
        <f t="shared" ref="M69:M79" si="13">L69/L5</f>
        <v>0.36771092855943244</v>
      </c>
      <c r="N69" s="226">
        <f>'DRIVE 🏎️'!M3</f>
        <v>104019</v>
      </c>
      <c r="O69" s="294">
        <f t="shared" ref="O69:O79" si="14">N69/N5</f>
        <v>0.36155370177267987</v>
      </c>
      <c r="P69" s="295">
        <f>'DRIVE 🏎️'!O3</f>
        <v>115917</v>
      </c>
      <c r="Q69" s="294">
        <f t="shared" ref="Q69:Q79" si="15">P69/P5</f>
        <v>0.40103957462134315</v>
      </c>
      <c r="R69" s="226">
        <f>'DRIVE 🏎️'!Q3</f>
        <v>92345</v>
      </c>
      <c r="S69" s="294">
        <f t="shared" ref="S69:S79" si="16">R69/R5</f>
        <v>0.36440131600391223</v>
      </c>
      <c r="T69" s="296">
        <f t="shared" ref="T69:T74" si="17">D69+F69+H69+J69+L69+N69+P69+R69</f>
        <v>1069292</v>
      </c>
      <c r="U69" s="297">
        <f t="shared" ref="U69:U79" si="18">T69/T5</f>
        <v>0.35553710474230726</v>
      </c>
    </row>
    <row r="70" spans="2:21" s="229" customFormat="1">
      <c r="B70" s="1783"/>
      <c r="C70" s="224" t="s">
        <v>25</v>
      </c>
      <c r="D70" s="240">
        <f>'DRIVE 🏎️'!C4</f>
        <v>195568</v>
      </c>
      <c r="E70" s="294">
        <f t="shared" si="9"/>
        <v>0.32181515542899586</v>
      </c>
      <c r="F70" s="226">
        <f>'DRIVE 🏎️'!E4</f>
        <v>126018</v>
      </c>
      <c r="G70" s="294">
        <f t="shared" si="10"/>
        <v>0.32849308820231538</v>
      </c>
      <c r="H70" s="295">
        <f>'DRIVE 🏎️'!G4</f>
        <v>116835</v>
      </c>
      <c r="I70" s="294">
        <f t="shared" si="11"/>
        <v>0.34364579555612035</v>
      </c>
      <c r="J70" s="226">
        <f>'DRIVE 🏎️'!I4</f>
        <v>139717</v>
      </c>
      <c r="K70" s="294">
        <f t="shared" si="12"/>
        <v>0.31648745206319501</v>
      </c>
      <c r="L70" s="295">
        <f>'DRIVE 🏎️'!K4</f>
        <v>85065</v>
      </c>
      <c r="M70" s="294">
        <f t="shared" si="13"/>
        <v>0.3382519080157288</v>
      </c>
      <c r="N70" s="226">
        <f>'DRIVE 🏎️'!M4</f>
        <v>90421</v>
      </c>
      <c r="O70" s="294">
        <f t="shared" si="14"/>
        <v>0.33791758071327399</v>
      </c>
      <c r="P70" s="295">
        <f>'DRIVE 🏎️'!O4</f>
        <v>106799</v>
      </c>
      <c r="Q70" s="294">
        <f t="shared" si="15"/>
        <v>0.38758938773223101</v>
      </c>
      <c r="R70" s="226">
        <f>'DRIVE 🏎️'!Q4</f>
        <v>78414</v>
      </c>
      <c r="S70" s="294">
        <f t="shared" si="16"/>
        <v>0.35552574025130002</v>
      </c>
      <c r="T70" s="296">
        <f t="shared" si="17"/>
        <v>938837</v>
      </c>
      <c r="U70" s="297">
        <f t="shared" si="18"/>
        <v>0.33674847211128367</v>
      </c>
    </row>
    <row r="71" spans="2:21">
      <c r="B71" s="1783"/>
      <c r="C71" s="215" t="s">
        <v>17</v>
      </c>
      <c r="D71" s="240">
        <f>'DRIVE 🏎️'!C5</f>
        <v>214311</v>
      </c>
      <c r="E71" s="294">
        <f>D71/D7</f>
        <v>0.35160933735246624</v>
      </c>
      <c r="F71" s="226">
        <f>'DRIVE 🏎️'!E5</f>
        <v>139252</v>
      </c>
      <c r="G71" s="294">
        <f>F71/F7</f>
        <v>0.36141542314078712</v>
      </c>
      <c r="H71" s="295">
        <f>'DRIVE 🏎️'!G5</f>
        <v>129748</v>
      </c>
      <c r="I71" s="294">
        <f>H71/H7</f>
        <v>0.36721199975049029</v>
      </c>
      <c r="J71" s="226">
        <f>'DRIVE 🏎️'!I5</f>
        <v>154248</v>
      </c>
      <c r="K71" s="294">
        <f>J71/J7</f>
        <v>0.32714704564889852</v>
      </c>
      <c r="L71" s="295">
        <f>'DRIVE 🏎️'!K5</f>
        <v>99487</v>
      </c>
      <c r="M71" s="294">
        <f>L71/L7</f>
        <v>0.35385660376123673</v>
      </c>
      <c r="N71" s="226">
        <f>'DRIVE 🏎️'!M5</f>
        <v>104009</v>
      </c>
      <c r="O71" s="294">
        <f>N71/N7</f>
        <v>0.35575051733278606</v>
      </c>
      <c r="P71" s="295">
        <f>'DRIVE 🏎️'!O5</f>
        <v>114956</v>
      </c>
      <c r="Q71" s="294">
        <f t="shared" si="15"/>
        <v>0.41064075224744867</v>
      </c>
      <c r="R71" s="226">
        <f>'DRIVE 🏎️'!Q5</f>
        <v>85295</v>
      </c>
      <c r="S71" s="294">
        <f t="shared" si="16"/>
        <v>0.35737615886431351</v>
      </c>
      <c r="T71" s="296">
        <f>D71+F71+H71+J71+L71+N71+P71+R71</f>
        <v>1041306</v>
      </c>
      <c r="U71" s="297">
        <f>T71/T7</f>
        <v>0.35762001838794399</v>
      </c>
    </row>
    <row r="72" spans="2:21" s="229" customFormat="1">
      <c r="B72" s="1783"/>
      <c r="C72" s="224" t="s">
        <v>18</v>
      </c>
      <c r="D72" s="240">
        <f>'DRIVE 🏎️'!C6</f>
        <v>209147</v>
      </c>
      <c r="E72" s="294">
        <f t="shared" si="9"/>
        <v>0.35985114423035591</v>
      </c>
      <c r="F72" s="226">
        <f>'DRIVE 🏎️'!E6</f>
        <v>146780</v>
      </c>
      <c r="G72" s="294">
        <f t="shared" si="10"/>
        <v>0.31268821367814736</v>
      </c>
      <c r="H72" s="295">
        <f>'DRIVE 🏎️'!G6</f>
        <v>127248</v>
      </c>
      <c r="I72" s="294">
        <f t="shared" si="11"/>
        <v>0.36179969760178043</v>
      </c>
      <c r="J72" s="226">
        <f>'DRIVE 🏎️'!I6</f>
        <v>147255</v>
      </c>
      <c r="K72" s="294">
        <f t="shared" si="12"/>
        <v>0.32943835944417477</v>
      </c>
      <c r="L72" s="295">
        <f>'DRIVE 🏎️'!K6</f>
        <v>99391</v>
      </c>
      <c r="M72" s="294">
        <f t="shared" si="13"/>
        <v>0.3483470120983741</v>
      </c>
      <c r="N72" s="226">
        <f>'DRIVE 🏎️'!M6</f>
        <v>99875</v>
      </c>
      <c r="O72" s="294">
        <f t="shared" si="14"/>
        <v>0.35264603694706514</v>
      </c>
      <c r="P72" s="295">
        <f>'DRIVE 🏎️'!O6</f>
        <v>104706</v>
      </c>
      <c r="Q72" s="294">
        <f t="shared" si="15"/>
        <v>0.40015185790905844</v>
      </c>
      <c r="R72" s="226">
        <f>'DRIVE 🏎️'!Q6</f>
        <v>83086</v>
      </c>
      <c r="S72" s="294">
        <f t="shared" si="16"/>
        <v>0.34770639161065314</v>
      </c>
      <c r="T72" s="296">
        <f t="shared" si="17"/>
        <v>1017488</v>
      </c>
      <c r="U72" s="297">
        <f t="shared" si="18"/>
        <v>0.34863724642089067</v>
      </c>
    </row>
    <row r="73" spans="2:21">
      <c r="B73" s="1783"/>
      <c r="C73" s="215" t="s">
        <v>19</v>
      </c>
      <c r="D73" s="240">
        <f>'DRIVE 🏎️'!C7</f>
        <v>212520</v>
      </c>
      <c r="E73" s="294">
        <f t="shared" si="9"/>
        <v>0.37418191942471618</v>
      </c>
      <c r="F73" s="226">
        <f>'DRIVE 🏎️'!E7</f>
        <v>161237</v>
      </c>
      <c r="G73" s="294">
        <f t="shared" si="10"/>
        <v>0.34171752875474887</v>
      </c>
      <c r="H73" s="295">
        <f>'DRIVE 🏎️'!G7</f>
        <v>134660</v>
      </c>
      <c r="I73" s="294">
        <f t="shared" si="11"/>
        <v>0.36282339976518596</v>
      </c>
      <c r="J73" s="226">
        <f>'DRIVE 🏎️'!I7</f>
        <v>150147</v>
      </c>
      <c r="K73" s="294">
        <f t="shared" si="12"/>
        <v>0.3331226583466354</v>
      </c>
      <c r="L73" s="295">
        <f>'DRIVE 🏎️'!K7</f>
        <v>98985</v>
      </c>
      <c r="M73" s="294">
        <f t="shared" si="13"/>
        <v>0.34286045619266209</v>
      </c>
      <c r="N73" s="226">
        <f>'DRIVE 🏎️'!M7</f>
        <v>106869</v>
      </c>
      <c r="O73" s="294">
        <f t="shared" si="14"/>
        <v>0.35971322304313436</v>
      </c>
      <c r="P73" s="295">
        <f>'DRIVE 🏎️'!O7</f>
        <v>111968</v>
      </c>
      <c r="Q73" s="294">
        <f t="shared" si="15"/>
        <v>0.41548480952313976</v>
      </c>
      <c r="R73" s="226">
        <f>'DRIVE 🏎️'!Q7</f>
        <v>86786</v>
      </c>
      <c r="S73" s="294">
        <f t="shared" si="16"/>
        <v>0.34910660752619077</v>
      </c>
      <c r="T73" s="296">
        <f t="shared" si="17"/>
        <v>1063172</v>
      </c>
      <c r="U73" s="297">
        <f t="shared" si="18"/>
        <v>0.35850714368238035</v>
      </c>
    </row>
    <row r="74" spans="2:21" s="229" customFormat="1">
      <c r="B74" s="1783"/>
      <c r="C74" s="1005" t="s">
        <v>20</v>
      </c>
      <c r="D74" s="1017">
        <f>'DRIVE 🏎️'!C8</f>
        <v>0</v>
      </c>
      <c r="E74" s="1018">
        <f t="shared" si="9"/>
        <v>0</v>
      </c>
      <c r="F74" s="1019">
        <f>'DRIVE 🏎️'!E8</f>
        <v>0</v>
      </c>
      <c r="G74" s="1018">
        <f t="shared" si="10"/>
        <v>0</v>
      </c>
      <c r="H74" s="1020">
        <f>'DRIVE 🏎️'!G8</f>
        <v>0</v>
      </c>
      <c r="I74" s="1018">
        <f t="shared" si="11"/>
        <v>0</v>
      </c>
      <c r="J74" s="1019">
        <f>'DRIVE 🏎️'!I8</f>
        <v>0</v>
      </c>
      <c r="K74" s="1018">
        <f t="shared" si="12"/>
        <v>0</v>
      </c>
      <c r="L74" s="1020">
        <f>'DRIVE 🏎️'!K8</f>
        <v>0</v>
      </c>
      <c r="M74" s="1018">
        <f t="shared" si="13"/>
        <v>0</v>
      </c>
      <c r="N74" s="1019">
        <f>'DRIVE 🏎️'!M8</f>
        <v>0</v>
      </c>
      <c r="O74" s="1018">
        <f t="shared" si="14"/>
        <v>0</v>
      </c>
      <c r="P74" s="1020">
        <f>'DRIVE 🏎️'!O8</f>
        <v>0</v>
      </c>
      <c r="Q74" s="1018">
        <f t="shared" si="15"/>
        <v>0</v>
      </c>
      <c r="R74" s="1019">
        <f>'DRIVE 🏎️'!Q8</f>
        <v>0</v>
      </c>
      <c r="S74" s="1018">
        <f t="shared" si="16"/>
        <v>0</v>
      </c>
      <c r="T74" s="1021">
        <f t="shared" si="17"/>
        <v>0</v>
      </c>
      <c r="U74" s="1022">
        <f t="shared" si="18"/>
        <v>0</v>
      </c>
    </row>
    <row r="75" spans="2:21" s="229" customFormat="1">
      <c r="B75" s="1783"/>
      <c r="C75" s="224" t="s">
        <v>21</v>
      </c>
      <c r="D75" s="1082">
        <f>'DRIVE 🏎️'!C9</f>
        <v>0</v>
      </c>
      <c r="E75" s="1083" t="e">
        <f t="shared" si="9"/>
        <v>#DIV/0!</v>
      </c>
      <c r="F75" s="1084">
        <f>'DRIVE 🏎️'!E9</f>
        <v>0</v>
      </c>
      <c r="G75" s="1083" t="e">
        <f t="shared" si="10"/>
        <v>#DIV/0!</v>
      </c>
      <c r="H75" s="1085">
        <f>'DRIVE 🏎️'!G9</f>
        <v>0</v>
      </c>
      <c r="I75" s="1083" t="e">
        <f t="shared" si="11"/>
        <v>#DIV/0!</v>
      </c>
      <c r="J75" s="1084">
        <f>'DRIVE 🏎️'!I9</f>
        <v>0</v>
      </c>
      <c r="K75" s="1083" t="e">
        <f t="shared" si="12"/>
        <v>#DIV/0!</v>
      </c>
      <c r="L75" s="1085">
        <f>'DRIVE 🏎️'!K9</f>
        <v>0</v>
      </c>
      <c r="M75" s="1083" t="e">
        <f t="shared" si="13"/>
        <v>#DIV/0!</v>
      </c>
      <c r="N75" s="1084">
        <f>'DRIVE 🏎️'!M9</f>
        <v>0</v>
      </c>
      <c r="O75" s="1083" t="e">
        <f t="shared" si="14"/>
        <v>#DIV/0!</v>
      </c>
      <c r="P75" s="1085">
        <f>'DRIVE 🏎️'!O9</f>
        <v>0</v>
      </c>
      <c r="Q75" s="1083" t="e">
        <f t="shared" si="15"/>
        <v>#DIV/0!</v>
      </c>
      <c r="R75" s="1084">
        <f>'DRIVE 🏎️'!Q9</f>
        <v>0</v>
      </c>
      <c r="S75" s="1135" t="e">
        <f t="shared" si="16"/>
        <v>#DIV/0!</v>
      </c>
      <c r="T75" s="1086">
        <f t="shared" ref="T75:T80" si="19">D75+F75+H75+J75+L75+N75+P75+R75</f>
        <v>0</v>
      </c>
      <c r="U75" s="1087" t="e">
        <f t="shared" si="18"/>
        <v>#DIV/0!</v>
      </c>
    </row>
    <row r="76" spans="2:21">
      <c r="B76" s="1783"/>
      <c r="C76" s="215" t="s">
        <v>26</v>
      </c>
      <c r="D76" s="240">
        <f>'DRIVE 🏎️'!C10</f>
        <v>0</v>
      </c>
      <c r="E76" s="294" t="e">
        <f t="shared" si="9"/>
        <v>#DIV/0!</v>
      </c>
      <c r="F76" s="226">
        <f>'DRIVE 🏎️'!E10</f>
        <v>0</v>
      </c>
      <c r="G76" s="294" t="e">
        <f t="shared" si="10"/>
        <v>#DIV/0!</v>
      </c>
      <c r="H76" s="295">
        <f>'DRIVE 🏎️'!G10</f>
        <v>0</v>
      </c>
      <c r="I76" s="294" t="e">
        <f t="shared" si="11"/>
        <v>#DIV/0!</v>
      </c>
      <c r="J76" s="226">
        <f>'DRIVE 🏎️'!I10</f>
        <v>0</v>
      </c>
      <c r="K76" s="294" t="e">
        <f t="shared" si="12"/>
        <v>#DIV/0!</v>
      </c>
      <c r="L76" s="295">
        <f>'DRIVE 🏎️'!K10</f>
        <v>0</v>
      </c>
      <c r="M76" s="294" t="e">
        <f t="shared" si="13"/>
        <v>#DIV/0!</v>
      </c>
      <c r="N76" s="226">
        <f>'DRIVE 🏎️'!M10</f>
        <v>0</v>
      </c>
      <c r="O76" s="294" t="e">
        <f t="shared" si="14"/>
        <v>#DIV/0!</v>
      </c>
      <c r="P76" s="295">
        <f>'DRIVE 🏎️'!O10</f>
        <v>0</v>
      </c>
      <c r="Q76" s="294" t="e">
        <f t="shared" si="15"/>
        <v>#DIV/0!</v>
      </c>
      <c r="R76" s="226">
        <f>'DRIVE 🏎️'!Q10</f>
        <v>0</v>
      </c>
      <c r="S76" s="1166" t="e">
        <f t="shared" si="16"/>
        <v>#DIV/0!</v>
      </c>
      <c r="T76" s="296">
        <f t="shared" si="19"/>
        <v>0</v>
      </c>
      <c r="U76" s="297" t="e">
        <f t="shared" si="18"/>
        <v>#DIV/0!</v>
      </c>
    </row>
    <row r="77" spans="2:21">
      <c r="B77" s="1783"/>
      <c r="C77" s="215" t="s">
        <v>22</v>
      </c>
      <c r="D77" s="240">
        <f>'DRIVE 🏎️'!C11</f>
        <v>0</v>
      </c>
      <c r="E77" s="294" t="e">
        <f t="shared" si="9"/>
        <v>#DIV/0!</v>
      </c>
      <c r="F77" s="226">
        <f>'DRIVE 🏎️'!E11</f>
        <v>0</v>
      </c>
      <c r="G77" s="294" t="e">
        <f t="shared" si="10"/>
        <v>#DIV/0!</v>
      </c>
      <c r="H77" s="295">
        <f>'DRIVE 🏎️'!G11</f>
        <v>0</v>
      </c>
      <c r="I77" s="294" t="e">
        <f t="shared" si="11"/>
        <v>#DIV/0!</v>
      </c>
      <c r="J77" s="226">
        <f>'DRIVE 🏎️'!I11</f>
        <v>0</v>
      </c>
      <c r="K77" s="294" t="e">
        <f t="shared" si="12"/>
        <v>#DIV/0!</v>
      </c>
      <c r="L77" s="295">
        <f>'DRIVE 🏎️'!K11</f>
        <v>0</v>
      </c>
      <c r="M77" s="294" t="e">
        <f t="shared" si="13"/>
        <v>#DIV/0!</v>
      </c>
      <c r="N77" s="226">
        <f>'DRIVE 🏎️'!M11</f>
        <v>0</v>
      </c>
      <c r="O77" s="294" t="e">
        <f t="shared" si="14"/>
        <v>#DIV/0!</v>
      </c>
      <c r="P77" s="295">
        <f>'DRIVE 🏎️'!O11</f>
        <v>0</v>
      </c>
      <c r="Q77" s="294" t="e">
        <f t="shared" si="15"/>
        <v>#DIV/0!</v>
      </c>
      <c r="R77" s="226">
        <f>'DRIVE 🏎️'!Q11</f>
        <v>0</v>
      </c>
      <c r="S77" s="1166" t="e">
        <f t="shared" si="16"/>
        <v>#DIV/0!</v>
      </c>
      <c r="T77" s="296">
        <f t="shared" si="19"/>
        <v>0</v>
      </c>
      <c r="U77" s="297" t="e">
        <f t="shared" si="18"/>
        <v>#DIV/0!</v>
      </c>
    </row>
    <row r="78" spans="2:21">
      <c r="B78" s="1783"/>
      <c r="C78" s="215" t="s">
        <v>23</v>
      </c>
      <c r="D78" s="240">
        <f>'DRIVE 🏎️'!C12</f>
        <v>0</v>
      </c>
      <c r="E78" s="294" t="e">
        <f t="shared" si="9"/>
        <v>#DIV/0!</v>
      </c>
      <c r="F78" s="226">
        <f>'DRIVE 🏎️'!E12</f>
        <v>0</v>
      </c>
      <c r="G78" s="294" t="e">
        <f t="shared" si="10"/>
        <v>#DIV/0!</v>
      </c>
      <c r="H78" s="295">
        <f>'DRIVE 🏎️'!G12</f>
        <v>0</v>
      </c>
      <c r="I78" s="294" t="e">
        <f t="shared" si="11"/>
        <v>#DIV/0!</v>
      </c>
      <c r="J78" s="226">
        <f>'DRIVE 🏎️'!I12</f>
        <v>0</v>
      </c>
      <c r="K78" s="294" t="e">
        <f t="shared" si="12"/>
        <v>#DIV/0!</v>
      </c>
      <c r="L78" s="295">
        <f>'DRIVE 🏎️'!K12</f>
        <v>0</v>
      </c>
      <c r="M78" s="294" t="e">
        <f t="shared" si="13"/>
        <v>#DIV/0!</v>
      </c>
      <c r="N78" s="226">
        <f>'DRIVE 🏎️'!M12</f>
        <v>0</v>
      </c>
      <c r="O78" s="294" t="e">
        <f t="shared" si="14"/>
        <v>#DIV/0!</v>
      </c>
      <c r="P78" s="295">
        <f>'DRIVE 🏎️'!O12</f>
        <v>0</v>
      </c>
      <c r="Q78" s="294" t="e">
        <f t="shared" si="15"/>
        <v>#DIV/0!</v>
      </c>
      <c r="R78" s="226">
        <f>'DRIVE 🏎️'!Q12</f>
        <v>0</v>
      </c>
      <c r="S78" s="1166" t="e">
        <f t="shared" si="16"/>
        <v>#DIV/0!</v>
      </c>
      <c r="T78" s="296">
        <f t="shared" si="19"/>
        <v>0</v>
      </c>
      <c r="U78" s="297" t="e">
        <f t="shared" si="18"/>
        <v>#DIV/0!</v>
      </c>
    </row>
    <row r="79" spans="2:21">
      <c r="B79" s="1783"/>
      <c r="C79" s="215" t="s">
        <v>24</v>
      </c>
      <c r="D79" s="240">
        <f>'DRIVE 🏎️'!C13</f>
        <v>0</v>
      </c>
      <c r="E79" s="294" t="e">
        <f t="shared" si="9"/>
        <v>#DIV/0!</v>
      </c>
      <c r="F79" s="226">
        <f>'DRIVE 🏎️'!E13</f>
        <v>0</v>
      </c>
      <c r="G79" s="294" t="e">
        <f t="shared" si="10"/>
        <v>#DIV/0!</v>
      </c>
      <c r="H79" s="295">
        <f>'DRIVE 🏎️'!G13</f>
        <v>0</v>
      </c>
      <c r="I79" s="294" t="e">
        <f t="shared" si="11"/>
        <v>#DIV/0!</v>
      </c>
      <c r="J79" s="226">
        <f>'DRIVE 🏎️'!I13</f>
        <v>0</v>
      </c>
      <c r="K79" s="294" t="e">
        <f t="shared" si="12"/>
        <v>#DIV/0!</v>
      </c>
      <c r="L79" s="295">
        <f>'DRIVE 🏎️'!K13</f>
        <v>0</v>
      </c>
      <c r="M79" s="294" t="e">
        <f t="shared" si="13"/>
        <v>#DIV/0!</v>
      </c>
      <c r="N79" s="226">
        <f>'DRIVE 🏎️'!M13</f>
        <v>0</v>
      </c>
      <c r="O79" s="294" t="e">
        <f t="shared" si="14"/>
        <v>#DIV/0!</v>
      </c>
      <c r="P79" s="295">
        <f>'DRIVE 🏎️'!O13</f>
        <v>0</v>
      </c>
      <c r="Q79" s="294" t="e">
        <f t="shared" si="15"/>
        <v>#DIV/0!</v>
      </c>
      <c r="R79" s="226">
        <f>'DRIVE 🏎️'!Q13</f>
        <v>0</v>
      </c>
      <c r="S79" s="1166" t="e">
        <f t="shared" si="16"/>
        <v>#DIV/0!</v>
      </c>
      <c r="T79" s="1382">
        <f t="shared" si="19"/>
        <v>0</v>
      </c>
      <c r="U79" s="297" t="e">
        <f t="shared" si="18"/>
        <v>#DIV/0!</v>
      </c>
    </row>
    <row r="80" spans="2:21">
      <c r="B80" s="1783"/>
      <c r="C80" s="215" t="s">
        <v>27</v>
      </c>
      <c r="D80" s="240">
        <f>'DRIVE 🏎️'!C14</f>
        <v>0</v>
      </c>
      <c r="E80" s="294" t="e">
        <f>D80/D16</f>
        <v>#DIV/0!</v>
      </c>
      <c r="F80" s="226">
        <f>'DRIVE 🏎️'!E14</f>
        <v>0</v>
      </c>
      <c r="G80" s="294" t="e">
        <f>F80/F16</f>
        <v>#DIV/0!</v>
      </c>
      <c r="H80" s="295">
        <f>'DRIVE 🏎️'!G14</f>
        <v>0</v>
      </c>
      <c r="I80" s="294" t="e">
        <f>H80/H16</f>
        <v>#DIV/0!</v>
      </c>
      <c r="J80" s="226">
        <f>'DRIVE 🏎️'!I14</f>
        <v>0</v>
      </c>
      <c r="K80" s="294" t="e">
        <f>J80/J16</f>
        <v>#DIV/0!</v>
      </c>
      <c r="L80" s="295">
        <f>'DRIVE 🏎️'!K14</f>
        <v>0</v>
      </c>
      <c r="M80" s="294" t="e">
        <f>L80/L16</f>
        <v>#DIV/0!</v>
      </c>
      <c r="N80" s="226">
        <f>'DRIVE 🏎️'!M14</f>
        <v>0</v>
      </c>
      <c r="O80" s="294" t="e">
        <f>N80/N16</f>
        <v>#DIV/0!</v>
      </c>
      <c r="P80" s="295">
        <f>'DRIVE 🏎️'!O14</f>
        <v>0</v>
      </c>
      <c r="Q80" s="294" t="e">
        <f>P80/P16</f>
        <v>#DIV/0!</v>
      </c>
      <c r="R80" s="226">
        <f>'DRIVE 🏎️'!Q14</f>
        <v>0</v>
      </c>
      <c r="S80" s="1166" t="e">
        <f>R80/R16</f>
        <v>#DIV/0!</v>
      </c>
      <c r="T80" s="1382">
        <f t="shared" si="19"/>
        <v>0</v>
      </c>
      <c r="U80" s="297" t="e">
        <f>T80/T16</f>
        <v>#DIV/0!</v>
      </c>
    </row>
    <row r="81" spans="2:25" ht="21" thickBot="1">
      <c r="B81" s="1783"/>
      <c r="C81" s="298" t="s">
        <v>45</v>
      </c>
      <c r="D81" s="299">
        <f>SUM(D69:D80)</f>
        <v>1047854</v>
      </c>
      <c r="E81" s="300">
        <f>D81/D17</f>
        <v>0.33183479442426062</v>
      </c>
      <c r="F81" s="299">
        <f>SUM(F69:F80)</f>
        <v>712717</v>
      </c>
      <c r="G81" s="300">
        <f>F81/F17</f>
        <v>0.32462378073872361</v>
      </c>
      <c r="H81" s="299">
        <f>SUM(H69:H80)</f>
        <v>644967</v>
      </c>
      <c r="I81" s="300">
        <f>H81/H17</f>
        <v>0.34556994834268639</v>
      </c>
      <c r="J81" s="299">
        <f>SUM(J69:J80)</f>
        <v>754397</v>
      </c>
      <c r="K81" s="300">
        <f>J81/J17</f>
        <v>0.31271810350539481</v>
      </c>
      <c r="L81" s="299">
        <f>SUM(L69:L80)</f>
        <v>484695</v>
      </c>
      <c r="M81" s="300">
        <f>L81/L17</f>
        <v>0.33382698752274975</v>
      </c>
      <c r="N81" s="299">
        <f>SUM(N69:N80)</f>
        <v>505193</v>
      </c>
      <c r="O81" s="300">
        <f>N81/N17</f>
        <v>0.33773784708526594</v>
      </c>
      <c r="P81" s="299">
        <f>SUM(P69:P80)</f>
        <v>554346</v>
      </c>
      <c r="Q81" s="300">
        <f>P81/P17</f>
        <v>0.3842635672670931</v>
      </c>
      <c r="R81" s="299">
        <f>SUM(R69:R80)</f>
        <v>425926</v>
      </c>
      <c r="S81" s="300">
        <f>R81/R17</f>
        <v>0.33844788328035219</v>
      </c>
      <c r="T81" s="299">
        <f>SUM(T69:T80)</f>
        <v>5130095</v>
      </c>
      <c r="U81" s="301">
        <f>T81/T17</f>
        <v>0.33571977049266316</v>
      </c>
    </row>
    <row r="82" spans="2:25" ht="20" thickBot="1">
      <c r="B82" s="1783"/>
      <c r="C82" s="302"/>
      <c r="D82" s="303"/>
      <c r="E82" s="304"/>
      <c r="F82" s="303"/>
      <c r="G82" s="304"/>
      <c r="H82" s="303"/>
      <c r="I82" s="304"/>
      <c r="J82" s="303"/>
      <c r="K82" s="304"/>
      <c r="L82" s="303"/>
      <c r="M82" s="304"/>
      <c r="N82" s="303"/>
      <c r="O82" s="304"/>
      <c r="P82" s="303"/>
      <c r="Q82" s="304"/>
      <c r="R82" s="303"/>
      <c r="S82" s="304"/>
      <c r="T82" s="303"/>
      <c r="U82" s="305"/>
    </row>
    <row r="83" spans="2:25" s="324" customFormat="1" ht="36">
      <c r="B83" s="1783"/>
      <c r="C83" s="864" t="s">
        <v>454</v>
      </c>
      <c r="D83" s="865" t="s">
        <v>28</v>
      </c>
      <c r="E83" s="865" t="s">
        <v>466</v>
      </c>
      <c r="F83" s="871" t="s">
        <v>29</v>
      </c>
      <c r="G83" s="865" t="s">
        <v>466</v>
      </c>
      <c r="H83" s="869" t="s">
        <v>30</v>
      </c>
      <c r="I83" s="872" t="s">
        <v>466</v>
      </c>
      <c r="J83" s="873" t="s">
        <v>31</v>
      </c>
      <c r="K83" s="865" t="s">
        <v>466</v>
      </c>
      <c r="L83" s="866" t="s">
        <v>32</v>
      </c>
      <c r="M83" s="872" t="s">
        <v>466</v>
      </c>
      <c r="N83" s="871" t="s">
        <v>253</v>
      </c>
      <c r="O83" s="865" t="s">
        <v>466</v>
      </c>
      <c r="P83" s="869" t="s">
        <v>34</v>
      </c>
      <c r="Q83" s="872" t="s">
        <v>466</v>
      </c>
      <c r="R83" s="873" t="s">
        <v>308</v>
      </c>
      <c r="S83" s="872" t="s">
        <v>466</v>
      </c>
      <c r="T83" s="868" t="s">
        <v>37</v>
      </c>
      <c r="U83" s="870" t="s">
        <v>466</v>
      </c>
      <c r="X83" s="324" t="str">
        <f>D83</f>
        <v>CHAMBERY</v>
      </c>
      <c r="Y83" s="874">
        <f>E96</f>
        <v>-8194</v>
      </c>
    </row>
    <row r="84" spans="2:25">
      <c r="B84" s="1783"/>
      <c r="C84" s="215" t="s">
        <v>10</v>
      </c>
      <c r="D84" s="306">
        <f>'DRIVE 🏎️'!D3</f>
        <v>11315</v>
      </c>
      <c r="E84" s="307">
        <f>+D84-'[10]INDICES CA 💵'!D84</f>
        <v>-1280</v>
      </c>
      <c r="F84" s="308">
        <f>'DRIVE 🏎️'!F3</f>
        <v>7296</v>
      </c>
      <c r="G84" s="307">
        <f>+F84-'[10]INDICES CA 💵'!F84</f>
        <v>-1111</v>
      </c>
      <c r="H84" s="309">
        <f>'DRIVE 🏎️'!H3</f>
        <v>6130</v>
      </c>
      <c r="I84" s="307">
        <f>+H84-'[10]INDICES CA 💵'!H84</f>
        <v>-731</v>
      </c>
      <c r="J84" s="308">
        <f>'DRIVE 🏎️'!J3</f>
        <v>8013</v>
      </c>
      <c r="K84" s="307">
        <f>+J84-'[10]INDICES CA 💵'!J84</f>
        <v>-350</v>
      </c>
      <c r="L84" s="309">
        <f>'DRIVE 🏎️'!L3</f>
        <v>4333</v>
      </c>
      <c r="M84" s="307">
        <f>+L84-'[10]INDICES CA 💵'!L84</f>
        <v>-741</v>
      </c>
      <c r="N84" s="308">
        <f>'DRIVE 🏎️'!N3</f>
        <v>4567</v>
      </c>
      <c r="O84" s="307">
        <f>+N84-'[10]INDICES CA 💵'!N84</f>
        <v>-322</v>
      </c>
      <c r="P84" s="309">
        <f>'DRIVE 🏎️'!P3</f>
        <v>5366</v>
      </c>
      <c r="Q84" s="307">
        <f>+P84-'[10]INDICES CA 💵'!P84</f>
        <v>-592</v>
      </c>
      <c r="R84" s="308">
        <f>'DRIVE 🏎️'!R3</f>
        <v>4415</v>
      </c>
      <c r="S84" s="307">
        <f>+R84-'[10]INDICES CA 💵'!R84</f>
        <v>-233</v>
      </c>
      <c r="T84" s="310">
        <f>'DRIVE 🏎️'!T3</f>
        <v>51435</v>
      </c>
      <c r="U84" s="311">
        <f>+T84-'[10]INDICES CA 💵'!T84</f>
        <v>-5360</v>
      </c>
      <c r="X84" s="211" t="str">
        <f>F83</f>
        <v>AIX LES BAINS</v>
      </c>
      <c r="Y84" s="270">
        <f>G96</f>
        <v>-6034</v>
      </c>
    </row>
    <row r="85" spans="2:25" s="229" customFormat="1">
      <c r="B85" s="1783"/>
      <c r="C85" s="224" t="s">
        <v>25</v>
      </c>
      <c r="D85" s="312">
        <f>'DRIVE 🏎️'!D4</f>
        <v>9997</v>
      </c>
      <c r="E85" s="307">
        <f>+D85-'[10]INDICES CA 💵'!D85</f>
        <v>-1411</v>
      </c>
      <c r="F85" s="313">
        <f>'DRIVE 🏎️'!F4</f>
        <v>6648</v>
      </c>
      <c r="G85" s="307">
        <f>+F85-'[10]INDICES CA 💵'!F85</f>
        <v>-1050</v>
      </c>
      <c r="H85" s="314">
        <f>'DRIVE 🏎️'!H4</f>
        <v>5313</v>
      </c>
      <c r="I85" s="307">
        <f>+H85-'[10]INDICES CA 💵'!H85</f>
        <v>-1016</v>
      </c>
      <c r="J85" s="313">
        <f>'DRIVE 🏎️'!J4</f>
        <v>6865</v>
      </c>
      <c r="K85" s="307">
        <f>+J85-'[10]INDICES CA 💵'!J85</f>
        <v>-710</v>
      </c>
      <c r="L85" s="314">
        <f>'DRIVE 🏎️'!L4</f>
        <v>3725</v>
      </c>
      <c r="M85" s="307">
        <f>+L85-'[10]INDICES CA 💵'!L85</f>
        <v>-999</v>
      </c>
      <c r="N85" s="313">
        <f>'DRIVE 🏎️'!N4</f>
        <v>4061</v>
      </c>
      <c r="O85" s="307">
        <f>+N85-'[10]INDICES CA 💵'!N85</f>
        <v>-398</v>
      </c>
      <c r="P85" s="314">
        <f>'DRIVE 🏎️'!P4</f>
        <v>4953</v>
      </c>
      <c r="Q85" s="307">
        <f>+P85-'[10]INDICES CA 💵'!P85</f>
        <v>-519</v>
      </c>
      <c r="R85" s="313">
        <f>'DRIVE 🏎️'!R4</f>
        <v>3904</v>
      </c>
      <c r="S85" s="307">
        <f>+R85-'[10]INDICES CA 💵'!R85</f>
        <v>-210</v>
      </c>
      <c r="T85" s="316">
        <f>'DRIVE 🏎️'!T4</f>
        <v>45466</v>
      </c>
      <c r="U85" s="311">
        <f>+T85-'[10]INDICES CA 💵'!T85</f>
        <v>-6313</v>
      </c>
      <c r="X85" s="229" t="str">
        <f>H83</f>
        <v>BELLEY</v>
      </c>
      <c r="Y85" s="282">
        <f>I96</f>
        <v>-4519</v>
      </c>
    </row>
    <row r="86" spans="2:25">
      <c r="B86" s="1783"/>
      <c r="C86" s="215" t="s">
        <v>17</v>
      </c>
      <c r="D86" s="312">
        <f>'DRIVE 🏎️'!D5</f>
        <v>11042</v>
      </c>
      <c r="E86" s="307">
        <f>+D86-'[10]INDICES CA 💵'!D86</f>
        <v>-1481</v>
      </c>
      <c r="F86" s="313">
        <f>'DRIVE 🏎️'!F5</f>
        <v>7303</v>
      </c>
      <c r="G86" s="307">
        <f>+F86-'[10]INDICES CA 💵'!F86</f>
        <v>-1252</v>
      </c>
      <c r="H86" s="314">
        <f>'DRIVE 🏎️'!H5</f>
        <v>5889</v>
      </c>
      <c r="I86" s="307">
        <f>+H86-'[10]INDICES CA 💵'!H86</f>
        <v>-965</v>
      </c>
      <c r="J86" s="313">
        <f>'DRIVE 🏎️'!J5</f>
        <v>7636</v>
      </c>
      <c r="K86" s="307">
        <f>+J86-'[10]INDICES CA 💵'!J86</f>
        <v>-549</v>
      </c>
      <c r="L86" s="314">
        <f>'DRIVE 🏎️'!L5</f>
        <v>4318</v>
      </c>
      <c r="M86" s="307">
        <f>+L86-'[10]INDICES CA 💵'!L86</f>
        <v>-707</v>
      </c>
      <c r="N86" s="313">
        <f>'DRIVE 🏎️'!N5</f>
        <v>4489</v>
      </c>
      <c r="O86" s="307">
        <f>+N86-'[10]INDICES CA 💵'!N86</f>
        <v>-533</v>
      </c>
      <c r="P86" s="314">
        <f>'DRIVE 🏎️'!P5</f>
        <v>5271</v>
      </c>
      <c r="Q86" s="307">
        <f>+P86-'[10]INDICES CA 💵'!P86</f>
        <v>-599</v>
      </c>
      <c r="R86" s="313">
        <f>'DRIVE 🏎️'!R5</f>
        <v>4152</v>
      </c>
      <c r="S86" s="307">
        <f>+R86-'[10]INDICES CA 💵'!R86</f>
        <v>-476</v>
      </c>
      <c r="T86" s="316">
        <f>'DRIVE 🏎️'!T5</f>
        <v>50100</v>
      </c>
      <c r="U86" s="311">
        <f>+T86-'[10]INDICES CA 💵'!T86</f>
        <v>-6562</v>
      </c>
      <c r="X86" s="211" t="str">
        <f>J83</f>
        <v>ST ALBAN</v>
      </c>
      <c r="Y86" s="270">
        <f>K96</f>
        <v>-2804</v>
      </c>
    </row>
    <row r="87" spans="2:25" s="229" customFormat="1">
      <c r="B87" s="1783"/>
      <c r="C87" s="224" t="s">
        <v>18</v>
      </c>
      <c r="D87" s="312">
        <f>'DRIVE 🏎️'!D6</f>
        <v>10634</v>
      </c>
      <c r="E87" s="307">
        <f>+D87-'[10]INDICES CA 💵'!D87</f>
        <v>-1990</v>
      </c>
      <c r="F87" s="313">
        <f>'DRIVE 🏎️'!F6</f>
        <v>7816</v>
      </c>
      <c r="G87" s="307">
        <f>+F87-'[10]INDICES CA 💵'!F87</f>
        <v>-1568</v>
      </c>
      <c r="H87" s="314">
        <f>'DRIVE 🏎️'!H6</f>
        <v>5822</v>
      </c>
      <c r="I87" s="307">
        <f>+H87-'[10]INDICES CA 💵'!H87</f>
        <v>-1061</v>
      </c>
      <c r="J87" s="313">
        <f>'DRIVE 🏎️'!J6</f>
        <v>7344</v>
      </c>
      <c r="K87" s="307">
        <f>+J87-'[10]INDICES CA 💵'!J87</f>
        <v>-566</v>
      </c>
      <c r="L87" s="314">
        <f>'DRIVE 🏎️'!L6</f>
        <v>4307</v>
      </c>
      <c r="M87" s="307">
        <f>+L87-'[10]INDICES CA 💵'!L87</f>
        <v>-783</v>
      </c>
      <c r="N87" s="313">
        <f>'DRIVE 🏎️'!N6</f>
        <v>4376</v>
      </c>
      <c r="O87" s="307">
        <f>+N87-'[10]INDICES CA 💵'!N87</f>
        <v>-604</v>
      </c>
      <c r="P87" s="314">
        <f>'DRIVE 🏎️'!P6</f>
        <v>4882</v>
      </c>
      <c r="Q87" s="307">
        <f>+P87-'[10]INDICES CA 💵'!P87</f>
        <v>-646</v>
      </c>
      <c r="R87" s="313">
        <f>'DRIVE 🏎️'!R6</f>
        <v>4069</v>
      </c>
      <c r="S87" s="307">
        <f>+R87-'[10]INDICES CA 💵'!R87</f>
        <v>-550</v>
      </c>
      <c r="T87" s="316">
        <f>'DRIVE 🏎️'!T6</f>
        <v>49250</v>
      </c>
      <c r="U87" s="311">
        <f>+T87-'[10]INDICES CA 💵'!T87</f>
        <v>-7768</v>
      </c>
      <c r="X87" s="229" t="str">
        <f>L83</f>
        <v>LES ABRETS</v>
      </c>
      <c r="Y87" s="282">
        <f>M96</f>
        <v>-4197</v>
      </c>
    </row>
    <row r="88" spans="2:25">
      <c r="B88" s="1783"/>
      <c r="C88" s="215" t="s">
        <v>19</v>
      </c>
      <c r="D88" s="312">
        <f>'DRIVE 🏎️'!D7</f>
        <v>10716</v>
      </c>
      <c r="E88" s="307">
        <f>+D88-'[10]INDICES CA 💵'!D88</f>
        <v>-2032</v>
      </c>
      <c r="F88" s="313">
        <f>'DRIVE 🏎️'!F7</f>
        <v>8742</v>
      </c>
      <c r="G88" s="307">
        <f>+F88-'[10]INDICES CA 💵'!F88</f>
        <v>-1053</v>
      </c>
      <c r="H88" s="314">
        <f>'DRIVE 🏎️'!H7</f>
        <v>6198</v>
      </c>
      <c r="I88" s="307">
        <f>+H88-'[10]INDICES CA 💵'!H88</f>
        <v>-746</v>
      </c>
      <c r="J88" s="313">
        <f>'DRIVE 🏎️'!J7</f>
        <v>7583</v>
      </c>
      <c r="K88" s="307">
        <f>+J88-'[10]INDICES CA 💵'!J88</f>
        <v>-629</v>
      </c>
      <c r="L88" s="314">
        <f>'DRIVE 🏎️'!L7</f>
        <v>4335</v>
      </c>
      <c r="M88" s="307">
        <f>+L88-'[10]INDICES CA 💵'!L88</f>
        <v>-967</v>
      </c>
      <c r="N88" s="313">
        <f>'DRIVE 🏎️'!N7</f>
        <v>4740</v>
      </c>
      <c r="O88" s="307">
        <f>+N88-'[10]INDICES CA 💵'!N88</f>
        <v>-611</v>
      </c>
      <c r="P88" s="314">
        <f>'DRIVE 🏎️'!P7</f>
        <v>5211</v>
      </c>
      <c r="Q88" s="307">
        <f>+P88-'[10]INDICES CA 💵'!P88</f>
        <v>-329</v>
      </c>
      <c r="R88" s="313">
        <f>'DRIVE 🏎️'!R7</f>
        <v>4256</v>
      </c>
      <c r="S88" s="307">
        <f>+R88-'[10]INDICES CA 💵'!R88</f>
        <v>-483</v>
      </c>
      <c r="T88" s="316">
        <f>'DRIVE 🏎️'!T7</f>
        <v>51781</v>
      </c>
      <c r="U88" s="311">
        <f>+T88-'[10]INDICES CA 💵'!T88</f>
        <v>-6850</v>
      </c>
      <c r="X88" s="211" t="str">
        <f>N83</f>
        <v>PDB</v>
      </c>
      <c r="Y88" s="270">
        <f>O96</f>
        <v>-2468</v>
      </c>
    </row>
    <row r="89" spans="2:25" s="229" customFormat="1">
      <c r="B89" s="1783"/>
      <c r="C89" s="224" t="s">
        <v>20</v>
      </c>
      <c r="D89" s="312">
        <f>'DRIVE 🏎️'!D8</f>
        <v>0</v>
      </c>
      <c r="E89" s="307"/>
      <c r="F89" s="1143">
        <f>'DRIVE 🏎️'!F8</f>
        <v>0</v>
      </c>
      <c r="G89" s="307"/>
      <c r="H89" s="1144">
        <f>'DRIVE 🏎️'!H8</f>
        <v>0</v>
      </c>
      <c r="I89" s="307"/>
      <c r="J89" s="1143">
        <f>'DRIVE 🏎️'!J8</f>
        <v>0</v>
      </c>
      <c r="K89" s="307"/>
      <c r="L89" s="1144">
        <f>'DRIVE 🏎️'!L8</f>
        <v>0</v>
      </c>
      <c r="M89" s="307"/>
      <c r="N89" s="1143">
        <f>'DRIVE 🏎️'!N8</f>
        <v>0</v>
      </c>
      <c r="O89" s="307"/>
      <c r="P89" s="1144">
        <f>'DRIVE 🏎️'!P8</f>
        <v>0</v>
      </c>
      <c r="Q89" s="307"/>
      <c r="R89" s="1143">
        <f>'DRIVE 🏎️'!R8</f>
        <v>0</v>
      </c>
      <c r="S89" s="315"/>
      <c r="T89" s="1145">
        <f>'DRIVE 🏎️'!T8</f>
        <v>0</v>
      </c>
      <c r="U89" s="317"/>
      <c r="X89" s="229" t="str">
        <f>P83</f>
        <v>FRANCIN</v>
      </c>
      <c r="Y89" s="282">
        <f>Q96</f>
        <v>-2685</v>
      </c>
    </row>
    <row r="90" spans="2:25" s="229" customFormat="1">
      <c r="B90" s="1783"/>
      <c r="C90" s="1146" t="s">
        <v>21</v>
      </c>
      <c r="D90" s="1147">
        <f>'DRIVE 🏎️'!D9</f>
        <v>0</v>
      </c>
      <c r="E90" s="1148"/>
      <c r="F90" s="1149">
        <f>'DRIVE 🏎️'!F9</f>
        <v>0</v>
      </c>
      <c r="G90" s="1148"/>
      <c r="H90" s="1150">
        <f>'DRIVE 🏎️'!H9</f>
        <v>0</v>
      </c>
      <c r="I90" s="1148"/>
      <c r="J90" s="1149">
        <f>'DRIVE 🏎️'!J9</f>
        <v>0</v>
      </c>
      <c r="K90" s="1148"/>
      <c r="L90" s="1150">
        <f>'DRIVE 🏎️'!L9</f>
        <v>0</v>
      </c>
      <c r="M90" s="1148"/>
      <c r="N90" s="1149">
        <f>'DRIVE 🏎️'!N9</f>
        <v>0</v>
      </c>
      <c r="O90" s="1148"/>
      <c r="P90" s="1150">
        <f>'DRIVE 🏎️'!P9</f>
        <v>0</v>
      </c>
      <c r="Q90" s="1148"/>
      <c r="R90" s="1149">
        <f>'DRIVE 🏎️'!R9</f>
        <v>0</v>
      </c>
      <c r="S90" s="1151"/>
      <c r="T90" s="1152">
        <f>'DRIVE 🏎️'!T9</f>
        <v>0</v>
      </c>
      <c r="U90" s="1153"/>
      <c r="X90" s="229" t="str">
        <f>R83</f>
        <v>VIVIERS</v>
      </c>
      <c r="Y90" s="282">
        <f>S96</f>
        <v>-1952</v>
      </c>
    </row>
    <row r="91" spans="2:25">
      <c r="B91" s="1783"/>
      <c r="C91" s="215" t="s">
        <v>26</v>
      </c>
      <c r="D91" s="312">
        <f>'DRIVE 🏎️'!D10</f>
        <v>0</v>
      </c>
      <c r="E91" s="1154"/>
      <c r="F91" s="1143">
        <f>'DRIVE 🏎️'!F10</f>
        <v>0</v>
      </c>
      <c r="G91" s="315"/>
      <c r="H91" s="1144">
        <f>'DRIVE 🏎️'!H10</f>
        <v>0</v>
      </c>
      <c r="I91" s="1154"/>
      <c r="J91" s="1143">
        <f>'DRIVE 🏎️'!J10</f>
        <v>0</v>
      </c>
      <c r="K91" s="315"/>
      <c r="L91" s="1144">
        <f>'DRIVE 🏎️'!L10</f>
        <v>0</v>
      </c>
      <c r="M91" s="1154"/>
      <c r="N91" s="1143">
        <f>'DRIVE 🏎️'!N10</f>
        <v>0</v>
      </c>
      <c r="O91" s="315"/>
      <c r="P91" s="1144">
        <f>'DRIVE 🏎️'!P10</f>
        <v>0</v>
      </c>
      <c r="Q91" s="1154"/>
      <c r="R91" s="1143">
        <f>'DRIVE 🏎️'!R10</f>
        <v>0</v>
      </c>
      <c r="S91" s="315"/>
      <c r="T91" s="1145">
        <f>'DRIVE 🏎️'!T10</f>
        <v>0</v>
      </c>
      <c r="U91" s="317"/>
    </row>
    <row r="92" spans="2:25">
      <c r="B92" s="1783"/>
      <c r="C92" s="215" t="s">
        <v>22</v>
      </c>
      <c r="D92" s="312">
        <f>'DRIVE 🏎️'!D11</f>
        <v>0</v>
      </c>
      <c r="E92" s="1154"/>
      <c r="F92" s="1143">
        <f>'DRIVE 🏎️'!F11</f>
        <v>0</v>
      </c>
      <c r="G92" s="315"/>
      <c r="H92" s="1144">
        <f>'DRIVE 🏎️'!H11</f>
        <v>0</v>
      </c>
      <c r="I92" s="1154"/>
      <c r="J92" s="1143">
        <f>'DRIVE 🏎️'!J11</f>
        <v>0</v>
      </c>
      <c r="K92" s="315"/>
      <c r="L92" s="1144">
        <f>'DRIVE 🏎️'!L11</f>
        <v>0</v>
      </c>
      <c r="M92" s="1154"/>
      <c r="N92" s="1143">
        <f>'DRIVE 🏎️'!N11</f>
        <v>0</v>
      </c>
      <c r="O92" s="315"/>
      <c r="P92" s="1144">
        <f>'DRIVE 🏎️'!P11</f>
        <v>0</v>
      </c>
      <c r="Q92" s="1154"/>
      <c r="R92" s="1143">
        <f>'DRIVE 🏎️'!R11</f>
        <v>0</v>
      </c>
      <c r="S92" s="318"/>
      <c r="T92" s="1145">
        <f>'DRIVE 🏎️'!T11</f>
        <v>0</v>
      </c>
      <c r="U92" s="317"/>
    </row>
    <row r="93" spans="2:25">
      <c r="B93" s="1783"/>
      <c r="C93" s="215" t="s">
        <v>23</v>
      </c>
      <c r="D93" s="312">
        <f>'DRIVE 🏎️'!D12</f>
        <v>0</v>
      </c>
      <c r="E93" s="1154"/>
      <c r="F93" s="1143">
        <f>'DRIVE 🏎️'!F12</f>
        <v>0</v>
      </c>
      <c r="G93" s="315"/>
      <c r="H93" s="1144">
        <f>'DRIVE 🏎️'!H12</f>
        <v>0</v>
      </c>
      <c r="I93" s="1154"/>
      <c r="J93" s="1143">
        <f>'DRIVE 🏎️'!J12</f>
        <v>0</v>
      </c>
      <c r="K93" s="315"/>
      <c r="L93" s="1144">
        <f>'DRIVE 🏎️'!L12</f>
        <v>0</v>
      </c>
      <c r="M93" s="1154"/>
      <c r="N93" s="1143">
        <f>'DRIVE 🏎️'!N12</f>
        <v>0</v>
      </c>
      <c r="O93" s="315"/>
      <c r="P93" s="1144">
        <f>'DRIVE 🏎️'!P12</f>
        <v>0</v>
      </c>
      <c r="Q93" s="1154"/>
      <c r="R93" s="1143">
        <f>'DRIVE 🏎️'!R12</f>
        <v>0</v>
      </c>
      <c r="S93" s="315"/>
      <c r="T93" s="1145">
        <f>'DRIVE 🏎️'!T12</f>
        <v>0</v>
      </c>
      <c r="U93" s="317"/>
    </row>
    <row r="94" spans="2:25">
      <c r="B94" s="1783"/>
      <c r="C94" s="215" t="s">
        <v>24</v>
      </c>
      <c r="D94" s="312">
        <f>'DRIVE 🏎️'!D13</f>
        <v>0</v>
      </c>
      <c r="E94" s="1154"/>
      <c r="F94" s="1143">
        <f>'DRIVE 🏎️'!F13</f>
        <v>0</v>
      </c>
      <c r="G94" s="315"/>
      <c r="H94" s="1144">
        <f>'DRIVE 🏎️'!H13</f>
        <v>0</v>
      </c>
      <c r="I94" s="1154"/>
      <c r="J94" s="1143">
        <f>'DRIVE 🏎️'!J13</f>
        <v>0</v>
      </c>
      <c r="K94" s="315"/>
      <c r="L94" s="1144">
        <f>'DRIVE 🏎️'!L13</f>
        <v>0</v>
      </c>
      <c r="M94" s="1154"/>
      <c r="N94" s="1143">
        <f>'DRIVE 🏎️'!N13</f>
        <v>0</v>
      </c>
      <c r="O94" s="315"/>
      <c r="P94" s="1144">
        <f>'DRIVE 🏎️'!P13</f>
        <v>0</v>
      </c>
      <c r="Q94" s="1154"/>
      <c r="R94" s="1143">
        <f>'DRIVE 🏎️'!R13</f>
        <v>0</v>
      </c>
      <c r="S94" s="315"/>
      <c r="T94" s="1145">
        <f>'DRIVE 🏎️'!T13</f>
        <v>0</v>
      </c>
      <c r="U94" s="317"/>
    </row>
    <row r="95" spans="2:25">
      <c r="B95" s="1783"/>
      <c r="C95" s="215" t="s">
        <v>27</v>
      </c>
      <c r="D95" s="312">
        <f>'DRIVE 🏎️'!D14</f>
        <v>0</v>
      </c>
      <c r="E95" s="1154"/>
      <c r="F95" s="1143">
        <f>'DRIVE 🏎️'!F14</f>
        <v>0</v>
      </c>
      <c r="G95" s="315"/>
      <c r="H95" s="1144">
        <f>'DRIVE 🏎️'!H14</f>
        <v>0</v>
      </c>
      <c r="I95" s="1154"/>
      <c r="J95" s="1143">
        <f>'DRIVE 🏎️'!J14</f>
        <v>0</v>
      </c>
      <c r="K95" s="315"/>
      <c r="L95" s="1144">
        <f>'DRIVE 🏎️'!L14</f>
        <v>0</v>
      </c>
      <c r="M95" s="1154"/>
      <c r="N95" s="1143">
        <f>'DRIVE 🏎️'!N14</f>
        <v>0</v>
      </c>
      <c r="O95" s="315"/>
      <c r="P95" s="1144">
        <f>'DRIVE 🏎️'!P14</f>
        <v>0</v>
      </c>
      <c r="Q95" s="1154"/>
      <c r="R95" s="1143">
        <f>'DRIVE 🏎️'!R14</f>
        <v>0</v>
      </c>
      <c r="S95" s="315"/>
      <c r="T95" s="1145">
        <f>'DRIVE 🏎️'!T14</f>
        <v>0</v>
      </c>
      <c r="U95" s="319"/>
    </row>
    <row r="96" spans="2:25" ht="21" thickBot="1">
      <c r="B96" s="1783"/>
      <c r="C96" s="298" t="s">
        <v>45</v>
      </c>
      <c r="D96" s="320">
        <f t="shared" ref="D96:U96" si="20">SUM(D84:D95)</f>
        <v>53704</v>
      </c>
      <c r="E96" s="320">
        <f t="shared" si="20"/>
        <v>-8194</v>
      </c>
      <c r="F96" s="320">
        <f t="shared" si="20"/>
        <v>37805</v>
      </c>
      <c r="G96" s="320">
        <f t="shared" si="20"/>
        <v>-6034</v>
      </c>
      <c r="H96" s="320">
        <f t="shared" si="20"/>
        <v>29352</v>
      </c>
      <c r="I96" s="320">
        <f t="shared" si="20"/>
        <v>-4519</v>
      </c>
      <c r="J96" s="320">
        <f t="shared" si="20"/>
        <v>37441</v>
      </c>
      <c r="K96" s="320">
        <f t="shared" si="20"/>
        <v>-2804</v>
      </c>
      <c r="L96" s="320">
        <f t="shared" si="20"/>
        <v>21018</v>
      </c>
      <c r="M96" s="320">
        <f t="shared" si="20"/>
        <v>-4197</v>
      </c>
      <c r="N96" s="320">
        <f t="shared" si="20"/>
        <v>22233</v>
      </c>
      <c r="O96" s="320">
        <f t="shared" si="20"/>
        <v>-2468</v>
      </c>
      <c r="P96" s="320">
        <f t="shared" si="20"/>
        <v>25683</v>
      </c>
      <c r="Q96" s="320">
        <f t="shared" si="20"/>
        <v>-2685</v>
      </c>
      <c r="R96" s="320">
        <f t="shared" si="20"/>
        <v>20796</v>
      </c>
      <c r="S96" s="320">
        <f t="shared" si="20"/>
        <v>-1952</v>
      </c>
      <c r="T96" s="320">
        <f t="shared" si="20"/>
        <v>248032</v>
      </c>
      <c r="U96" s="268">
        <f t="shared" si="20"/>
        <v>-32853</v>
      </c>
    </row>
    <row r="97" spans="2:21" ht="20" thickBot="1">
      <c r="B97" s="1783"/>
      <c r="C97" s="321"/>
      <c r="U97" s="322"/>
    </row>
    <row r="98" spans="2:21" s="324" customFormat="1" ht="36">
      <c r="B98" s="1783"/>
      <c r="C98" s="864" t="s">
        <v>453</v>
      </c>
      <c r="D98" s="865" t="s">
        <v>28</v>
      </c>
      <c r="E98" s="865" t="s">
        <v>467</v>
      </c>
      <c r="F98" s="871" t="s">
        <v>29</v>
      </c>
      <c r="G98" s="865" t="s">
        <v>467</v>
      </c>
      <c r="H98" s="869" t="s">
        <v>30</v>
      </c>
      <c r="I98" s="865" t="s">
        <v>467</v>
      </c>
      <c r="J98" s="873" t="s">
        <v>31</v>
      </c>
      <c r="K98" s="865" t="s">
        <v>467</v>
      </c>
      <c r="L98" s="866" t="s">
        <v>32</v>
      </c>
      <c r="M98" s="865" t="s">
        <v>467</v>
      </c>
      <c r="N98" s="871" t="s">
        <v>253</v>
      </c>
      <c r="O98" s="865" t="s">
        <v>467</v>
      </c>
      <c r="P98" s="869" t="s">
        <v>34</v>
      </c>
      <c r="Q98" s="865" t="s">
        <v>467</v>
      </c>
      <c r="R98" s="873" t="s">
        <v>308</v>
      </c>
      <c r="S98" s="865" t="s">
        <v>467</v>
      </c>
      <c r="T98" s="868" t="s">
        <v>37</v>
      </c>
      <c r="U98" s="870" t="s">
        <v>467</v>
      </c>
    </row>
    <row r="99" spans="2:21">
      <c r="B99" s="1783"/>
      <c r="C99" s="215" t="s">
        <v>10</v>
      </c>
      <c r="D99" s="271">
        <f t="shared" ref="D99:D110" si="21">D69/D84</f>
        <v>19.116924436588601</v>
      </c>
      <c r="E99" s="272">
        <f>D99-'[10]INDICES CA 💵'!D99</f>
        <v>0.3032682238057518</v>
      </c>
      <c r="F99" s="273">
        <f t="shared" ref="F99:F110" si="22">F69/F84</f>
        <v>19.110471491228068</v>
      </c>
      <c r="G99" s="272">
        <f>F99-'[10]INDICES CA 💵'!F99</f>
        <v>0.73376160660810896</v>
      </c>
      <c r="H99" s="274">
        <f t="shared" ref="H99:H110" si="23">H69/H84</f>
        <v>22.263621533442087</v>
      </c>
      <c r="I99" s="272">
        <f>H99-'[10]INDICES CA 💵'!H99</f>
        <v>1.3509265910138701</v>
      </c>
      <c r="J99" s="273">
        <f t="shared" ref="J99:J110" si="24">J69/J84</f>
        <v>20.345688256583053</v>
      </c>
      <c r="K99" s="272">
        <f>J99-'[10]INDICES CA 💵'!J99</f>
        <v>0.88460969625781161</v>
      </c>
      <c r="L99" s="274">
        <f t="shared" ref="L99:L110" si="25">L69/L84</f>
        <v>23.486498961458572</v>
      </c>
      <c r="M99" s="272">
        <f>L99-'[10]INDICES CA 💵'!L99</f>
        <v>1.8574094856998009</v>
      </c>
      <c r="N99" s="273">
        <f t="shared" ref="N99:N110" si="26">N69/N84</f>
        <v>22.77622071381651</v>
      </c>
      <c r="O99" s="272">
        <f>N99-'[10]INDICES CA 💵'!N99</f>
        <v>1.7340853078030101</v>
      </c>
      <c r="P99" s="274">
        <f t="shared" ref="P99:P110" si="27">P69/P84</f>
        <v>21.602124487513976</v>
      </c>
      <c r="Q99" s="272">
        <f>P99-'[10]INDICES CA 💵'!P99</f>
        <v>1.146770341827505</v>
      </c>
      <c r="R99" s="273">
        <f t="shared" ref="R99:R110" si="28">R69/R84</f>
        <v>20.916194790486976</v>
      </c>
      <c r="S99" s="280">
        <f>R99-'[10]INDICES CA 💵'!R99</f>
        <v>1.1808247388518645</v>
      </c>
      <c r="T99" s="275">
        <f t="shared" ref="T99:T110" si="29">T69/T84</f>
        <v>20.789190240108876</v>
      </c>
      <c r="U99" s="276">
        <f>T99-'[10]INDICES CA 💵'!T99</f>
        <v>1.0003003730431139</v>
      </c>
    </row>
    <row r="100" spans="2:21" s="229" customFormat="1">
      <c r="B100" s="1783"/>
      <c r="C100" s="224" t="s">
        <v>25</v>
      </c>
      <c r="D100" s="271">
        <f t="shared" si="21"/>
        <v>19.562668800640193</v>
      </c>
      <c r="E100" s="272">
        <f>D100-'[10]INDICES CA 💵'!D100</f>
        <v>1.110442292926308</v>
      </c>
      <c r="F100" s="273">
        <f t="shared" si="22"/>
        <v>18.955776173285198</v>
      </c>
      <c r="G100" s="272">
        <f>F100-'[10]INDICES CA 💵'!F100</f>
        <v>0.85808846219140733</v>
      </c>
      <c r="H100" s="274">
        <f t="shared" si="23"/>
        <v>21.990400903444382</v>
      </c>
      <c r="I100" s="272">
        <f>H100-'[10]INDICES CA 💵'!H100</f>
        <v>1.1460337048348066</v>
      </c>
      <c r="J100" s="273">
        <f t="shared" si="24"/>
        <v>20.352075746540422</v>
      </c>
      <c r="K100" s="272">
        <f>J100-'[10]INDICES CA 💵'!J100</f>
        <v>1.356300168982667</v>
      </c>
      <c r="L100" s="274">
        <f t="shared" si="25"/>
        <v>22.836241610738256</v>
      </c>
      <c r="M100" s="272">
        <f>L100-'[10]INDICES CA 💵'!L100</f>
        <v>1.7828969875375797</v>
      </c>
      <c r="N100" s="273">
        <f t="shared" si="26"/>
        <v>22.265698103915291</v>
      </c>
      <c r="O100" s="272">
        <f>N100-'[10]INDICES CA 💵'!N100</f>
        <v>1.2302641501139888</v>
      </c>
      <c r="P100" s="274">
        <f t="shared" si="27"/>
        <v>21.562487381385019</v>
      </c>
      <c r="Q100" s="272">
        <f>P100-'[10]INDICES CA 💵'!P100</f>
        <v>1.0257549252446694</v>
      </c>
      <c r="R100" s="273">
        <f t="shared" si="28"/>
        <v>20.085553278688526</v>
      </c>
      <c r="S100" s="280">
        <f>R100-'[10]INDICES CA 💵'!R100</f>
        <v>0.75108560732245877</v>
      </c>
      <c r="T100" s="275">
        <f t="shared" si="29"/>
        <v>20.649210398979456</v>
      </c>
      <c r="U100" s="276">
        <f>T100-'[10]INDICES CA 💵'!T100</f>
        <v>1.1276282904026189</v>
      </c>
    </row>
    <row r="101" spans="2:21">
      <c r="B101" s="1783"/>
      <c r="C101" s="215" t="s">
        <v>17</v>
      </c>
      <c r="D101" s="271">
        <f t="shared" si="21"/>
        <v>19.408712189820683</v>
      </c>
      <c r="E101" s="272">
        <f>D101-'[10]INDICES CA 💵'!D101</f>
        <v>1.0414679192784817</v>
      </c>
      <c r="F101" s="273">
        <f t="shared" si="22"/>
        <v>19.067780364233876</v>
      </c>
      <c r="G101" s="272">
        <f>F101-'[10]INDICES CA 💵'!F101</f>
        <v>0.89548346183761751</v>
      </c>
      <c r="H101" s="274">
        <f t="shared" si="23"/>
        <v>22.032263542197317</v>
      </c>
      <c r="I101" s="272">
        <f>H101-'[10]INDICES CA 💵'!H101</f>
        <v>1.0398503528188527</v>
      </c>
      <c r="J101" s="273">
        <f t="shared" si="24"/>
        <v>20.200104766893663</v>
      </c>
      <c r="K101" s="272">
        <f>J101-'[10]INDICES CA 💵'!J101</f>
        <v>1.0636356160078968</v>
      </c>
      <c r="L101" s="274">
        <f t="shared" si="25"/>
        <v>23.040064844835573</v>
      </c>
      <c r="M101" s="272">
        <f>L101-'[10]INDICES CA 💵'!L101</f>
        <v>1.7851394717012461</v>
      </c>
      <c r="N101" s="273">
        <f t="shared" si="26"/>
        <v>23.169748273557584</v>
      </c>
      <c r="O101" s="272">
        <f>N101-'[10]INDICES CA 💵'!N101</f>
        <v>2.1418709338522888</v>
      </c>
      <c r="P101" s="274">
        <f t="shared" si="27"/>
        <v>21.809144374881427</v>
      </c>
      <c r="Q101" s="272">
        <f>P101-'[10]INDICES CA 💵'!P101</f>
        <v>1.1452602181522948</v>
      </c>
      <c r="R101" s="273">
        <f t="shared" si="28"/>
        <v>20.543111753371868</v>
      </c>
      <c r="S101" s="280">
        <f>R101-'[10]INDICES CA 💵'!R101</f>
        <v>1.3428092468895869</v>
      </c>
      <c r="T101" s="275">
        <f t="shared" si="29"/>
        <v>20.784550898203594</v>
      </c>
      <c r="U101" s="276">
        <f>T101-'[10]INDICES CA 💵'!T101</f>
        <v>1.2202044226114879</v>
      </c>
    </row>
    <row r="102" spans="2:21" s="229" customFormat="1">
      <c r="B102" s="1783"/>
      <c r="C102" s="224" t="s">
        <v>18</v>
      </c>
      <c r="D102" s="271">
        <f t="shared" si="21"/>
        <v>19.667763776565732</v>
      </c>
      <c r="E102" s="272">
        <f>D102-'[10]INDICES CA 💵'!D102</f>
        <v>1.2173518627507747</v>
      </c>
      <c r="F102" s="273">
        <f t="shared" si="22"/>
        <v>18.779426816786081</v>
      </c>
      <c r="G102" s="272">
        <f>F102-'[10]INDICES CA 💵'!F102</f>
        <v>0.52122136069059977</v>
      </c>
      <c r="H102" s="274">
        <f t="shared" si="23"/>
        <v>21.856406733081414</v>
      </c>
      <c r="I102" s="272">
        <f>H102-'[10]INDICES CA 💵'!H102</f>
        <v>1.1628138230131313</v>
      </c>
      <c r="J102" s="273">
        <f t="shared" si="24"/>
        <v>20.051062091503269</v>
      </c>
      <c r="K102" s="272">
        <f>J102-'[10]INDICES CA 💵'!J102</f>
        <v>0.69139078935409159</v>
      </c>
      <c r="L102" s="274">
        <f t="shared" si="25"/>
        <v>23.076619456698399</v>
      </c>
      <c r="M102" s="272">
        <f>L102-'[10]INDICES CA 💵'!L102</f>
        <v>1.6290752523762002</v>
      </c>
      <c r="N102" s="273">
        <f t="shared" si="26"/>
        <v>22.823354661791591</v>
      </c>
      <c r="O102" s="272">
        <f>N102-'[10]INDICES CA 💵'!N102</f>
        <v>1.4848004449241223</v>
      </c>
      <c r="P102" s="274">
        <f t="shared" si="27"/>
        <v>21.447357640311349</v>
      </c>
      <c r="Q102" s="272">
        <f>P102-'[10]INDICES CA 💵'!P102</f>
        <v>0.64525923220715242</v>
      </c>
      <c r="R102" s="273">
        <f t="shared" si="28"/>
        <v>20.419267633325141</v>
      </c>
      <c r="S102" s="280">
        <f>R102-'[10]INDICES CA 💵'!R102</f>
        <v>0.72041506783477516</v>
      </c>
      <c r="T102" s="281">
        <f t="shared" si="29"/>
        <v>20.659654822335025</v>
      </c>
      <c r="U102" s="276">
        <f>T102-'[10]INDICES CA 💵'!T102</f>
        <v>0.99500506261002641</v>
      </c>
    </row>
    <row r="103" spans="2:21">
      <c r="B103" s="1783"/>
      <c r="C103" s="215" t="s">
        <v>19</v>
      </c>
      <c r="D103" s="271">
        <f t="shared" si="21"/>
        <v>19.832026875699889</v>
      </c>
      <c r="E103" s="272">
        <f>D103-'[10]INDICES CA 💵'!D103</f>
        <v>1.2396986673534798</v>
      </c>
      <c r="F103" s="273">
        <f t="shared" si="22"/>
        <v>18.443948753145733</v>
      </c>
      <c r="G103" s="272">
        <f>F103-'[10]INDICES CA 💵'!F103</f>
        <v>0.22046738510081099</v>
      </c>
      <c r="H103" s="274">
        <f t="shared" si="23"/>
        <v>21.726363343013876</v>
      </c>
      <c r="I103" s="272">
        <f>H103-'[10]INDICES CA 💵'!H103</f>
        <v>0.31233684531802197</v>
      </c>
      <c r="J103" s="273">
        <f t="shared" si="24"/>
        <v>19.800474746142687</v>
      </c>
      <c r="K103" s="272">
        <f>J103-'[10]INDICES CA 💵'!J103</f>
        <v>0.26394284161273163</v>
      </c>
      <c r="L103" s="274">
        <f t="shared" si="25"/>
        <v>22.833910034602077</v>
      </c>
      <c r="M103" s="272">
        <f>L103-'[10]INDICES CA 💵'!L103</f>
        <v>0.99328385580162504</v>
      </c>
      <c r="N103" s="273">
        <f t="shared" si="26"/>
        <v>22.546202531645569</v>
      </c>
      <c r="O103" s="272">
        <f>N103-'[10]INDICES CA 💵'!N103</f>
        <v>0.87698182523555346</v>
      </c>
      <c r="P103" s="274">
        <f t="shared" si="27"/>
        <v>21.486854730378045</v>
      </c>
      <c r="Q103" s="272">
        <f>P103-'[10]INDICES CA 💵'!P103</f>
        <v>0.66447205889789984</v>
      </c>
      <c r="R103" s="273">
        <f t="shared" si="28"/>
        <v>20.391447368421051</v>
      </c>
      <c r="S103" s="280">
        <f>R103-'[10]INDICES CA 💵'!R103</f>
        <v>0.85188205928410099</v>
      </c>
      <c r="T103" s="281">
        <f t="shared" si="29"/>
        <v>20.532087058959849</v>
      </c>
      <c r="U103" s="276">
        <f>T103-'[10]INDICES CA 💵'!T103</f>
        <v>0.6731046094024471</v>
      </c>
    </row>
    <row r="104" spans="2:21" s="229" customFormat="1">
      <c r="B104" s="1783"/>
      <c r="C104" s="1005" t="s">
        <v>20</v>
      </c>
      <c r="D104" s="1011" t="e">
        <f t="shared" si="21"/>
        <v>#DIV/0!</v>
      </c>
      <c r="E104" s="1012" t="e">
        <f>D104-'[10]INDICES CA 💵'!D104</f>
        <v>#DIV/0!</v>
      </c>
      <c r="F104" s="1023" t="e">
        <f t="shared" si="22"/>
        <v>#DIV/0!</v>
      </c>
      <c r="G104" s="1012" t="e">
        <f>F104-'[10]INDICES CA 💵'!F104</f>
        <v>#DIV/0!</v>
      </c>
      <c r="H104" s="1024" t="e">
        <f t="shared" si="23"/>
        <v>#DIV/0!</v>
      </c>
      <c r="I104" s="1012" t="e">
        <f>H104-'[10]INDICES CA 💵'!H104</f>
        <v>#DIV/0!</v>
      </c>
      <c r="J104" s="1023" t="e">
        <f t="shared" si="24"/>
        <v>#DIV/0!</v>
      </c>
      <c r="K104" s="1012" t="e">
        <f>J104-'[10]INDICES CA 💵'!J104</f>
        <v>#DIV/0!</v>
      </c>
      <c r="L104" s="1024" t="e">
        <f t="shared" si="25"/>
        <v>#DIV/0!</v>
      </c>
      <c r="M104" s="1012" t="e">
        <f>L104-'[10]INDICES CA 💵'!L104</f>
        <v>#DIV/0!</v>
      </c>
      <c r="N104" s="1023" t="e">
        <f t="shared" si="26"/>
        <v>#DIV/0!</v>
      </c>
      <c r="O104" s="1012" t="e">
        <f>N104-'[10]INDICES CA 💵'!N104</f>
        <v>#DIV/0!</v>
      </c>
      <c r="P104" s="1024" t="e">
        <f t="shared" si="27"/>
        <v>#DIV/0!</v>
      </c>
      <c r="Q104" s="1012" t="e">
        <f>P104-'[10]INDICES CA 💵'!P104</f>
        <v>#DIV/0!</v>
      </c>
      <c r="R104" s="1023" t="e">
        <f t="shared" si="28"/>
        <v>#DIV/0!</v>
      </c>
      <c r="S104" s="1012" t="e">
        <f>R104-'[10]INDICES CA 💵'!R104</f>
        <v>#DIV/0!</v>
      </c>
      <c r="T104" s="1025" t="e">
        <f t="shared" si="29"/>
        <v>#DIV/0!</v>
      </c>
      <c r="U104" s="1016" t="e">
        <f>T104-'[10]INDICES CA 💵'!T104</f>
        <v>#DIV/0!</v>
      </c>
    </row>
    <row r="105" spans="2:21" s="229" customFormat="1">
      <c r="B105" s="1783"/>
      <c r="C105" s="224" t="s">
        <v>21</v>
      </c>
      <c r="D105" s="1076" t="e">
        <f t="shared" si="21"/>
        <v>#DIV/0!</v>
      </c>
      <c r="E105" s="1077" t="e">
        <f>D105-'[10]INDICES CA 💵'!D105</f>
        <v>#DIV/0!</v>
      </c>
      <c r="F105" s="1088" t="e">
        <f t="shared" si="22"/>
        <v>#DIV/0!</v>
      </c>
      <c r="G105" s="1077" t="e">
        <f>F105-'[10]INDICES CA 💵'!F105</f>
        <v>#DIV/0!</v>
      </c>
      <c r="H105" s="1089" t="e">
        <f t="shared" si="23"/>
        <v>#DIV/0!</v>
      </c>
      <c r="I105" s="1077" t="e">
        <f>H105-'[10]INDICES CA 💵'!H105</f>
        <v>#DIV/0!</v>
      </c>
      <c r="J105" s="1088" t="e">
        <f t="shared" si="24"/>
        <v>#DIV/0!</v>
      </c>
      <c r="K105" s="1077" t="e">
        <f>J105-'[10]INDICES CA 💵'!J105</f>
        <v>#DIV/0!</v>
      </c>
      <c r="L105" s="1089" t="e">
        <f t="shared" si="25"/>
        <v>#DIV/0!</v>
      </c>
      <c r="M105" s="1077" t="e">
        <f>L105-'[10]INDICES CA 💵'!L105</f>
        <v>#DIV/0!</v>
      </c>
      <c r="N105" s="1088" t="e">
        <f t="shared" si="26"/>
        <v>#DIV/0!</v>
      </c>
      <c r="O105" s="1077" t="e">
        <f>N105-'[10]INDICES CA 💵'!N105</f>
        <v>#DIV/0!</v>
      </c>
      <c r="P105" s="1089" t="e">
        <f t="shared" si="27"/>
        <v>#DIV/0!</v>
      </c>
      <c r="Q105" s="1077" t="e">
        <f>P105-'[10]INDICES CA 💵'!P105</f>
        <v>#DIV/0!</v>
      </c>
      <c r="R105" s="1088" t="e">
        <f t="shared" si="28"/>
        <v>#DIV/0!</v>
      </c>
      <c r="S105" s="1077" t="e">
        <f>R105-'[10]INDICES CA 💵'!R105</f>
        <v>#DIV/0!</v>
      </c>
      <c r="T105" s="1090" t="e">
        <f t="shared" si="29"/>
        <v>#DIV/0!</v>
      </c>
      <c r="U105" s="1081" t="e">
        <f>T105-'[10]INDICES CA 💵'!T105</f>
        <v>#DIV/0!</v>
      </c>
    </row>
    <row r="106" spans="2:21">
      <c r="B106" s="1783"/>
      <c r="C106" s="215" t="s">
        <v>26</v>
      </c>
      <c r="D106" s="277" t="e">
        <f t="shared" si="21"/>
        <v>#DIV/0!</v>
      </c>
      <c r="E106" s="280" t="e">
        <f>D106-'[10]INDICES CA 💵'!D106</f>
        <v>#DIV/0!</v>
      </c>
      <c r="F106" s="1155" t="e">
        <f t="shared" si="22"/>
        <v>#DIV/0!</v>
      </c>
      <c r="G106" s="280" t="e">
        <f>F106-'[10]INDICES CA 💵'!F106</f>
        <v>#DIV/0!</v>
      </c>
      <c r="H106" s="1156" t="e">
        <f t="shared" si="23"/>
        <v>#DIV/0!</v>
      </c>
      <c r="I106" s="280" t="e">
        <f>H106-'[10]INDICES CA 💵'!H106</f>
        <v>#DIV/0!</v>
      </c>
      <c r="J106" s="1155" t="e">
        <f t="shared" si="24"/>
        <v>#DIV/0!</v>
      </c>
      <c r="K106" s="280" t="e">
        <f>J106-'[10]INDICES CA 💵'!J106</f>
        <v>#DIV/0!</v>
      </c>
      <c r="L106" s="1156" t="e">
        <f t="shared" si="25"/>
        <v>#DIV/0!</v>
      </c>
      <c r="M106" s="280" t="e">
        <f>L106-'[10]INDICES CA 💵'!L106</f>
        <v>#DIV/0!</v>
      </c>
      <c r="N106" s="1155" t="e">
        <f t="shared" si="26"/>
        <v>#DIV/0!</v>
      </c>
      <c r="O106" s="280" t="e">
        <f>N106-'[10]INDICES CA 💵'!N106</f>
        <v>#DIV/0!</v>
      </c>
      <c r="P106" s="1156" t="e">
        <f t="shared" si="27"/>
        <v>#DIV/0!</v>
      </c>
      <c r="Q106" s="280" t="e">
        <f>P106-'[10]INDICES CA 💵'!P106</f>
        <v>#DIV/0!</v>
      </c>
      <c r="R106" s="1155" t="e">
        <f t="shared" si="28"/>
        <v>#DIV/0!</v>
      </c>
      <c r="S106" s="280" t="e">
        <f>R106-'[10]INDICES CA 💵'!R106</f>
        <v>#DIV/0!</v>
      </c>
      <c r="T106" s="1157" t="e">
        <f t="shared" si="29"/>
        <v>#DIV/0!</v>
      </c>
      <c r="U106" s="1142" t="e">
        <f>T106-'[10]INDICES CA 💵'!T106</f>
        <v>#DIV/0!</v>
      </c>
    </row>
    <row r="107" spans="2:21">
      <c r="B107" s="1783"/>
      <c r="C107" s="215" t="s">
        <v>22</v>
      </c>
      <c r="D107" s="277" t="e">
        <f t="shared" si="21"/>
        <v>#DIV/0!</v>
      </c>
      <c r="E107" s="280" t="e">
        <f>D107-'[10]INDICES CA 💵'!D107</f>
        <v>#DIV/0!</v>
      </c>
      <c r="F107" s="1155" t="e">
        <f t="shared" si="22"/>
        <v>#DIV/0!</v>
      </c>
      <c r="G107" s="280" t="e">
        <f>F107-'[10]INDICES CA 💵'!F107</f>
        <v>#DIV/0!</v>
      </c>
      <c r="H107" s="1156" t="e">
        <f t="shared" si="23"/>
        <v>#DIV/0!</v>
      </c>
      <c r="I107" s="280" t="e">
        <f>H107-'[10]INDICES CA 💵'!H107</f>
        <v>#DIV/0!</v>
      </c>
      <c r="J107" s="1155" t="e">
        <f t="shared" si="24"/>
        <v>#DIV/0!</v>
      </c>
      <c r="K107" s="280" t="e">
        <f>J107-'[10]INDICES CA 💵'!J107</f>
        <v>#DIV/0!</v>
      </c>
      <c r="L107" s="1156" t="e">
        <f t="shared" si="25"/>
        <v>#DIV/0!</v>
      </c>
      <c r="M107" s="280" t="e">
        <f>L107-'[10]INDICES CA 💵'!L107</f>
        <v>#DIV/0!</v>
      </c>
      <c r="N107" s="1155" t="e">
        <f t="shared" si="26"/>
        <v>#DIV/0!</v>
      </c>
      <c r="O107" s="280" t="e">
        <f>N107-'[10]INDICES CA 💵'!N107</f>
        <v>#DIV/0!</v>
      </c>
      <c r="P107" s="1156" t="e">
        <f t="shared" si="27"/>
        <v>#DIV/0!</v>
      </c>
      <c r="Q107" s="280" t="e">
        <f>P107-'[10]INDICES CA 💵'!P107</f>
        <v>#DIV/0!</v>
      </c>
      <c r="R107" s="1155" t="e">
        <f t="shared" si="28"/>
        <v>#DIV/0!</v>
      </c>
      <c r="S107" s="280" t="e">
        <f>R107-'[10]INDICES CA 💵'!R107</f>
        <v>#DIV/0!</v>
      </c>
      <c r="T107" s="1157" t="e">
        <f t="shared" si="29"/>
        <v>#DIV/0!</v>
      </c>
      <c r="U107" s="1142" t="e">
        <f>T107-'[10]INDICES CA 💵'!T107</f>
        <v>#DIV/0!</v>
      </c>
    </row>
    <row r="108" spans="2:21">
      <c r="B108" s="1783"/>
      <c r="C108" s="215" t="s">
        <v>23</v>
      </c>
      <c r="D108" s="277" t="e">
        <f t="shared" si="21"/>
        <v>#DIV/0!</v>
      </c>
      <c r="E108" s="280" t="e">
        <f>D108-'[10]INDICES CA 💵'!D108</f>
        <v>#DIV/0!</v>
      </c>
      <c r="F108" s="1155" t="e">
        <f t="shared" si="22"/>
        <v>#DIV/0!</v>
      </c>
      <c r="G108" s="280" t="e">
        <f>F108-'[10]INDICES CA 💵'!F108</f>
        <v>#DIV/0!</v>
      </c>
      <c r="H108" s="1156" t="e">
        <f t="shared" si="23"/>
        <v>#DIV/0!</v>
      </c>
      <c r="I108" s="280" t="e">
        <f>H108-'[10]INDICES CA 💵'!H108</f>
        <v>#DIV/0!</v>
      </c>
      <c r="J108" s="1155" t="e">
        <f t="shared" si="24"/>
        <v>#DIV/0!</v>
      </c>
      <c r="K108" s="280" t="e">
        <f>J108-'[10]INDICES CA 💵'!J108</f>
        <v>#DIV/0!</v>
      </c>
      <c r="L108" s="1156" t="e">
        <f t="shared" si="25"/>
        <v>#DIV/0!</v>
      </c>
      <c r="M108" s="280" t="e">
        <f>L108-'[10]INDICES CA 💵'!L108</f>
        <v>#DIV/0!</v>
      </c>
      <c r="N108" s="1155" t="e">
        <f t="shared" si="26"/>
        <v>#DIV/0!</v>
      </c>
      <c r="O108" s="280" t="e">
        <f>N108-'[10]INDICES CA 💵'!N108</f>
        <v>#DIV/0!</v>
      </c>
      <c r="P108" s="1156" t="e">
        <f t="shared" si="27"/>
        <v>#DIV/0!</v>
      </c>
      <c r="Q108" s="280" t="e">
        <f>P108-'[10]INDICES CA 💵'!P108</f>
        <v>#DIV/0!</v>
      </c>
      <c r="R108" s="1155" t="e">
        <f t="shared" si="28"/>
        <v>#DIV/0!</v>
      </c>
      <c r="S108" s="280" t="e">
        <f>R108-'[10]INDICES CA 💵'!R108</f>
        <v>#DIV/0!</v>
      </c>
      <c r="T108" s="1157" t="e">
        <f t="shared" si="29"/>
        <v>#DIV/0!</v>
      </c>
      <c r="U108" s="1142" t="e">
        <f>T108-'[10]INDICES CA 💵'!T108</f>
        <v>#DIV/0!</v>
      </c>
    </row>
    <row r="109" spans="2:21">
      <c r="B109" s="1783"/>
      <c r="C109" s="215" t="s">
        <v>24</v>
      </c>
      <c r="D109" s="277" t="e">
        <f t="shared" si="21"/>
        <v>#DIV/0!</v>
      </c>
      <c r="E109" s="280" t="e">
        <f>D109-'[10]INDICES CA 💵'!D109</f>
        <v>#DIV/0!</v>
      </c>
      <c r="F109" s="1155" t="e">
        <f t="shared" si="22"/>
        <v>#DIV/0!</v>
      </c>
      <c r="G109" s="280" t="e">
        <f>F109-'[10]INDICES CA 💵'!F109</f>
        <v>#DIV/0!</v>
      </c>
      <c r="H109" s="1156" t="e">
        <f t="shared" si="23"/>
        <v>#DIV/0!</v>
      </c>
      <c r="I109" s="280" t="e">
        <f>H109-'[10]INDICES CA 💵'!H109</f>
        <v>#DIV/0!</v>
      </c>
      <c r="J109" s="1155" t="e">
        <f t="shared" si="24"/>
        <v>#DIV/0!</v>
      </c>
      <c r="K109" s="280" t="e">
        <f>J109-'[10]INDICES CA 💵'!J109</f>
        <v>#DIV/0!</v>
      </c>
      <c r="L109" s="1156" t="e">
        <f t="shared" si="25"/>
        <v>#DIV/0!</v>
      </c>
      <c r="M109" s="280" t="e">
        <f>L109-'[10]INDICES CA 💵'!L109</f>
        <v>#DIV/0!</v>
      </c>
      <c r="N109" s="1155" t="e">
        <f t="shared" si="26"/>
        <v>#DIV/0!</v>
      </c>
      <c r="O109" s="280" t="e">
        <f>N109-'[10]INDICES CA 💵'!N109</f>
        <v>#DIV/0!</v>
      </c>
      <c r="P109" s="1156" t="e">
        <f t="shared" si="27"/>
        <v>#DIV/0!</v>
      </c>
      <c r="Q109" s="280" t="e">
        <f>P109-'[10]INDICES CA 💵'!P109</f>
        <v>#DIV/0!</v>
      </c>
      <c r="R109" s="1155" t="e">
        <f t="shared" si="28"/>
        <v>#DIV/0!</v>
      </c>
      <c r="S109" s="280" t="e">
        <f>R109-'[10]INDICES CA 💵'!R109</f>
        <v>#DIV/0!</v>
      </c>
      <c r="T109" s="1157" t="e">
        <f t="shared" si="29"/>
        <v>#DIV/0!</v>
      </c>
      <c r="U109" s="1142" t="e">
        <f>T109-'[10]INDICES CA 💵'!T109</f>
        <v>#DIV/0!</v>
      </c>
    </row>
    <row r="110" spans="2:21">
      <c r="B110" s="1783"/>
      <c r="C110" s="215" t="s">
        <v>27</v>
      </c>
      <c r="D110" s="277" t="e">
        <f t="shared" si="21"/>
        <v>#DIV/0!</v>
      </c>
      <c r="E110" s="280" t="e">
        <f>D110-'[10]INDICES CA 💵'!D110</f>
        <v>#DIV/0!</v>
      </c>
      <c r="F110" s="1155" t="e">
        <f t="shared" si="22"/>
        <v>#DIV/0!</v>
      </c>
      <c r="G110" s="280" t="e">
        <f>F110-'[10]INDICES CA 💵'!F110</f>
        <v>#DIV/0!</v>
      </c>
      <c r="H110" s="1156" t="e">
        <f t="shared" si="23"/>
        <v>#DIV/0!</v>
      </c>
      <c r="I110" s="280" t="e">
        <f>H110-'[10]INDICES CA 💵'!H110</f>
        <v>#DIV/0!</v>
      </c>
      <c r="J110" s="1155" t="e">
        <f t="shared" si="24"/>
        <v>#DIV/0!</v>
      </c>
      <c r="K110" s="280" t="e">
        <f>J110-'[10]INDICES CA 💵'!J110</f>
        <v>#DIV/0!</v>
      </c>
      <c r="L110" s="1156" t="e">
        <f t="shared" si="25"/>
        <v>#DIV/0!</v>
      </c>
      <c r="M110" s="280" t="e">
        <f>L110-'[10]INDICES CA 💵'!L110</f>
        <v>#DIV/0!</v>
      </c>
      <c r="N110" s="1155" t="e">
        <f t="shared" si="26"/>
        <v>#DIV/0!</v>
      </c>
      <c r="O110" s="280" t="e">
        <f>N110-'[10]INDICES CA 💵'!N110</f>
        <v>#DIV/0!</v>
      </c>
      <c r="P110" s="1156" t="e">
        <f t="shared" si="27"/>
        <v>#DIV/0!</v>
      </c>
      <c r="Q110" s="280" t="e">
        <f>P110-'[10]INDICES CA 💵'!P110</f>
        <v>#DIV/0!</v>
      </c>
      <c r="R110" s="1155" t="e">
        <f t="shared" si="28"/>
        <v>#DIV/0!</v>
      </c>
      <c r="S110" s="280" t="e">
        <f>R110-'[10]INDICES CA 💵'!R110</f>
        <v>#DIV/0!</v>
      </c>
      <c r="T110" s="1157" t="e">
        <f t="shared" si="29"/>
        <v>#DIV/0!</v>
      </c>
      <c r="U110" s="1142" t="e">
        <f>T110-'[10]INDICES CA 💵'!T110</f>
        <v>#DIV/0!</v>
      </c>
    </row>
    <row r="111" spans="2:21" ht="21" thickBot="1">
      <c r="B111" s="1784"/>
      <c r="C111" s="285" t="s">
        <v>233</v>
      </c>
      <c r="D111" s="1785" t="e">
        <f>AVERAGE(E99:E110)</f>
        <v>#DIV/0!</v>
      </c>
      <c r="E111" s="1785"/>
      <c r="F111" s="1785" t="e">
        <f>AVERAGE(G99:G110)</f>
        <v>#DIV/0!</v>
      </c>
      <c r="G111" s="1785"/>
      <c r="H111" s="1785" t="e">
        <f>AVERAGE(I99:I110)</f>
        <v>#DIV/0!</v>
      </c>
      <c r="I111" s="1785"/>
      <c r="J111" s="1785" t="e">
        <f>AVERAGE(K99:K110)</f>
        <v>#DIV/0!</v>
      </c>
      <c r="K111" s="1785"/>
      <c r="L111" s="1785" t="e">
        <f>AVERAGE(M99:M110)</f>
        <v>#DIV/0!</v>
      </c>
      <c r="M111" s="1785"/>
      <c r="N111" s="1785" t="e">
        <f>AVERAGE(O99:O110)</f>
        <v>#DIV/0!</v>
      </c>
      <c r="O111" s="1785"/>
      <c r="P111" s="1785" t="e">
        <f>AVERAGE(Q99:Q110)</f>
        <v>#DIV/0!</v>
      </c>
      <c r="Q111" s="1785"/>
      <c r="R111" s="1785" t="e">
        <f>AVERAGE(S99:S110)</f>
        <v>#DIV/0!</v>
      </c>
      <c r="S111" s="1785"/>
      <c r="T111" s="286" t="e">
        <f>AVERAGE(U99:U110)</f>
        <v>#DIV/0!</v>
      </c>
      <c r="U111" s="323">
        <f>+T81/T96</f>
        <v>20.683198135724421</v>
      </c>
    </row>
  </sheetData>
  <mergeCells count="47">
    <mergeCell ref="B4:B66"/>
    <mergeCell ref="P111:Q111"/>
    <mergeCell ref="R111:S111"/>
    <mergeCell ref="D111:E111"/>
    <mergeCell ref="F111:G111"/>
    <mergeCell ref="H111:I111"/>
    <mergeCell ref="J111:K111"/>
    <mergeCell ref="L111:M111"/>
    <mergeCell ref="N51:O51"/>
    <mergeCell ref="N35:O35"/>
    <mergeCell ref="R35:S35"/>
    <mergeCell ref="B68:B111"/>
    <mergeCell ref="D35:E35"/>
    <mergeCell ref="D51:E51"/>
    <mergeCell ref="N111:O111"/>
    <mergeCell ref="F51:G51"/>
    <mergeCell ref="C2:U2"/>
    <mergeCell ref="D18:E18"/>
    <mergeCell ref="D34:E34"/>
    <mergeCell ref="N18:O18"/>
    <mergeCell ref="P18:Q18"/>
    <mergeCell ref="R18:S18"/>
    <mergeCell ref="P34:Q34"/>
    <mergeCell ref="R34:S34"/>
    <mergeCell ref="T34:U34"/>
    <mergeCell ref="F18:G18"/>
    <mergeCell ref="H18:I18"/>
    <mergeCell ref="J18:K18"/>
    <mergeCell ref="L18:M18"/>
    <mergeCell ref="F34:G34"/>
    <mergeCell ref="H34:I34"/>
    <mergeCell ref="T18:U18"/>
    <mergeCell ref="H51:I51"/>
    <mergeCell ref="P51:Q51"/>
    <mergeCell ref="T35:U35"/>
    <mergeCell ref="J35:K35"/>
    <mergeCell ref="L35:M35"/>
    <mergeCell ref="J51:K51"/>
    <mergeCell ref="L51:M51"/>
    <mergeCell ref="P35:Q35"/>
    <mergeCell ref="R51:S51"/>
    <mergeCell ref="T51:U51"/>
    <mergeCell ref="J34:K34"/>
    <mergeCell ref="L34:M34"/>
    <mergeCell ref="N34:O34"/>
    <mergeCell ref="F35:G35"/>
    <mergeCell ref="H35:I35"/>
  </mergeCells>
  <phoneticPr fontId="5" type="noConversion"/>
  <conditionalFormatting sqref="D18">
    <cfRule type="cellIs" dxfId="301" priority="292" operator="lessThan">
      <formula>0</formula>
    </cfRule>
    <cfRule type="cellIs" dxfId="300" priority="293" operator="greaterThan">
      <formula>0</formula>
    </cfRule>
  </conditionalFormatting>
  <conditionalFormatting sqref="D34:D35">
    <cfRule type="cellIs" dxfId="299" priority="199" operator="lessThan">
      <formula>0</formula>
    </cfRule>
    <cfRule type="cellIs" dxfId="298" priority="200" operator="greaterThan">
      <formula>0</formula>
    </cfRule>
  </conditionalFormatting>
  <conditionalFormatting sqref="D18:U18">
    <cfRule type="iconSet" priority="289">
      <iconSet iconSet="3Arrows">
        <cfvo type="percent" val="0"/>
        <cfvo type="num" val="0"/>
        <cfvo type="num" val="0"/>
      </iconSet>
    </cfRule>
  </conditionalFormatting>
  <conditionalFormatting sqref="D34:U35">
    <cfRule type="iconSet" priority="198">
      <iconSet iconSet="3Arrows">
        <cfvo type="percent" val="0"/>
        <cfvo type="num" val="0"/>
        <cfvo type="num" val="0"/>
      </iconSet>
    </cfRule>
  </conditionalFormatting>
  <conditionalFormatting sqref="D51:U51">
    <cfRule type="cellIs" dxfId="297" priority="285" operator="greaterThan">
      <formula>0</formula>
    </cfRule>
    <cfRule type="cellIs" dxfId="296" priority="284" operator="lessThan">
      <formula>0</formula>
    </cfRule>
    <cfRule type="iconSet" priority="283">
      <iconSet iconSet="3Arrows">
        <cfvo type="percent" val="0"/>
        <cfvo type="num" val="0"/>
        <cfvo type="num" val="0"/>
      </iconSet>
    </cfRule>
  </conditionalFormatting>
  <conditionalFormatting sqref="E5:E17">
    <cfRule type="cellIs" dxfId="295" priority="265" operator="greaterThan">
      <formula>0</formula>
    </cfRule>
    <cfRule type="cellIs" dxfId="294" priority="264" operator="lessThan">
      <formula>0</formula>
    </cfRule>
  </conditionalFormatting>
  <conditionalFormatting sqref="E21:E33">
    <cfRule type="cellIs" dxfId="293" priority="182" operator="lessThan">
      <formula>0</formula>
    </cfRule>
    <cfRule type="cellIs" dxfId="292" priority="183" operator="greaterThan">
      <formula>0</formula>
    </cfRule>
  </conditionalFormatting>
  <conditionalFormatting sqref="E38:E50">
    <cfRule type="cellIs" dxfId="291" priority="227" operator="greaterThan">
      <formula>0</formula>
    </cfRule>
    <cfRule type="cellIs" dxfId="290" priority="226" operator="lessThan">
      <formula>0</formula>
    </cfRule>
  </conditionalFormatting>
  <conditionalFormatting sqref="E54:E65">
    <cfRule type="cellIs" dxfId="289" priority="163" operator="greaterThan">
      <formula>0</formula>
    </cfRule>
    <cfRule type="cellIs" dxfId="288" priority="162" operator="lessThan">
      <formula>0</formula>
    </cfRule>
  </conditionalFormatting>
  <conditionalFormatting sqref="E84:E96 G84:G96 I84:I96 K84:K96 M84:M96 O84:O96 Q84:Q96 S84:S96 U84:U96">
    <cfRule type="cellIs" dxfId="287" priority="95" operator="greaterThan">
      <formula>0</formula>
    </cfRule>
    <cfRule type="cellIs" dxfId="286" priority="94" operator="lessThan">
      <formula>0</formula>
    </cfRule>
  </conditionalFormatting>
  <conditionalFormatting sqref="E99:E110 G99:G110 I99:I110 K99:K110 M99:M110 O99:O110 Q99:Q110 S99:S110 U99:U110">
    <cfRule type="cellIs" dxfId="285" priority="110" operator="lessThan">
      <formula>0</formula>
    </cfRule>
    <cfRule type="cellIs" dxfId="284" priority="111" operator="greaterThan">
      <formula>0</formula>
    </cfRule>
  </conditionalFormatting>
  <conditionalFormatting sqref="F18">
    <cfRule type="cellIs" dxfId="283" priority="278" operator="lessThan">
      <formula>0</formula>
    </cfRule>
    <cfRule type="cellIs" dxfId="282" priority="279" operator="greaterThan">
      <formula>0</formula>
    </cfRule>
  </conditionalFormatting>
  <conditionalFormatting sqref="F34:F35">
    <cfRule type="cellIs" dxfId="281" priority="197" operator="greaterThan">
      <formula>0</formula>
    </cfRule>
    <cfRule type="cellIs" dxfId="280" priority="196" operator="lessThan">
      <formula>0</formula>
    </cfRule>
  </conditionalFormatting>
  <conditionalFormatting sqref="G5:G17">
    <cfRule type="cellIs" dxfId="279" priority="263" operator="greaterThan">
      <formula>0</formula>
    </cfRule>
    <cfRule type="cellIs" dxfId="278" priority="262" operator="lessThan">
      <formula>0</formula>
    </cfRule>
  </conditionalFormatting>
  <conditionalFormatting sqref="G21:G33">
    <cfRule type="cellIs" dxfId="277" priority="181" operator="greaterThan">
      <formula>0</formula>
    </cfRule>
    <cfRule type="cellIs" dxfId="276" priority="180" operator="lessThan">
      <formula>0</formula>
    </cfRule>
  </conditionalFormatting>
  <conditionalFormatting sqref="G38:G50">
    <cfRule type="cellIs" dxfId="275" priority="225" operator="greaterThan">
      <formula>0</formula>
    </cfRule>
    <cfRule type="cellIs" dxfId="274" priority="224" operator="lessThan">
      <formula>0</formula>
    </cfRule>
  </conditionalFormatting>
  <conditionalFormatting sqref="G54:G65">
    <cfRule type="cellIs" dxfId="273" priority="79" operator="greaterThan">
      <formula>0</formula>
    </cfRule>
    <cfRule type="cellIs" dxfId="272" priority="78" operator="lessThan">
      <formula>0</formula>
    </cfRule>
  </conditionalFormatting>
  <conditionalFormatting sqref="H18">
    <cfRule type="cellIs" dxfId="271" priority="276" operator="lessThan">
      <formula>0</formula>
    </cfRule>
    <cfRule type="cellIs" dxfId="270" priority="277" operator="greaterThan">
      <formula>0</formula>
    </cfRule>
  </conditionalFormatting>
  <conditionalFormatting sqref="H34:H35">
    <cfRule type="cellIs" dxfId="269" priority="194" operator="lessThan">
      <formula>0</formula>
    </cfRule>
    <cfRule type="cellIs" dxfId="268" priority="195" operator="greaterThan">
      <formula>0</formula>
    </cfRule>
  </conditionalFormatting>
  <conditionalFormatting sqref="I5:I17">
    <cfRule type="cellIs" dxfId="267" priority="260" operator="lessThan">
      <formula>0</formula>
    </cfRule>
    <cfRule type="cellIs" dxfId="266" priority="261" operator="greaterThan">
      <formula>0</formula>
    </cfRule>
  </conditionalFormatting>
  <conditionalFormatting sqref="I21:I33">
    <cfRule type="cellIs" dxfId="265" priority="178" operator="lessThan">
      <formula>0</formula>
    </cfRule>
    <cfRule type="cellIs" dxfId="264" priority="179" operator="greaterThan">
      <formula>0</formula>
    </cfRule>
  </conditionalFormatting>
  <conditionalFormatting sqref="I38:I50">
    <cfRule type="cellIs" dxfId="263" priority="222" operator="lessThan">
      <formula>0</formula>
    </cfRule>
    <cfRule type="cellIs" dxfId="262" priority="223" operator="greaterThan">
      <formula>0</formula>
    </cfRule>
  </conditionalFormatting>
  <conditionalFormatting sqref="I54:I65">
    <cfRule type="cellIs" dxfId="261" priority="76" operator="lessThan">
      <formula>0</formula>
    </cfRule>
    <cfRule type="cellIs" dxfId="260" priority="77" operator="greaterThan">
      <formula>0</formula>
    </cfRule>
  </conditionalFormatting>
  <conditionalFormatting sqref="J18">
    <cfRule type="cellIs" dxfId="259" priority="275" operator="greaterThan">
      <formula>0</formula>
    </cfRule>
    <cfRule type="cellIs" dxfId="258" priority="274" operator="lessThan">
      <formula>0</formula>
    </cfRule>
  </conditionalFormatting>
  <conditionalFormatting sqref="J34:J35">
    <cfRule type="cellIs" dxfId="257" priority="192" operator="lessThan">
      <formula>0</formula>
    </cfRule>
    <cfRule type="cellIs" dxfId="256" priority="193" operator="greaterThan">
      <formula>0</formula>
    </cfRule>
  </conditionalFormatting>
  <conditionalFormatting sqref="K5:K17">
    <cfRule type="cellIs" dxfId="255" priority="259" operator="greaterThan">
      <formula>0</formula>
    </cfRule>
    <cfRule type="cellIs" dxfId="254" priority="258" operator="lessThan">
      <formula>0</formula>
    </cfRule>
  </conditionalFormatting>
  <conditionalFormatting sqref="K21:K33">
    <cfRule type="cellIs" dxfId="253" priority="176" operator="lessThan">
      <formula>0</formula>
    </cfRule>
    <cfRule type="cellIs" dxfId="252" priority="177" operator="greaterThan">
      <formula>0</formula>
    </cfRule>
  </conditionalFormatting>
  <conditionalFormatting sqref="K38:K50">
    <cfRule type="cellIs" dxfId="251" priority="221" operator="greaterThan">
      <formula>0</formula>
    </cfRule>
    <cfRule type="cellIs" dxfId="250" priority="220" operator="lessThan">
      <formula>0</formula>
    </cfRule>
  </conditionalFormatting>
  <conditionalFormatting sqref="K54:K65">
    <cfRule type="cellIs" dxfId="249" priority="74" operator="lessThan">
      <formula>0</formula>
    </cfRule>
    <cfRule type="cellIs" dxfId="248" priority="75" operator="greaterThan">
      <formula>0</formula>
    </cfRule>
  </conditionalFormatting>
  <conditionalFormatting sqref="L18">
    <cfRule type="cellIs" dxfId="247" priority="273" operator="greaterThan">
      <formula>0</formula>
    </cfRule>
    <cfRule type="cellIs" dxfId="246" priority="272" operator="lessThan">
      <formula>0</formula>
    </cfRule>
  </conditionalFormatting>
  <conditionalFormatting sqref="L34:L35">
    <cfRule type="cellIs" dxfId="245" priority="190" operator="lessThan">
      <formula>0</formula>
    </cfRule>
    <cfRule type="cellIs" dxfId="244" priority="191" operator="greaterThan">
      <formula>0</formula>
    </cfRule>
  </conditionalFormatting>
  <conditionalFormatting sqref="M5:M17">
    <cfRule type="cellIs" dxfId="243" priority="257" operator="greaterThan">
      <formula>0</formula>
    </cfRule>
    <cfRule type="cellIs" dxfId="242" priority="256" operator="lessThan">
      <formula>0</formula>
    </cfRule>
  </conditionalFormatting>
  <conditionalFormatting sqref="M21:M33">
    <cfRule type="cellIs" dxfId="241" priority="175" operator="greaterThan">
      <formula>0</formula>
    </cfRule>
    <cfRule type="cellIs" dxfId="240" priority="174" operator="lessThan">
      <formula>0</formula>
    </cfRule>
  </conditionalFormatting>
  <conditionalFormatting sqref="M38:M50">
    <cfRule type="cellIs" dxfId="239" priority="218" operator="lessThan">
      <formula>0</formula>
    </cfRule>
    <cfRule type="cellIs" dxfId="238" priority="219" operator="greaterThan">
      <formula>0</formula>
    </cfRule>
  </conditionalFormatting>
  <conditionalFormatting sqref="M54:M65">
    <cfRule type="cellIs" dxfId="237" priority="73" operator="greaterThan">
      <formula>0</formula>
    </cfRule>
    <cfRule type="cellIs" dxfId="236" priority="72" operator="lessThan">
      <formula>0</formula>
    </cfRule>
  </conditionalFormatting>
  <conditionalFormatting sqref="N18">
    <cfRule type="cellIs" dxfId="235" priority="270" operator="lessThan">
      <formula>0</formula>
    </cfRule>
    <cfRule type="cellIs" dxfId="234" priority="271" operator="greaterThan">
      <formula>0</formula>
    </cfRule>
  </conditionalFormatting>
  <conditionalFormatting sqref="N34:N35">
    <cfRule type="cellIs" dxfId="233" priority="189" operator="greaterThan">
      <formula>0</formula>
    </cfRule>
    <cfRule type="cellIs" dxfId="232" priority="188" operator="lessThan">
      <formula>0</formula>
    </cfRule>
  </conditionalFormatting>
  <conditionalFormatting sqref="O5:O17">
    <cfRule type="cellIs" dxfId="231" priority="254" operator="lessThan">
      <formula>0</formula>
    </cfRule>
    <cfRule type="cellIs" dxfId="230" priority="255" operator="greaterThan">
      <formula>0</formula>
    </cfRule>
  </conditionalFormatting>
  <conditionalFormatting sqref="O21:O33">
    <cfRule type="cellIs" dxfId="229" priority="173" operator="greaterThan">
      <formula>0</formula>
    </cfRule>
    <cfRule type="cellIs" dxfId="228" priority="172" operator="lessThan">
      <formula>0</formula>
    </cfRule>
  </conditionalFormatting>
  <conditionalFormatting sqref="O38:O50">
    <cfRule type="cellIs" dxfId="227" priority="217" operator="greaterThan">
      <formula>0</formula>
    </cfRule>
    <cfRule type="cellIs" dxfId="226" priority="216" operator="lessThan">
      <formula>0</formula>
    </cfRule>
  </conditionalFormatting>
  <conditionalFormatting sqref="O54:O65">
    <cfRule type="cellIs" dxfId="225" priority="71" operator="greaterThan">
      <formula>0</formula>
    </cfRule>
    <cfRule type="cellIs" dxfId="224" priority="70" operator="lessThan">
      <formula>0</formula>
    </cfRule>
  </conditionalFormatting>
  <conditionalFormatting sqref="P18">
    <cfRule type="cellIs" dxfId="223" priority="268" operator="lessThan">
      <formula>0</formula>
    </cfRule>
    <cfRule type="cellIs" dxfId="222" priority="269" operator="greaterThan">
      <formula>0</formula>
    </cfRule>
  </conditionalFormatting>
  <conditionalFormatting sqref="P34:P35">
    <cfRule type="cellIs" dxfId="221" priority="187" operator="greaterThan">
      <formula>0</formula>
    </cfRule>
    <cfRule type="cellIs" dxfId="220" priority="186" operator="lessThan">
      <formula>0</formula>
    </cfRule>
  </conditionalFormatting>
  <conditionalFormatting sqref="Q5:Q17">
    <cfRule type="cellIs" dxfId="219" priority="252" operator="lessThan">
      <formula>0</formula>
    </cfRule>
    <cfRule type="cellIs" dxfId="218" priority="253" operator="greaterThan">
      <formula>0</formula>
    </cfRule>
  </conditionalFormatting>
  <conditionalFormatting sqref="Q21:Q33">
    <cfRule type="cellIs" dxfId="217" priority="170" operator="lessThan">
      <formula>0</formula>
    </cfRule>
    <cfRule type="cellIs" dxfId="216" priority="171" operator="greaterThan">
      <formula>0</formula>
    </cfRule>
  </conditionalFormatting>
  <conditionalFormatting sqref="Q38:Q50">
    <cfRule type="cellIs" dxfId="215" priority="215" operator="greaterThan">
      <formula>0</formula>
    </cfRule>
    <cfRule type="cellIs" dxfId="214" priority="214" operator="lessThan">
      <formula>0</formula>
    </cfRule>
  </conditionalFormatting>
  <conditionalFormatting sqref="Q54:Q65">
    <cfRule type="cellIs" dxfId="213" priority="69" operator="greaterThan">
      <formula>0</formula>
    </cfRule>
    <cfRule type="cellIs" dxfId="212" priority="68" operator="lessThan">
      <formula>0</formula>
    </cfRule>
  </conditionalFormatting>
  <conditionalFormatting sqref="R18">
    <cfRule type="cellIs" dxfId="211" priority="2" operator="greaterThan">
      <formula>0</formula>
    </cfRule>
    <cfRule type="cellIs" dxfId="210" priority="1" operator="lessThan">
      <formula>0</formula>
    </cfRule>
  </conditionalFormatting>
  <conditionalFormatting sqref="R34:R35">
    <cfRule type="cellIs" dxfId="209" priority="5" operator="lessThan">
      <formula>0</formula>
    </cfRule>
    <cfRule type="cellIs" dxfId="208" priority="6" operator="greaterThan">
      <formula>0</formula>
    </cfRule>
  </conditionalFormatting>
  <conditionalFormatting sqref="S5:S17">
    <cfRule type="cellIs" dxfId="207" priority="14" operator="greaterThan">
      <formula>0</formula>
    </cfRule>
    <cfRule type="cellIs" dxfId="206" priority="13" operator="lessThan">
      <formula>0</formula>
    </cfRule>
  </conditionalFormatting>
  <conditionalFormatting sqref="S21:S33">
    <cfRule type="cellIs" dxfId="205" priority="11" operator="lessThan">
      <formula>0</formula>
    </cfRule>
    <cfRule type="cellIs" dxfId="204" priority="12" operator="greaterThan">
      <formula>0</formula>
    </cfRule>
  </conditionalFormatting>
  <conditionalFormatting sqref="S38:S50">
    <cfRule type="cellIs" dxfId="203" priority="7" operator="lessThan">
      <formula>0</formula>
    </cfRule>
    <cfRule type="cellIs" dxfId="202" priority="8" operator="greaterThan">
      <formula>0</formula>
    </cfRule>
  </conditionalFormatting>
  <conditionalFormatting sqref="S54:S65">
    <cfRule type="cellIs" dxfId="201" priority="3" operator="lessThan">
      <formula>0</formula>
    </cfRule>
    <cfRule type="cellIs" dxfId="200" priority="4" operator="greaterThan">
      <formula>0</formula>
    </cfRule>
  </conditionalFormatting>
  <conditionalFormatting sqref="T18">
    <cfRule type="cellIs" dxfId="199" priority="249" operator="greaterThan">
      <formula>0</formula>
    </cfRule>
    <cfRule type="cellIs" dxfId="198" priority="248" operator="lessThan">
      <formula>0</formula>
    </cfRule>
  </conditionalFormatting>
  <conditionalFormatting sqref="T34:T35">
    <cfRule type="cellIs" dxfId="197" priority="167" operator="greaterThan">
      <formula>0</formula>
    </cfRule>
    <cfRule type="cellIs" dxfId="196" priority="166" operator="lessThan">
      <formula>0</formula>
    </cfRule>
  </conditionalFormatting>
  <conditionalFormatting sqref="U5:U17">
    <cfRule type="cellIs" dxfId="195" priority="246" operator="lessThan">
      <formula>0</formula>
    </cfRule>
    <cfRule type="cellIs" dxfId="194" priority="247" operator="greaterThan">
      <formula>0</formula>
    </cfRule>
  </conditionalFormatting>
  <conditionalFormatting sqref="U21:U33">
    <cfRule type="cellIs" dxfId="193" priority="165" operator="greaterThan">
      <formula>0</formula>
    </cfRule>
    <cfRule type="cellIs" dxfId="192" priority="164" operator="lessThan">
      <formula>0</formula>
    </cfRule>
  </conditionalFormatting>
  <conditionalFormatting sqref="U38:U50">
    <cfRule type="cellIs" dxfId="191" priority="210" operator="lessThan">
      <formula>0</formula>
    </cfRule>
    <cfRule type="cellIs" dxfId="190" priority="211" operator="greaterThan">
      <formula>0</formula>
    </cfRule>
  </conditionalFormatting>
  <conditionalFormatting sqref="U54:U65">
    <cfRule type="cellIs" dxfId="189" priority="160" operator="greaterThan">
      <formula>0</formula>
    </cfRule>
    <cfRule type="cellIs" dxfId="188" priority="159" operator="lessThan">
      <formula>0</formula>
    </cfRule>
  </conditionalFormatting>
  <printOptions horizontalCentered="1"/>
  <pageMargins left="0" right="0" top="0" bottom="0" header="0" footer="0"/>
  <pageSetup paperSize="9" scale="40"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0A691-C129-564C-A5F1-6AC47211CB13}">
  <sheetPr codeName="Feuil20">
    <tabColor theme="5" tint="-0.249977111117893"/>
    <pageSetUpPr fitToPage="1"/>
  </sheetPr>
  <dimension ref="B1:V126"/>
  <sheetViews>
    <sheetView showGridLines="0" view="pageBreakPreview" zoomScale="90" zoomScaleNormal="100" zoomScaleSheetLayoutView="90" workbookViewId="0">
      <selection activeCell="T84" sqref="T84:T87"/>
    </sheetView>
  </sheetViews>
  <sheetFormatPr baseColWidth="10" defaultColWidth="10.83203125" defaultRowHeight="19"/>
  <cols>
    <col min="1" max="1" width="2.83203125" style="211" customWidth="1"/>
    <col min="2" max="2" width="3.83203125" style="211" customWidth="1"/>
    <col min="3" max="3" width="10.83203125" style="211"/>
    <col min="4" max="4" width="11.5" style="211" customWidth="1"/>
    <col min="5" max="5" width="10.6640625" style="211" bestFit="1" customWidth="1"/>
    <col min="6" max="6" width="11.1640625" style="211" bestFit="1" customWidth="1"/>
    <col min="7" max="7" width="10.6640625" style="211" bestFit="1" customWidth="1"/>
    <col min="8" max="8" width="10.83203125" style="211"/>
    <col min="9" max="9" width="11.83203125" style="211" customWidth="1"/>
    <col min="10" max="10" width="12.5" style="211" bestFit="1" customWidth="1"/>
    <col min="11" max="11" width="10.6640625" style="211" bestFit="1" customWidth="1"/>
    <col min="12" max="12" width="10.83203125" style="211"/>
    <col min="13" max="13" width="11.1640625" style="211" bestFit="1" customWidth="1"/>
    <col min="14" max="14" width="10.83203125" style="211"/>
    <col min="15" max="15" width="10.6640625" style="211" bestFit="1" customWidth="1"/>
    <col min="16" max="16" width="10.83203125" style="211"/>
    <col min="17" max="17" width="10.6640625" style="211" bestFit="1" customWidth="1"/>
    <col min="18" max="18" width="10.83203125" style="211"/>
    <col min="19" max="19" width="10.6640625" style="211" bestFit="1" customWidth="1"/>
    <col min="20" max="20" width="12.1640625" style="211" customWidth="1"/>
    <col min="21" max="21" width="10.6640625" style="211" bestFit="1" customWidth="1"/>
    <col min="22" max="22" width="3" style="211" customWidth="1"/>
    <col min="23" max="16384" width="10.83203125" style="211"/>
  </cols>
  <sheetData>
    <row r="1" spans="2:22" ht="20" thickBot="1"/>
    <row r="2" spans="2:22" ht="30" customHeight="1" thickBot="1">
      <c r="B2" s="325"/>
      <c r="C2" s="1789" t="s">
        <v>243</v>
      </c>
      <c r="D2" s="1789"/>
      <c r="E2" s="1789"/>
      <c r="F2" s="1789"/>
      <c r="G2" s="1789"/>
      <c r="H2" s="1789"/>
      <c r="I2" s="1789"/>
      <c r="J2" s="1789"/>
      <c r="K2" s="1789"/>
      <c r="L2" s="1789"/>
      <c r="M2" s="1789"/>
      <c r="N2" s="1789"/>
      <c r="O2" s="1789"/>
      <c r="P2" s="1789"/>
      <c r="Q2" s="1789"/>
      <c r="R2" s="1789"/>
      <c r="S2" s="1789"/>
      <c r="T2" s="1789"/>
      <c r="U2" s="1790"/>
    </row>
    <row r="3" spans="2:22" ht="20" thickBot="1"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26"/>
    </row>
    <row r="4" spans="2:22">
      <c r="H4" s="327" t="s">
        <v>252</v>
      </c>
      <c r="I4" s="328" t="s">
        <v>250</v>
      </c>
      <c r="J4" s="328" t="s">
        <v>251</v>
      </c>
      <c r="K4" s="328" t="s">
        <v>267</v>
      </c>
      <c r="L4" s="329" t="s">
        <v>45</v>
      </c>
      <c r="M4" s="330"/>
      <c r="N4" s="1395"/>
      <c r="O4" s="331"/>
      <c r="P4" s="326"/>
      <c r="Q4" s="326"/>
      <c r="R4" s="326"/>
      <c r="S4" s="326"/>
      <c r="T4" s="326"/>
      <c r="U4" s="326"/>
      <c r="V4" s="326"/>
    </row>
    <row r="5" spans="2:22">
      <c r="H5" s="332" t="s">
        <v>241</v>
      </c>
      <c r="I5" s="333">
        <f>T21</f>
        <v>982512</v>
      </c>
      <c r="J5" s="333">
        <f>T51</f>
        <v>1271782.6600000001</v>
      </c>
      <c r="K5" s="333">
        <f>T111</f>
        <v>106331.17</v>
      </c>
      <c r="L5" s="334">
        <f>I5+J5+K5</f>
        <v>2360625.83</v>
      </c>
      <c r="M5" s="335"/>
      <c r="N5" s="1396"/>
      <c r="O5" s="336"/>
      <c r="P5" s="326"/>
      <c r="Q5" s="326"/>
      <c r="R5" s="326"/>
      <c r="S5" s="326"/>
      <c r="T5" s="326"/>
      <c r="U5" s="326"/>
      <c r="V5" s="326"/>
    </row>
    <row r="6" spans="2:22" ht="20" thickBot="1">
      <c r="H6" s="337" t="s">
        <v>230</v>
      </c>
      <c r="I6" s="338">
        <f>U21</f>
        <v>6.4296802134519437E-2</v>
      </c>
      <c r="J6" s="338">
        <f>U51</f>
        <v>8.3227032390579256E-2</v>
      </c>
      <c r="K6" s="338">
        <f>U111</f>
        <v>7.0604819668612746E-3</v>
      </c>
      <c r="L6" s="339">
        <f>L5/'INDICES CA 💵'!T17</f>
        <v>0.15448227798250375</v>
      </c>
      <c r="M6" s="340"/>
      <c r="N6" s="1396"/>
      <c r="O6" s="336"/>
      <c r="P6" s="326"/>
      <c r="Q6" s="326"/>
      <c r="R6" s="326"/>
      <c r="S6" s="326"/>
      <c r="T6" s="326"/>
      <c r="U6" s="326"/>
      <c r="V6" s="326"/>
    </row>
    <row r="7" spans="2:22" ht="20" thickBot="1">
      <c r="O7" s="326"/>
      <c r="P7" s="326"/>
      <c r="Q7" s="326"/>
      <c r="R7" s="326"/>
      <c r="S7" s="326"/>
      <c r="T7" s="326"/>
      <c r="U7" s="326"/>
    </row>
    <row r="8" spans="2:22" s="324" customFormat="1" ht="32" customHeight="1">
      <c r="B8" s="1786" t="s">
        <v>270</v>
      </c>
      <c r="C8" s="876" t="s">
        <v>460</v>
      </c>
      <c r="D8" s="877" t="s">
        <v>28</v>
      </c>
      <c r="E8" s="877" t="s">
        <v>169</v>
      </c>
      <c r="F8" s="878" t="s">
        <v>29</v>
      </c>
      <c r="G8" s="879" t="s">
        <v>169</v>
      </c>
      <c r="H8" s="880" t="s">
        <v>30</v>
      </c>
      <c r="I8" s="877" t="s">
        <v>169</v>
      </c>
      <c r="J8" s="881" t="s">
        <v>31</v>
      </c>
      <c r="K8" s="879" t="s">
        <v>169</v>
      </c>
      <c r="L8" s="877" t="s">
        <v>32</v>
      </c>
      <c r="M8" s="877" t="s">
        <v>169</v>
      </c>
      <c r="N8" s="878" t="s">
        <v>253</v>
      </c>
      <c r="O8" s="879" t="s">
        <v>169</v>
      </c>
      <c r="P8" s="880" t="s">
        <v>34</v>
      </c>
      <c r="Q8" s="877" t="s">
        <v>169</v>
      </c>
      <c r="R8" s="881" t="s">
        <v>308</v>
      </c>
      <c r="S8" s="879" t="s">
        <v>169</v>
      </c>
      <c r="T8" s="880" t="s">
        <v>37</v>
      </c>
      <c r="U8" s="882" t="s">
        <v>169</v>
      </c>
    </row>
    <row r="9" spans="2:22" ht="17" customHeight="1">
      <c r="B9" s="1787"/>
      <c r="C9" s="348" t="s">
        <v>10</v>
      </c>
      <c r="D9" s="349">
        <f>'LAD 🛍️'!C3</f>
        <v>66598</v>
      </c>
      <c r="E9" s="350">
        <f>D9/'INDICES CA 💵'!D5</f>
        <v>0.10110835544613667</v>
      </c>
      <c r="F9" s="351">
        <f>'LAD 🛍️'!E3</f>
        <v>56370</v>
      </c>
      <c r="G9" s="352">
        <f>F9/'INDICES CA 💵'!F5</f>
        <v>0.14652189461309406</v>
      </c>
      <c r="H9" s="351"/>
      <c r="I9" s="352"/>
      <c r="J9" s="351">
        <f>'LAD 🛍️'!I3</f>
        <v>79727</v>
      </c>
      <c r="K9" s="352">
        <f>J9/'INDICES CA 💵'!J5</f>
        <v>0.16155254821500714</v>
      </c>
      <c r="L9" s="349"/>
      <c r="M9" s="350"/>
      <c r="N9" s="351"/>
      <c r="O9" s="352"/>
      <c r="P9" s="349"/>
      <c r="Q9" s="350"/>
      <c r="R9" s="358">
        <f>'LAD 🛍️'!Q3</f>
        <v>20922</v>
      </c>
      <c r="S9" s="359">
        <f>R9/'INDICES CA 💵'!R5</f>
        <v>8.2560012273906025E-2</v>
      </c>
      <c r="T9" s="353">
        <f t="shared" ref="T9:T14" si="0">D9+F9+H9+J9+L9+N9+P9+R9</f>
        <v>223617</v>
      </c>
      <c r="U9" s="354">
        <f>T9/'INDICES CA 💵'!T5</f>
        <v>7.4352132767439127E-2</v>
      </c>
    </row>
    <row r="10" spans="2:22" s="229" customFormat="1" ht="17" customHeight="1">
      <c r="B10" s="1787"/>
      <c r="C10" s="355" t="s">
        <v>25</v>
      </c>
      <c r="D10" s="356">
        <f>'LAD 🛍️'!C4</f>
        <v>52717</v>
      </c>
      <c r="E10" s="357">
        <f>D10/'INDICES CA 💵'!D6</f>
        <v>8.6747983048097707E-2</v>
      </c>
      <c r="F10" s="358">
        <f>'LAD 🛍️'!E4</f>
        <v>48620</v>
      </c>
      <c r="G10" s="359">
        <f>F10/'INDICES CA 💵'!F6</f>
        <v>0.12673851313619144</v>
      </c>
      <c r="H10" s="358">
        <f>'LAD 🛍️'!G4</f>
        <v>4805</v>
      </c>
      <c r="I10" s="359">
        <f>H10/'INDICES CA 💵'!H6</f>
        <v>1.4132905787196972E-2</v>
      </c>
      <c r="J10" s="358">
        <f>'LAD 🛍️'!I4</f>
        <v>67559</v>
      </c>
      <c r="K10" s="359">
        <f>J10/'INDICES CA 💵'!J6</f>
        <v>0.15303489034217305</v>
      </c>
      <c r="L10" s="356"/>
      <c r="M10" s="357"/>
      <c r="N10" s="358"/>
      <c r="O10" s="359"/>
      <c r="P10" s="356"/>
      <c r="Q10" s="357"/>
      <c r="R10" s="358">
        <f>'LAD 🛍️'!Q4</f>
        <v>19036</v>
      </c>
      <c r="S10" s="359">
        <f>R10/'INDICES CA 💵'!R6</f>
        <v>8.6308414204399039E-2</v>
      </c>
      <c r="T10" s="360">
        <f t="shared" si="0"/>
        <v>192737</v>
      </c>
      <c r="U10" s="361">
        <f>T10/'INDICES CA 💵'!T6</f>
        <v>6.9132224517474791E-2</v>
      </c>
    </row>
    <row r="11" spans="2:22" s="229" customFormat="1" ht="17" customHeight="1">
      <c r="B11" s="1787"/>
      <c r="C11" s="355" t="s">
        <v>17</v>
      </c>
      <c r="D11" s="356">
        <f>'LAD 🛍️'!C5</f>
        <v>57112</v>
      </c>
      <c r="E11" s="357">
        <f>D11/'INDICES CA 💵'!D7</f>
        <v>9.3700801521499372E-2</v>
      </c>
      <c r="F11" s="358">
        <f>'LAD 🛍️'!E5</f>
        <v>46532</v>
      </c>
      <c r="G11" s="359">
        <f>F11/'INDICES CA 💵'!F7</f>
        <v>0.12076941422447868</v>
      </c>
      <c r="H11" s="356">
        <f>'LAD 🛍️'!G5</f>
        <v>6922</v>
      </c>
      <c r="I11" s="357">
        <f>H11/'INDICES CA 💵'!H7</f>
        <v>1.9590602261868342E-2</v>
      </c>
      <c r="J11" s="358">
        <f>'LAD 🛍️'!I5</f>
        <v>69934</v>
      </c>
      <c r="K11" s="359">
        <f>J11/'INDICES CA 💵'!J7</f>
        <v>0.14832413704171249</v>
      </c>
      <c r="L11" s="356"/>
      <c r="M11" s="357"/>
      <c r="N11" s="358"/>
      <c r="O11" s="359"/>
      <c r="P11" s="356"/>
      <c r="Q11" s="357"/>
      <c r="R11" s="358">
        <f>'LAD 🛍️'!Q5</f>
        <v>18495</v>
      </c>
      <c r="S11" s="359">
        <f>R11/'INDICES CA 💵'!R7</f>
        <v>7.7491905248789239E-2</v>
      </c>
      <c r="T11" s="360">
        <f t="shared" si="0"/>
        <v>198995</v>
      </c>
      <c r="U11" s="361">
        <f>T11/'INDICES CA 💵'!T7</f>
        <v>6.8341674358074297E-2</v>
      </c>
    </row>
    <row r="12" spans="2:22" s="229" customFormat="1" ht="17" customHeight="1">
      <c r="B12" s="1787"/>
      <c r="C12" s="355" t="s">
        <v>18</v>
      </c>
      <c r="D12" s="356">
        <f>'LAD 🛍️'!C6</f>
        <v>48975</v>
      </c>
      <c r="E12" s="357">
        <f>D12/'INDICES CA 💵'!D8</f>
        <v>8.4264702762562593E-2</v>
      </c>
      <c r="F12" s="358">
        <f>'LAD 🛍️'!E6</f>
        <v>42420</v>
      </c>
      <c r="G12" s="359">
        <f>F12/'INDICES CA 💵'!F8</f>
        <v>9.0368129337968464E-2</v>
      </c>
      <c r="H12" s="356">
        <f>'LAD 🛍️'!G6</f>
        <v>6539</v>
      </c>
      <c r="I12" s="357">
        <f>H12/'INDICES CA 💵'!H8</f>
        <v>1.859210535818278E-2</v>
      </c>
      <c r="J12" s="358">
        <f>'LAD 🛍️'!I6</f>
        <v>58122</v>
      </c>
      <c r="K12" s="359">
        <f>J12/'INDICES CA 💵'!J8</f>
        <v>0.1300303305668013</v>
      </c>
      <c r="L12" s="356"/>
      <c r="M12" s="357"/>
      <c r="N12" s="358"/>
      <c r="O12" s="359"/>
      <c r="P12" s="356"/>
      <c r="Q12" s="357"/>
      <c r="R12" s="358">
        <f>'LAD 🛍️'!Q6</f>
        <v>16521</v>
      </c>
      <c r="S12" s="359">
        <f>R12/'INDICES CA 💵'!R8</f>
        <v>6.913869118503238E-2</v>
      </c>
      <c r="T12" s="360">
        <f t="shared" si="0"/>
        <v>172577</v>
      </c>
      <c r="U12" s="361">
        <f>T12/'INDICES CA 💵'!T8</f>
        <v>5.9132658149853412E-2</v>
      </c>
    </row>
    <row r="13" spans="2:22" s="229" customFormat="1" ht="17" customHeight="1">
      <c r="B13" s="1787"/>
      <c r="C13" s="355" t="s">
        <v>19</v>
      </c>
      <c r="D13" s="356">
        <f>'LAD 🛍️'!C7</f>
        <v>52057</v>
      </c>
      <c r="E13" s="357">
        <f>D13/'INDICES CA 💵'!D9</f>
        <v>9.1656259079109959E-2</v>
      </c>
      <c r="F13" s="358">
        <f>'LAD 🛍️'!E7</f>
        <v>48554</v>
      </c>
      <c r="G13" s="359">
        <f>F13/'INDICES CA 💵'!F9</f>
        <v>0.10290288761982719</v>
      </c>
      <c r="H13" s="356">
        <f>'LAD 🛍️'!G7</f>
        <v>7343</v>
      </c>
      <c r="I13" s="357">
        <f>H13/'INDICES CA 💵'!H9</f>
        <v>1.9784733584403389E-2</v>
      </c>
      <c r="J13" s="358">
        <f>'LAD 🛍️'!I7</f>
        <v>66710</v>
      </c>
      <c r="K13" s="359">
        <f>J13/'INDICES CA 💵'!J9</f>
        <v>0.14800570466478882</v>
      </c>
      <c r="L13" s="356"/>
      <c r="M13" s="357"/>
      <c r="N13" s="358"/>
      <c r="O13" s="359"/>
      <c r="P13" s="356"/>
      <c r="Q13" s="357"/>
      <c r="R13" s="358">
        <f>'LAD 🛍️'!Q7</f>
        <v>19922</v>
      </c>
      <c r="S13" s="359">
        <f>R13/'INDICES CA 💵'!R9</f>
        <v>8.0138522747180113E-2</v>
      </c>
      <c r="T13" s="360">
        <f t="shared" si="0"/>
        <v>194586</v>
      </c>
      <c r="U13" s="361">
        <f>T13/'INDICES CA 💵'!T9</f>
        <v>6.5615414119803442E-2</v>
      </c>
    </row>
    <row r="14" spans="2:22" s="229" customFormat="1" ht="17" customHeight="1">
      <c r="B14" s="1787"/>
      <c r="C14" s="1026" t="s">
        <v>20</v>
      </c>
      <c r="D14" s="1027">
        <f>'LAD 🛍️'!C8</f>
        <v>0</v>
      </c>
      <c r="E14" s="1028">
        <f>D14/'INDICES CA 💵'!D10</f>
        <v>0</v>
      </c>
      <c r="F14" s="1029">
        <f>'LAD 🛍️'!E8</f>
        <v>0</v>
      </c>
      <c r="G14" s="1030">
        <f>F14/'INDICES CA 💵'!F10</f>
        <v>0</v>
      </c>
      <c r="H14" s="1027">
        <f>'LAD 🛍️'!G8</f>
        <v>0</v>
      </c>
      <c r="I14" s="1028">
        <f>H14/'INDICES CA 💵'!H10</f>
        <v>0</v>
      </c>
      <c r="J14" s="1029">
        <f>'LAD 🛍️'!I8</f>
        <v>0</v>
      </c>
      <c r="K14" s="1030">
        <f>J14/'INDICES CA 💵'!J10</f>
        <v>0</v>
      </c>
      <c r="L14" s="1027"/>
      <c r="M14" s="1028"/>
      <c r="N14" s="1029"/>
      <c r="O14" s="1030"/>
      <c r="P14" s="1027"/>
      <c r="Q14" s="1028"/>
      <c r="R14" s="1029">
        <f>'LAD 🛍️'!Q8</f>
        <v>0</v>
      </c>
      <c r="S14" s="1030">
        <f>R14/'INDICES CA 💵'!R10</f>
        <v>0</v>
      </c>
      <c r="T14" s="1031">
        <f t="shared" si="0"/>
        <v>0</v>
      </c>
      <c r="U14" s="1032">
        <f>T14/'INDICES CA 💵'!T10</f>
        <v>0</v>
      </c>
    </row>
    <row r="15" spans="2:22" s="229" customFormat="1" ht="17" customHeight="1">
      <c r="B15" s="1787"/>
      <c r="C15" s="355" t="s">
        <v>21</v>
      </c>
      <c r="D15" s="1091">
        <f>'LAD 🛍️'!C9</f>
        <v>0</v>
      </c>
      <c r="E15" s="1092" t="e">
        <f>D15/'INDICES CA 💵'!D11</f>
        <v>#DIV/0!</v>
      </c>
      <c r="F15" s="1093">
        <f>'LAD 🛍️'!E9</f>
        <v>0</v>
      </c>
      <c r="G15" s="1094" t="e">
        <f>F15/'INDICES CA 💵'!F11</f>
        <v>#DIV/0!</v>
      </c>
      <c r="H15" s="1091">
        <f>'LAD 🛍️'!G9</f>
        <v>0</v>
      </c>
      <c r="I15" s="1092" t="e">
        <f>H15/'INDICES CA 💵'!H11</f>
        <v>#DIV/0!</v>
      </c>
      <c r="J15" s="1093">
        <f>'LAD 🛍️'!I9</f>
        <v>0</v>
      </c>
      <c r="K15" s="1094" t="e">
        <f>J15/'INDICES CA 💵'!J11</f>
        <v>#DIV/0!</v>
      </c>
      <c r="L15" s="1091"/>
      <c r="M15" s="1092"/>
      <c r="N15" s="1093"/>
      <c r="O15" s="1094"/>
      <c r="P15" s="1091"/>
      <c r="Q15" s="1092"/>
      <c r="R15" s="1093">
        <f>'LAD 🛍️'!Q9</f>
        <v>0</v>
      </c>
      <c r="S15" s="1094" t="e">
        <f>R15/'INDICES CA 💵'!R11</f>
        <v>#DIV/0!</v>
      </c>
      <c r="T15" s="1095">
        <f t="shared" ref="T15:T20" si="1">D15+F15+H15+J15+L15+N15+P15+R15</f>
        <v>0</v>
      </c>
      <c r="U15" s="1096" t="e">
        <f>T15/'INDICES CA 💵'!T11</f>
        <v>#DIV/0!</v>
      </c>
    </row>
    <row r="16" spans="2:22" ht="17" customHeight="1">
      <c r="B16" s="1787"/>
      <c r="C16" s="348" t="s">
        <v>26</v>
      </c>
      <c r="D16" s="356">
        <f>'LAD 🛍️'!C10</f>
        <v>0</v>
      </c>
      <c r="E16" s="357" t="e">
        <f>D16/'INDICES CA 💵'!D12</f>
        <v>#DIV/0!</v>
      </c>
      <c r="F16" s="358">
        <f>'LAD 🛍️'!E10</f>
        <v>0</v>
      </c>
      <c r="G16" s="359" t="e">
        <f>F16/'INDICES CA 💵'!F12</f>
        <v>#DIV/0!</v>
      </c>
      <c r="H16" s="356">
        <f>'LAD 🛍️'!G10</f>
        <v>0</v>
      </c>
      <c r="I16" s="357" t="e">
        <f>H16/'INDICES CA 💵'!H12</f>
        <v>#DIV/0!</v>
      </c>
      <c r="J16" s="358">
        <f>'LAD 🛍️'!I10</f>
        <v>0</v>
      </c>
      <c r="K16" s="359" t="e">
        <f>J16/'INDICES CA 💵'!J12</f>
        <v>#DIV/0!</v>
      </c>
      <c r="L16" s="356"/>
      <c r="M16" s="357"/>
      <c r="N16" s="358"/>
      <c r="O16" s="359"/>
      <c r="P16" s="356"/>
      <c r="Q16" s="357"/>
      <c r="R16" s="358">
        <f>'LAD 🛍️'!Q10</f>
        <v>0</v>
      </c>
      <c r="S16" s="359" t="e">
        <f>R16/'INDICES CA 💵'!R12</f>
        <v>#DIV/0!</v>
      </c>
      <c r="T16" s="360">
        <f t="shared" si="1"/>
        <v>0</v>
      </c>
      <c r="U16" s="361" t="e">
        <f>T16/'INDICES CA 💵'!T12</f>
        <v>#DIV/0!</v>
      </c>
    </row>
    <row r="17" spans="2:21" ht="17" customHeight="1">
      <c r="B17" s="1787"/>
      <c r="C17" s="348" t="s">
        <v>22</v>
      </c>
      <c r="D17" s="356">
        <f>'LAD 🛍️'!C11</f>
        <v>0</v>
      </c>
      <c r="E17" s="357" t="e">
        <f>D17/'INDICES CA 💵'!D13</f>
        <v>#DIV/0!</v>
      </c>
      <c r="F17" s="358">
        <f>'LAD 🛍️'!E11</f>
        <v>0</v>
      </c>
      <c r="G17" s="359" t="e">
        <f>F17/'INDICES CA 💵'!F13</f>
        <v>#DIV/0!</v>
      </c>
      <c r="H17" s="1234">
        <f>'LAD 🛍️'!G11</f>
        <v>0</v>
      </c>
      <c r="I17" s="1570" t="e">
        <f>H17/'INDICES CA 💵'!H13</f>
        <v>#DIV/0!</v>
      </c>
      <c r="J17" s="358">
        <f>'LAD 🛍️'!I11</f>
        <v>0</v>
      </c>
      <c r="K17" s="359" t="e">
        <f>J17/'INDICES CA 💵'!J13</f>
        <v>#DIV/0!</v>
      </c>
      <c r="L17" s="1234"/>
      <c r="M17" s="1235"/>
      <c r="N17" s="1236"/>
      <c r="O17" s="1237"/>
      <c r="P17" s="1234"/>
      <c r="Q17" s="1235"/>
      <c r="R17" s="358">
        <f>'LAD 🛍️'!Q11</f>
        <v>0</v>
      </c>
      <c r="S17" s="359" t="e">
        <f>R17/'INDICES CA 💵'!R13</f>
        <v>#DIV/0!</v>
      </c>
      <c r="T17" s="360">
        <f t="shared" si="1"/>
        <v>0</v>
      </c>
      <c r="U17" s="361" t="e">
        <f>T17/'INDICES CA 💵'!T13</f>
        <v>#DIV/0!</v>
      </c>
    </row>
    <row r="18" spans="2:21" ht="17" customHeight="1">
      <c r="B18" s="1787"/>
      <c r="C18" s="348" t="s">
        <v>23</v>
      </c>
      <c r="D18" s="356">
        <f>'LAD 🛍️'!C12</f>
        <v>0</v>
      </c>
      <c r="E18" s="357" t="e">
        <f>D18/'INDICES CA 💵'!D14</f>
        <v>#DIV/0!</v>
      </c>
      <c r="F18" s="358">
        <f>'LAD 🛍️'!E12</f>
        <v>0</v>
      </c>
      <c r="G18" s="359" t="e">
        <f>F18/'INDICES CA 💵'!F14</f>
        <v>#DIV/0!</v>
      </c>
      <c r="H18" s="1234">
        <f>'LAD 🛍️'!G12</f>
        <v>0</v>
      </c>
      <c r="I18" s="1570" t="e">
        <f>H18/'INDICES CA 💵'!H14</f>
        <v>#DIV/0!</v>
      </c>
      <c r="J18" s="358">
        <f>'LAD 🛍️'!I12</f>
        <v>0</v>
      </c>
      <c r="K18" s="359" t="e">
        <f>J18/'INDICES CA 💵'!J14</f>
        <v>#DIV/0!</v>
      </c>
      <c r="L18" s="1234"/>
      <c r="M18" s="1235"/>
      <c r="N18" s="1236"/>
      <c r="O18" s="1237"/>
      <c r="P18" s="1234"/>
      <c r="Q18" s="1235"/>
      <c r="R18" s="358">
        <f>'LAD 🛍️'!Q12</f>
        <v>0</v>
      </c>
      <c r="S18" s="359" t="e">
        <f>R18/'INDICES CA 💵'!R14</f>
        <v>#DIV/0!</v>
      </c>
      <c r="T18" s="360">
        <f t="shared" si="1"/>
        <v>0</v>
      </c>
      <c r="U18" s="361" t="e">
        <f>T18/'INDICES CA 💵'!T14</f>
        <v>#DIV/0!</v>
      </c>
    </row>
    <row r="19" spans="2:21" ht="17" customHeight="1">
      <c r="B19" s="1787"/>
      <c r="C19" s="348" t="s">
        <v>24</v>
      </c>
      <c r="D19" s="356">
        <f>'LAD 🛍️'!C13</f>
        <v>0</v>
      </c>
      <c r="E19" s="357" t="e">
        <f>D19/'INDICES CA 💵'!D15</f>
        <v>#DIV/0!</v>
      </c>
      <c r="F19" s="358">
        <f>'LAD 🛍️'!E13</f>
        <v>0</v>
      </c>
      <c r="G19" s="359" t="e">
        <f>F19/'INDICES CA 💵'!F15</f>
        <v>#DIV/0!</v>
      </c>
      <c r="H19" s="1234">
        <f>'LAD 🛍️'!G13</f>
        <v>0</v>
      </c>
      <c r="I19" s="1570" t="e">
        <f>H19/'INDICES CA 💵'!H15</f>
        <v>#DIV/0!</v>
      </c>
      <c r="J19" s="358">
        <f>'LAD 🛍️'!I13</f>
        <v>0</v>
      </c>
      <c r="K19" s="359" t="e">
        <f>J19/'INDICES CA 💵'!J15</f>
        <v>#DIV/0!</v>
      </c>
      <c r="L19" s="1234"/>
      <c r="M19" s="1235"/>
      <c r="N19" s="1236"/>
      <c r="O19" s="1237"/>
      <c r="P19" s="1234"/>
      <c r="Q19" s="1235"/>
      <c r="R19" s="358">
        <f>'LAD 🛍️'!Q13</f>
        <v>0</v>
      </c>
      <c r="S19" s="359" t="e">
        <f>R19/'INDICES CA 💵'!R15</f>
        <v>#DIV/0!</v>
      </c>
      <c r="T19" s="360">
        <f t="shared" si="1"/>
        <v>0</v>
      </c>
      <c r="U19" s="361" t="e">
        <f>T19/'INDICES CA 💵'!T15</f>
        <v>#DIV/0!</v>
      </c>
    </row>
    <row r="20" spans="2:21" ht="17" customHeight="1">
      <c r="B20" s="1787"/>
      <c r="C20" s="348" t="s">
        <v>27</v>
      </c>
      <c r="D20" s="356">
        <f>'LAD 🛍️'!C14</f>
        <v>0</v>
      </c>
      <c r="E20" s="357" t="e">
        <f>D20/'INDICES CA 💵'!D16</f>
        <v>#DIV/0!</v>
      </c>
      <c r="F20" s="358">
        <f>'LAD 🛍️'!E14</f>
        <v>0</v>
      </c>
      <c r="G20" s="359" t="e">
        <f>F20/'INDICES CA 💵'!F16</f>
        <v>#DIV/0!</v>
      </c>
      <c r="H20" s="1234">
        <f>'LAD 🛍️'!G14</f>
        <v>0</v>
      </c>
      <c r="I20" s="1570" t="e">
        <f>H20/'INDICES CA 💵'!H16</f>
        <v>#DIV/0!</v>
      </c>
      <c r="J20" s="358">
        <f>'LAD 🛍️'!I14</f>
        <v>0</v>
      </c>
      <c r="K20" s="359" t="e">
        <f>J20/'INDICES CA 💵'!J16</f>
        <v>#DIV/0!</v>
      </c>
      <c r="L20" s="1234"/>
      <c r="M20" s="1235"/>
      <c r="N20" s="1236"/>
      <c r="O20" s="1237"/>
      <c r="P20" s="1234"/>
      <c r="Q20" s="1235"/>
      <c r="R20" s="358">
        <f>'LAD 🛍️'!Q14</f>
        <v>0</v>
      </c>
      <c r="S20" s="359" t="e">
        <f>R20/'INDICES CA 💵'!R16</f>
        <v>#DIV/0!</v>
      </c>
      <c r="T20" s="360">
        <f t="shared" si="1"/>
        <v>0</v>
      </c>
      <c r="U20" s="361" t="e">
        <f>T20/'INDICES CA 💵'!T16</f>
        <v>#DIV/0!</v>
      </c>
    </row>
    <row r="21" spans="2:21" ht="18" customHeight="1">
      <c r="B21" s="1787"/>
      <c r="C21" s="362" t="s">
        <v>45</v>
      </c>
      <c r="D21" s="363">
        <f>SUM(D9:D20)</f>
        <v>277459</v>
      </c>
      <c r="E21" s="364">
        <f>D21/'INDICES CA 💵'!D17</f>
        <v>8.7865819308950405E-2</v>
      </c>
      <c r="F21" s="365">
        <f>SUM(F9:F20)</f>
        <v>242496</v>
      </c>
      <c r="G21" s="366">
        <f>F21/'INDICES CA 💵'!F17</f>
        <v>0.11045052711527509</v>
      </c>
      <c r="H21" s="363">
        <f>SUM(H9:H20)</f>
        <v>25609</v>
      </c>
      <c r="I21" s="364">
        <f>H21/'INDICES CA 💵'!H17</f>
        <v>1.3721168380875077E-2</v>
      </c>
      <c r="J21" s="365">
        <f>SUM(J9:J20)</f>
        <v>342052</v>
      </c>
      <c r="K21" s="366">
        <f>J21/'INDICES CA 💵'!J17</f>
        <v>0.14178987024103662</v>
      </c>
      <c r="L21" s="363">
        <f>SUM(L9:L20)</f>
        <v>0</v>
      </c>
      <c r="M21" s="364">
        <f>L21/'INDICES CA 💵'!L17</f>
        <v>0</v>
      </c>
      <c r="N21" s="365">
        <f>SUM(N9:N20)</f>
        <v>0</v>
      </c>
      <c r="O21" s="366">
        <f>N21/'INDICES CA 💵'!N17</f>
        <v>0</v>
      </c>
      <c r="P21" s="363">
        <f>SUM(P9:P20)</f>
        <v>0</v>
      </c>
      <c r="Q21" s="364">
        <f>P21/'INDICES CA 💵'!P17</f>
        <v>0</v>
      </c>
      <c r="R21" s="365">
        <f>SUM(R9:R20)</f>
        <v>94896</v>
      </c>
      <c r="S21" s="366">
        <f>R21/'INDICES CA 💵'!R17</f>
        <v>7.5405939838780217E-2</v>
      </c>
      <c r="T21" s="363">
        <f>SUM(T9:T20)</f>
        <v>982512</v>
      </c>
      <c r="U21" s="367">
        <f>T21/'INDICES CA 💵'!T17</f>
        <v>6.4296802134519437E-2</v>
      </c>
    </row>
    <row r="22" spans="2:21" ht="7" customHeight="1">
      <c r="B22" s="1787"/>
      <c r="U22" s="368"/>
    </row>
    <row r="23" spans="2:21" s="324" customFormat="1" ht="32" customHeight="1">
      <c r="B23" s="1787"/>
      <c r="C23" s="883" t="s">
        <v>244</v>
      </c>
      <c r="D23" s="884" t="s">
        <v>28</v>
      </c>
      <c r="E23" s="884" t="s">
        <v>163</v>
      </c>
      <c r="F23" s="885" t="s">
        <v>29</v>
      </c>
      <c r="G23" s="886" t="s">
        <v>163</v>
      </c>
      <c r="H23" s="887" t="s">
        <v>30</v>
      </c>
      <c r="I23" s="884" t="s">
        <v>163</v>
      </c>
      <c r="J23" s="888" t="s">
        <v>31</v>
      </c>
      <c r="K23" s="886" t="s">
        <v>163</v>
      </c>
      <c r="L23" s="884" t="s">
        <v>32</v>
      </c>
      <c r="M23" s="884" t="s">
        <v>163</v>
      </c>
      <c r="N23" s="885" t="s">
        <v>253</v>
      </c>
      <c r="O23" s="886" t="s">
        <v>163</v>
      </c>
      <c r="P23" s="887" t="s">
        <v>34</v>
      </c>
      <c r="Q23" s="884" t="s">
        <v>163</v>
      </c>
      <c r="R23" s="888" t="s">
        <v>308</v>
      </c>
      <c r="S23" s="886" t="s">
        <v>163</v>
      </c>
      <c r="T23" s="887" t="s">
        <v>37</v>
      </c>
      <c r="U23" s="889" t="s">
        <v>163</v>
      </c>
    </row>
    <row r="24" spans="2:21" ht="17" customHeight="1">
      <c r="B24" s="1787"/>
      <c r="C24" s="348" t="s">
        <v>10</v>
      </c>
      <c r="D24" s="369">
        <f>'LAD 🛍️'!D3</f>
        <v>2266</v>
      </c>
      <c r="E24" s="370">
        <f t="shared" ref="E24:E36" si="2">D9/D24</f>
        <v>29.390114739629304</v>
      </c>
      <c r="F24" s="371"/>
      <c r="G24" s="370"/>
      <c r="H24" s="371">
        <f>'LAD 🛍️'!H3</f>
        <v>0</v>
      </c>
      <c r="I24" s="370"/>
      <c r="J24" s="371">
        <f>'LAD 🛍️'!J3</f>
        <v>2849</v>
      </c>
      <c r="K24" s="370">
        <f t="shared" ref="K24:K36" si="3">J9/J24</f>
        <v>27.984204984204982</v>
      </c>
      <c r="L24" s="371"/>
      <c r="M24" s="370"/>
      <c r="N24" s="371"/>
      <c r="O24" s="370"/>
      <c r="P24" s="371"/>
      <c r="Q24" s="370"/>
      <c r="R24" s="376">
        <f>'LAD 🛍️'!R3</f>
        <v>743</v>
      </c>
      <c r="S24" s="375">
        <f>R9/R24</f>
        <v>28.158815612382234</v>
      </c>
      <c r="T24" s="372">
        <f>'LAD 🛍️'!T3</f>
        <v>7802</v>
      </c>
      <c r="U24" s="373">
        <f t="shared" ref="U24:U36" si="4">T9/T24</f>
        <v>28.661497052037937</v>
      </c>
    </row>
    <row r="25" spans="2:21" s="229" customFormat="1" ht="17" customHeight="1">
      <c r="B25" s="1787"/>
      <c r="C25" s="355" t="s">
        <v>25</v>
      </c>
      <c r="D25" s="374">
        <f>'LAD 🛍️'!D4</f>
        <v>1875</v>
      </c>
      <c r="E25" s="375">
        <f t="shared" si="2"/>
        <v>28.115733333333335</v>
      </c>
      <c r="F25" s="376">
        <f>'LAD 🛍️'!F4</f>
        <v>1719</v>
      </c>
      <c r="G25" s="375">
        <f t="shared" ref="G25:I36" si="5">F10/F25</f>
        <v>28.283885980221058</v>
      </c>
      <c r="H25" s="376">
        <f>'LAD 🛍️'!H4</f>
        <v>164</v>
      </c>
      <c r="I25" s="375">
        <f t="shared" si="5"/>
        <v>29.298780487804876</v>
      </c>
      <c r="J25" s="376">
        <f>'LAD 🛍️'!J4</f>
        <v>2363</v>
      </c>
      <c r="K25" s="375">
        <f t="shared" si="3"/>
        <v>28.590351248413036</v>
      </c>
      <c r="L25" s="376"/>
      <c r="M25" s="375"/>
      <c r="N25" s="376"/>
      <c r="O25" s="375"/>
      <c r="P25" s="376"/>
      <c r="Q25" s="375"/>
      <c r="R25" s="376">
        <f>'LAD 🛍️'!R4</f>
        <v>682</v>
      </c>
      <c r="S25" s="375">
        <f t="shared" ref="S25:S36" si="6">R10/R25</f>
        <v>27.912023460410555</v>
      </c>
      <c r="T25" s="377">
        <f>'LAD 🛍️'!T4</f>
        <v>6803</v>
      </c>
      <c r="U25" s="378">
        <f t="shared" si="4"/>
        <v>28.331177421725709</v>
      </c>
    </row>
    <row r="26" spans="2:21" s="229" customFormat="1" ht="17" customHeight="1">
      <c r="B26" s="1787"/>
      <c r="C26" s="355" t="s">
        <v>17</v>
      </c>
      <c r="D26" s="374">
        <f>'LAD 🛍️'!D5</f>
        <v>1956</v>
      </c>
      <c r="E26" s="375">
        <f t="shared" si="2"/>
        <v>29.198364008179958</v>
      </c>
      <c r="F26" s="376">
        <f>'LAD 🛍️'!F5</f>
        <v>1641</v>
      </c>
      <c r="G26" s="375">
        <f t="shared" si="5"/>
        <v>28.355880560633761</v>
      </c>
      <c r="H26" s="376">
        <f>'LAD 🛍️'!H5</f>
        <v>212</v>
      </c>
      <c r="I26" s="375">
        <f t="shared" si="5"/>
        <v>32.650943396226417</v>
      </c>
      <c r="J26" s="376">
        <f>'LAD 🛍️'!J5</f>
        <v>2462</v>
      </c>
      <c r="K26" s="375">
        <f t="shared" si="3"/>
        <v>28.405361494719742</v>
      </c>
      <c r="L26" s="376"/>
      <c r="M26" s="375"/>
      <c r="N26" s="376"/>
      <c r="O26" s="375"/>
      <c r="P26" s="376"/>
      <c r="Q26" s="375"/>
      <c r="R26" s="376">
        <f>'LAD 🛍️'!R5</f>
        <v>644</v>
      </c>
      <c r="S26" s="375">
        <f t="shared" si="6"/>
        <v>28.718944099378881</v>
      </c>
      <c r="T26" s="377">
        <f>'LAD 🛍️'!T5</f>
        <v>6915</v>
      </c>
      <c r="U26" s="378">
        <f t="shared" si="4"/>
        <v>28.777295733911785</v>
      </c>
    </row>
    <row r="27" spans="2:21" s="229" customFormat="1" ht="17" customHeight="1">
      <c r="B27" s="1787"/>
      <c r="C27" s="355" t="s">
        <v>18</v>
      </c>
      <c r="D27" s="374">
        <f>'LAD 🛍️'!D6</f>
        <v>1699</v>
      </c>
      <c r="E27" s="375">
        <f t="shared" si="2"/>
        <v>28.825779870512065</v>
      </c>
      <c r="F27" s="376">
        <f>'LAD 🛍️'!F6</f>
        <v>1418</v>
      </c>
      <c r="G27" s="375">
        <f t="shared" si="5"/>
        <v>29.915373765867418</v>
      </c>
      <c r="H27" s="376">
        <f>'LAD 🛍️'!H6</f>
        <v>206</v>
      </c>
      <c r="I27" s="375">
        <f t="shared" si="5"/>
        <v>31.742718446601941</v>
      </c>
      <c r="J27" s="376">
        <f>'LAD 🛍️'!J6</f>
        <v>2053</v>
      </c>
      <c r="K27" s="375">
        <f t="shared" si="3"/>
        <v>28.310764734534828</v>
      </c>
      <c r="L27" s="376"/>
      <c r="M27" s="375"/>
      <c r="N27" s="376"/>
      <c r="O27" s="375"/>
      <c r="P27" s="376"/>
      <c r="Q27" s="375"/>
      <c r="R27" s="376">
        <f>'LAD 🛍️'!R6</f>
        <v>552</v>
      </c>
      <c r="S27" s="375">
        <f t="shared" si="6"/>
        <v>29.929347826086957</v>
      </c>
      <c r="T27" s="377">
        <f>'LAD 🛍️'!T6</f>
        <v>5928</v>
      </c>
      <c r="U27" s="378">
        <f t="shared" si="4"/>
        <v>29.112179487179485</v>
      </c>
    </row>
    <row r="28" spans="2:21" s="229" customFormat="1" ht="17" customHeight="1">
      <c r="B28" s="1787"/>
      <c r="C28" s="355" t="s">
        <v>19</v>
      </c>
      <c r="D28" s="374">
        <f>'LAD 🛍️'!D7</f>
        <v>1850</v>
      </c>
      <c r="E28" s="375">
        <f t="shared" si="2"/>
        <v>28.138918918918918</v>
      </c>
      <c r="F28" s="376">
        <f>'LAD 🛍️'!F7</f>
        <v>1697</v>
      </c>
      <c r="G28" s="375">
        <f t="shared" si="5"/>
        <v>28.611667648791986</v>
      </c>
      <c r="H28" s="376">
        <f>'LAD 🛍️'!H7</f>
        <v>223</v>
      </c>
      <c r="I28" s="375">
        <f t="shared" si="5"/>
        <v>32.928251121076237</v>
      </c>
      <c r="J28" s="376">
        <f>'LAD 🛍️'!J7</f>
        <v>2460</v>
      </c>
      <c r="K28" s="375">
        <f t="shared" si="3"/>
        <v>27.117886178861788</v>
      </c>
      <c r="L28" s="376"/>
      <c r="M28" s="375"/>
      <c r="N28" s="376"/>
      <c r="O28" s="375"/>
      <c r="P28" s="376"/>
      <c r="Q28" s="375"/>
      <c r="R28" s="376">
        <f>'LAD 🛍️'!R7</f>
        <v>670</v>
      </c>
      <c r="S28" s="375">
        <f t="shared" si="6"/>
        <v>29.734328358208955</v>
      </c>
      <c r="T28" s="377">
        <f>'LAD 🛍️'!T7</f>
        <v>6934</v>
      </c>
      <c r="U28" s="378">
        <f t="shared" si="4"/>
        <v>28.062590135563887</v>
      </c>
    </row>
    <row r="29" spans="2:21" s="229" customFormat="1" ht="17" customHeight="1">
      <c r="B29" s="1787"/>
      <c r="C29" s="1026" t="s">
        <v>20</v>
      </c>
      <c r="D29" s="1033">
        <f>'LAD 🛍️'!D8</f>
        <v>0</v>
      </c>
      <c r="E29" s="1034" t="e">
        <f t="shared" si="2"/>
        <v>#DIV/0!</v>
      </c>
      <c r="F29" s="1035">
        <f>'LAD 🛍️'!F8</f>
        <v>0</v>
      </c>
      <c r="G29" s="1034" t="e">
        <f t="shared" si="5"/>
        <v>#DIV/0!</v>
      </c>
      <c r="H29" s="1035">
        <f>'LAD 🛍️'!H8</f>
        <v>0</v>
      </c>
      <c r="I29" s="1034" t="e">
        <f t="shared" si="5"/>
        <v>#DIV/0!</v>
      </c>
      <c r="J29" s="1035">
        <f>'LAD 🛍️'!J8</f>
        <v>0</v>
      </c>
      <c r="K29" s="1034" t="e">
        <f t="shared" si="3"/>
        <v>#DIV/0!</v>
      </c>
      <c r="L29" s="1035"/>
      <c r="M29" s="1034"/>
      <c r="N29" s="1035"/>
      <c r="O29" s="1034"/>
      <c r="P29" s="1035"/>
      <c r="Q29" s="1034"/>
      <c r="R29" s="1035">
        <f>'LAD 🛍️'!R8</f>
        <v>0</v>
      </c>
      <c r="S29" s="1034" t="e">
        <f t="shared" si="6"/>
        <v>#DIV/0!</v>
      </c>
      <c r="T29" s="1036">
        <f>'LAD 🛍️'!T8</f>
        <v>0</v>
      </c>
      <c r="U29" s="1037" t="e">
        <f t="shared" si="4"/>
        <v>#DIV/0!</v>
      </c>
    </row>
    <row r="30" spans="2:21" s="229" customFormat="1" ht="17" customHeight="1">
      <c r="B30" s="1787"/>
      <c r="C30" s="355" t="s">
        <v>21</v>
      </c>
      <c r="D30" s="1097">
        <f>'LAD 🛍️'!D9</f>
        <v>0</v>
      </c>
      <c r="E30" s="1098" t="e">
        <f t="shared" si="2"/>
        <v>#DIV/0!</v>
      </c>
      <c r="F30" s="1099">
        <f>'LAD 🛍️'!F9</f>
        <v>0</v>
      </c>
      <c r="G30" s="1098" t="e">
        <f t="shared" si="5"/>
        <v>#DIV/0!</v>
      </c>
      <c r="H30" s="1099">
        <f>'LAD 🛍️'!H9</f>
        <v>0</v>
      </c>
      <c r="I30" s="1098" t="e">
        <f t="shared" si="5"/>
        <v>#DIV/0!</v>
      </c>
      <c r="J30" s="1099">
        <f>'LAD 🛍️'!J9</f>
        <v>0</v>
      </c>
      <c r="K30" s="1100" t="e">
        <f t="shared" si="3"/>
        <v>#DIV/0!</v>
      </c>
      <c r="L30" s="1097"/>
      <c r="M30" s="1098"/>
      <c r="N30" s="1099"/>
      <c r="O30" s="1098"/>
      <c r="P30" s="1099"/>
      <c r="Q30" s="1098"/>
      <c r="R30" s="1099">
        <f>'LAD 🛍️'!R9</f>
        <v>0</v>
      </c>
      <c r="S30" s="1098" t="e">
        <f t="shared" si="6"/>
        <v>#DIV/0!</v>
      </c>
      <c r="T30" s="1101">
        <f>'LAD 🛍️'!T9</f>
        <v>0</v>
      </c>
      <c r="U30" s="1102" t="e">
        <f t="shared" si="4"/>
        <v>#DIV/0!</v>
      </c>
    </row>
    <row r="31" spans="2:21" ht="17" customHeight="1">
      <c r="B31" s="1787"/>
      <c r="C31" s="348" t="s">
        <v>26</v>
      </c>
      <c r="D31" s="374">
        <f>'LAD 🛍️'!D10</f>
        <v>0</v>
      </c>
      <c r="E31" s="375" t="e">
        <f t="shared" si="2"/>
        <v>#DIV/0!</v>
      </c>
      <c r="F31" s="376">
        <f>'LAD 🛍️'!F10</f>
        <v>0</v>
      </c>
      <c r="G31" s="1158" t="e">
        <f t="shared" si="5"/>
        <v>#DIV/0!</v>
      </c>
      <c r="H31" s="374">
        <f>'LAD 🛍️'!H10</f>
        <v>0</v>
      </c>
      <c r="I31" s="375" t="e">
        <f t="shared" si="5"/>
        <v>#DIV/0!</v>
      </c>
      <c r="J31" s="376">
        <f>'LAD 🛍️'!J10</f>
        <v>0</v>
      </c>
      <c r="K31" s="1159" t="e">
        <f t="shared" si="3"/>
        <v>#DIV/0!</v>
      </c>
      <c r="L31" s="374"/>
      <c r="M31" s="375"/>
      <c r="N31" s="376"/>
      <c r="O31" s="375"/>
      <c r="P31" s="376"/>
      <c r="Q31" s="375"/>
      <c r="R31" s="376">
        <f>'LAD 🛍️'!R10</f>
        <v>0</v>
      </c>
      <c r="S31" s="375" t="e">
        <f t="shared" si="6"/>
        <v>#DIV/0!</v>
      </c>
      <c r="T31" s="377">
        <f>'LAD 🛍️'!T10</f>
        <v>0</v>
      </c>
      <c r="U31" s="378" t="e">
        <f t="shared" si="4"/>
        <v>#DIV/0!</v>
      </c>
    </row>
    <row r="32" spans="2:21" ht="17" customHeight="1">
      <c r="B32" s="1787"/>
      <c r="C32" s="348" t="s">
        <v>22</v>
      </c>
      <c r="D32" s="374">
        <f>'LAD 🛍️'!D11</f>
        <v>0</v>
      </c>
      <c r="E32" s="375" t="e">
        <f t="shared" si="2"/>
        <v>#DIV/0!</v>
      </c>
      <c r="F32" s="376">
        <f>'LAD 🛍️'!F11</f>
        <v>0</v>
      </c>
      <c r="G32" s="1158" t="e">
        <f t="shared" si="5"/>
        <v>#DIV/0!</v>
      </c>
      <c r="H32" s="1162">
        <f>'LAD 🛍️'!H11</f>
        <v>0</v>
      </c>
      <c r="I32" s="1570" t="e">
        <f t="shared" si="5"/>
        <v>#DIV/0!</v>
      </c>
      <c r="J32" s="376">
        <f>'LAD 🛍️'!J11</f>
        <v>0</v>
      </c>
      <c r="K32" s="1159" t="e">
        <f t="shared" si="3"/>
        <v>#DIV/0!</v>
      </c>
      <c r="L32" s="1234"/>
      <c r="M32" s="1235"/>
      <c r="N32" s="1236"/>
      <c r="O32" s="1237"/>
      <c r="P32" s="1234"/>
      <c r="Q32" s="1235"/>
      <c r="R32" s="376">
        <f>'LAD 🛍️'!R11</f>
        <v>0</v>
      </c>
      <c r="S32" s="375" t="e">
        <f t="shared" si="6"/>
        <v>#DIV/0!</v>
      </c>
      <c r="T32" s="377">
        <f>'LAD 🛍️'!T11</f>
        <v>0</v>
      </c>
      <c r="U32" s="378" t="e">
        <f t="shared" si="4"/>
        <v>#DIV/0!</v>
      </c>
    </row>
    <row r="33" spans="2:21" ht="17" customHeight="1">
      <c r="B33" s="1787"/>
      <c r="C33" s="348" t="s">
        <v>23</v>
      </c>
      <c r="D33" s="374">
        <f>'LAD 🛍️'!D12</f>
        <v>0</v>
      </c>
      <c r="E33" s="375" t="e">
        <f t="shared" si="2"/>
        <v>#DIV/0!</v>
      </c>
      <c r="F33" s="376">
        <f>'LAD 🛍️'!F12</f>
        <v>0</v>
      </c>
      <c r="G33" s="1158" t="e">
        <f t="shared" si="5"/>
        <v>#DIV/0!</v>
      </c>
      <c r="H33" s="1162">
        <f>'LAD 🛍️'!H12</f>
        <v>0</v>
      </c>
      <c r="I33" s="1570" t="e">
        <f t="shared" si="5"/>
        <v>#DIV/0!</v>
      </c>
      <c r="J33" s="376">
        <f>'LAD 🛍️'!J12</f>
        <v>0</v>
      </c>
      <c r="K33" s="1159" t="e">
        <f t="shared" si="3"/>
        <v>#DIV/0!</v>
      </c>
      <c r="L33" s="1234"/>
      <c r="M33" s="1235"/>
      <c r="N33" s="1236"/>
      <c r="O33" s="1237"/>
      <c r="P33" s="1234"/>
      <c r="Q33" s="1235"/>
      <c r="R33" s="376">
        <f>'LAD 🛍️'!R12</f>
        <v>0</v>
      </c>
      <c r="S33" s="375" t="e">
        <f t="shared" si="6"/>
        <v>#DIV/0!</v>
      </c>
      <c r="T33" s="377">
        <f>'LAD 🛍️'!T12</f>
        <v>0</v>
      </c>
      <c r="U33" s="378" t="e">
        <f t="shared" si="4"/>
        <v>#DIV/0!</v>
      </c>
    </row>
    <row r="34" spans="2:21" ht="17" customHeight="1">
      <c r="B34" s="1787"/>
      <c r="C34" s="348" t="s">
        <v>24</v>
      </c>
      <c r="D34" s="374">
        <f>'LAD 🛍️'!D13</f>
        <v>0</v>
      </c>
      <c r="E34" s="375" t="e">
        <f t="shared" si="2"/>
        <v>#DIV/0!</v>
      </c>
      <c r="F34" s="376">
        <f>'LAD 🛍️'!F13</f>
        <v>0</v>
      </c>
      <c r="G34" s="1158" t="e">
        <f t="shared" si="5"/>
        <v>#DIV/0!</v>
      </c>
      <c r="H34" s="1162">
        <f>'LAD 🛍️'!H13</f>
        <v>0</v>
      </c>
      <c r="I34" s="1570" t="e">
        <f t="shared" si="5"/>
        <v>#DIV/0!</v>
      </c>
      <c r="J34" s="376">
        <f>'LAD 🛍️'!J13</f>
        <v>0</v>
      </c>
      <c r="K34" s="1159" t="e">
        <f t="shared" si="3"/>
        <v>#DIV/0!</v>
      </c>
      <c r="L34" s="1234"/>
      <c r="M34" s="1235"/>
      <c r="N34" s="1236"/>
      <c r="O34" s="1237"/>
      <c r="P34" s="1234"/>
      <c r="Q34" s="1235"/>
      <c r="R34" s="376">
        <f>'LAD 🛍️'!R13</f>
        <v>0</v>
      </c>
      <c r="S34" s="375" t="e">
        <f t="shared" si="6"/>
        <v>#DIV/0!</v>
      </c>
      <c r="T34" s="377">
        <f>'LAD 🛍️'!T13</f>
        <v>0</v>
      </c>
      <c r="U34" s="378" t="e">
        <f t="shared" si="4"/>
        <v>#DIV/0!</v>
      </c>
    </row>
    <row r="35" spans="2:21" ht="17" customHeight="1">
      <c r="B35" s="1787"/>
      <c r="C35" s="348" t="s">
        <v>27</v>
      </c>
      <c r="D35" s="374">
        <f>'LAD 🛍️'!D14</f>
        <v>0</v>
      </c>
      <c r="E35" s="375" t="e">
        <f t="shared" si="2"/>
        <v>#DIV/0!</v>
      </c>
      <c r="F35" s="376">
        <f>'LAD 🛍️'!F14</f>
        <v>0</v>
      </c>
      <c r="G35" s="1158" t="e">
        <f t="shared" si="5"/>
        <v>#DIV/0!</v>
      </c>
      <c r="H35" s="1162">
        <f>'LAD 🛍️'!H14</f>
        <v>0</v>
      </c>
      <c r="I35" s="1570" t="e">
        <f t="shared" si="5"/>
        <v>#DIV/0!</v>
      </c>
      <c r="J35" s="376">
        <f>'LAD 🛍️'!J14</f>
        <v>0</v>
      </c>
      <c r="K35" s="1159" t="e">
        <f t="shared" si="3"/>
        <v>#DIV/0!</v>
      </c>
      <c r="L35" s="1234"/>
      <c r="M35" s="1235"/>
      <c r="N35" s="1236"/>
      <c r="O35" s="1237"/>
      <c r="P35" s="1234"/>
      <c r="Q35" s="1235"/>
      <c r="R35" s="376">
        <f>'LAD 🛍️'!R14</f>
        <v>0</v>
      </c>
      <c r="S35" s="375" t="e">
        <f t="shared" si="6"/>
        <v>#DIV/0!</v>
      </c>
      <c r="T35" s="377">
        <f>'LAD 🛍️'!T14</f>
        <v>0</v>
      </c>
      <c r="U35" s="378" t="e">
        <f t="shared" si="4"/>
        <v>#DIV/0!</v>
      </c>
    </row>
    <row r="36" spans="2:21" ht="18" customHeight="1" thickBot="1">
      <c r="B36" s="1788"/>
      <c r="C36" s="379" t="s">
        <v>45</v>
      </c>
      <c r="D36" s="380">
        <f>SUM(D24:D35)</f>
        <v>9646</v>
      </c>
      <c r="E36" s="381">
        <f t="shared" si="2"/>
        <v>28.764150943396228</v>
      </c>
      <c r="F36" s="382">
        <f>SUM(F24:F35)</f>
        <v>6475</v>
      </c>
      <c r="G36" s="381">
        <f t="shared" si="5"/>
        <v>37.451119691119693</v>
      </c>
      <c r="H36" s="380">
        <f>SUM(H24:H35)</f>
        <v>805</v>
      </c>
      <c r="I36" s="381">
        <f>H21/H36</f>
        <v>31.812422360248448</v>
      </c>
      <c r="J36" s="382">
        <f>SUM(J24:J35)</f>
        <v>12187</v>
      </c>
      <c r="K36" s="381">
        <f t="shared" si="3"/>
        <v>28.066956593091</v>
      </c>
      <c r="L36" s="380">
        <f>SUM(L24:L35)</f>
        <v>0</v>
      </c>
      <c r="M36" s="381" t="e">
        <f>L21/L36</f>
        <v>#DIV/0!</v>
      </c>
      <c r="N36" s="382">
        <f>SUM(N24:N35)</f>
        <v>0</v>
      </c>
      <c r="O36" s="381" t="e">
        <f>N21/N36</f>
        <v>#DIV/0!</v>
      </c>
      <c r="P36" s="380">
        <f>SUM(P24:P35)</f>
        <v>0</v>
      </c>
      <c r="Q36" s="381" t="e">
        <f>P21/P36</f>
        <v>#DIV/0!</v>
      </c>
      <c r="R36" s="382">
        <f>SUM(R24:R35)</f>
        <v>3291</v>
      </c>
      <c r="S36" s="381">
        <f t="shared" si="6"/>
        <v>28.835004557885142</v>
      </c>
      <c r="T36" s="380">
        <f>SUM(T24:T35)</f>
        <v>34382</v>
      </c>
      <c r="U36" s="383">
        <f t="shared" si="4"/>
        <v>28.576348089116397</v>
      </c>
    </row>
    <row r="37" spans="2:21" ht="20" thickBot="1"/>
    <row r="38" spans="2:21" ht="40">
      <c r="B38" s="1786" t="s">
        <v>269</v>
      </c>
      <c r="C38" s="341" t="s">
        <v>245</v>
      </c>
      <c r="D38" s="342" t="s">
        <v>28</v>
      </c>
      <c r="E38" s="342" t="s">
        <v>169</v>
      </c>
      <c r="F38" s="343" t="s">
        <v>29</v>
      </c>
      <c r="G38" s="344" t="s">
        <v>169</v>
      </c>
      <c r="H38" s="345" t="s">
        <v>30</v>
      </c>
      <c r="I38" s="342" t="s">
        <v>169</v>
      </c>
      <c r="J38" s="346" t="s">
        <v>31</v>
      </c>
      <c r="K38" s="344" t="s">
        <v>169</v>
      </c>
      <c r="L38" s="342" t="s">
        <v>32</v>
      </c>
      <c r="M38" s="342" t="s">
        <v>169</v>
      </c>
      <c r="N38" s="343" t="s">
        <v>253</v>
      </c>
      <c r="O38" s="344" t="s">
        <v>169</v>
      </c>
      <c r="P38" s="345" t="s">
        <v>34</v>
      </c>
      <c r="Q38" s="342" t="s">
        <v>169</v>
      </c>
      <c r="R38" s="346" t="s">
        <v>308</v>
      </c>
      <c r="S38" s="344" t="s">
        <v>169</v>
      </c>
      <c r="T38" s="345" t="s">
        <v>37</v>
      </c>
      <c r="U38" s="347" t="s">
        <v>169</v>
      </c>
    </row>
    <row r="39" spans="2:21">
      <c r="B39" s="1787"/>
      <c r="C39" s="348" t="s">
        <v>10</v>
      </c>
      <c r="D39" s="349">
        <f>[13]JANVIER!$B$367</f>
        <v>53939.88</v>
      </c>
      <c r="E39" s="350">
        <f>D39/'INDICES CA 💵'!D5</f>
        <v>8.1890936060571767E-2</v>
      </c>
      <c r="F39" s="351">
        <f>[13]JANVIER!$B$79</f>
        <v>38707.129999999997</v>
      </c>
      <c r="G39" s="352">
        <f>F39/'INDICES CA 💵'!F5</f>
        <v>0.10061099915975395</v>
      </c>
      <c r="H39" s="349">
        <f>[13]JANVIER!$B$223</f>
        <v>59617.49</v>
      </c>
      <c r="I39" s="350">
        <f>H39/'INDICES CA 💵'!H5</f>
        <v>0.1639106279402294</v>
      </c>
      <c r="J39" s="351">
        <f>[13]JANVIER!$B$943</f>
        <v>48520.03</v>
      </c>
      <c r="K39" s="352">
        <f>J39/'INDICES CA 💵'!J5</f>
        <v>9.8317188480296414E-2</v>
      </c>
      <c r="L39" s="349">
        <f>[13]JANVIER!$B$655</f>
        <v>62439.46</v>
      </c>
      <c r="M39" s="350">
        <f>L39/'INDICES CA 💵'!L5</f>
        <v>0.22561018616397788</v>
      </c>
      <c r="N39" s="351">
        <f>[13]JANVIER!$B$799</f>
        <v>51862.31</v>
      </c>
      <c r="O39" s="352">
        <f>N39/'INDICES CA 💵'!N5</f>
        <v>0.18026524157108098</v>
      </c>
      <c r="P39" s="349">
        <f>[13]JANVIER!$B$511</f>
        <v>33452.589999999997</v>
      </c>
      <c r="Q39" s="350">
        <f>P39/'INDICES CA 💵'!P5</f>
        <v>0.11573636708664127</v>
      </c>
      <c r="R39" s="351">
        <f>[13]JANVIER!$B$1087</f>
        <v>25755.41</v>
      </c>
      <c r="S39" s="352">
        <f>R39/'INDICES CA 💵'!R5</f>
        <v>0.1016330640340064</v>
      </c>
      <c r="T39" s="353">
        <f t="shared" ref="T39:T44" si="7">D39+F39+H39+J39+L39+N39+P39+R39</f>
        <v>374294.3</v>
      </c>
      <c r="U39" s="354">
        <f>T39/'INDICES CA 💵'!T5</f>
        <v>0.12445198481195835</v>
      </c>
    </row>
    <row r="40" spans="2:21" s="229" customFormat="1">
      <c r="B40" s="1787"/>
      <c r="C40" s="355" t="s">
        <v>25</v>
      </c>
      <c r="D40" s="356">
        <f>[13]FEVRIER!$B$367</f>
        <v>52780.84</v>
      </c>
      <c r="E40" s="357">
        <f>D40/'INDICES CA 💵'!D6</f>
        <v>8.6853034383298694E-2</v>
      </c>
      <c r="F40" s="358">
        <f>[13]FEVRIER!$B$79</f>
        <v>37656.92</v>
      </c>
      <c r="G40" s="359">
        <f>F40/'INDICES CA 💵'!F6</f>
        <v>9.8160881326378235E-2</v>
      </c>
      <c r="H40" s="356">
        <f>[13]FEVRIER!$B$223</f>
        <v>52904.15</v>
      </c>
      <c r="I40" s="357">
        <f>H40/'INDICES CA 💵'!H6</f>
        <v>0.15560652813771836</v>
      </c>
      <c r="J40" s="358">
        <f>[13]FEVRIER!$B$943</f>
        <v>44890.03</v>
      </c>
      <c r="K40" s="359">
        <f>J40/'INDICES CA 💵'!J6</f>
        <v>0.10168505777922791</v>
      </c>
      <c r="L40" s="356">
        <f>[13]FEVRIER!$B$655</f>
        <v>54273.23</v>
      </c>
      <c r="M40" s="357">
        <f>L40/'INDICES CA 💵'!L6</f>
        <v>0.21581171576649028</v>
      </c>
      <c r="N40" s="358">
        <f>[13]FEVRIER!$B$799</f>
        <v>46284.18</v>
      </c>
      <c r="O40" s="359">
        <f>N40/'INDICES CA 💵'!N6</f>
        <v>0.17297130236225769</v>
      </c>
      <c r="P40" s="356">
        <f>[13]FEVRIER!$B$511</f>
        <v>30537.21</v>
      </c>
      <c r="Q40" s="357">
        <f>P40/'INDICES CA 💵'!P6</f>
        <v>0.11082405759370932</v>
      </c>
      <c r="R40" s="358">
        <f>[13]FEVRIER!$B$1087</f>
        <v>25859.119999999999</v>
      </c>
      <c r="S40" s="359">
        <f>R40/'INDICES CA 💵'!R6</f>
        <v>0.11724415002738282</v>
      </c>
      <c r="T40" s="360">
        <f t="shared" si="7"/>
        <v>345185.68000000005</v>
      </c>
      <c r="U40" s="361">
        <f>T40/'INDICES CA 💵'!T6</f>
        <v>0.12381355904666573</v>
      </c>
    </row>
    <row r="41" spans="2:21" s="229" customFormat="1">
      <c r="B41" s="1787"/>
      <c r="C41" s="355" t="s">
        <v>17</v>
      </c>
      <c r="D41" s="356">
        <f>[13]MARS!$B$367</f>
        <v>57071.25</v>
      </c>
      <c r="E41" s="357">
        <f>D41/'INDICES CA 💵'!D7</f>
        <v>9.3633945034911598E-2</v>
      </c>
      <c r="F41" s="358">
        <f>[13]MARS!$B$79</f>
        <v>38227.760000000002</v>
      </c>
      <c r="G41" s="359">
        <f>F41/'INDICES CA 💵'!F7</f>
        <v>9.9216543073883723E-2</v>
      </c>
      <c r="H41" s="356">
        <f>[13]MARS!$B$223</f>
        <v>62237.67</v>
      </c>
      <c r="I41" s="357">
        <f>H41/'INDICES CA 💵'!H7</f>
        <v>0.17614467475807793</v>
      </c>
      <c r="J41" s="358">
        <f>[13]MARS!$B$943</f>
        <v>49785</v>
      </c>
      <c r="K41" s="359">
        <f>J41/'INDICES CA 💵'!J7</f>
        <v>0.10558980127865783</v>
      </c>
      <c r="L41" s="356">
        <f>[13]MARS!$B$655</f>
        <v>64206.97</v>
      </c>
      <c r="M41" s="357">
        <f>L41/'INDICES CA 💵'!L7</f>
        <v>0.22837215256264251</v>
      </c>
      <c r="N41" s="358">
        <f>[13]MARS!$B$799</f>
        <v>53655.73</v>
      </c>
      <c r="O41" s="359">
        <f>N41/'INDICES CA 💵'!N7</f>
        <v>0.18352309612983772</v>
      </c>
      <c r="P41" s="356">
        <f>[13]MARS!$B$511</f>
        <v>36948.519999999997</v>
      </c>
      <c r="Q41" s="357">
        <f>P41/'INDICES CA 💵'!P7</f>
        <v>0.13198587326655331</v>
      </c>
      <c r="R41" s="358">
        <f>[13]MARS!$B$1087</f>
        <v>30501.439999999999</v>
      </c>
      <c r="S41" s="359">
        <f>R41/'INDICES CA 💵'!R7</f>
        <v>0.12779749653590863</v>
      </c>
      <c r="T41" s="360">
        <f t="shared" si="7"/>
        <v>392634.34</v>
      </c>
      <c r="U41" s="361">
        <f>T41/'INDICES CA 💵'!T7</f>
        <v>0.13484403229265773</v>
      </c>
    </row>
    <row r="42" spans="2:21" s="229" customFormat="1">
      <c r="B42" s="1787"/>
      <c r="C42" s="355" t="s">
        <v>18</v>
      </c>
      <c r="D42" s="356">
        <f>[13]AVRIL!$B$367</f>
        <v>21807.21</v>
      </c>
      <c r="E42" s="357">
        <f>D42/'INDICES CA 💵'!D8</f>
        <v>3.7520736472297755E-2</v>
      </c>
      <c r="F42" s="358">
        <f>[13]AVRIL!$B$79</f>
        <v>17782.39</v>
      </c>
      <c r="G42" s="359">
        <f>F42/'INDICES CA 💵'!F8</f>
        <v>3.7882162174874986E-2</v>
      </c>
      <c r="H42" s="356">
        <f>[13]AVRIL!$B$223</f>
        <v>25986.12</v>
      </c>
      <c r="I42" s="357">
        <f>H42/'INDICES CA 💵'!H8</f>
        <v>7.3885407690836624E-2</v>
      </c>
      <c r="J42" s="358">
        <f>[13]AVRIL!$B$943</f>
        <v>18624.349999999999</v>
      </c>
      <c r="K42" s="359">
        <f>J42/'INDICES CA 💵'!J8</f>
        <v>4.1666329222872674E-2</v>
      </c>
      <c r="L42" s="356">
        <f>[13]AVRIL!$B$655</f>
        <v>27181.67</v>
      </c>
      <c r="M42" s="357">
        <f>L42/'INDICES CA 💵'!L8</f>
        <v>9.5266709544566536E-2</v>
      </c>
      <c r="N42" s="358">
        <f>[13]AVRIL!$B$799</f>
        <v>22689.62</v>
      </c>
      <c r="O42" s="359">
        <f>N42/'INDICES CA 💵'!N8</f>
        <v>8.0114188463928593E-2</v>
      </c>
      <c r="P42" s="356">
        <f>[13]AVRIL!$B$511</f>
        <v>13058.35</v>
      </c>
      <c r="Q42" s="357">
        <f>P42/'INDICES CA 💵'!P8</f>
        <v>4.9904714283104633E-2</v>
      </c>
      <c r="R42" s="358">
        <f>[13]AVRIL!$B$1087</f>
        <v>12538.63</v>
      </c>
      <c r="S42" s="359">
        <f>R42/'INDICES CA 💵'!R8</f>
        <v>5.2472881027382276E-2</v>
      </c>
      <c r="T42" s="360">
        <f t="shared" si="7"/>
        <v>159668.34000000003</v>
      </c>
      <c r="U42" s="361">
        <f>T42/'INDICES CA 💵'!T8</f>
        <v>5.4709569447693299E-2</v>
      </c>
    </row>
    <row r="43" spans="2:21" s="229" customFormat="1">
      <c r="B43" s="1787"/>
      <c r="C43" s="355" t="s">
        <v>19</v>
      </c>
      <c r="D43" s="356">
        <f>[13]MAI!$B$367</f>
        <v>0</v>
      </c>
      <c r="E43" s="357">
        <f>D43/'INDICES CA 💵'!D9</f>
        <v>0</v>
      </c>
      <c r="F43" s="358">
        <f>[13]MAI!$B$79</f>
        <v>0</v>
      </c>
      <c r="G43" s="359">
        <f>F43/'INDICES CA 💵'!F9</f>
        <v>0</v>
      </c>
      <c r="H43" s="356">
        <f>[13]MAI!$B$223</f>
        <v>0</v>
      </c>
      <c r="I43" s="357">
        <f>H43/'INDICES CA 💵'!H9</f>
        <v>0</v>
      </c>
      <c r="J43" s="358">
        <f>[13]MAI!$B$943</f>
        <v>0</v>
      </c>
      <c r="K43" s="359">
        <f>J43/'INDICES CA 💵'!J9</f>
        <v>0</v>
      </c>
      <c r="L43" s="356">
        <f>[13]MAI!$B$655</f>
        <v>0</v>
      </c>
      <c r="M43" s="357">
        <f>L43/'INDICES CA 💵'!L9</f>
        <v>0</v>
      </c>
      <c r="N43" s="358">
        <f>[13]MAI!$B$799</f>
        <v>0</v>
      </c>
      <c r="O43" s="359">
        <f>N43/'INDICES CA 💵'!N9</f>
        <v>0</v>
      </c>
      <c r="P43" s="356">
        <f>[13]MAI!$B$511</f>
        <v>0</v>
      </c>
      <c r="Q43" s="357">
        <f>P43/'INDICES CA 💵'!P9</f>
        <v>0</v>
      </c>
      <c r="R43" s="358">
        <f>[13]MAI!$B$1087</f>
        <v>0</v>
      </c>
      <c r="S43" s="359">
        <f>R43/'INDICES CA 💵'!R9</f>
        <v>0</v>
      </c>
      <c r="T43" s="360">
        <f t="shared" si="7"/>
        <v>0</v>
      </c>
      <c r="U43" s="361">
        <f>T43/'INDICES CA 💵'!T9</f>
        <v>0</v>
      </c>
    </row>
    <row r="44" spans="2:21" s="229" customFormat="1">
      <c r="B44" s="1787"/>
      <c r="C44" s="1026" t="s">
        <v>20</v>
      </c>
      <c r="D44" s="1027">
        <f>[13]JUIN!$B$367</f>
        <v>0</v>
      </c>
      <c r="E44" s="1028">
        <f>D44/'INDICES CA 💵'!D10</f>
        <v>0</v>
      </c>
      <c r="F44" s="1029">
        <f>[13]JUIN!$B$79</f>
        <v>0</v>
      </c>
      <c r="G44" s="1030">
        <f>F44/'INDICES CA 💵'!F10</f>
        <v>0</v>
      </c>
      <c r="H44" s="1027">
        <f>[13]JUIN!$B$223</f>
        <v>0</v>
      </c>
      <c r="I44" s="1028">
        <f>H44/'INDICES CA 💵'!H10</f>
        <v>0</v>
      </c>
      <c r="J44" s="1029">
        <f>[13]JUIN!$B$943</f>
        <v>0</v>
      </c>
      <c r="K44" s="1030">
        <f>J44/'INDICES CA 💵'!J10</f>
        <v>0</v>
      </c>
      <c r="L44" s="1027">
        <f>[13]JUIN!$B$655</f>
        <v>0</v>
      </c>
      <c r="M44" s="1028">
        <f>L44/'INDICES CA 💵'!L10</f>
        <v>0</v>
      </c>
      <c r="N44" s="1029">
        <f>[13]JUIN!$B$799</f>
        <v>0</v>
      </c>
      <c r="O44" s="1030">
        <f>N44/'INDICES CA 💵'!N10</f>
        <v>0</v>
      </c>
      <c r="P44" s="1027">
        <f>[13]JUIN!$B$511</f>
        <v>0</v>
      </c>
      <c r="Q44" s="1028">
        <f>P44/'INDICES CA 💵'!P10</f>
        <v>0</v>
      </c>
      <c r="R44" s="1029">
        <f>[13]JUIN!$B$1087</f>
        <v>0</v>
      </c>
      <c r="S44" s="1030">
        <f>R44/'INDICES CA 💵'!R10</f>
        <v>0</v>
      </c>
      <c r="T44" s="1031">
        <f t="shared" si="7"/>
        <v>0</v>
      </c>
      <c r="U44" s="1032">
        <f>T44/'INDICES CA 💵'!T10</f>
        <v>0</v>
      </c>
    </row>
    <row r="45" spans="2:21" s="229" customFormat="1">
      <c r="B45" s="1787"/>
      <c r="C45" s="355" t="s">
        <v>21</v>
      </c>
      <c r="D45" s="1091">
        <f>[13]JUILLET!$B$367</f>
        <v>0</v>
      </c>
      <c r="E45" s="1092" t="e">
        <f>D45/'INDICES CA 💵'!D11</f>
        <v>#DIV/0!</v>
      </c>
      <c r="F45" s="1093">
        <f>[13]JUILLET!$B$79</f>
        <v>0</v>
      </c>
      <c r="G45" s="1094" t="e">
        <f>F45/'INDICES CA 💵'!F11</f>
        <v>#DIV/0!</v>
      </c>
      <c r="H45" s="1091">
        <f>[13]JUILLET!$B$223</f>
        <v>0</v>
      </c>
      <c r="I45" s="1092" t="e">
        <f>H45/'INDICES CA 💵'!H11</f>
        <v>#DIV/0!</v>
      </c>
      <c r="J45" s="1093">
        <f>[13]JUILLET!$B$943</f>
        <v>0</v>
      </c>
      <c r="K45" s="1094" t="e">
        <f>J45/'INDICES CA 💵'!J11</f>
        <v>#DIV/0!</v>
      </c>
      <c r="L45" s="1091">
        <f>[13]JUILLET!$B$655</f>
        <v>0</v>
      </c>
      <c r="M45" s="1092" t="e">
        <f>L45/'INDICES CA 💵'!L11</f>
        <v>#DIV/0!</v>
      </c>
      <c r="N45" s="1093">
        <f>[13]JUILLET!$B$799</f>
        <v>0</v>
      </c>
      <c r="O45" s="1094" t="e">
        <f>N45/'INDICES CA 💵'!N11</f>
        <v>#DIV/0!</v>
      </c>
      <c r="P45" s="1091">
        <f>[13]JUILLET!$B$511</f>
        <v>0</v>
      </c>
      <c r="Q45" s="1092" t="e">
        <f>P45/'INDICES CA 💵'!P11</f>
        <v>#DIV/0!</v>
      </c>
      <c r="R45" s="1093">
        <f>[13]JUILLET!$B$1087</f>
        <v>0</v>
      </c>
      <c r="S45" s="1094" t="e">
        <f>R45/'INDICES CA 💵'!R11</f>
        <v>#DIV/0!</v>
      </c>
      <c r="T45" s="1095">
        <f t="shared" ref="T45:T50" si="8">D45+F45+H45+J45+L45+N45+P45+R45</f>
        <v>0</v>
      </c>
      <c r="U45" s="1096" t="e">
        <f>T45/'INDICES CA 💵'!T11</f>
        <v>#DIV/0!</v>
      </c>
    </row>
    <row r="46" spans="2:21">
      <c r="B46" s="1787"/>
      <c r="C46" s="348" t="s">
        <v>26</v>
      </c>
      <c r="D46" s="356">
        <f>[13]AOUT!$B$367</f>
        <v>0</v>
      </c>
      <c r="E46" s="357" t="e">
        <f>D46/'INDICES CA 💵'!D12</f>
        <v>#DIV/0!</v>
      </c>
      <c r="F46" s="358">
        <f>[13]AOUT!$B$79</f>
        <v>0</v>
      </c>
      <c r="G46" s="359" t="e">
        <f>F46/'INDICES CA 💵'!F12</f>
        <v>#DIV/0!</v>
      </c>
      <c r="H46" s="356">
        <f>[13]AOUT!$B$223</f>
        <v>0</v>
      </c>
      <c r="I46" s="357" t="e">
        <f>H46/'INDICES CA 💵'!H12</f>
        <v>#DIV/0!</v>
      </c>
      <c r="J46" s="358">
        <f>[13]AOUT!$B$943</f>
        <v>0</v>
      </c>
      <c r="K46" s="359" t="e">
        <f>J46/'INDICES CA 💵'!J12</f>
        <v>#DIV/0!</v>
      </c>
      <c r="L46" s="356">
        <f>[13]AOUT!$B$655</f>
        <v>0</v>
      </c>
      <c r="M46" s="357" t="e">
        <f>L46/'INDICES CA 💵'!L12</f>
        <v>#DIV/0!</v>
      </c>
      <c r="N46" s="358">
        <f>[13]AOUT!$B$799</f>
        <v>0</v>
      </c>
      <c r="O46" s="359" t="e">
        <f>N46/'INDICES CA 💵'!N12</f>
        <v>#DIV/0!</v>
      </c>
      <c r="P46" s="356">
        <f>[13]AOUT!$B$511</f>
        <v>0</v>
      </c>
      <c r="Q46" s="357" t="e">
        <f>P46/'INDICES CA 💵'!P12</f>
        <v>#DIV/0!</v>
      </c>
      <c r="R46" s="358">
        <f>[13]AOUT!$B$1087</f>
        <v>0</v>
      </c>
      <c r="S46" s="359" t="e">
        <f>R46/'INDICES CA 💵'!R12</f>
        <v>#DIV/0!</v>
      </c>
      <c r="T46" s="360">
        <f t="shared" si="8"/>
        <v>0</v>
      </c>
      <c r="U46" s="361" t="e">
        <f>T46/'INDICES CA 💵'!T12</f>
        <v>#DIV/0!</v>
      </c>
    </row>
    <row r="47" spans="2:21">
      <c r="B47" s="1787"/>
      <c r="C47" s="348" t="s">
        <v>22</v>
      </c>
      <c r="D47" s="356">
        <f>[13]SEPTEMBRE!$B$367</f>
        <v>0</v>
      </c>
      <c r="E47" s="357" t="e">
        <f>D47/'INDICES CA 💵'!D13</f>
        <v>#DIV/0!</v>
      </c>
      <c r="F47" s="358">
        <f>[13]SEPTEMBRE!$B$79</f>
        <v>0</v>
      </c>
      <c r="G47" s="359" t="e">
        <f>F47/'INDICES CA 💵'!F13</f>
        <v>#DIV/0!</v>
      </c>
      <c r="H47" s="356">
        <f>[13]SEPTEMBRE!$B$223</f>
        <v>0</v>
      </c>
      <c r="I47" s="357" t="e">
        <f>H47/'INDICES CA 💵'!H13</f>
        <v>#DIV/0!</v>
      </c>
      <c r="J47" s="358">
        <f>[13]SEPTEMBRE!$B$943</f>
        <v>0</v>
      </c>
      <c r="K47" s="359" t="e">
        <f>J47/'INDICES CA 💵'!J13</f>
        <v>#DIV/0!</v>
      </c>
      <c r="L47" s="356">
        <f>[13]SEPTEMBRE!$B$655</f>
        <v>0</v>
      </c>
      <c r="M47" s="357" t="e">
        <f>L47/'INDICES CA 💵'!L13</f>
        <v>#DIV/0!</v>
      </c>
      <c r="N47" s="358">
        <f>[13]SEPTEMBRE!$B$799</f>
        <v>0</v>
      </c>
      <c r="O47" s="359" t="e">
        <f>N47/'INDICES CA 💵'!N13</f>
        <v>#DIV/0!</v>
      </c>
      <c r="P47" s="356">
        <f>[13]SEPTEMBRE!$B$511</f>
        <v>0</v>
      </c>
      <c r="Q47" s="357" t="e">
        <f>P47/'INDICES CA 💵'!P13</f>
        <v>#DIV/0!</v>
      </c>
      <c r="R47" s="358">
        <f>[13]SEPTEMBRE!$B$1087</f>
        <v>0</v>
      </c>
      <c r="S47" s="359" t="e">
        <f>R47/'INDICES CA 💵'!R13</f>
        <v>#DIV/0!</v>
      </c>
      <c r="T47" s="360">
        <f t="shared" si="8"/>
        <v>0</v>
      </c>
      <c r="U47" s="361" t="e">
        <f>T47/'INDICES CA 💵'!T13</f>
        <v>#DIV/0!</v>
      </c>
    </row>
    <row r="48" spans="2:21">
      <c r="B48" s="1787"/>
      <c r="C48" s="348" t="s">
        <v>23</v>
      </c>
      <c r="D48" s="356">
        <f>[13]OCTOBRE!$B$367</f>
        <v>0</v>
      </c>
      <c r="E48" s="357" t="e">
        <f>D48/'INDICES CA 💵'!D14</f>
        <v>#DIV/0!</v>
      </c>
      <c r="F48" s="358">
        <f>[13]OCTOBRE!$B$79</f>
        <v>0</v>
      </c>
      <c r="G48" s="359" t="e">
        <f>F48/'INDICES CA 💵'!F14</f>
        <v>#DIV/0!</v>
      </c>
      <c r="H48" s="356">
        <f>[13]OCTOBRE!$B$223</f>
        <v>0</v>
      </c>
      <c r="I48" s="357" t="e">
        <f>H48/'INDICES CA 💵'!H14</f>
        <v>#DIV/0!</v>
      </c>
      <c r="J48" s="358">
        <f>[13]OCTOBRE!$B$943</f>
        <v>0</v>
      </c>
      <c r="K48" s="359" t="e">
        <f>J48/'INDICES CA 💵'!J14</f>
        <v>#DIV/0!</v>
      </c>
      <c r="L48" s="356">
        <f>[13]OCTOBRE!$B$655</f>
        <v>0</v>
      </c>
      <c r="M48" s="357" t="e">
        <f>L48/'INDICES CA 💵'!L14</f>
        <v>#DIV/0!</v>
      </c>
      <c r="N48" s="358">
        <f>[13]OCTOBRE!$B$799</f>
        <v>0</v>
      </c>
      <c r="O48" s="359" t="e">
        <f>N48/'INDICES CA 💵'!N14</f>
        <v>#DIV/0!</v>
      </c>
      <c r="P48" s="356">
        <f>[13]OCTOBRE!$B$511</f>
        <v>0</v>
      </c>
      <c r="Q48" s="357" t="e">
        <f>P48/'INDICES CA 💵'!P14</f>
        <v>#DIV/0!</v>
      </c>
      <c r="R48" s="358">
        <f>[13]OCTOBRE!$B$943</f>
        <v>0</v>
      </c>
      <c r="S48" s="359" t="e">
        <f>R48/'INDICES CA 💵'!R14</f>
        <v>#DIV/0!</v>
      </c>
      <c r="T48" s="360">
        <f t="shared" si="8"/>
        <v>0</v>
      </c>
      <c r="U48" s="361" t="e">
        <f>T48/'INDICES CA 💵'!T14</f>
        <v>#DIV/0!</v>
      </c>
    </row>
    <row r="49" spans="2:21">
      <c r="B49" s="1787"/>
      <c r="C49" s="348" t="s">
        <v>24</v>
      </c>
      <c r="D49" s="356">
        <f>[13]NOVEMBRE!$B$367</f>
        <v>0</v>
      </c>
      <c r="E49" s="357" t="e">
        <f>D49/'INDICES CA 💵'!D15</f>
        <v>#DIV/0!</v>
      </c>
      <c r="F49" s="358">
        <f>[13]NOVEMBRE!$B$79</f>
        <v>0</v>
      </c>
      <c r="G49" s="359" t="e">
        <f>F49/'INDICES CA 💵'!F15</f>
        <v>#DIV/0!</v>
      </c>
      <c r="H49" s="356">
        <f>[13]NOVEMBRE!$B$223</f>
        <v>0</v>
      </c>
      <c r="I49" s="357" t="e">
        <f>H49/'INDICES CA 💵'!H15</f>
        <v>#DIV/0!</v>
      </c>
      <c r="J49" s="358">
        <f>[13]NOVEMBRE!$B$943</f>
        <v>0</v>
      </c>
      <c r="K49" s="359" t="e">
        <f>J49/'INDICES CA 💵'!J15</f>
        <v>#DIV/0!</v>
      </c>
      <c r="L49" s="356">
        <f>[13]NOVEMBRE!$B$655</f>
        <v>0</v>
      </c>
      <c r="M49" s="357" t="e">
        <f>L49/'INDICES CA 💵'!L15</f>
        <v>#DIV/0!</v>
      </c>
      <c r="N49" s="358">
        <f>[13]NOVEMBRE!$B$799</f>
        <v>0</v>
      </c>
      <c r="O49" s="359" t="e">
        <f>N49/'INDICES CA 💵'!N15</f>
        <v>#DIV/0!</v>
      </c>
      <c r="P49" s="356">
        <f>[13]NOVEMBRE!$B$511</f>
        <v>0</v>
      </c>
      <c r="Q49" s="357" t="e">
        <f>P49/'INDICES CA 💵'!P15</f>
        <v>#DIV/0!</v>
      </c>
      <c r="R49" s="358">
        <f>[13]NOVEMBRE!$B$943</f>
        <v>0</v>
      </c>
      <c r="S49" s="359" t="e">
        <f>R49/'INDICES CA 💵'!R15</f>
        <v>#DIV/0!</v>
      </c>
      <c r="T49" s="360">
        <f t="shared" si="8"/>
        <v>0</v>
      </c>
      <c r="U49" s="361" t="e">
        <f>T49/'INDICES CA 💵'!T15</f>
        <v>#DIV/0!</v>
      </c>
    </row>
    <row r="50" spans="2:21">
      <c r="B50" s="1787"/>
      <c r="C50" s="348" t="s">
        <v>27</v>
      </c>
      <c r="D50" s="356">
        <f>[13]DECEMBRE!$B$367</f>
        <v>0</v>
      </c>
      <c r="E50" s="357" t="e">
        <f>D50/'INDICES CA 💵'!D16</f>
        <v>#DIV/0!</v>
      </c>
      <c r="F50" s="358">
        <f>[13]DECEMBRE!$B$79</f>
        <v>0</v>
      </c>
      <c r="G50" s="359" t="e">
        <f>F50/'INDICES CA 💵'!F16</f>
        <v>#DIV/0!</v>
      </c>
      <c r="H50" s="356">
        <f>[13]DECEMBRE!$B$223</f>
        <v>0</v>
      </c>
      <c r="I50" s="357" t="e">
        <f>H50/'INDICES CA 💵'!H16</f>
        <v>#DIV/0!</v>
      </c>
      <c r="J50" s="358">
        <f>[13]DECEMBRE!$B$943</f>
        <v>0</v>
      </c>
      <c r="K50" s="359" t="e">
        <f>J50/'INDICES CA 💵'!J16</f>
        <v>#DIV/0!</v>
      </c>
      <c r="L50" s="356">
        <f>[13]DECEMBRE!$B$655</f>
        <v>0</v>
      </c>
      <c r="M50" s="357" t="e">
        <f>L50/'INDICES CA 💵'!L16</f>
        <v>#DIV/0!</v>
      </c>
      <c r="N50" s="358">
        <f>[13]DECEMBRE!$B$799</f>
        <v>0</v>
      </c>
      <c r="O50" s="359" t="e">
        <f>N50/'INDICES CA 💵'!N16</f>
        <v>#DIV/0!</v>
      </c>
      <c r="P50" s="356">
        <f>[13]DECEMBRE!$B$511</f>
        <v>0</v>
      </c>
      <c r="Q50" s="357" t="e">
        <f>P50/'INDICES CA 💵'!P16</f>
        <v>#DIV/0!</v>
      </c>
      <c r="R50" s="358">
        <f>[13]DECEMBRE!$B$943</f>
        <v>0</v>
      </c>
      <c r="S50" s="359" t="e">
        <f>R50/'INDICES CA 💵'!R16</f>
        <v>#DIV/0!</v>
      </c>
      <c r="T50" s="360">
        <f t="shared" si="8"/>
        <v>0</v>
      </c>
      <c r="U50" s="361" t="e">
        <f>T50/'INDICES CA 💵'!T16</f>
        <v>#DIV/0!</v>
      </c>
    </row>
    <row r="51" spans="2:21">
      <c r="B51" s="1787"/>
      <c r="C51" s="362" t="s">
        <v>45</v>
      </c>
      <c r="D51" s="363">
        <f>SUM(D39:D50)</f>
        <v>185599.18</v>
      </c>
      <c r="E51" s="364">
        <f>D51/'INDICES CA 💵'!D17</f>
        <v>5.8775617348038309E-2</v>
      </c>
      <c r="F51" s="365">
        <f>SUM(F39:F50)</f>
        <v>132374.20000000001</v>
      </c>
      <c r="G51" s="364">
        <f>F51/'INDICES CA 💵'!F17</f>
        <v>6.0292953972283458E-2</v>
      </c>
      <c r="H51" s="363">
        <f>SUM(H39:H50)</f>
        <v>200745.43</v>
      </c>
      <c r="I51" s="364">
        <f>H51/'INDICES CA 💵'!H17</f>
        <v>0.10755835240427861</v>
      </c>
      <c r="J51" s="365">
        <f>SUM(J39:J50)</f>
        <v>161819.41</v>
      </c>
      <c r="K51" s="364">
        <f>J51/'INDICES CA 💵'!J17</f>
        <v>6.7078552811797934E-2</v>
      </c>
      <c r="L51" s="363">
        <f>SUM(L39:L50)</f>
        <v>208101.33000000002</v>
      </c>
      <c r="M51" s="364">
        <f>L51/'INDICES CA 💵'!L17</f>
        <v>0.14332691711979209</v>
      </c>
      <c r="N51" s="365">
        <f>SUM(N39:N50)</f>
        <v>174491.84</v>
      </c>
      <c r="O51" s="364">
        <f>N51/'INDICES CA 💵'!N17</f>
        <v>0.11665343418366186</v>
      </c>
      <c r="P51" s="363">
        <f>SUM(P39:P50)</f>
        <v>113996.67</v>
      </c>
      <c r="Q51" s="364">
        <f>P51/'INDICES CA 💵'!P17</f>
        <v>7.9020624430896247E-2</v>
      </c>
      <c r="R51" s="365">
        <f>SUM(R39:R50)</f>
        <v>94654.6</v>
      </c>
      <c r="S51" s="364">
        <f>R51/'INDICES CA 💵'!R17</f>
        <v>7.5214119383997288E-2</v>
      </c>
      <c r="T51" s="363">
        <f>SUM(T39:T50)</f>
        <v>1271782.6600000001</v>
      </c>
      <c r="U51" s="367">
        <f>T51/'INDICES CA 💵'!T17</f>
        <v>8.3227032390579256E-2</v>
      </c>
    </row>
    <row r="52" spans="2:21" ht="7" customHeight="1">
      <c r="B52" s="1787"/>
      <c r="U52" s="368"/>
    </row>
    <row r="53" spans="2:21" s="324" customFormat="1" ht="31" customHeight="1">
      <c r="B53" s="1787"/>
      <c r="C53" s="883" t="s">
        <v>246</v>
      </c>
      <c r="D53" s="884" t="s">
        <v>28</v>
      </c>
      <c r="E53" s="884" t="s">
        <v>163</v>
      </c>
      <c r="F53" s="885" t="s">
        <v>29</v>
      </c>
      <c r="G53" s="884" t="s">
        <v>163</v>
      </c>
      <c r="H53" s="887" t="s">
        <v>30</v>
      </c>
      <c r="I53" s="884" t="s">
        <v>163</v>
      </c>
      <c r="J53" s="888" t="s">
        <v>31</v>
      </c>
      <c r="K53" s="884" t="s">
        <v>163</v>
      </c>
      <c r="L53" s="884" t="s">
        <v>32</v>
      </c>
      <c r="M53" s="884" t="s">
        <v>163</v>
      </c>
      <c r="N53" s="885" t="s">
        <v>253</v>
      </c>
      <c r="O53" s="884" t="s">
        <v>163</v>
      </c>
      <c r="P53" s="887" t="s">
        <v>34</v>
      </c>
      <c r="Q53" s="884" t="s">
        <v>163</v>
      </c>
      <c r="R53" s="888" t="s">
        <v>308</v>
      </c>
      <c r="S53" s="884" t="s">
        <v>163</v>
      </c>
      <c r="T53" s="887" t="s">
        <v>37</v>
      </c>
      <c r="U53" s="889" t="s">
        <v>163</v>
      </c>
    </row>
    <row r="54" spans="2:21">
      <c r="B54" s="1787"/>
      <c r="C54" s="348" t="s">
        <v>10</v>
      </c>
      <c r="D54" s="369">
        <f>[13]JANVIER!$B$295</f>
        <v>2141</v>
      </c>
      <c r="E54" s="370">
        <f>D39/D54</f>
        <v>25.193778608127044</v>
      </c>
      <c r="F54" s="371">
        <f>[13]JANVIER!$B$7</f>
        <v>1476</v>
      </c>
      <c r="G54" s="370">
        <f>F39/F54</f>
        <v>26.224342818428184</v>
      </c>
      <c r="H54" s="371">
        <f>[13]JANVIER!$B$151</f>
        <v>1950</v>
      </c>
      <c r="I54" s="370">
        <f t="shared" ref="I54:I66" si="9">H39/H54</f>
        <v>30.573071794871794</v>
      </c>
      <c r="J54" s="371">
        <f>[13]JANVIER!$B$871</f>
        <v>1974</v>
      </c>
      <c r="K54" s="370">
        <f t="shared" ref="K54:K66" si="10">J39/J54</f>
        <v>24.579549138804456</v>
      </c>
      <c r="L54" s="371">
        <f>[13]JANVIER!$B$583</f>
        <v>1949</v>
      </c>
      <c r="M54" s="370">
        <f t="shared" ref="M54:M66" si="11">L39/L54</f>
        <v>32.036664956387888</v>
      </c>
      <c r="N54" s="371">
        <f>[13]JANVIER!$B$727</f>
        <v>1690</v>
      </c>
      <c r="O54" s="370">
        <f t="shared" ref="O54:O66" si="12">N39/N54</f>
        <v>30.687757396449701</v>
      </c>
      <c r="P54" s="371">
        <f>[13]JANVIER!$B$439</f>
        <v>1065</v>
      </c>
      <c r="Q54" s="370">
        <f t="shared" ref="Q54:Q66" si="13">P39/P54</f>
        <v>31.410882629107977</v>
      </c>
      <c r="R54" s="371">
        <f>[13]JANVIER!$B$1015</f>
        <v>959</v>
      </c>
      <c r="S54" s="370">
        <f t="shared" ref="S54:S66" si="14">R39/R54</f>
        <v>26.856527632950989</v>
      </c>
      <c r="T54" s="384">
        <f t="shared" ref="T54:T59" si="15">D54+F54+H54+J54+L54+N54+P54+R54</f>
        <v>13204</v>
      </c>
      <c r="U54" s="373">
        <f t="shared" ref="U54:U66" si="16">T39/T54</f>
        <v>28.347038776128446</v>
      </c>
    </row>
    <row r="55" spans="2:21" s="229" customFormat="1">
      <c r="B55" s="1787"/>
      <c r="C55" s="355" t="s">
        <v>25</v>
      </c>
      <c r="D55" s="374">
        <f>[13]FEVRIER!$B$295</f>
        <v>2326</v>
      </c>
      <c r="E55" s="375">
        <f t="shared" ref="E55:G57" si="17">D40/D55</f>
        <v>22.691676698194325</v>
      </c>
      <c r="F55" s="376">
        <f>[13]FEVRIER!$B$7</f>
        <v>1551</v>
      </c>
      <c r="G55" s="375">
        <f t="shared" si="17"/>
        <v>24.279123146357186</v>
      </c>
      <c r="H55" s="376">
        <f>[13]FEVRIER!$B$151</f>
        <v>1777</v>
      </c>
      <c r="I55" s="375">
        <f t="shared" si="9"/>
        <v>29.771609454136186</v>
      </c>
      <c r="J55" s="376">
        <f>[13]FEVRIER!$B$871</f>
        <v>1898</v>
      </c>
      <c r="K55" s="375">
        <f t="shared" si="10"/>
        <v>23.65122760800843</v>
      </c>
      <c r="L55" s="376">
        <f>[13]FEVRIER!$B$583</f>
        <v>1852</v>
      </c>
      <c r="M55" s="375">
        <f t="shared" si="11"/>
        <v>29.30519978401728</v>
      </c>
      <c r="N55" s="376">
        <f>[13]FEVRIER!$B$727</f>
        <v>1662</v>
      </c>
      <c r="O55" s="375">
        <f t="shared" si="12"/>
        <v>27.848483754512635</v>
      </c>
      <c r="P55" s="376">
        <f>[13]FEVRIER!$B$439</f>
        <v>1085</v>
      </c>
      <c r="Q55" s="375">
        <f t="shared" si="13"/>
        <v>28.144894009216589</v>
      </c>
      <c r="R55" s="376">
        <f>[13]FEVRIER!$B$1015</f>
        <v>1029</v>
      </c>
      <c r="S55" s="375">
        <f t="shared" si="14"/>
        <v>25.130340136054421</v>
      </c>
      <c r="T55" s="385">
        <f t="shared" si="15"/>
        <v>13180</v>
      </c>
      <c r="U55" s="378">
        <f t="shared" si="16"/>
        <v>26.190112291350534</v>
      </c>
    </row>
    <row r="56" spans="2:21" s="229" customFormat="1">
      <c r="B56" s="1787"/>
      <c r="C56" s="355" t="s">
        <v>17</v>
      </c>
      <c r="D56" s="374">
        <f>[13]MARS!$B$295</f>
        <v>2304</v>
      </c>
      <c r="E56" s="375">
        <f t="shared" si="17"/>
        <v>24.7705078125</v>
      </c>
      <c r="F56" s="376">
        <f>[13]MARS!$B$7</f>
        <v>1594</v>
      </c>
      <c r="G56" s="375">
        <f t="shared" si="17"/>
        <v>23.982283563362611</v>
      </c>
      <c r="H56" s="376">
        <f>[13]MARS!$B$151</f>
        <v>2092</v>
      </c>
      <c r="I56" s="375">
        <f t="shared" si="9"/>
        <v>29.750320267686423</v>
      </c>
      <c r="J56" s="376">
        <f>[13]MARS!$B$871</f>
        <v>2054</v>
      </c>
      <c r="K56" s="375">
        <f t="shared" si="10"/>
        <v>24.238072054527752</v>
      </c>
      <c r="L56" s="376">
        <f>[13]MARS!$B$583</f>
        <v>2065</v>
      </c>
      <c r="M56" s="375">
        <f t="shared" si="11"/>
        <v>31.09296368038741</v>
      </c>
      <c r="N56" s="376">
        <f>[13]MARS!$B$727</f>
        <v>1896</v>
      </c>
      <c r="O56" s="375">
        <f t="shared" si="12"/>
        <v>28.299435654008441</v>
      </c>
      <c r="P56" s="376">
        <f>[13]MARS!$B$439</f>
        <v>1154</v>
      </c>
      <c r="Q56" s="375">
        <f t="shared" si="13"/>
        <v>32.017781629116115</v>
      </c>
      <c r="R56" s="376">
        <f>[13]MARS!$B$1015</f>
        <v>1162</v>
      </c>
      <c r="S56" s="375">
        <f t="shared" si="14"/>
        <v>26.249087779690189</v>
      </c>
      <c r="T56" s="385">
        <f t="shared" si="15"/>
        <v>14321</v>
      </c>
      <c r="U56" s="378">
        <f t="shared" si="16"/>
        <v>27.41668458906501</v>
      </c>
    </row>
    <row r="57" spans="2:21" s="229" customFormat="1">
      <c r="B57" s="1787"/>
      <c r="C57" s="355" t="s">
        <v>18</v>
      </c>
      <c r="D57" s="374">
        <f>[13]AVRIL!$B$295</f>
        <v>820</v>
      </c>
      <c r="E57" s="375">
        <f t="shared" si="17"/>
        <v>26.594158536585365</v>
      </c>
      <c r="F57" s="376">
        <f>[13]AVRIL!$B$7</f>
        <v>700</v>
      </c>
      <c r="G57" s="375">
        <f t="shared" si="17"/>
        <v>25.403414285714284</v>
      </c>
      <c r="H57" s="376">
        <f>[13]AVRIL!$B$151</f>
        <v>797</v>
      </c>
      <c r="I57" s="375">
        <f t="shared" si="9"/>
        <v>32.604918444165619</v>
      </c>
      <c r="J57" s="376">
        <f>[13]AVRIL!$B$871</f>
        <v>720</v>
      </c>
      <c r="K57" s="375">
        <f t="shared" si="10"/>
        <v>25.867152777777775</v>
      </c>
      <c r="L57" s="376">
        <f>[13]AVRIL!$B$583</f>
        <v>850</v>
      </c>
      <c r="M57" s="375">
        <f t="shared" si="11"/>
        <v>31.978435294117645</v>
      </c>
      <c r="N57" s="376">
        <f>[13]AVRIL!$B$727</f>
        <v>737</v>
      </c>
      <c r="O57" s="375">
        <f t="shared" si="12"/>
        <v>30.786458616010854</v>
      </c>
      <c r="P57" s="376">
        <f>[13]AVRIL!$B$439</f>
        <v>397</v>
      </c>
      <c r="Q57" s="375">
        <f t="shared" si="13"/>
        <v>32.89256926952141</v>
      </c>
      <c r="R57" s="376">
        <f>[13]AVRIL!$B$1015</f>
        <v>452</v>
      </c>
      <c r="S57" s="375">
        <f t="shared" si="14"/>
        <v>27.740331858407078</v>
      </c>
      <c r="T57" s="385">
        <f t="shared" si="15"/>
        <v>5473</v>
      </c>
      <c r="U57" s="378">
        <f t="shared" si="16"/>
        <v>29.173824228028508</v>
      </c>
    </row>
    <row r="58" spans="2:21" s="229" customFormat="1">
      <c r="B58" s="1787"/>
      <c r="C58" s="355" t="s">
        <v>19</v>
      </c>
      <c r="D58" s="374">
        <f>[13]MAI!$B$295</f>
        <v>0</v>
      </c>
      <c r="E58" s="375" t="e">
        <f t="shared" ref="E58:E66" si="18">D43/D58</f>
        <v>#DIV/0!</v>
      </c>
      <c r="F58" s="376">
        <f>[13]MAI!$B$7</f>
        <v>0</v>
      </c>
      <c r="G58" s="375" t="e">
        <f t="shared" ref="G58:G66" si="19">F43/F58</f>
        <v>#DIV/0!</v>
      </c>
      <c r="H58" s="376">
        <f>[13]MAI!$B$151</f>
        <v>0</v>
      </c>
      <c r="I58" s="375" t="e">
        <f t="shared" si="9"/>
        <v>#DIV/0!</v>
      </c>
      <c r="J58" s="376">
        <f>[13]MAI!$B$871</f>
        <v>0</v>
      </c>
      <c r="K58" s="375" t="e">
        <f t="shared" si="10"/>
        <v>#DIV/0!</v>
      </c>
      <c r="L58" s="376">
        <f>[13]MAI!$B$583</f>
        <v>0</v>
      </c>
      <c r="M58" s="375" t="e">
        <f t="shared" si="11"/>
        <v>#DIV/0!</v>
      </c>
      <c r="N58" s="376">
        <f>[13]MAI!$B$727</f>
        <v>0</v>
      </c>
      <c r="O58" s="375" t="e">
        <f t="shared" si="12"/>
        <v>#DIV/0!</v>
      </c>
      <c r="P58" s="376">
        <f>[13]MAI!$B$439</f>
        <v>0</v>
      </c>
      <c r="Q58" s="375" t="e">
        <f t="shared" si="13"/>
        <v>#DIV/0!</v>
      </c>
      <c r="R58" s="376">
        <f>[13]MAI!$B$1015</f>
        <v>0</v>
      </c>
      <c r="S58" s="375" t="e">
        <f t="shared" si="14"/>
        <v>#DIV/0!</v>
      </c>
      <c r="T58" s="385">
        <f t="shared" si="15"/>
        <v>0</v>
      </c>
      <c r="U58" s="378" t="e">
        <f t="shared" si="16"/>
        <v>#DIV/0!</v>
      </c>
    </row>
    <row r="59" spans="2:21" s="229" customFormat="1">
      <c r="B59" s="1787"/>
      <c r="C59" s="1026" t="s">
        <v>20</v>
      </c>
      <c r="D59" s="1033">
        <f>[13]JUIN!$B$295</f>
        <v>0</v>
      </c>
      <c r="E59" s="1034" t="e">
        <f t="shared" si="18"/>
        <v>#DIV/0!</v>
      </c>
      <c r="F59" s="1035">
        <f>[13]JUIN!$B$7</f>
        <v>0</v>
      </c>
      <c r="G59" s="1034" t="e">
        <f t="shared" si="19"/>
        <v>#DIV/0!</v>
      </c>
      <c r="H59" s="1035">
        <f>[13]JUIN!$B$151</f>
        <v>0</v>
      </c>
      <c r="I59" s="1034" t="e">
        <f t="shared" si="9"/>
        <v>#DIV/0!</v>
      </c>
      <c r="J59" s="1035">
        <f>[13]JUIN!$B$871</f>
        <v>0</v>
      </c>
      <c r="K59" s="1034" t="e">
        <f t="shared" si="10"/>
        <v>#DIV/0!</v>
      </c>
      <c r="L59" s="1035">
        <f>[13]JUIN!$B$583</f>
        <v>0</v>
      </c>
      <c r="M59" s="1034" t="e">
        <f t="shared" si="11"/>
        <v>#DIV/0!</v>
      </c>
      <c r="N59" s="1035">
        <f>[13]JUIN!$B$727</f>
        <v>0</v>
      </c>
      <c r="O59" s="1034" t="e">
        <f t="shared" si="12"/>
        <v>#DIV/0!</v>
      </c>
      <c r="P59" s="1035">
        <f>[13]JUIN!$B$439</f>
        <v>0</v>
      </c>
      <c r="Q59" s="1034" t="e">
        <f t="shared" si="13"/>
        <v>#DIV/0!</v>
      </c>
      <c r="R59" s="1035">
        <f>[13]JUIN!$B$1015</f>
        <v>0</v>
      </c>
      <c r="S59" s="1034" t="e">
        <f t="shared" si="14"/>
        <v>#DIV/0!</v>
      </c>
      <c r="T59" s="1038">
        <f t="shared" si="15"/>
        <v>0</v>
      </c>
      <c r="U59" s="1037" t="e">
        <f t="shared" si="16"/>
        <v>#DIV/0!</v>
      </c>
    </row>
    <row r="60" spans="2:21" s="229" customFormat="1">
      <c r="B60" s="1787"/>
      <c r="C60" s="355" t="s">
        <v>21</v>
      </c>
      <c r="D60" s="1097">
        <f>[13]JUILLET!$B$295</f>
        <v>0</v>
      </c>
      <c r="E60" s="1098" t="e">
        <f t="shared" si="18"/>
        <v>#DIV/0!</v>
      </c>
      <c r="F60" s="1099">
        <f>[13]JUILLET!$B$7</f>
        <v>0</v>
      </c>
      <c r="G60" s="1098" t="e">
        <f t="shared" si="19"/>
        <v>#DIV/0!</v>
      </c>
      <c r="H60" s="1099">
        <f>[13]JUILLET!$B$151</f>
        <v>0</v>
      </c>
      <c r="I60" s="1098" t="e">
        <f t="shared" si="9"/>
        <v>#DIV/0!</v>
      </c>
      <c r="J60" s="1099">
        <f>[13]JUILLET!$B$871</f>
        <v>0</v>
      </c>
      <c r="K60" s="1098" t="e">
        <f t="shared" si="10"/>
        <v>#DIV/0!</v>
      </c>
      <c r="L60" s="1099">
        <f>[13]JUILLET!$B$583</f>
        <v>0</v>
      </c>
      <c r="M60" s="1098" t="e">
        <f t="shared" si="11"/>
        <v>#DIV/0!</v>
      </c>
      <c r="N60" s="1099">
        <f>[13]JUILLET!$B$727</f>
        <v>0</v>
      </c>
      <c r="O60" s="1098" t="e">
        <f t="shared" si="12"/>
        <v>#DIV/0!</v>
      </c>
      <c r="P60" s="1099">
        <f>[13]JUILLET!$B$439</f>
        <v>0</v>
      </c>
      <c r="Q60" s="1098" t="e">
        <f t="shared" si="13"/>
        <v>#DIV/0!</v>
      </c>
      <c r="R60" s="1099">
        <f>[13]JUILLET!$B$1015</f>
        <v>0</v>
      </c>
      <c r="S60" s="1098" t="e">
        <f t="shared" si="14"/>
        <v>#DIV/0!</v>
      </c>
      <c r="T60" s="1103">
        <f t="shared" ref="T60:T65" si="20">D60+F60+H60+J60+L60+N60+P60+R60</f>
        <v>0</v>
      </c>
      <c r="U60" s="1102" t="e">
        <f t="shared" si="16"/>
        <v>#DIV/0!</v>
      </c>
    </row>
    <row r="61" spans="2:21">
      <c r="B61" s="1787"/>
      <c r="C61" s="348" t="s">
        <v>26</v>
      </c>
      <c r="D61" s="374">
        <f>[13]AOUT!$B$295</f>
        <v>0</v>
      </c>
      <c r="E61" s="375" t="e">
        <f t="shared" si="18"/>
        <v>#DIV/0!</v>
      </c>
      <c r="F61" s="376">
        <f>[13]AOUT!$B$7</f>
        <v>0</v>
      </c>
      <c r="G61" s="375" t="e">
        <f t="shared" si="19"/>
        <v>#DIV/0!</v>
      </c>
      <c r="H61" s="376">
        <f>[13]AOUT!$B$151</f>
        <v>0</v>
      </c>
      <c r="I61" s="375" t="e">
        <f t="shared" si="9"/>
        <v>#DIV/0!</v>
      </c>
      <c r="J61" s="376">
        <f>[13]AOUT!$B$871</f>
        <v>0</v>
      </c>
      <c r="K61" s="375" t="e">
        <f t="shared" si="10"/>
        <v>#DIV/0!</v>
      </c>
      <c r="L61" s="376">
        <f>[13]AOUT!$B$583</f>
        <v>0</v>
      </c>
      <c r="M61" s="375" t="e">
        <f t="shared" si="11"/>
        <v>#DIV/0!</v>
      </c>
      <c r="N61" s="376">
        <f>[13]AOUT!$B$727</f>
        <v>0</v>
      </c>
      <c r="O61" s="375" t="e">
        <f t="shared" si="12"/>
        <v>#DIV/0!</v>
      </c>
      <c r="P61" s="376">
        <f>[13]AOUT!$B$439</f>
        <v>0</v>
      </c>
      <c r="Q61" s="375" t="e">
        <f t="shared" si="13"/>
        <v>#DIV/0!</v>
      </c>
      <c r="R61" s="376">
        <f>[13]AOUT!$B$1015</f>
        <v>0</v>
      </c>
      <c r="S61" s="375" t="e">
        <f t="shared" si="14"/>
        <v>#DIV/0!</v>
      </c>
      <c r="T61" s="385">
        <f t="shared" si="20"/>
        <v>0</v>
      </c>
      <c r="U61" s="378" t="e">
        <f t="shared" si="16"/>
        <v>#DIV/0!</v>
      </c>
    </row>
    <row r="62" spans="2:21">
      <c r="B62" s="1787"/>
      <c r="C62" s="348" t="s">
        <v>22</v>
      </c>
      <c r="D62" s="374">
        <f>[13]SEPTEMBRE!$B$295</f>
        <v>0</v>
      </c>
      <c r="E62" s="375" t="e">
        <f t="shared" si="18"/>
        <v>#DIV/0!</v>
      </c>
      <c r="F62" s="376">
        <f>[13]SEPTEMBRE!$B$7</f>
        <v>0</v>
      </c>
      <c r="G62" s="375" t="e">
        <f t="shared" si="19"/>
        <v>#DIV/0!</v>
      </c>
      <c r="H62" s="376">
        <f>[13]SEPTEMBRE!$B$151</f>
        <v>0</v>
      </c>
      <c r="I62" s="375" t="e">
        <f t="shared" si="9"/>
        <v>#DIV/0!</v>
      </c>
      <c r="J62" s="376">
        <f>[13]SEPTEMBRE!$B$871</f>
        <v>0</v>
      </c>
      <c r="K62" s="375" t="e">
        <f t="shared" si="10"/>
        <v>#DIV/0!</v>
      </c>
      <c r="L62" s="376">
        <f>[13]SEPTEMBRE!$B$583</f>
        <v>0</v>
      </c>
      <c r="M62" s="375" t="e">
        <f t="shared" si="11"/>
        <v>#DIV/0!</v>
      </c>
      <c r="N62" s="376">
        <f>[13]SEPTEMBRE!$B$727</f>
        <v>0</v>
      </c>
      <c r="O62" s="375" t="e">
        <f t="shared" si="12"/>
        <v>#DIV/0!</v>
      </c>
      <c r="P62" s="376">
        <f>[13]SEPTEMBRE!$B$439</f>
        <v>0</v>
      </c>
      <c r="Q62" s="375" t="e">
        <f t="shared" si="13"/>
        <v>#DIV/0!</v>
      </c>
      <c r="R62" s="376">
        <f>[13]SEPTEMBRE!$B$1015</f>
        <v>0</v>
      </c>
      <c r="S62" s="375" t="e">
        <f t="shared" si="14"/>
        <v>#DIV/0!</v>
      </c>
      <c r="T62" s="385">
        <f t="shared" si="20"/>
        <v>0</v>
      </c>
      <c r="U62" s="378" t="e">
        <f t="shared" si="16"/>
        <v>#DIV/0!</v>
      </c>
    </row>
    <row r="63" spans="2:21">
      <c r="B63" s="1787"/>
      <c r="C63" s="348" t="s">
        <v>23</v>
      </c>
      <c r="D63" s="374">
        <f>[13]OCTOBRE!$B$295</f>
        <v>0</v>
      </c>
      <c r="E63" s="375" t="e">
        <f t="shared" si="18"/>
        <v>#DIV/0!</v>
      </c>
      <c r="F63" s="376">
        <f>[13]OCTOBRE!$B$7</f>
        <v>0</v>
      </c>
      <c r="G63" s="375" t="e">
        <f t="shared" si="19"/>
        <v>#DIV/0!</v>
      </c>
      <c r="H63" s="376">
        <f>[13]OCTOBRE!$B$151</f>
        <v>0</v>
      </c>
      <c r="I63" s="375" t="e">
        <f t="shared" si="9"/>
        <v>#DIV/0!</v>
      </c>
      <c r="J63" s="376">
        <f>[13]OCTOBRE!$B$871</f>
        <v>0</v>
      </c>
      <c r="K63" s="375" t="e">
        <f t="shared" si="10"/>
        <v>#DIV/0!</v>
      </c>
      <c r="L63" s="376">
        <f>[13]OCTOBRE!$B$583</f>
        <v>0</v>
      </c>
      <c r="M63" s="375" t="e">
        <f t="shared" si="11"/>
        <v>#DIV/0!</v>
      </c>
      <c r="N63" s="376">
        <f>[13]OCTOBRE!$B$727</f>
        <v>0</v>
      </c>
      <c r="O63" s="375" t="e">
        <f t="shared" si="12"/>
        <v>#DIV/0!</v>
      </c>
      <c r="P63" s="376">
        <f>[13]OCTOBRE!$B$439</f>
        <v>0</v>
      </c>
      <c r="Q63" s="375" t="e">
        <f t="shared" si="13"/>
        <v>#DIV/0!</v>
      </c>
      <c r="R63" s="376">
        <f>[13]OCTOBRE!$B$871</f>
        <v>0</v>
      </c>
      <c r="S63" s="375" t="e">
        <f t="shared" si="14"/>
        <v>#DIV/0!</v>
      </c>
      <c r="T63" s="385">
        <f t="shared" si="20"/>
        <v>0</v>
      </c>
      <c r="U63" s="378" t="e">
        <f t="shared" si="16"/>
        <v>#DIV/0!</v>
      </c>
    </row>
    <row r="64" spans="2:21">
      <c r="B64" s="1787"/>
      <c r="C64" s="348" t="s">
        <v>24</v>
      </c>
      <c r="D64" s="374">
        <f>[13]NOVEMBRE!$B$295</f>
        <v>0</v>
      </c>
      <c r="E64" s="375" t="e">
        <f t="shared" si="18"/>
        <v>#DIV/0!</v>
      </c>
      <c r="F64" s="376">
        <f>[13]NOVEMBRE!$B$7</f>
        <v>0</v>
      </c>
      <c r="G64" s="375" t="e">
        <f t="shared" si="19"/>
        <v>#DIV/0!</v>
      </c>
      <c r="H64" s="376">
        <f>[13]NOVEMBRE!$B$151</f>
        <v>0</v>
      </c>
      <c r="I64" s="375" t="e">
        <f t="shared" si="9"/>
        <v>#DIV/0!</v>
      </c>
      <c r="J64" s="376">
        <f>[13]NOVEMBRE!$B$871</f>
        <v>0</v>
      </c>
      <c r="K64" s="375" t="e">
        <f t="shared" si="10"/>
        <v>#DIV/0!</v>
      </c>
      <c r="L64" s="376">
        <f>[13]NOVEMBRE!$B$583</f>
        <v>0</v>
      </c>
      <c r="M64" s="375" t="e">
        <f t="shared" si="11"/>
        <v>#DIV/0!</v>
      </c>
      <c r="N64" s="376">
        <f>[13]NOVEMBRE!$B$727</f>
        <v>0</v>
      </c>
      <c r="O64" s="375" t="e">
        <f t="shared" si="12"/>
        <v>#DIV/0!</v>
      </c>
      <c r="P64" s="376">
        <f>[13]NOVEMBRE!$B$439</f>
        <v>0</v>
      </c>
      <c r="Q64" s="375" t="e">
        <f t="shared" si="13"/>
        <v>#DIV/0!</v>
      </c>
      <c r="R64" s="376">
        <f>[13]NOVEMBRE!$B$871</f>
        <v>0</v>
      </c>
      <c r="S64" s="375" t="e">
        <f t="shared" si="14"/>
        <v>#DIV/0!</v>
      </c>
      <c r="T64" s="385">
        <f t="shared" si="20"/>
        <v>0</v>
      </c>
      <c r="U64" s="378" t="e">
        <f t="shared" si="16"/>
        <v>#DIV/0!</v>
      </c>
    </row>
    <row r="65" spans="2:21">
      <c r="B65" s="1787"/>
      <c r="C65" s="348" t="s">
        <v>27</v>
      </c>
      <c r="D65" s="374">
        <f>[13]DECEMBRE!$B$295</f>
        <v>0</v>
      </c>
      <c r="E65" s="375" t="e">
        <f t="shared" si="18"/>
        <v>#DIV/0!</v>
      </c>
      <c r="F65" s="376">
        <f>[13]DECEMBRE!$B$7</f>
        <v>0</v>
      </c>
      <c r="G65" s="375" t="e">
        <f t="shared" si="19"/>
        <v>#DIV/0!</v>
      </c>
      <c r="H65" s="376">
        <f>[13]DECEMBRE!$B$151</f>
        <v>0</v>
      </c>
      <c r="I65" s="375" t="e">
        <f t="shared" si="9"/>
        <v>#DIV/0!</v>
      </c>
      <c r="J65" s="376">
        <f>[13]DECEMBRE!$B$871</f>
        <v>0</v>
      </c>
      <c r="K65" s="375" t="e">
        <f t="shared" si="10"/>
        <v>#DIV/0!</v>
      </c>
      <c r="L65" s="376">
        <f>[13]DECEMBRE!$B$583</f>
        <v>0</v>
      </c>
      <c r="M65" s="375" t="e">
        <f t="shared" si="11"/>
        <v>#DIV/0!</v>
      </c>
      <c r="N65" s="376">
        <f>[13]DECEMBRE!$B$727</f>
        <v>0</v>
      </c>
      <c r="O65" s="375" t="e">
        <f t="shared" si="12"/>
        <v>#DIV/0!</v>
      </c>
      <c r="P65" s="376">
        <f>[13]DECEMBRE!$B$439</f>
        <v>0</v>
      </c>
      <c r="Q65" s="375" t="e">
        <f t="shared" si="13"/>
        <v>#DIV/0!</v>
      </c>
      <c r="R65" s="376">
        <f>[13]DECEMBRE!$B$871</f>
        <v>0</v>
      </c>
      <c r="S65" s="375" t="e">
        <f t="shared" si="14"/>
        <v>#DIV/0!</v>
      </c>
      <c r="T65" s="385">
        <f t="shared" si="20"/>
        <v>0</v>
      </c>
      <c r="U65" s="378" t="e">
        <f t="shared" si="16"/>
        <v>#DIV/0!</v>
      </c>
    </row>
    <row r="66" spans="2:21" ht="20" thickBot="1">
      <c r="B66" s="1788"/>
      <c r="C66" s="379" t="s">
        <v>45</v>
      </c>
      <c r="D66" s="386">
        <f>SUM(D54:D65)</f>
        <v>7591</v>
      </c>
      <c r="E66" s="381">
        <f t="shared" si="18"/>
        <v>24.44989856408905</v>
      </c>
      <c r="F66" s="387">
        <f>SUM(F54:F65)</f>
        <v>5321</v>
      </c>
      <c r="G66" s="388">
        <f t="shared" si="19"/>
        <v>24.877692163127232</v>
      </c>
      <c r="H66" s="386">
        <f>SUM(H54:H65)</f>
        <v>6616</v>
      </c>
      <c r="I66" s="381">
        <f t="shared" si="9"/>
        <v>30.342416868198306</v>
      </c>
      <c r="J66" s="387">
        <f>SUM(J54:J65)</f>
        <v>6646</v>
      </c>
      <c r="K66" s="388">
        <f t="shared" si="10"/>
        <v>24.348391513692448</v>
      </c>
      <c r="L66" s="386">
        <f>SUM(L54:L65)</f>
        <v>6716</v>
      </c>
      <c r="M66" s="381">
        <f t="shared" si="11"/>
        <v>30.985903811792735</v>
      </c>
      <c r="N66" s="387">
        <f>SUM(N54:N65)</f>
        <v>5985</v>
      </c>
      <c r="O66" s="388">
        <f t="shared" si="12"/>
        <v>29.154860484544695</v>
      </c>
      <c r="P66" s="386">
        <f>SUM(P54:P65)</f>
        <v>3701</v>
      </c>
      <c r="Q66" s="381">
        <f t="shared" si="13"/>
        <v>30.80158605782221</v>
      </c>
      <c r="R66" s="387">
        <f>SUM(R54:R65)</f>
        <v>3602</v>
      </c>
      <c r="S66" s="388">
        <f t="shared" si="14"/>
        <v>26.278345363686842</v>
      </c>
      <c r="T66" s="386">
        <f>SUM(T54:T65)</f>
        <v>46178</v>
      </c>
      <c r="U66" s="389">
        <f t="shared" si="16"/>
        <v>27.540877907228552</v>
      </c>
    </row>
    <row r="67" spans="2:21" ht="20" thickBot="1">
      <c r="D67" s="390"/>
      <c r="E67" s="390"/>
      <c r="F67" s="390"/>
      <c r="G67" s="390"/>
      <c r="H67" s="390"/>
      <c r="I67" s="390"/>
      <c r="J67" s="390"/>
      <c r="K67" s="390"/>
      <c r="L67" s="390"/>
      <c r="M67" s="390"/>
      <c r="N67" s="390"/>
      <c r="O67" s="390"/>
      <c r="P67" s="390"/>
      <c r="Q67" s="390"/>
      <c r="R67" s="390"/>
      <c r="S67" s="390"/>
      <c r="T67" s="390"/>
      <c r="U67" s="390"/>
    </row>
    <row r="68" spans="2:21" s="324" customFormat="1" ht="32" customHeight="1">
      <c r="B68" s="1786" t="s">
        <v>268</v>
      </c>
      <c r="C68" s="876" t="s">
        <v>247</v>
      </c>
      <c r="D68" s="877" t="s">
        <v>28</v>
      </c>
      <c r="E68" s="877" t="s">
        <v>248</v>
      </c>
      <c r="F68" s="878" t="s">
        <v>29</v>
      </c>
      <c r="G68" s="877" t="s">
        <v>248</v>
      </c>
      <c r="H68" s="880" t="s">
        <v>30</v>
      </c>
      <c r="I68" s="877" t="s">
        <v>248</v>
      </c>
      <c r="J68" s="881" t="s">
        <v>31</v>
      </c>
      <c r="K68" s="877" t="s">
        <v>248</v>
      </c>
      <c r="L68" s="877" t="s">
        <v>32</v>
      </c>
      <c r="M68" s="877" t="s">
        <v>248</v>
      </c>
      <c r="N68" s="878" t="s">
        <v>253</v>
      </c>
      <c r="O68" s="877" t="s">
        <v>248</v>
      </c>
      <c r="P68" s="880" t="s">
        <v>34</v>
      </c>
      <c r="Q68" s="877" t="s">
        <v>248</v>
      </c>
      <c r="R68" s="881" t="s">
        <v>308</v>
      </c>
      <c r="S68" s="877" t="s">
        <v>248</v>
      </c>
      <c r="T68" s="880" t="s">
        <v>37</v>
      </c>
      <c r="U68" s="882" t="s">
        <v>248</v>
      </c>
    </row>
    <row r="69" spans="2:21">
      <c r="B69" s="1787"/>
      <c r="C69" s="348" t="s">
        <v>10</v>
      </c>
      <c r="D69" s="349">
        <f>[13]JANVIER!$B$397</f>
        <v>26598.33</v>
      </c>
      <c r="E69" s="391">
        <f>D69/D39</f>
        <v>0.49311066320503499</v>
      </c>
      <c r="F69" s="351">
        <f>[13]JANVIER!$B$109</f>
        <v>12237.42</v>
      </c>
      <c r="G69" s="391">
        <f>F69/F39</f>
        <v>0.31615415557805504</v>
      </c>
      <c r="H69" s="351">
        <f>+[13]JANVIER!$B$253</f>
        <v>43050.879999999997</v>
      </c>
      <c r="I69" s="391">
        <f t="shared" ref="I69:I80" si="21">H69/H39</f>
        <v>0.72211829112564108</v>
      </c>
      <c r="J69" s="351">
        <f>[13]JANVIER!$B$973</f>
        <v>21112.25</v>
      </c>
      <c r="K69" s="392">
        <f t="shared" ref="K69:K80" si="22">J69/J39</f>
        <v>0.43512442181095107</v>
      </c>
      <c r="L69" s="349">
        <f>[13]JANVIER!$B$685</f>
        <v>53190.720000000001</v>
      </c>
      <c r="M69" s="392">
        <f t="shared" ref="M69:M80" si="23">L69/L39</f>
        <v>0.85187668182908693</v>
      </c>
      <c r="N69" s="351">
        <f>[13]JANVIER!$B$829</f>
        <v>41276.019999999997</v>
      </c>
      <c r="O69" s="392">
        <f t="shared" ref="O69:O80" si="24">N69/N39</f>
        <v>0.79587700586418153</v>
      </c>
      <c r="P69" s="349">
        <f>[13]JANVIER!$B$541</f>
        <v>24944.11</v>
      </c>
      <c r="Q69" s="392">
        <f t="shared" ref="Q69:Q80" si="25">P69/P39</f>
        <v>0.74565556807410138</v>
      </c>
      <c r="R69" s="351">
        <f>[13]JANVIER!$B$1117</f>
        <v>18431.099999999999</v>
      </c>
      <c r="S69" s="392">
        <f t="shared" ref="S69:S80" si="26">R69/R39</f>
        <v>0.71562052399864717</v>
      </c>
      <c r="T69" s="353">
        <f t="shared" ref="T69:T74" si="27">D69+F69+H69+J69+L69+N69+P69+R69</f>
        <v>240840.83</v>
      </c>
      <c r="U69" s="354">
        <f t="shared" ref="U69:U80" si="28">T69/T39</f>
        <v>0.64345310628561536</v>
      </c>
    </row>
    <row r="70" spans="2:21" s="229" customFormat="1">
      <c r="B70" s="1787"/>
      <c r="C70" s="355" t="s">
        <v>25</v>
      </c>
      <c r="D70" s="356">
        <f>[13]FEVRIER!$B$397</f>
        <v>25472.63</v>
      </c>
      <c r="E70" s="393">
        <f t="shared" ref="E70:G72" si="29">D70/D40</f>
        <v>0.48261130364730842</v>
      </c>
      <c r="F70" s="358">
        <f>[13]FEVRIER!$B$109</f>
        <v>12076.42</v>
      </c>
      <c r="G70" s="393">
        <f t="shared" si="29"/>
        <v>0.32069590396665476</v>
      </c>
      <c r="H70" s="358">
        <f>+[13]FEVRIER!$B$253</f>
        <v>37647.760000000002</v>
      </c>
      <c r="I70" s="393">
        <f t="shared" si="21"/>
        <v>0.71162205611469043</v>
      </c>
      <c r="J70" s="358">
        <f>[13]FEVRIER!$B$973</f>
        <v>20298.02</v>
      </c>
      <c r="K70" s="394">
        <f t="shared" si="22"/>
        <v>0.45217211928795775</v>
      </c>
      <c r="L70" s="356">
        <f>[13]FEVRIER!$B$685</f>
        <v>45291.93</v>
      </c>
      <c r="M70" s="394">
        <f t="shared" si="23"/>
        <v>0.83451694325176518</v>
      </c>
      <c r="N70" s="358">
        <f>[13]FEVRIER!$B$829</f>
        <v>36100.120000000003</v>
      </c>
      <c r="O70" s="394">
        <f t="shared" si="24"/>
        <v>0.77996671864987133</v>
      </c>
      <c r="P70" s="356">
        <f>[13]FEVRIER!$B$541</f>
        <v>21865.09</v>
      </c>
      <c r="Q70" s="394">
        <f t="shared" si="25"/>
        <v>0.71601465883752968</v>
      </c>
      <c r="R70" s="358">
        <f>[13]FEVRIER!$B$1117</f>
        <v>16831.91</v>
      </c>
      <c r="S70" s="394">
        <f t="shared" si="26"/>
        <v>0.65090807421134211</v>
      </c>
      <c r="T70" s="360">
        <f t="shared" si="27"/>
        <v>215583.88</v>
      </c>
      <c r="U70" s="361">
        <f t="shared" si="28"/>
        <v>0.62454467983723994</v>
      </c>
    </row>
    <row r="71" spans="2:21" s="229" customFormat="1">
      <c r="B71" s="1787"/>
      <c r="C71" s="355" t="s">
        <v>17</v>
      </c>
      <c r="D71" s="356">
        <f>[13]MARS!$B$397</f>
        <v>28587.96</v>
      </c>
      <c r="E71" s="393">
        <f t="shared" si="29"/>
        <v>0.50091701163019908</v>
      </c>
      <c r="F71" s="358">
        <f>[13]MARS!$B$109</f>
        <v>12745.41</v>
      </c>
      <c r="G71" s="393">
        <f t="shared" si="29"/>
        <v>0.33340718891193205</v>
      </c>
      <c r="H71" s="358">
        <f>+[13]MARS!$B$253</f>
        <v>42779.9</v>
      </c>
      <c r="I71" s="393">
        <f t="shared" si="21"/>
        <v>0.68736345689033673</v>
      </c>
      <c r="J71" s="358">
        <f>[13]MARS!$B$973</f>
        <v>23713.43</v>
      </c>
      <c r="K71" s="394">
        <f t="shared" si="22"/>
        <v>0.4763167620769308</v>
      </c>
      <c r="L71" s="356">
        <f>[13]MARS!$B$685</f>
        <v>54432.49</v>
      </c>
      <c r="M71" s="394">
        <f t="shared" si="23"/>
        <v>0.84776606028909318</v>
      </c>
      <c r="N71" s="358">
        <f>[13]MARS!$B$829</f>
        <v>42614.53</v>
      </c>
      <c r="O71" s="394">
        <f t="shared" si="24"/>
        <v>0.79422141866302065</v>
      </c>
      <c r="P71" s="356">
        <f>[13]MARS!$B$541</f>
        <v>28441.31</v>
      </c>
      <c r="Q71" s="394">
        <f t="shared" si="25"/>
        <v>0.76975505378835207</v>
      </c>
      <c r="R71" s="358">
        <f>[13]MARS!$B$1117</f>
        <v>20198.71</v>
      </c>
      <c r="S71" s="394">
        <f t="shared" si="26"/>
        <v>0.66222152134456602</v>
      </c>
      <c r="T71" s="360">
        <f t="shared" si="27"/>
        <v>253513.73999999996</v>
      </c>
      <c r="U71" s="361">
        <f t="shared" si="28"/>
        <v>0.64567388578390761</v>
      </c>
    </row>
    <row r="72" spans="2:21" s="229" customFormat="1">
      <c r="B72" s="1787"/>
      <c r="C72" s="355" t="s">
        <v>18</v>
      </c>
      <c r="D72" s="356">
        <f>[13]AVRIL!$B$397</f>
        <v>10730.17</v>
      </c>
      <c r="E72" s="393">
        <f t="shared" si="29"/>
        <v>0.49204689641636873</v>
      </c>
      <c r="F72" s="358">
        <f>[13]AVRIL!$B$109</f>
        <v>5949.24</v>
      </c>
      <c r="G72" s="393">
        <f t="shared" si="29"/>
        <v>0.33455795312103714</v>
      </c>
      <c r="H72" s="358">
        <f>+[13]AVRIL!$B$253</f>
        <v>17990.96</v>
      </c>
      <c r="I72" s="393">
        <f t="shared" si="21"/>
        <v>0.69232959749281542</v>
      </c>
      <c r="J72" s="358">
        <f>[13]AVRIL!$B$973</f>
        <v>8360.31</v>
      </c>
      <c r="K72" s="394">
        <f t="shared" si="22"/>
        <v>0.44889137070555485</v>
      </c>
      <c r="L72" s="356">
        <f>[13]AVRIL!$B$685</f>
        <v>23497.74</v>
      </c>
      <c r="M72" s="394">
        <f t="shared" si="23"/>
        <v>0.86447006383345848</v>
      </c>
      <c r="N72" s="358">
        <f>[13]AVRIL!$B$829</f>
        <v>18287.830000000002</v>
      </c>
      <c r="O72" s="394">
        <f t="shared" si="24"/>
        <v>0.80599983604837822</v>
      </c>
      <c r="P72" s="356">
        <f>[13]AVRIL!$B$541</f>
        <v>9979.1</v>
      </c>
      <c r="Q72" s="394">
        <f t="shared" si="25"/>
        <v>0.7641930259182822</v>
      </c>
      <c r="R72" s="358">
        <f>[13]AVRIL!$B$1117</f>
        <v>7619.61</v>
      </c>
      <c r="S72" s="394">
        <f t="shared" si="26"/>
        <v>0.60769079237524359</v>
      </c>
      <c r="T72" s="360">
        <f t="shared" si="27"/>
        <v>102414.96</v>
      </c>
      <c r="U72" s="361">
        <f t="shared" si="28"/>
        <v>0.64142308988745034</v>
      </c>
    </row>
    <row r="73" spans="2:21" s="229" customFormat="1">
      <c r="B73" s="1787"/>
      <c r="C73" s="355" t="s">
        <v>19</v>
      </c>
      <c r="D73" s="356">
        <f>[13]MAI!$B$397</f>
        <v>0</v>
      </c>
      <c r="E73" s="393" t="e">
        <f t="shared" ref="E73:E80" si="30">D73/D43</f>
        <v>#DIV/0!</v>
      </c>
      <c r="F73" s="358">
        <f>[13]MAI!$B$109</f>
        <v>0</v>
      </c>
      <c r="G73" s="393" t="e">
        <f t="shared" ref="G73:G80" si="31">F73/F43</f>
        <v>#DIV/0!</v>
      </c>
      <c r="H73" s="358">
        <f>+[13]MAI!$B$253</f>
        <v>0</v>
      </c>
      <c r="I73" s="393" t="e">
        <f t="shared" si="21"/>
        <v>#DIV/0!</v>
      </c>
      <c r="J73" s="358">
        <f>[13]MAI!$B$973</f>
        <v>0</v>
      </c>
      <c r="K73" s="394" t="e">
        <f t="shared" si="22"/>
        <v>#DIV/0!</v>
      </c>
      <c r="L73" s="356">
        <f>[13]MAI!$B$685</f>
        <v>0</v>
      </c>
      <c r="M73" s="394" t="e">
        <f t="shared" si="23"/>
        <v>#DIV/0!</v>
      </c>
      <c r="N73" s="358">
        <f>[13]MAI!$B$829</f>
        <v>0</v>
      </c>
      <c r="O73" s="394" t="e">
        <f t="shared" si="24"/>
        <v>#DIV/0!</v>
      </c>
      <c r="P73" s="356">
        <f>[13]MAI!$B$541</f>
        <v>0</v>
      </c>
      <c r="Q73" s="394" t="e">
        <f t="shared" si="25"/>
        <v>#DIV/0!</v>
      </c>
      <c r="R73" s="358">
        <f>[13]MAI!$B$1117</f>
        <v>0</v>
      </c>
      <c r="S73" s="394" t="e">
        <f t="shared" si="26"/>
        <v>#DIV/0!</v>
      </c>
      <c r="T73" s="360">
        <f t="shared" si="27"/>
        <v>0</v>
      </c>
      <c r="U73" s="361" t="e">
        <f t="shared" si="28"/>
        <v>#DIV/0!</v>
      </c>
    </row>
    <row r="74" spans="2:21" s="229" customFormat="1">
      <c r="B74" s="1787"/>
      <c r="C74" s="1026" t="s">
        <v>20</v>
      </c>
      <c r="D74" s="1027">
        <f>[13]JUIN!$B$397</f>
        <v>0</v>
      </c>
      <c r="E74" s="1039" t="e">
        <f t="shared" si="30"/>
        <v>#DIV/0!</v>
      </c>
      <c r="F74" s="1029">
        <f>[13]JUIN!$B$109</f>
        <v>0</v>
      </c>
      <c r="G74" s="1039" t="e">
        <f t="shared" si="31"/>
        <v>#DIV/0!</v>
      </c>
      <c r="H74" s="1029">
        <f>+[13]JUIN!$B$253</f>
        <v>0</v>
      </c>
      <c r="I74" s="1039" t="e">
        <f t="shared" si="21"/>
        <v>#DIV/0!</v>
      </c>
      <c r="J74" s="1029">
        <f>[13]JUIN!$B$973</f>
        <v>0</v>
      </c>
      <c r="K74" s="1040" t="e">
        <f t="shared" si="22"/>
        <v>#DIV/0!</v>
      </c>
      <c r="L74" s="1027">
        <f>[13]JUIN!$B$685</f>
        <v>0</v>
      </c>
      <c r="M74" s="1040" t="e">
        <f t="shared" si="23"/>
        <v>#DIV/0!</v>
      </c>
      <c r="N74" s="1029">
        <f>[13]JUIN!$B$829</f>
        <v>0</v>
      </c>
      <c r="O74" s="1040" t="e">
        <f t="shared" si="24"/>
        <v>#DIV/0!</v>
      </c>
      <c r="P74" s="1027">
        <f>[13]JUIN!$B$541</f>
        <v>0</v>
      </c>
      <c r="Q74" s="1040" t="e">
        <f t="shared" si="25"/>
        <v>#DIV/0!</v>
      </c>
      <c r="R74" s="1029">
        <f>[13]JUIN!$B$1117</f>
        <v>0</v>
      </c>
      <c r="S74" s="1040" t="e">
        <f t="shared" si="26"/>
        <v>#DIV/0!</v>
      </c>
      <c r="T74" s="1031">
        <f t="shared" si="27"/>
        <v>0</v>
      </c>
      <c r="U74" s="1032" t="e">
        <f t="shared" si="28"/>
        <v>#DIV/0!</v>
      </c>
    </row>
    <row r="75" spans="2:21" s="229" customFormat="1">
      <c r="B75" s="1787"/>
      <c r="C75" s="355" t="s">
        <v>21</v>
      </c>
      <c r="D75" s="1091">
        <f>[13]JUILLET!$B$397</f>
        <v>0</v>
      </c>
      <c r="E75" s="1104" t="e">
        <f t="shared" si="30"/>
        <v>#DIV/0!</v>
      </c>
      <c r="F75" s="1093">
        <f>[13]JUILLET!$B$109</f>
        <v>0</v>
      </c>
      <c r="G75" s="1104" t="e">
        <f t="shared" si="31"/>
        <v>#DIV/0!</v>
      </c>
      <c r="H75" s="1093">
        <f>+[13]JUILLET!$B$253</f>
        <v>0</v>
      </c>
      <c r="I75" s="1104" t="e">
        <f t="shared" si="21"/>
        <v>#DIV/0!</v>
      </c>
      <c r="J75" s="1093">
        <f>[13]JUILLET!$B$973</f>
        <v>0</v>
      </c>
      <c r="K75" s="1105" t="e">
        <f t="shared" si="22"/>
        <v>#DIV/0!</v>
      </c>
      <c r="L75" s="1091">
        <f>[13]JUILLET!$B$685</f>
        <v>0</v>
      </c>
      <c r="M75" s="1105" t="e">
        <f t="shared" si="23"/>
        <v>#DIV/0!</v>
      </c>
      <c r="N75" s="1093">
        <f>[13]JUILLET!$B$829</f>
        <v>0</v>
      </c>
      <c r="O75" s="1105" t="e">
        <f t="shared" si="24"/>
        <v>#DIV/0!</v>
      </c>
      <c r="P75" s="1091">
        <f>[13]JUILLET!$B$541</f>
        <v>0</v>
      </c>
      <c r="Q75" s="1105" t="e">
        <f t="shared" si="25"/>
        <v>#DIV/0!</v>
      </c>
      <c r="R75" s="1093">
        <f>[13]JUILLET!$B$1117</f>
        <v>0</v>
      </c>
      <c r="S75" s="1105" t="e">
        <f t="shared" si="26"/>
        <v>#DIV/0!</v>
      </c>
      <c r="T75" s="1095">
        <f t="shared" ref="T75:T80" si="32">D75+F75+H75+J75+L75+N75+P75+R75</f>
        <v>0</v>
      </c>
      <c r="U75" s="1096" t="e">
        <f t="shared" si="28"/>
        <v>#DIV/0!</v>
      </c>
    </row>
    <row r="76" spans="2:21">
      <c r="B76" s="1787"/>
      <c r="C76" s="348" t="s">
        <v>26</v>
      </c>
      <c r="D76" s="356">
        <f>[13]AOUT!$B$397</f>
        <v>0</v>
      </c>
      <c r="E76" s="393" t="e">
        <f t="shared" si="30"/>
        <v>#DIV/0!</v>
      </c>
      <c r="F76" s="358">
        <f>[13]AOUT!$B$109</f>
        <v>0</v>
      </c>
      <c r="G76" s="393" t="e">
        <f t="shared" si="31"/>
        <v>#DIV/0!</v>
      </c>
      <c r="H76" s="358">
        <f>+[13]AOUT!$B$253</f>
        <v>0</v>
      </c>
      <c r="I76" s="393" t="e">
        <f t="shared" si="21"/>
        <v>#DIV/0!</v>
      </c>
      <c r="J76" s="358">
        <f>[13]AOUT!$B$973</f>
        <v>0</v>
      </c>
      <c r="K76" s="394" t="e">
        <f t="shared" si="22"/>
        <v>#DIV/0!</v>
      </c>
      <c r="L76" s="356">
        <f>[13]AOUT!$B$685</f>
        <v>0</v>
      </c>
      <c r="M76" s="394" t="e">
        <f t="shared" si="23"/>
        <v>#DIV/0!</v>
      </c>
      <c r="N76" s="358">
        <f>[13]AOUT!$B$829</f>
        <v>0</v>
      </c>
      <c r="O76" s="394" t="e">
        <f t="shared" si="24"/>
        <v>#DIV/0!</v>
      </c>
      <c r="P76" s="356">
        <f>[13]AOUT!$B$541</f>
        <v>0</v>
      </c>
      <c r="Q76" s="394" t="e">
        <f t="shared" si="25"/>
        <v>#DIV/0!</v>
      </c>
      <c r="R76" s="358">
        <f>[13]AOUT!$B$1117</f>
        <v>0</v>
      </c>
      <c r="S76" s="394" t="e">
        <f t="shared" si="26"/>
        <v>#DIV/0!</v>
      </c>
      <c r="T76" s="360">
        <f t="shared" si="32"/>
        <v>0</v>
      </c>
      <c r="U76" s="361" t="e">
        <f t="shared" si="28"/>
        <v>#DIV/0!</v>
      </c>
    </row>
    <row r="77" spans="2:21">
      <c r="B77" s="1787"/>
      <c r="C77" s="348" t="s">
        <v>22</v>
      </c>
      <c r="D77" s="356">
        <f>[13]SEPTEMBRE!$B$397</f>
        <v>0</v>
      </c>
      <c r="E77" s="393" t="e">
        <f t="shared" si="30"/>
        <v>#DIV/0!</v>
      </c>
      <c r="F77" s="358">
        <f>[13]SEPTEMBRE!$B$109</f>
        <v>0</v>
      </c>
      <c r="G77" s="393" t="e">
        <f t="shared" si="31"/>
        <v>#DIV/0!</v>
      </c>
      <c r="H77" s="358">
        <f>+[13]SEPTEMBRE!$B$253</f>
        <v>0</v>
      </c>
      <c r="I77" s="393" t="e">
        <f t="shared" si="21"/>
        <v>#DIV/0!</v>
      </c>
      <c r="J77" s="358">
        <f>[13]SEPTEMBRE!$B$973</f>
        <v>0</v>
      </c>
      <c r="K77" s="394" t="e">
        <f t="shared" si="22"/>
        <v>#DIV/0!</v>
      </c>
      <c r="L77" s="356">
        <f>[13]SEPTEMBRE!$B$685</f>
        <v>0</v>
      </c>
      <c r="M77" s="394" t="e">
        <f t="shared" si="23"/>
        <v>#DIV/0!</v>
      </c>
      <c r="N77" s="358">
        <f>[13]SEPTEMBRE!$B$829</f>
        <v>0</v>
      </c>
      <c r="O77" s="394" t="e">
        <f t="shared" si="24"/>
        <v>#DIV/0!</v>
      </c>
      <c r="P77" s="356">
        <f>[13]SEPTEMBRE!$B$541</f>
        <v>0</v>
      </c>
      <c r="Q77" s="394" t="e">
        <f t="shared" si="25"/>
        <v>#DIV/0!</v>
      </c>
      <c r="R77" s="358">
        <f>[13]SEPTEMBRE!$B$1117</f>
        <v>0</v>
      </c>
      <c r="S77" s="394" t="e">
        <f t="shared" si="26"/>
        <v>#DIV/0!</v>
      </c>
      <c r="T77" s="360">
        <f t="shared" si="32"/>
        <v>0</v>
      </c>
      <c r="U77" s="361" t="e">
        <f t="shared" si="28"/>
        <v>#DIV/0!</v>
      </c>
    </row>
    <row r="78" spans="2:21">
      <c r="B78" s="1787"/>
      <c r="C78" s="348" t="s">
        <v>23</v>
      </c>
      <c r="D78" s="356">
        <f>[13]OCTOBRE!$B$397</f>
        <v>0</v>
      </c>
      <c r="E78" s="393" t="e">
        <f t="shared" si="30"/>
        <v>#DIV/0!</v>
      </c>
      <c r="F78" s="358">
        <f>[13]OCTOBRE!$B$109</f>
        <v>0</v>
      </c>
      <c r="G78" s="393" t="e">
        <f t="shared" si="31"/>
        <v>#DIV/0!</v>
      </c>
      <c r="H78" s="358">
        <f>+[13]OCTOBRE!$B$253</f>
        <v>0</v>
      </c>
      <c r="I78" s="393" t="e">
        <f t="shared" si="21"/>
        <v>#DIV/0!</v>
      </c>
      <c r="J78" s="358">
        <f>[13]OCTOBRE!$B$973</f>
        <v>0</v>
      </c>
      <c r="K78" s="394" t="e">
        <f t="shared" si="22"/>
        <v>#DIV/0!</v>
      </c>
      <c r="L78" s="356">
        <f>[13]OCTOBRE!$B$685</f>
        <v>0</v>
      </c>
      <c r="M78" s="394" t="e">
        <f t="shared" si="23"/>
        <v>#DIV/0!</v>
      </c>
      <c r="N78" s="358">
        <f>[13]OCTOBRE!$B$829</f>
        <v>0</v>
      </c>
      <c r="O78" s="394" t="e">
        <f t="shared" si="24"/>
        <v>#DIV/0!</v>
      </c>
      <c r="P78" s="356">
        <f>[13]OCTOBRE!$B$541</f>
        <v>0</v>
      </c>
      <c r="Q78" s="394" t="e">
        <f t="shared" si="25"/>
        <v>#DIV/0!</v>
      </c>
      <c r="R78" s="358">
        <f>[13]OCTOBRE!$B$973</f>
        <v>0</v>
      </c>
      <c r="S78" s="394" t="e">
        <f t="shared" si="26"/>
        <v>#DIV/0!</v>
      </c>
      <c r="T78" s="360">
        <f t="shared" si="32"/>
        <v>0</v>
      </c>
      <c r="U78" s="361" t="e">
        <f t="shared" si="28"/>
        <v>#DIV/0!</v>
      </c>
    </row>
    <row r="79" spans="2:21">
      <c r="B79" s="1787"/>
      <c r="C79" s="348" t="s">
        <v>24</v>
      </c>
      <c r="D79" s="356">
        <f>[13]NOVEMBRE!$B$397</f>
        <v>0</v>
      </c>
      <c r="E79" s="393" t="e">
        <f t="shared" si="30"/>
        <v>#DIV/0!</v>
      </c>
      <c r="F79" s="358">
        <f>[13]NOVEMBRE!$B$109</f>
        <v>0</v>
      </c>
      <c r="G79" s="393" t="e">
        <f t="shared" si="31"/>
        <v>#DIV/0!</v>
      </c>
      <c r="H79" s="358">
        <f>+[13]NOVEMBRE!$B$253</f>
        <v>0</v>
      </c>
      <c r="I79" s="393" t="e">
        <f t="shared" si="21"/>
        <v>#DIV/0!</v>
      </c>
      <c r="J79" s="358">
        <f>[13]NOVEMBRE!$B$973</f>
        <v>0</v>
      </c>
      <c r="K79" s="394" t="e">
        <f t="shared" si="22"/>
        <v>#DIV/0!</v>
      </c>
      <c r="L79" s="356">
        <f>[13]NOVEMBRE!$B$685</f>
        <v>0</v>
      </c>
      <c r="M79" s="394" t="e">
        <f t="shared" si="23"/>
        <v>#DIV/0!</v>
      </c>
      <c r="N79" s="358">
        <f>[13]NOVEMBRE!$B$829</f>
        <v>0</v>
      </c>
      <c r="O79" s="394" t="e">
        <f t="shared" si="24"/>
        <v>#DIV/0!</v>
      </c>
      <c r="P79" s="356">
        <f>[13]NOVEMBRE!$B$541</f>
        <v>0</v>
      </c>
      <c r="Q79" s="394" t="e">
        <f t="shared" si="25"/>
        <v>#DIV/0!</v>
      </c>
      <c r="R79" s="358">
        <f>[13]NOVEMBRE!$B$973</f>
        <v>0</v>
      </c>
      <c r="S79" s="394" t="e">
        <f t="shared" si="26"/>
        <v>#DIV/0!</v>
      </c>
      <c r="T79" s="360">
        <f t="shared" si="32"/>
        <v>0</v>
      </c>
      <c r="U79" s="361" t="e">
        <f t="shared" si="28"/>
        <v>#DIV/0!</v>
      </c>
    </row>
    <row r="80" spans="2:21">
      <c r="B80" s="1787"/>
      <c r="C80" s="348" t="s">
        <v>27</v>
      </c>
      <c r="D80" s="356">
        <f>[13]DECEMBRE!$B$397</f>
        <v>0</v>
      </c>
      <c r="E80" s="393" t="e">
        <f t="shared" si="30"/>
        <v>#DIV/0!</v>
      </c>
      <c r="F80" s="358">
        <f>[13]DECEMBRE!$B$109</f>
        <v>0</v>
      </c>
      <c r="G80" s="393" t="e">
        <f t="shared" si="31"/>
        <v>#DIV/0!</v>
      </c>
      <c r="H80" s="358">
        <f>+[13]DECEMBRE!$B$253</f>
        <v>0</v>
      </c>
      <c r="I80" s="393" t="e">
        <f t="shared" si="21"/>
        <v>#DIV/0!</v>
      </c>
      <c r="J80" s="358">
        <f>[13]DECEMBRE!$B$973</f>
        <v>0</v>
      </c>
      <c r="K80" s="394" t="e">
        <f t="shared" si="22"/>
        <v>#DIV/0!</v>
      </c>
      <c r="L80" s="356">
        <f>[13]DECEMBRE!$B$685</f>
        <v>0</v>
      </c>
      <c r="M80" s="394" t="e">
        <f t="shared" si="23"/>
        <v>#DIV/0!</v>
      </c>
      <c r="N80" s="358">
        <f>[13]DECEMBRE!$B$829</f>
        <v>0</v>
      </c>
      <c r="O80" s="394" t="e">
        <f t="shared" si="24"/>
        <v>#DIV/0!</v>
      </c>
      <c r="P80" s="356">
        <f>[13]DECEMBRE!$B$541</f>
        <v>0</v>
      </c>
      <c r="Q80" s="394" t="e">
        <f t="shared" si="25"/>
        <v>#DIV/0!</v>
      </c>
      <c r="R80" s="358">
        <f>[13]DECEMBRE!$B$973</f>
        <v>0</v>
      </c>
      <c r="S80" s="394" t="e">
        <f t="shared" si="26"/>
        <v>#DIV/0!</v>
      </c>
      <c r="T80" s="360">
        <f t="shared" si="32"/>
        <v>0</v>
      </c>
      <c r="U80" s="361" t="e">
        <f t="shared" si="28"/>
        <v>#DIV/0!</v>
      </c>
    </row>
    <row r="81" spans="2:21">
      <c r="B81" s="1787"/>
      <c r="C81" s="362" t="s">
        <v>45</v>
      </c>
      <c r="D81" s="363">
        <f>SUM(D69:D80)</f>
        <v>91389.090000000011</v>
      </c>
      <c r="E81" s="364">
        <f>D81/'INDICES CA 💵'!D17</f>
        <v>2.8941131009444305E-2</v>
      </c>
      <c r="F81" s="365">
        <f>SUM(F69:F80)</f>
        <v>43008.49</v>
      </c>
      <c r="G81" s="364">
        <f>F81/'INDICES CA 💵'!F17</f>
        <v>1.9589231949937475E-2</v>
      </c>
      <c r="H81" s="363">
        <f>SUM(H69:H80)</f>
        <v>141469.5</v>
      </c>
      <c r="I81" s="364">
        <f>H81/'INDICES CA 💵'!H17</f>
        <v>7.5798618855019984E-2</v>
      </c>
      <c r="J81" s="365">
        <f>SUM(J69:J80)</f>
        <v>73484.010000000009</v>
      </c>
      <c r="K81" s="364">
        <f>J81/'INDICES CA 💵'!J17</f>
        <v>3.0461123579721913E-2</v>
      </c>
      <c r="L81" s="363">
        <f>SUM(L69:L80)</f>
        <v>176412.87999999998</v>
      </c>
      <c r="M81" s="364">
        <f>L81/'INDICES CA 💵'!L17</f>
        <v>0.12150193480562485</v>
      </c>
      <c r="N81" s="365">
        <f>SUM(N69:N80)</f>
        <v>138278.5</v>
      </c>
      <c r="O81" s="364">
        <f>N81/'INDICES CA 💵'!N17</f>
        <v>9.2443646068294583E-2</v>
      </c>
      <c r="P81" s="363">
        <f>SUM(P69:P80)</f>
        <v>85229.61</v>
      </c>
      <c r="Q81" s="364">
        <f>P81/'INDICES CA 💵'!P17</f>
        <v>5.9079769630128315E-2</v>
      </c>
      <c r="R81" s="365">
        <f>SUM(R69:R80)</f>
        <v>63081.329999999994</v>
      </c>
      <c r="S81" s="364">
        <f>R81/'INDICES CA 💵'!R17</f>
        <v>5.0125473939156985E-2</v>
      </c>
      <c r="T81" s="363">
        <f>SUM(T69:T80)</f>
        <v>812353.40999999992</v>
      </c>
      <c r="U81" s="367">
        <f>T81/'INDICES CA 💵'!T17</f>
        <v>5.3161413261183711E-2</v>
      </c>
    </row>
    <row r="82" spans="2:21" ht="7" customHeight="1">
      <c r="B82" s="1787"/>
      <c r="U82" s="368"/>
    </row>
    <row r="83" spans="2:21" s="324" customFormat="1" ht="36">
      <c r="B83" s="1787"/>
      <c r="C83" s="883" t="s">
        <v>249</v>
      </c>
      <c r="D83" s="884" t="s">
        <v>28</v>
      </c>
      <c r="E83" s="884" t="s">
        <v>163</v>
      </c>
      <c r="F83" s="885" t="s">
        <v>29</v>
      </c>
      <c r="G83" s="884" t="s">
        <v>163</v>
      </c>
      <c r="H83" s="887" t="s">
        <v>30</v>
      </c>
      <c r="I83" s="884" t="s">
        <v>163</v>
      </c>
      <c r="J83" s="888" t="s">
        <v>31</v>
      </c>
      <c r="K83" s="884" t="s">
        <v>163</v>
      </c>
      <c r="L83" s="884" t="s">
        <v>32</v>
      </c>
      <c r="M83" s="884" t="s">
        <v>163</v>
      </c>
      <c r="N83" s="885" t="s">
        <v>253</v>
      </c>
      <c r="O83" s="884" t="s">
        <v>163</v>
      </c>
      <c r="P83" s="887" t="s">
        <v>34</v>
      </c>
      <c r="Q83" s="884" t="s">
        <v>163</v>
      </c>
      <c r="R83" s="888" t="s">
        <v>308</v>
      </c>
      <c r="S83" s="884" t="s">
        <v>163</v>
      </c>
      <c r="T83" s="887" t="s">
        <v>37</v>
      </c>
      <c r="U83" s="889" t="s">
        <v>163</v>
      </c>
    </row>
    <row r="84" spans="2:21">
      <c r="B84" s="1787"/>
      <c r="C84" s="348" t="s">
        <v>10</v>
      </c>
      <c r="D84" s="369">
        <f>[13]JANVIER!$B$325</f>
        <v>915</v>
      </c>
      <c r="E84" s="370">
        <f t="shared" ref="E84:E96" si="33">D69/D84</f>
        <v>29.069213114754099</v>
      </c>
      <c r="F84" s="395">
        <f>[13]JANVIER!$B$37</f>
        <v>426</v>
      </c>
      <c r="G84" s="370">
        <f t="shared" ref="G84:G96" si="34">F69/F84</f>
        <v>28.726338028169014</v>
      </c>
      <c r="H84" s="371">
        <f>[13]JANVIER!$B$181</f>
        <v>1307</v>
      </c>
      <c r="I84" s="370">
        <f t="shared" ref="I84:I96" si="35">H69/H84</f>
        <v>32.93869931140015</v>
      </c>
      <c r="J84" s="371">
        <f>[13]JANVIER!$B$901</f>
        <v>723</v>
      </c>
      <c r="K84" s="370">
        <f t="shared" ref="K84:M85" si="36">J69/J84</f>
        <v>29.200899031811893</v>
      </c>
      <c r="L84" s="371">
        <f>[13]JANVIER!$B$613</f>
        <v>1610</v>
      </c>
      <c r="M84" s="370">
        <f t="shared" si="36"/>
        <v>33.037714285714287</v>
      </c>
      <c r="N84" s="371">
        <f>[13]JANVIER!$B$757</f>
        <v>1248</v>
      </c>
      <c r="O84" s="370">
        <f t="shared" ref="O84:O96" si="37">N69/N84</f>
        <v>33.073733974358973</v>
      </c>
      <c r="P84" s="371">
        <f>[13]JANVIER!$B$469</f>
        <v>747</v>
      </c>
      <c r="Q84" s="370">
        <f t="shared" ref="Q84:Q96" si="38">P69/P84</f>
        <v>33.392382864792502</v>
      </c>
      <c r="R84" s="371">
        <f>[13]JANVIER!$B$1045</f>
        <v>582</v>
      </c>
      <c r="S84" s="370">
        <f t="shared" ref="S84:S96" si="39">R69/R84</f>
        <v>31.668556701030926</v>
      </c>
      <c r="T84" s="396">
        <f t="shared" ref="T84:T89" si="40">D84+F84+H84+J84+L84+N84+P84+R84</f>
        <v>7558</v>
      </c>
      <c r="U84" s="373">
        <f t="shared" ref="U84:U96" si="41">T69/T84</f>
        <v>31.865682720296373</v>
      </c>
    </row>
    <row r="85" spans="2:21" s="229" customFormat="1">
      <c r="B85" s="1787"/>
      <c r="C85" s="355" t="s">
        <v>25</v>
      </c>
      <c r="D85" s="374">
        <f>[13]FEVRIER!$B$325</f>
        <v>960</v>
      </c>
      <c r="E85" s="375">
        <f t="shared" si="33"/>
        <v>26.533989583333334</v>
      </c>
      <c r="F85" s="397">
        <f>[13]FEVRIER!$B$37</f>
        <v>426</v>
      </c>
      <c r="G85" s="375">
        <f t="shared" si="34"/>
        <v>28.348403755868546</v>
      </c>
      <c r="H85" s="376">
        <f>[13]FEVRIER!$B$181</f>
        <v>1158</v>
      </c>
      <c r="I85" s="375">
        <f t="shared" si="35"/>
        <v>32.511018998272888</v>
      </c>
      <c r="J85" s="376">
        <f>[13]FEVRIER!$B$901</f>
        <v>757</v>
      </c>
      <c r="K85" s="375">
        <f t="shared" si="36"/>
        <v>26.813764861294583</v>
      </c>
      <c r="L85" s="376">
        <f>[13]FEVRIER!$B$613</f>
        <v>1476</v>
      </c>
      <c r="M85" s="375">
        <f t="shared" si="36"/>
        <v>30.685589430894311</v>
      </c>
      <c r="N85" s="376">
        <f>[13]FEVRIER!$B$757</f>
        <v>1159</v>
      </c>
      <c r="O85" s="375">
        <f t="shared" si="37"/>
        <v>31.147644521138915</v>
      </c>
      <c r="P85" s="376">
        <f>[13]FEVRIER!$B$469</f>
        <v>728</v>
      </c>
      <c r="Q85" s="375">
        <f t="shared" si="38"/>
        <v>30.034464285714286</v>
      </c>
      <c r="R85" s="376">
        <f>[13]FEVRIER!$B$1045</f>
        <v>572</v>
      </c>
      <c r="S85" s="375">
        <f t="shared" si="39"/>
        <v>29.426416083916084</v>
      </c>
      <c r="T85" s="398">
        <f t="shared" si="40"/>
        <v>7236</v>
      </c>
      <c r="U85" s="378">
        <f t="shared" si="41"/>
        <v>29.793239358761749</v>
      </c>
    </row>
    <row r="86" spans="2:21" s="229" customFormat="1">
      <c r="B86" s="1787"/>
      <c r="C86" s="355" t="s">
        <v>17</v>
      </c>
      <c r="D86" s="374">
        <f>[13]MARS!$B$325</f>
        <v>1036</v>
      </c>
      <c r="E86" s="375">
        <f t="shared" si="33"/>
        <v>27.594555984555985</v>
      </c>
      <c r="F86" s="397">
        <f>[13]MARS!$B$37</f>
        <v>476</v>
      </c>
      <c r="G86" s="375">
        <f t="shared" si="34"/>
        <v>26.776071428571427</v>
      </c>
      <c r="H86" s="376">
        <f>[13]MARS!$B$181</f>
        <v>1301</v>
      </c>
      <c r="I86" s="375">
        <f t="shared" si="35"/>
        <v>32.882321291314376</v>
      </c>
      <c r="J86" s="376">
        <f>[13]MARS!$B$901</f>
        <v>835</v>
      </c>
      <c r="K86" s="375">
        <f t="shared" ref="K86:K96" si="42">J71/J86</f>
        <v>28.399317365269461</v>
      </c>
      <c r="L86" s="376">
        <f>[13]MARS!$B$613</f>
        <v>1659</v>
      </c>
      <c r="M86" s="375">
        <f t="shared" ref="M86:M96" si="43">L71/L86</f>
        <v>32.810421940928272</v>
      </c>
      <c r="N86" s="376">
        <f>[13]MARS!$B$757</f>
        <v>1332</v>
      </c>
      <c r="O86" s="375">
        <f t="shared" si="37"/>
        <v>31.992890390390389</v>
      </c>
      <c r="P86" s="376">
        <f>[13]MARS!$B$469</f>
        <v>828</v>
      </c>
      <c r="Q86" s="375">
        <f t="shared" si="38"/>
        <v>34.349408212560391</v>
      </c>
      <c r="R86" s="376">
        <f>[13]MARS!$B$1045</f>
        <v>681</v>
      </c>
      <c r="S86" s="375">
        <f t="shared" si="39"/>
        <v>29.660367107195299</v>
      </c>
      <c r="T86" s="398">
        <f t="shared" si="40"/>
        <v>8148</v>
      </c>
      <c r="U86" s="378">
        <f t="shared" si="41"/>
        <v>31.113615611192927</v>
      </c>
    </row>
    <row r="87" spans="2:21" s="229" customFormat="1">
      <c r="B87" s="1787"/>
      <c r="C87" s="355" t="s">
        <v>18</v>
      </c>
      <c r="D87" s="374">
        <f>[13]AVRIL!$B$325</f>
        <v>361</v>
      </c>
      <c r="E87" s="375">
        <f t="shared" si="33"/>
        <v>29.723462603878115</v>
      </c>
      <c r="F87" s="397">
        <f>[13]AVRIL!$B$37</f>
        <v>196</v>
      </c>
      <c r="G87" s="375">
        <f t="shared" si="34"/>
        <v>30.353265306122449</v>
      </c>
      <c r="H87" s="376">
        <f>[13]AVRIL!$B$181</f>
        <v>493</v>
      </c>
      <c r="I87" s="375">
        <f t="shared" si="35"/>
        <v>36.492819472616631</v>
      </c>
      <c r="J87" s="376">
        <f>[13]AVRIL!$B$901</f>
        <v>275</v>
      </c>
      <c r="K87" s="375">
        <f t="shared" si="42"/>
        <v>30.401127272727273</v>
      </c>
      <c r="L87" s="376">
        <f>[13]AVRIL!$B$613</f>
        <v>701</v>
      </c>
      <c r="M87" s="375">
        <f t="shared" si="43"/>
        <v>33.520313837375184</v>
      </c>
      <c r="N87" s="376">
        <f>[13]AVRIL!$B$757</f>
        <v>547</v>
      </c>
      <c r="O87" s="375">
        <f t="shared" si="37"/>
        <v>33.432961608775138</v>
      </c>
      <c r="P87" s="376">
        <f>[13]AVRIL!$B$469</f>
        <v>295</v>
      </c>
      <c r="Q87" s="375">
        <f t="shared" si="38"/>
        <v>33.827457627118648</v>
      </c>
      <c r="R87" s="376">
        <f>[13]AVRIL!$B$1045</f>
        <v>250</v>
      </c>
      <c r="S87" s="375">
        <f t="shared" si="39"/>
        <v>30.478439999999999</v>
      </c>
      <c r="T87" s="398">
        <f t="shared" si="40"/>
        <v>3118</v>
      </c>
      <c r="U87" s="378">
        <f t="shared" si="41"/>
        <v>32.846363053239259</v>
      </c>
    </row>
    <row r="88" spans="2:21" s="229" customFormat="1">
      <c r="B88" s="1787"/>
      <c r="C88" s="355" t="s">
        <v>19</v>
      </c>
      <c r="D88" s="374">
        <f>[13]MAI!$B$325</f>
        <v>0</v>
      </c>
      <c r="E88" s="375" t="e">
        <f t="shared" si="33"/>
        <v>#DIV/0!</v>
      </c>
      <c r="F88" s="397">
        <f>[13]MAI!$B$37</f>
        <v>0</v>
      </c>
      <c r="G88" s="375" t="e">
        <f t="shared" si="34"/>
        <v>#DIV/0!</v>
      </c>
      <c r="H88" s="376">
        <f>[13]MAI!$B$181</f>
        <v>0</v>
      </c>
      <c r="I88" s="375" t="e">
        <f t="shared" si="35"/>
        <v>#DIV/0!</v>
      </c>
      <c r="J88" s="376">
        <f>[13]MAI!$B$901</f>
        <v>0</v>
      </c>
      <c r="K88" s="375" t="e">
        <f t="shared" si="42"/>
        <v>#DIV/0!</v>
      </c>
      <c r="L88" s="376">
        <f>[13]MAI!$B$613</f>
        <v>0</v>
      </c>
      <c r="M88" s="375" t="e">
        <f t="shared" si="43"/>
        <v>#DIV/0!</v>
      </c>
      <c r="N88" s="376">
        <f>[13]MAI!$B$757</f>
        <v>0</v>
      </c>
      <c r="O88" s="375" t="e">
        <f t="shared" si="37"/>
        <v>#DIV/0!</v>
      </c>
      <c r="P88" s="376">
        <f>[13]MAI!$B$469</f>
        <v>0</v>
      </c>
      <c r="Q88" s="375" t="e">
        <f t="shared" si="38"/>
        <v>#DIV/0!</v>
      </c>
      <c r="R88" s="376">
        <f>[13]MAI!$B$1045</f>
        <v>0</v>
      </c>
      <c r="S88" s="375" t="e">
        <f t="shared" si="39"/>
        <v>#DIV/0!</v>
      </c>
      <c r="T88" s="398">
        <f t="shared" si="40"/>
        <v>0</v>
      </c>
      <c r="U88" s="378" t="e">
        <f t="shared" si="41"/>
        <v>#DIV/0!</v>
      </c>
    </row>
    <row r="89" spans="2:21" s="229" customFormat="1">
      <c r="B89" s="1787"/>
      <c r="C89" s="1026" t="s">
        <v>20</v>
      </c>
      <c r="D89" s="1033">
        <f>[13]JUIN!$B$325</f>
        <v>0</v>
      </c>
      <c r="E89" s="1034" t="e">
        <f t="shared" si="33"/>
        <v>#DIV/0!</v>
      </c>
      <c r="F89" s="1041">
        <f>[13]JUIN!$B$37</f>
        <v>0</v>
      </c>
      <c r="G89" s="1034" t="e">
        <f t="shared" si="34"/>
        <v>#DIV/0!</v>
      </c>
      <c r="H89" s="1035">
        <f>[13]JUIN!$B$181</f>
        <v>0</v>
      </c>
      <c r="I89" s="1034" t="e">
        <f t="shared" si="35"/>
        <v>#DIV/0!</v>
      </c>
      <c r="J89" s="1035">
        <f>[13]JUIN!$B$901</f>
        <v>0</v>
      </c>
      <c r="K89" s="1034" t="e">
        <f t="shared" si="42"/>
        <v>#DIV/0!</v>
      </c>
      <c r="L89" s="1035">
        <f>[13]JUIN!$B$613</f>
        <v>0</v>
      </c>
      <c r="M89" s="1034" t="e">
        <f t="shared" si="43"/>
        <v>#DIV/0!</v>
      </c>
      <c r="N89" s="1035">
        <f>[13]JUIN!$B$757</f>
        <v>0</v>
      </c>
      <c r="O89" s="1034" t="e">
        <f t="shared" si="37"/>
        <v>#DIV/0!</v>
      </c>
      <c r="P89" s="1035">
        <f>[13]JUIN!$B$469</f>
        <v>0</v>
      </c>
      <c r="Q89" s="1034" t="e">
        <f t="shared" si="38"/>
        <v>#DIV/0!</v>
      </c>
      <c r="R89" s="1035">
        <f>[13]JUIN!$B$1045</f>
        <v>0</v>
      </c>
      <c r="S89" s="1034" t="e">
        <f t="shared" si="39"/>
        <v>#DIV/0!</v>
      </c>
      <c r="T89" s="1042">
        <f t="shared" si="40"/>
        <v>0</v>
      </c>
      <c r="U89" s="1037" t="e">
        <f t="shared" si="41"/>
        <v>#DIV/0!</v>
      </c>
    </row>
    <row r="90" spans="2:21" s="229" customFormat="1">
      <c r="B90" s="1787"/>
      <c r="C90" s="355" t="s">
        <v>21</v>
      </c>
      <c r="D90" s="1097">
        <f>[13]JUILLET!$B$325</f>
        <v>0</v>
      </c>
      <c r="E90" s="1098" t="e">
        <f t="shared" si="33"/>
        <v>#DIV/0!</v>
      </c>
      <c r="F90" s="1106">
        <f>[13]JUILLET!$B$37</f>
        <v>0</v>
      </c>
      <c r="G90" s="1098" t="e">
        <f t="shared" si="34"/>
        <v>#DIV/0!</v>
      </c>
      <c r="H90" s="1099">
        <f>[13]JUILLET!$B$181</f>
        <v>0</v>
      </c>
      <c r="I90" s="1098" t="e">
        <f t="shared" si="35"/>
        <v>#DIV/0!</v>
      </c>
      <c r="J90" s="1099">
        <f>[13]JUILLET!$B$901</f>
        <v>0</v>
      </c>
      <c r="K90" s="1098" t="e">
        <f t="shared" si="42"/>
        <v>#DIV/0!</v>
      </c>
      <c r="L90" s="1099">
        <f>[13]JUILLET!$B$613</f>
        <v>0</v>
      </c>
      <c r="M90" s="1098" t="e">
        <f t="shared" si="43"/>
        <v>#DIV/0!</v>
      </c>
      <c r="N90" s="1099">
        <f>[13]JUILLET!$B$757</f>
        <v>0</v>
      </c>
      <c r="O90" s="1098" t="e">
        <f t="shared" si="37"/>
        <v>#DIV/0!</v>
      </c>
      <c r="P90" s="1099">
        <f>[13]JUILLET!$B$469</f>
        <v>0</v>
      </c>
      <c r="Q90" s="1098" t="e">
        <f t="shared" si="38"/>
        <v>#DIV/0!</v>
      </c>
      <c r="R90" s="1099">
        <f>[13]JUILLET!$B$1045</f>
        <v>0</v>
      </c>
      <c r="S90" s="1098" t="e">
        <f t="shared" si="39"/>
        <v>#DIV/0!</v>
      </c>
      <c r="T90" s="1107">
        <f t="shared" ref="T90:T95" si="44">D90+F90+H90+J90+L90+N90+P90+R90</f>
        <v>0</v>
      </c>
      <c r="U90" s="1102" t="e">
        <f t="shared" si="41"/>
        <v>#DIV/0!</v>
      </c>
    </row>
    <row r="91" spans="2:21">
      <c r="B91" s="1787"/>
      <c r="C91" s="348" t="s">
        <v>26</v>
      </c>
      <c r="D91" s="374">
        <f>[13]AOUT!$B$325</f>
        <v>0</v>
      </c>
      <c r="E91" s="375" t="e">
        <f t="shared" si="33"/>
        <v>#DIV/0!</v>
      </c>
      <c r="F91" s="397">
        <f>[13]AOUT!$B$37</f>
        <v>0</v>
      </c>
      <c r="G91" s="375" t="e">
        <f t="shared" si="34"/>
        <v>#DIV/0!</v>
      </c>
      <c r="H91" s="376">
        <f>[13]AOUT!$B$181</f>
        <v>0</v>
      </c>
      <c r="I91" s="375" t="e">
        <f t="shared" si="35"/>
        <v>#DIV/0!</v>
      </c>
      <c r="J91" s="376">
        <f>[13]AOUT!$B$901</f>
        <v>0</v>
      </c>
      <c r="K91" s="375" t="e">
        <f t="shared" si="42"/>
        <v>#DIV/0!</v>
      </c>
      <c r="L91" s="376">
        <f>[13]AOUT!$B$613</f>
        <v>0</v>
      </c>
      <c r="M91" s="375" t="e">
        <f t="shared" si="43"/>
        <v>#DIV/0!</v>
      </c>
      <c r="N91" s="376">
        <f>[13]AOUT!$B$757</f>
        <v>0</v>
      </c>
      <c r="O91" s="375" t="e">
        <f t="shared" si="37"/>
        <v>#DIV/0!</v>
      </c>
      <c r="P91" s="376">
        <f>[13]AOUT!$B$469</f>
        <v>0</v>
      </c>
      <c r="Q91" s="375" t="e">
        <f t="shared" si="38"/>
        <v>#DIV/0!</v>
      </c>
      <c r="R91" s="376">
        <f>[13]AOUT!$B$1045</f>
        <v>0</v>
      </c>
      <c r="S91" s="375" t="e">
        <f t="shared" si="39"/>
        <v>#DIV/0!</v>
      </c>
      <c r="T91" s="398">
        <f t="shared" si="44"/>
        <v>0</v>
      </c>
      <c r="U91" s="378" t="e">
        <f t="shared" si="41"/>
        <v>#DIV/0!</v>
      </c>
    </row>
    <row r="92" spans="2:21">
      <c r="B92" s="1787"/>
      <c r="C92" s="348" t="s">
        <v>22</v>
      </c>
      <c r="D92" s="374">
        <f>[13]SEPTEMBRE!$B$325</f>
        <v>0</v>
      </c>
      <c r="E92" s="375" t="e">
        <f t="shared" si="33"/>
        <v>#DIV/0!</v>
      </c>
      <c r="F92" s="397">
        <f>[13]SEPTEMBRE!$B$37</f>
        <v>0</v>
      </c>
      <c r="G92" s="375" t="e">
        <f t="shared" si="34"/>
        <v>#DIV/0!</v>
      </c>
      <c r="H92" s="376">
        <f>[13]SEPTEMBRE!$B$181</f>
        <v>0</v>
      </c>
      <c r="I92" s="375" t="e">
        <f t="shared" si="35"/>
        <v>#DIV/0!</v>
      </c>
      <c r="J92" s="376">
        <f>[13]SEPTEMBRE!$B$901</f>
        <v>0</v>
      </c>
      <c r="K92" s="375" t="e">
        <f t="shared" si="42"/>
        <v>#DIV/0!</v>
      </c>
      <c r="L92" s="376">
        <f>[13]SEPTEMBRE!$B$613</f>
        <v>0</v>
      </c>
      <c r="M92" s="375" t="e">
        <f t="shared" si="43"/>
        <v>#DIV/0!</v>
      </c>
      <c r="N92" s="376">
        <f>[13]SEPTEMBRE!$B$757</f>
        <v>0</v>
      </c>
      <c r="O92" s="375" t="e">
        <f t="shared" si="37"/>
        <v>#DIV/0!</v>
      </c>
      <c r="P92" s="376">
        <f>[13]SEPTEMBRE!$B$469</f>
        <v>0</v>
      </c>
      <c r="Q92" s="375" t="e">
        <f t="shared" si="38"/>
        <v>#DIV/0!</v>
      </c>
      <c r="R92" s="376">
        <f>[13]SEPTEMBRE!$B$1045</f>
        <v>0</v>
      </c>
      <c r="S92" s="375" t="e">
        <f t="shared" si="39"/>
        <v>#DIV/0!</v>
      </c>
      <c r="T92" s="398">
        <f t="shared" si="44"/>
        <v>0</v>
      </c>
      <c r="U92" s="378" t="e">
        <f t="shared" si="41"/>
        <v>#DIV/0!</v>
      </c>
    </row>
    <row r="93" spans="2:21">
      <c r="B93" s="1787"/>
      <c r="C93" s="348" t="s">
        <v>23</v>
      </c>
      <c r="D93" s="374">
        <f>[13]OCTOBRE!$B$325</f>
        <v>0</v>
      </c>
      <c r="E93" s="375" t="e">
        <f t="shared" si="33"/>
        <v>#DIV/0!</v>
      </c>
      <c r="F93" s="397">
        <f>[13]OCTOBRE!$B$37</f>
        <v>0</v>
      </c>
      <c r="G93" s="375" t="e">
        <f t="shared" si="34"/>
        <v>#DIV/0!</v>
      </c>
      <c r="H93" s="376">
        <f>[13]OCTOBRE!$B$181</f>
        <v>0</v>
      </c>
      <c r="I93" s="375" t="e">
        <f t="shared" si="35"/>
        <v>#DIV/0!</v>
      </c>
      <c r="J93" s="376">
        <f>[13]OCTOBRE!$B$901</f>
        <v>0</v>
      </c>
      <c r="K93" s="375" t="e">
        <f t="shared" si="42"/>
        <v>#DIV/0!</v>
      </c>
      <c r="L93" s="376">
        <f>[13]OCTOBRE!$B$613</f>
        <v>0</v>
      </c>
      <c r="M93" s="375" t="e">
        <f t="shared" si="43"/>
        <v>#DIV/0!</v>
      </c>
      <c r="N93" s="376">
        <f>[13]OCTOBRE!$B$757</f>
        <v>0</v>
      </c>
      <c r="O93" s="375" t="e">
        <f t="shared" si="37"/>
        <v>#DIV/0!</v>
      </c>
      <c r="P93" s="376">
        <f>[13]OCTOBRE!$B$469</f>
        <v>0</v>
      </c>
      <c r="Q93" s="375" t="e">
        <f t="shared" si="38"/>
        <v>#DIV/0!</v>
      </c>
      <c r="R93" s="376">
        <f>[13]OCTOBRE!$B$901</f>
        <v>0</v>
      </c>
      <c r="S93" s="375" t="e">
        <f t="shared" si="39"/>
        <v>#DIV/0!</v>
      </c>
      <c r="T93" s="398">
        <f t="shared" si="44"/>
        <v>0</v>
      </c>
      <c r="U93" s="378" t="e">
        <f t="shared" si="41"/>
        <v>#DIV/0!</v>
      </c>
    </row>
    <row r="94" spans="2:21">
      <c r="B94" s="1787"/>
      <c r="C94" s="348" t="s">
        <v>24</v>
      </c>
      <c r="D94" s="374">
        <f>[13]NOVEMBRE!$B$325</f>
        <v>0</v>
      </c>
      <c r="E94" s="375" t="e">
        <f t="shared" si="33"/>
        <v>#DIV/0!</v>
      </c>
      <c r="F94" s="397">
        <f>[13]NOVEMBRE!$B$37</f>
        <v>0</v>
      </c>
      <c r="G94" s="375" t="e">
        <f t="shared" si="34"/>
        <v>#DIV/0!</v>
      </c>
      <c r="H94" s="376">
        <f>[13]NOVEMBRE!$B$181</f>
        <v>0</v>
      </c>
      <c r="I94" s="375" t="e">
        <f t="shared" si="35"/>
        <v>#DIV/0!</v>
      </c>
      <c r="J94" s="376">
        <f>[13]NOVEMBRE!$B$901</f>
        <v>0</v>
      </c>
      <c r="K94" s="375" t="e">
        <f t="shared" si="42"/>
        <v>#DIV/0!</v>
      </c>
      <c r="L94" s="376">
        <f>[13]NOVEMBRE!$B$613</f>
        <v>0</v>
      </c>
      <c r="M94" s="375" t="e">
        <f t="shared" si="43"/>
        <v>#DIV/0!</v>
      </c>
      <c r="N94" s="376">
        <f>[13]NOVEMBRE!$B$757</f>
        <v>0</v>
      </c>
      <c r="O94" s="375" t="e">
        <f t="shared" si="37"/>
        <v>#DIV/0!</v>
      </c>
      <c r="P94" s="376">
        <f>[13]NOVEMBRE!$B$469</f>
        <v>0</v>
      </c>
      <c r="Q94" s="375" t="e">
        <f t="shared" si="38"/>
        <v>#DIV/0!</v>
      </c>
      <c r="R94" s="376">
        <f>[13]NOVEMBRE!$B$901</f>
        <v>0</v>
      </c>
      <c r="S94" s="375" t="e">
        <f t="shared" si="39"/>
        <v>#DIV/0!</v>
      </c>
      <c r="T94" s="398">
        <f t="shared" si="44"/>
        <v>0</v>
      </c>
      <c r="U94" s="378" t="e">
        <f t="shared" si="41"/>
        <v>#DIV/0!</v>
      </c>
    </row>
    <row r="95" spans="2:21">
      <c r="B95" s="1787"/>
      <c r="C95" s="348" t="s">
        <v>27</v>
      </c>
      <c r="D95" s="374">
        <f>[13]DECEMBRE!$B$325</f>
        <v>0</v>
      </c>
      <c r="E95" s="375" t="e">
        <f t="shared" si="33"/>
        <v>#DIV/0!</v>
      </c>
      <c r="F95" s="397">
        <f>[13]DECEMBRE!$B$37</f>
        <v>0</v>
      </c>
      <c r="G95" s="375" t="e">
        <f t="shared" si="34"/>
        <v>#DIV/0!</v>
      </c>
      <c r="H95" s="376">
        <f>[13]DECEMBRE!$B$181</f>
        <v>0</v>
      </c>
      <c r="I95" s="375" t="e">
        <f t="shared" si="35"/>
        <v>#DIV/0!</v>
      </c>
      <c r="J95" s="376">
        <f>[13]DECEMBRE!$B$901</f>
        <v>0</v>
      </c>
      <c r="K95" s="375" t="e">
        <f t="shared" si="42"/>
        <v>#DIV/0!</v>
      </c>
      <c r="L95" s="376">
        <f>[13]DECEMBRE!$B$613</f>
        <v>0</v>
      </c>
      <c r="M95" s="375" t="e">
        <f t="shared" si="43"/>
        <v>#DIV/0!</v>
      </c>
      <c r="N95" s="376">
        <f>[13]DECEMBRE!$B$757</f>
        <v>0</v>
      </c>
      <c r="O95" s="375" t="e">
        <f t="shared" si="37"/>
        <v>#DIV/0!</v>
      </c>
      <c r="P95" s="376">
        <f>[13]DECEMBRE!$B$469</f>
        <v>0</v>
      </c>
      <c r="Q95" s="375" t="e">
        <f t="shared" si="38"/>
        <v>#DIV/0!</v>
      </c>
      <c r="R95" s="376">
        <f>[13]DECEMBRE!$B$901</f>
        <v>0</v>
      </c>
      <c r="S95" s="375" t="e">
        <f t="shared" si="39"/>
        <v>#DIV/0!</v>
      </c>
      <c r="T95" s="398">
        <f t="shared" si="44"/>
        <v>0</v>
      </c>
      <c r="U95" s="378" t="e">
        <f t="shared" si="41"/>
        <v>#DIV/0!</v>
      </c>
    </row>
    <row r="96" spans="2:21" s="390" customFormat="1" ht="20" thickBot="1">
      <c r="B96" s="1788"/>
      <c r="C96" s="399" t="s">
        <v>45</v>
      </c>
      <c r="D96" s="386">
        <f>SUM(D84:D95)</f>
        <v>3272</v>
      </c>
      <c r="E96" s="400">
        <f t="shared" si="33"/>
        <v>27.930650977995114</v>
      </c>
      <c r="F96" s="387">
        <f>SUM(F84:F95)</f>
        <v>1524</v>
      </c>
      <c r="G96" s="401">
        <f t="shared" si="34"/>
        <v>28.220793963254593</v>
      </c>
      <c r="H96" s="386">
        <f>SUM(H84:H95)</f>
        <v>4259</v>
      </c>
      <c r="I96" s="402">
        <f t="shared" si="35"/>
        <v>33.216600140878143</v>
      </c>
      <c r="J96" s="387">
        <f>SUM(J84:J95)</f>
        <v>2590</v>
      </c>
      <c r="K96" s="401">
        <f t="shared" si="42"/>
        <v>28.372204633204635</v>
      </c>
      <c r="L96" s="386">
        <f>SUM(L84:L95)</f>
        <v>5446</v>
      </c>
      <c r="M96" s="402">
        <f t="shared" si="43"/>
        <v>32.39311053984575</v>
      </c>
      <c r="N96" s="387">
        <f>SUM(N84:N95)</f>
        <v>4286</v>
      </c>
      <c r="O96" s="401">
        <f t="shared" si="37"/>
        <v>32.262832477834813</v>
      </c>
      <c r="P96" s="386">
        <f>SUM(P84:P95)</f>
        <v>2598</v>
      </c>
      <c r="Q96" s="402">
        <f t="shared" si="38"/>
        <v>32.805854503464204</v>
      </c>
      <c r="R96" s="387">
        <f>SUM(R84:R95)</f>
        <v>2085</v>
      </c>
      <c r="S96" s="401">
        <f t="shared" si="39"/>
        <v>30.254834532374097</v>
      </c>
      <c r="T96" s="386">
        <f>SUM(T84:T95)</f>
        <v>26060</v>
      </c>
      <c r="U96" s="389">
        <f t="shared" si="41"/>
        <v>31.172425556408285</v>
      </c>
    </row>
    <row r="97" spans="2:21" ht="20" thickBot="1"/>
    <row r="98" spans="2:21" s="324" customFormat="1" ht="31" customHeight="1">
      <c r="B98" s="1786" t="s">
        <v>267</v>
      </c>
      <c r="C98" s="876" t="s">
        <v>267</v>
      </c>
      <c r="D98" s="877" t="s">
        <v>28</v>
      </c>
      <c r="E98" s="877" t="s">
        <v>248</v>
      </c>
      <c r="F98" s="878" t="s">
        <v>29</v>
      </c>
      <c r="G98" s="877" t="s">
        <v>248</v>
      </c>
      <c r="H98" s="880" t="s">
        <v>30</v>
      </c>
      <c r="I98" s="877" t="s">
        <v>248</v>
      </c>
      <c r="J98" s="881" t="s">
        <v>31</v>
      </c>
      <c r="K98" s="877" t="s">
        <v>248</v>
      </c>
      <c r="L98" s="877" t="s">
        <v>32</v>
      </c>
      <c r="M98" s="877" t="s">
        <v>248</v>
      </c>
      <c r="N98" s="878" t="s">
        <v>253</v>
      </c>
      <c r="O98" s="877" t="s">
        <v>248</v>
      </c>
      <c r="P98" s="880" t="s">
        <v>34</v>
      </c>
      <c r="Q98" s="877" t="s">
        <v>248</v>
      </c>
      <c r="R98" s="881" t="s">
        <v>308</v>
      </c>
      <c r="S98" s="877" t="s">
        <v>248</v>
      </c>
      <c r="T98" s="880" t="s">
        <v>37</v>
      </c>
      <c r="U98" s="882" t="s">
        <v>248</v>
      </c>
    </row>
    <row r="99" spans="2:21">
      <c r="B99" s="1787"/>
      <c r="C99" s="348" t="s">
        <v>10</v>
      </c>
      <c r="D99" s="349">
        <f>[13]JANVIER!$B$398</f>
        <v>10042.24</v>
      </c>
      <c r="E99" s="403">
        <f t="shared" ref="E99:E104" si="45">D99/D39</f>
        <v>0.18617468188657446</v>
      </c>
      <c r="F99" s="351">
        <f>[13]JANVIER!$B$110</f>
        <v>2072.3000000000002</v>
      </c>
      <c r="G99" s="403">
        <f t="shared" ref="G99:G104" si="46">F99/F39</f>
        <v>5.3537939909262207E-2</v>
      </c>
      <c r="H99" s="351">
        <f>[13]JANVIER!$B$254</f>
        <v>3363.7</v>
      </c>
      <c r="I99" s="403">
        <f t="shared" ref="I99:I104" si="47">H99/H39</f>
        <v>5.6421362254600115E-2</v>
      </c>
      <c r="J99" s="351">
        <f>[13]JANVIER!$B$974</f>
        <v>4563.0600000000004</v>
      </c>
      <c r="K99" s="403">
        <f t="shared" ref="K99:K104" si="48">J99/J39</f>
        <v>9.404487177769677E-2</v>
      </c>
      <c r="L99" s="351">
        <f>[13]JANVIER!$B$686</f>
        <v>1513.47</v>
      </c>
      <c r="M99" s="403">
        <f t="shared" ref="M99:M104" si="49">L99/L39</f>
        <v>2.4238998863859489E-2</v>
      </c>
      <c r="N99" s="351">
        <f>[13]JANVIER!$B$830</f>
        <v>2309.56</v>
      </c>
      <c r="O99" s="403">
        <f t="shared" ref="O99:O104" si="50">N99/N39</f>
        <v>4.4532532392020333E-2</v>
      </c>
      <c r="P99" s="351">
        <f>[13]JANVIER!$B$542</f>
        <v>1269.2</v>
      </c>
      <c r="Q99" s="403">
        <f t="shared" ref="Q99:Q104" si="51">P99/P39</f>
        <v>3.7940261127763206E-2</v>
      </c>
      <c r="R99" s="351">
        <f>[13]JANVIER!$B$1127</f>
        <v>3288.85</v>
      </c>
      <c r="S99" s="352">
        <f t="shared" ref="S99:S104" si="52">R99/R39</f>
        <v>0.12769550164412058</v>
      </c>
      <c r="T99" s="353">
        <f t="shared" ref="T99:T104" si="53">D99+F99+H99+J99+L99+N99+P99+R99</f>
        <v>28422.380000000005</v>
      </c>
      <c r="U99" s="354">
        <f t="shared" ref="U99:U104" si="54">T99/T69</f>
        <v>0.11801312925221195</v>
      </c>
    </row>
    <row r="100" spans="2:21" s="229" customFormat="1">
      <c r="B100" s="1787"/>
      <c r="C100" s="355" t="s">
        <v>25</v>
      </c>
      <c r="D100" s="356">
        <f>[13]FEVRIER!$B$398</f>
        <v>11069.31</v>
      </c>
      <c r="E100" s="357">
        <f t="shared" si="45"/>
        <v>0.20972212643830604</v>
      </c>
      <c r="F100" s="358">
        <f>[13]FEVRIER!$B$110</f>
        <v>4022.36</v>
      </c>
      <c r="G100" s="357">
        <f t="shared" si="46"/>
        <v>0.10681595839489795</v>
      </c>
      <c r="H100" s="358">
        <f>[13]FEVRIER!$B$254</f>
        <v>3341.46</v>
      </c>
      <c r="I100" s="357">
        <f t="shared" si="47"/>
        <v>6.3160640516859268E-2</v>
      </c>
      <c r="J100" s="358">
        <f>[13]FEVRIER!$B$974</f>
        <v>5757.03</v>
      </c>
      <c r="K100" s="359">
        <f t="shared" si="48"/>
        <v>0.128247408166134</v>
      </c>
      <c r="L100" s="356">
        <f>[13]FEVRIER!$B$686</f>
        <v>1862.12</v>
      </c>
      <c r="M100" s="359">
        <f t="shared" si="49"/>
        <v>3.431010094663612E-2</v>
      </c>
      <c r="N100" s="358">
        <f>[13]FEVRIER!$B$830</f>
        <v>3214.42</v>
      </c>
      <c r="O100" s="359">
        <f t="shared" si="50"/>
        <v>6.9449647806226658E-2</v>
      </c>
      <c r="P100" s="356">
        <f>[13]FEVRIER!$B$542</f>
        <v>1526.79</v>
      </c>
      <c r="Q100" s="359">
        <f t="shared" si="51"/>
        <v>4.9997691341153956E-2</v>
      </c>
      <c r="R100" s="358">
        <f>[13]FEVRIER!$B$1127</f>
        <v>2478.1999999999998</v>
      </c>
      <c r="S100" s="359">
        <f t="shared" si="52"/>
        <v>9.583466104028289E-2</v>
      </c>
      <c r="T100" s="360">
        <f t="shared" si="53"/>
        <v>33271.689999999995</v>
      </c>
      <c r="U100" s="361">
        <f t="shared" si="54"/>
        <v>0.15433292136684801</v>
      </c>
    </row>
    <row r="101" spans="2:21" s="229" customFormat="1">
      <c r="B101" s="1787"/>
      <c r="C101" s="355" t="s">
        <v>17</v>
      </c>
      <c r="D101" s="356">
        <f>[13]MARS!$B$398</f>
        <v>9258.74</v>
      </c>
      <c r="E101" s="357">
        <f t="shared" si="45"/>
        <v>0.16223124603018158</v>
      </c>
      <c r="F101" s="358">
        <f>[13]MARS!$B$110</f>
        <v>3419.28</v>
      </c>
      <c r="G101" s="357">
        <f t="shared" si="46"/>
        <v>8.9444947859879831E-2</v>
      </c>
      <c r="H101" s="358">
        <f>[13]MARS!$B$254</f>
        <v>3895.95</v>
      </c>
      <c r="I101" s="357">
        <f t="shared" si="47"/>
        <v>6.2597941086162123E-2</v>
      </c>
      <c r="J101" s="358">
        <f>[13]MARS!$B$974</f>
        <v>5022.25</v>
      </c>
      <c r="K101" s="359">
        <f t="shared" si="48"/>
        <v>0.10087877874861906</v>
      </c>
      <c r="L101" s="356">
        <f>[13]MARS!$B$686</f>
        <v>2182.04</v>
      </c>
      <c r="M101" s="359">
        <f t="shared" si="49"/>
        <v>3.3984472402295261E-2</v>
      </c>
      <c r="N101" s="358">
        <f>[13]MARS!$B$830</f>
        <v>3158.81</v>
      </c>
      <c r="O101" s="359">
        <f t="shared" si="50"/>
        <v>5.8871811081500518E-2</v>
      </c>
      <c r="P101" s="356">
        <f>[13]MARS!$B$542</f>
        <v>1532.88</v>
      </c>
      <c r="Q101" s="359">
        <f t="shared" si="51"/>
        <v>4.1486912060347755E-2</v>
      </c>
      <c r="R101" s="358">
        <f>[13]MARS!$B$1127</f>
        <v>2730.36</v>
      </c>
      <c r="S101" s="359">
        <f t="shared" si="52"/>
        <v>8.9515773681504887E-2</v>
      </c>
      <c r="T101" s="360">
        <f t="shared" si="53"/>
        <v>31200.310000000005</v>
      </c>
      <c r="U101" s="361">
        <f t="shared" si="54"/>
        <v>0.12307147533699755</v>
      </c>
    </row>
    <row r="102" spans="2:21" s="229" customFormat="1">
      <c r="B102" s="1787"/>
      <c r="C102" s="355" t="s">
        <v>18</v>
      </c>
      <c r="D102" s="356">
        <f>[13]AVRIL!$B$398</f>
        <v>3694.21</v>
      </c>
      <c r="E102" s="357">
        <f t="shared" si="45"/>
        <v>0.16940314694085123</v>
      </c>
      <c r="F102" s="358">
        <f>[13]AVRIL!$B$110</f>
        <v>2207.04</v>
      </c>
      <c r="G102" s="357">
        <f t="shared" si="46"/>
        <v>0.12411380022595388</v>
      </c>
      <c r="H102" s="358">
        <f>[13]AVRIL!$B$254</f>
        <v>1776.8</v>
      </c>
      <c r="I102" s="357">
        <f t="shared" si="47"/>
        <v>6.8374963249611717E-2</v>
      </c>
      <c r="J102" s="358">
        <f>[13]AVRIL!$B$974</f>
        <v>1680.06</v>
      </c>
      <c r="K102" s="359">
        <f t="shared" si="48"/>
        <v>9.0207711946994132E-2</v>
      </c>
      <c r="L102" s="356">
        <f>[13]AVRIL!$B$686</f>
        <v>946.99</v>
      </c>
      <c r="M102" s="359">
        <f t="shared" si="49"/>
        <v>3.4839286916513959E-2</v>
      </c>
      <c r="N102" s="358">
        <f>[13]AVRIL!$B$830</f>
        <v>1349.8</v>
      </c>
      <c r="O102" s="359">
        <f t="shared" si="50"/>
        <v>5.9489757871661136E-2</v>
      </c>
      <c r="P102" s="356">
        <f>[13]AVRIL!$B$542</f>
        <v>556.80999999999995</v>
      </c>
      <c r="Q102" s="359">
        <f t="shared" si="51"/>
        <v>4.2640149789215327E-2</v>
      </c>
      <c r="R102" s="358">
        <f>[13]AVRIL!$B$1127</f>
        <v>1225.08</v>
      </c>
      <c r="S102" s="359">
        <f t="shared" si="52"/>
        <v>9.7704454154879758E-2</v>
      </c>
      <c r="T102" s="360">
        <f t="shared" si="53"/>
        <v>13436.789999999999</v>
      </c>
      <c r="U102" s="361">
        <f t="shared" si="54"/>
        <v>0.1311994849190001</v>
      </c>
    </row>
    <row r="103" spans="2:21" s="229" customFormat="1">
      <c r="B103" s="1787"/>
      <c r="C103" s="355" t="s">
        <v>19</v>
      </c>
      <c r="D103" s="356">
        <f>[13]MAI!$B$398</f>
        <v>0</v>
      </c>
      <c r="E103" s="357" t="e">
        <f t="shared" si="45"/>
        <v>#DIV/0!</v>
      </c>
      <c r="F103" s="358">
        <f>[13]MAI!$B$110</f>
        <v>0</v>
      </c>
      <c r="G103" s="357" t="e">
        <f t="shared" si="46"/>
        <v>#DIV/0!</v>
      </c>
      <c r="H103" s="358">
        <f>[13]MAI!$B$254</f>
        <v>0</v>
      </c>
      <c r="I103" s="357" t="e">
        <f t="shared" si="47"/>
        <v>#DIV/0!</v>
      </c>
      <c r="J103" s="358">
        <f>[13]MAI!$B$974</f>
        <v>0</v>
      </c>
      <c r="K103" s="359" t="e">
        <f t="shared" si="48"/>
        <v>#DIV/0!</v>
      </c>
      <c r="L103" s="356">
        <f>[13]MAI!$B$686</f>
        <v>0</v>
      </c>
      <c r="M103" s="359" t="e">
        <f t="shared" si="49"/>
        <v>#DIV/0!</v>
      </c>
      <c r="N103" s="358">
        <f>[13]MAI!$B$830</f>
        <v>0</v>
      </c>
      <c r="O103" s="359" t="e">
        <f t="shared" si="50"/>
        <v>#DIV/0!</v>
      </c>
      <c r="P103" s="356">
        <f>[13]MAI!$B$542</f>
        <v>0</v>
      </c>
      <c r="Q103" s="359" t="e">
        <f t="shared" si="51"/>
        <v>#DIV/0!</v>
      </c>
      <c r="R103" s="358">
        <f>[13]MAI!$B$1127</f>
        <v>0</v>
      </c>
      <c r="S103" s="359" t="e">
        <f t="shared" si="52"/>
        <v>#DIV/0!</v>
      </c>
      <c r="T103" s="360">
        <f t="shared" si="53"/>
        <v>0</v>
      </c>
      <c r="U103" s="361" t="e">
        <f t="shared" si="54"/>
        <v>#DIV/0!</v>
      </c>
    </row>
    <row r="104" spans="2:21" s="229" customFormat="1">
      <c r="B104" s="1787"/>
      <c r="C104" s="1026" t="s">
        <v>20</v>
      </c>
      <c r="D104" s="1027">
        <f>[13]JUIN!$B$398</f>
        <v>0</v>
      </c>
      <c r="E104" s="1028" t="e">
        <f t="shared" si="45"/>
        <v>#DIV/0!</v>
      </c>
      <c r="F104" s="1029">
        <f>[13]JUIN!$B$110</f>
        <v>0</v>
      </c>
      <c r="G104" s="1165" t="e">
        <f t="shared" si="46"/>
        <v>#DIV/0!</v>
      </c>
      <c r="H104" s="1029">
        <f>[13]JUIN!$B$254</f>
        <v>0</v>
      </c>
      <c r="I104" s="1028" t="e">
        <f t="shared" si="47"/>
        <v>#DIV/0!</v>
      </c>
      <c r="J104" s="1029">
        <f>[13]JUIN!$B$974</f>
        <v>0</v>
      </c>
      <c r="K104" s="1030" t="e">
        <f t="shared" si="48"/>
        <v>#DIV/0!</v>
      </c>
      <c r="L104" s="1027">
        <f>[13]JUIN!$B$686</f>
        <v>0</v>
      </c>
      <c r="M104" s="1030" t="e">
        <f t="shared" si="49"/>
        <v>#DIV/0!</v>
      </c>
      <c r="N104" s="1029">
        <f>[13]JUIN!$B$830</f>
        <v>0</v>
      </c>
      <c r="O104" s="1030" t="e">
        <f t="shared" si="50"/>
        <v>#DIV/0!</v>
      </c>
      <c r="P104" s="1027">
        <f>[13]JUIN!$B$542</f>
        <v>0</v>
      </c>
      <c r="Q104" s="1030" t="e">
        <f t="shared" si="51"/>
        <v>#DIV/0!</v>
      </c>
      <c r="R104" s="1029">
        <f>[13]JUIN!$B$1127</f>
        <v>0</v>
      </c>
      <c r="S104" s="1030" t="e">
        <f t="shared" si="52"/>
        <v>#DIV/0!</v>
      </c>
      <c r="T104" s="1031">
        <f t="shared" si="53"/>
        <v>0</v>
      </c>
      <c r="U104" s="1032" t="e">
        <f t="shared" si="54"/>
        <v>#DIV/0!</v>
      </c>
    </row>
    <row r="105" spans="2:21" s="229" customFormat="1">
      <c r="B105" s="1787"/>
      <c r="C105" s="355" t="s">
        <v>21</v>
      </c>
      <c r="D105" s="356">
        <f>[13]JUILLET!$B$398</f>
        <v>0</v>
      </c>
      <c r="E105" s="1108" t="e">
        <f t="shared" ref="E105:E110" si="55">D105/D45</f>
        <v>#DIV/0!</v>
      </c>
      <c r="F105" s="1093">
        <f>[13]JUILLET!$B$110</f>
        <v>0</v>
      </c>
      <c r="G105" s="1108" t="e">
        <f t="shared" ref="G105:G110" si="56">F105/F45</f>
        <v>#DIV/0!</v>
      </c>
      <c r="H105" s="1093">
        <f>[13]JUILLET!$B$254</f>
        <v>0</v>
      </c>
      <c r="I105" s="1108" t="e">
        <f t="shared" ref="I105:I110" si="57">H105/H45</f>
        <v>#DIV/0!</v>
      </c>
      <c r="J105" s="1093">
        <f>[13]JUILLET!$B$1118</f>
        <v>0</v>
      </c>
      <c r="K105" s="1108" t="e">
        <f t="shared" ref="K105:K110" si="58">J105/J45</f>
        <v>#DIV/0!</v>
      </c>
      <c r="L105" s="1093">
        <f>[13]JUILLET!$B$686</f>
        <v>0</v>
      </c>
      <c r="M105" s="1108" t="e">
        <f t="shared" ref="M105:M110" si="59">L105/L45</f>
        <v>#DIV/0!</v>
      </c>
      <c r="N105" s="1093">
        <f>[13]JUILLET!$B$830</f>
        <v>0</v>
      </c>
      <c r="O105" s="1108" t="e">
        <f t="shared" ref="O105:O110" si="60">N105/N45</f>
        <v>#DIV/0!</v>
      </c>
      <c r="P105" s="1093">
        <f>[13]JUILLET!$B$542</f>
        <v>0</v>
      </c>
      <c r="Q105" s="1108" t="e">
        <f t="shared" ref="Q105:Q110" si="61">P105/P45</f>
        <v>#DIV/0!</v>
      </c>
      <c r="R105" s="1093">
        <f>[13]JUILLET!$B$1127</f>
        <v>0</v>
      </c>
      <c r="S105" s="1108" t="e">
        <f t="shared" ref="S105:S110" si="62">R105/R45</f>
        <v>#DIV/0!</v>
      </c>
      <c r="T105" s="1109">
        <f t="shared" ref="T105:T110" si="63">D105+F105+H105+J105+L105+N105+P105+R105</f>
        <v>0</v>
      </c>
      <c r="U105" s="1096" t="e">
        <f t="shared" ref="U105:U110" si="64">T105/T75</f>
        <v>#DIV/0!</v>
      </c>
    </row>
    <row r="106" spans="2:21">
      <c r="B106" s="1787"/>
      <c r="C106" s="348" t="s">
        <v>26</v>
      </c>
      <c r="D106" s="356">
        <f>[13]AOUT!$B$398</f>
        <v>0</v>
      </c>
      <c r="E106" s="1160" t="e">
        <f t="shared" si="55"/>
        <v>#DIV/0!</v>
      </c>
      <c r="F106" s="358">
        <f>[13]AOUT!$B$110</f>
        <v>0</v>
      </c>
      <c r="G106" s="1160" t="e">
        <f t="shared" si="56"/>
        <v>#DIV/0!</v>
      </c>
      <c r="H106" s="358">
        <f>[13]AOUT!$B$254</f>
        <v>0</v>
      </c>
      <c r="I106" s="1160" t="e">
        <f t="shared" si="57"/>
        <v>#DIV/0!</v>
      </c>
      <c r="J106" s="358">
        <f>[13]AOUT!$B$1118</f>
        <v>0</v>
      </c>
      <c r="K106" s="1160" t="e">
        <f t="shared" si="58"/>
        <v>#DIV/0!</v>
      </c>
      <c r="L106" s="358">
        <f>[13]AOUT!$B$686</f>
        <v>0</v>
      </c>
      <c r="M106" s="1160" t="e">
        <f t="shared" si="59"/>
        <v>#DIV/0!</v>
      </c>
      <c r="N106" s="358">
        <f>[13]AOUT!$B$830</f>
        <v>0</v>
      </c>
      <c r="O106" s="1160" t="e">
        <f t="shared" si="60"/>
        <v>#DIV/0!</v>
      </c>
      <c r="P106" s="358">
        <f>[13]AOUT!$B$542</f>
        <v>0</v>
      </c>
      <c r="Q106" s="1160" t="e">
        <f t="shared" si="61"/>
        <v>#DIV/0!</v>
      </c>
      <c r="R106" s="358">
        <f>[13]AOUT!$B$1127</f>
        <v>0</v>
      </c>
      <c r="S106" s="1160" t="e">
        <f t="shared" si="62"/>
        <v>#DIV/0!</v>
      </c>
      <c r="T106" s="1161">
        <f t="shared" si="63"/>
        <v>0</v>
      </c>
      <c r="U106" s="361" t="e">
        <f t="shared" si="64"/>
        <v>#DIV/0!</v>
      </c>
    </row>
    <row r="107" spans="2:21">
      <c r="B107" s="1787"/>
      <c r="C107" s="348" t="s">
        <v>22</v>
      </c>
      <c r="D107" s="356">
        <f>[13]SEPTEMBRE!$B$398</f>
        <v>0</v>
      </c>
      <c r="E107" s="1160" t="e">
        <f t="shared" si="55"/>
        <v>#DIV/0!</v>
      </c>
      <c r="F107" s="358">
        <f>[13]SEPTEMBRE!$B$110</f>
        <v>0</v>
      </c>
      <c r="G107" s="1160" t="e">
        <f t="shared" si="56"/>
        <v>#DIV/0!</v>
      </c>
      <c r="H107" s="358">
        <f>[13]SEPTEMBRE!$B$254</f>
        <v>0</v>
      </c>
      <c r="I107" s="1160" t="e">
        <f t="shared" si="57"/>
        <v>#DIV/0!</v>
      </c>
      <c r="J107" s="358">
        <f>[13]SEPTEMBRE!$B$1118</f>
        <v>0</v>
      </c>
      <c r="K107" s="1160" t="e">
        <f t="shared" si="58"/>
        <v>#DIV/0!</v>
      </c>
      <c r="L107" s="358">
        <f>[13]SEPTEMBRE!$B$686</f>
        <v>0</v>
      </c>
      <c r="M107" s="1160" t="e">
        <f t="shared" si="59"/>
        <v>#DIV/0!</v>
      </c>
      <c r="N107" s="358">
        <f>[13]SEPTEMBRE!$B$830</f>
        <v>0</v>
      </c>
      <c r="O107" s="1160" t="e">
        <f t="shared" si="60"/>
        <v>#DIV/0!</v>
      </c>
      <c r="P107" s="358">
        <f>[13]SEPTEMBRE!$B$542</f>
        <v>0</v>
      </c>
      <c r="Q107" s="1160" t="e">
        <f t="shared" si="61"/>
        <v>#DIV/0!</v>
      </c>
      <c r="R107" s="358">
        <f>[13]SEPTEMBRE!$B$1127</f>
        <v>0</v>
      </c>
      <c r="S107" s="1160" t="e">
        <f t="shared" si="62"/>
        <v>#DIV/0!</v>
      </c>
      <c r="T107" s="1161">
        <f t="shared" si="63"/>
        <v>0</v>
      </c>
      <c r="U107" s="361" t="e">
        <f t="shared" si="64"/>
        <v>#DIV/0!</v>
      </c>
    </row>
    <row r="108" spans="2:21">
      <c r="B108" s="1787"/>
      <c r="C108" s="348" t="s">
        <v>23</v>
      </c>
      <c r="D108" s="356">
        <f>[13]OCTOBRE!$B$398</f>
        <v>0</v>
      </c>
      <c r="E108" s="1160" t="e">
        <f t="shared" si="55"/>
        <v>#DIV/0!</v>
      </c>
      <c r="F108" s="358">
        <f>[13]OCTOBRE!$B$110</f>
        <v>0</v>
      </c>
      <c r="G108" s="1160" t="e">
        <f t="shared" si="56"/>
        <v>#DIV/0!</v>
      </c>
      <c r="H108" s="358">
        <f>[13]OCTOBRE!$B$254</f>
        <v>0</v>
      </c>
      <c r="I108" s="1160" t="e">
        <f t="shared" si="57"/>
        <v>#DIV/0!</v>
      </c>
      <c r="J108" s="358">
        <f>[13]OCTOBRE!$B$974</f>
        <v>0</v>
      </c>
      <c r="K108" s="1160" t="e">
        <f t="shared" si="58"/>
        <v>#DIV/0!</v>
      </c>
      <c r="L108" s="358">
        <f>[13]OCTOBRE!$B$686</f>
        <v>0</v>
      </c>
      <c r="M108" s="1160" t="e">
        <f t="shared" si="59"/>
        <v>#DIV/0!</v>
      </c>
      <c r="N108" s="358">
        <f>[13]OCTOBRE!$B$830</f>
        <v>0</v>
      </c>
      <c r="O108" s="1160" t="e">
        <f t="shared" si="60"/>
        <v>#DIV/0!</v>
      </c>
      <c r="P108" s="358">
        <f>[13]OCTOBRE!$B$542</f>
        <v>0</v>
      </c>
      <c r="Q108" s="1160" t="e">
        <f t="shared" si="61"/>
        <v>#DIV/0!</v>
      </c>
      <c r="R108" s="358">
        <f>[13]OCTOBRE!$B$1127</f>
        <v>0</v>
      </c>
      <c r="S108" s="1241" t="e">
        <f t="shared" si="62"/>
        <v>#DIV/0!</v>
      </c>
      <c r="T108" s="360">
        <f t="shared" si="63"/>
        <v>0</v>
      </c>
      <c r="U108" s="361" t="e">
        <f t="shared" si="64"/>
        <v>#DIV/0!</v>
      </c>
    </row>
    <row r="109" spans="2:21">
      <c r="B109" s="1787"/>
      <c r="C109" s="348" t="s">
        <v>24</v>
      </c>
      <c r="D109" s="356">
        <f>[13]NOVEMBRE!$B$398</f>
        <v>0</v>
      </c>
      <c r="E109" s="1160" t="e">
        <f t="shared" si="55"/>
        <v>#DIV/0!</v>
      </c>
      <c r="F109" s="358">
        <f>[13]NOVEMBRE!$B$110</f>
        <v>0</v>
      </c>
      <c r="G109" s="1160" t="e">
        <f t="shared" si="56"/>
        <v>#DIV/0!</v>
      </c>
      <c r="H109" s="358">
        <f>[13]NOVEMBRE!$B$254</f>
        <v>0</v>
      </c>
      <c r="I109" s="1160" t="e">
        <f t="shared" si="57"/>
        <v>#DIV/0!</v>
      </c>
      <c r="J109" s="358">
        <f>[13]NOVEMBRE!$B$974</f>
        <v>0</v>
      </c>
      <c r="K109" s="1160" t="e">
        <f t="shared" si="58"/>
        <v>#DIV/0!</v>
      </c>
      <c r="L109" s="358">
        <f>[13]NOVEMBRE!$B$686</f>
        <v>0</v>
      </c>
      <c r="M109" s="1160" t="e">
        <f t="shared" si="59"/>
        <v>#DIV/0!</v>
      </c>
      <c r="N109" s="358">
        <f>[13]NOVEMBRE!$B$830</f>
        <v>0</v>
      </c>
      <c r="O109" s="1160" t="e">
        <f t="shared" si="60"/>
        <v>#DIV/0!</v>
      </c>
      <c r="P109" s="358">
        <f>[13]NOVEMBRE!$B$542</f>
        <v>0</v>
      </c>
      <c r="Q109" s="1160" t="e">
        <f t="shared" si="61"/>
        <v>#DIV/0!</v>
      </c>
      <c r="R109" s="358">
        <f>[13]NOVEMBRE!$B$1127</f>
        <v>0</v>
      </c>
      <c r="S109" s="1241" t="e">
        <f t="shared" si="62"/>
        <v>#DIV/0!</v>
      </c>
      <c r="T109" s="360">
        <f t="shared" si="63"/>
        <v>0</v>
      </c>
      <c r="U109" s="361" t="e">
        <f t="shared" si="64"/>
        <v>#DIV/0!</v>
      </c>
    </row>
    <row r="110" spans="2:21">
      <c r="B110" s="1787"/>
      <c r="C110" s="348" t="s">
        <v>27</v>
      </c>
      <c r="D110" s="356">
        <f>[13]DECEMBRE!$B$398</f>
        <v>0</v>
      </c>
      <c r="E110" s="1160" t="e">
        <f t="shared" si="55"/>
        <v>#DIV/0!</v>
      </c>
      <c r="F110" s="358">
        <f>[13]DECEMBRE!$B$110</f>
        <v>0</v>
      </c>
      <c r="G110" s="1160" t="e">
        <f t="shared" si="56"/>
        <v>#DIV/0!</v>
      </c>
      <c r="H110" s="358">
        <f>[13]DECEMBRE!$B$254</f>
        <v>0</v>
      </c>
      <c r="I110" s="1160" t="e">
        <f t="shared" si="57"/>
        <v>#DIV/0!</v>
      </c>
      <c r="J110" s="358">
        <f>[13]DECEMBRE!$B$974</f>
        <v>0</v>
      </c>
      <c r="K110" s="1160" t="e">
        <f t="shared" si="58"/>
        <v>#DIV/0!</v>
      </c>
      <c r="L110" s="358">
        <f>[13]DECEMBRE!$B$686</f>
        <v>0</v>
      </c>
      <c r="M110" s="1160" t="e">
        <f t="shared" si="59"/>
        <v>#DIV/0!</v>
      </c>
      <c r="N110" s="358">
        <f>[13]DECEMBRE!$B$830</f>
        <v>0</v>
      </c>
      <c r="O110" s="1160" t="e">
        <f t="shared" si="60"/>
        <v>#DIV/0!</v>
      </c>
      <c r="P110" s="358">
        <f>[13]DECEMBRE!$B$542</f>
        <v>0</v>
      </c>
      <c r="Q110" s="1160" t="e">
        <f t="shared" si="61"/>
        <v>#DIV/0!</v>
      </c>
      <c r="R110" s="358">
        <f>[13]DECEMBRE!$B$1127</f>
        <v>0</v>
      </c>
      <c r="S110" s="1241" t="e">
        <f t="shared" si="62"/>
        <v>#DIV/0!</v>
      </c>
      <c r="T110" s="360">
        <f t="shared" si="63"/>
        <v>0</v>
      </c>
      <c r="U110" s="361" t="e">
        <f t="shared" si="64"/>
        <v>#DIV/0!</v>
      </c>
    </row>
    <row r="111" spans="2:21">
      <c r="B111" s="1787"/>
      <c r="C111" s="362" t="s">
        <v>45</v>
      </c>
      <c r="D111" s="363">
        <f>SUM(D99:D110)</f>
        <v>34064.5</v>
      </c>
      <c r="E111" s="364">
        <f>D111/'INDICES CA 💵'!D33</f>
        <v>1.095492059741569E-2</v>
      </c>
      <c r="F111" s="365">
        <f>SUM(F99:F110)</f>
        <v>11720.98</v>
      </c>
      <c r="G111" s="364">
        <f>F111/'INDICES CA 💵'!F33</f>
        <v>5.4537844165919672E-3</v>
      </c>
      <c r="H111" s="363">
        <f>SUM(H99:H110)</f>
        <v>12377.91</v>
      </c>
      <c r="I111" s="364">
        <f>H111/'INDICES CA 💵'!H33</f>
        <v>6.7069016866344025E-3</v>
      </c>
      <c r="J111" s="365">
        <f>SUM(J99:J110)</f>
        <v>17022.400000000001</v>
      </c>
      <c r="K111" s="364">
        <f>J111/'INDICES CA 💵'!J33</f>
        <v>7.1860352720840605E-3</v>
      </c>
      <c r="L111" s="363">
        <f>SUM(L99:L110)</f>
        <v>6504.62</v>
      </c>
      <c r="M111" s="364">
        <f>L111/'INDICES CA 💵'!L33</f>
        <v>4.5268739496151546E-3</v>
      </c>
      <c r="N111" s="365">
        <f>SUM(N99:N110)</f>
        <v>10032.589999999998</v>
      </c>
      <c r="O111" s="364">
        <f>N111/'INDICES CA 💵'!N33</f>
        <v>6.7746435789514904E-3</v>
      </c>
      <c r="P111" s="363">
        <f>SUM(P99:P110)</f>
        <v>4885.68</v>
      </c>
      <c r="Q111" s="364">
        <f>P111/'INDICES CA 💵'!P33</f>
        <v>3.4195489872397679E-3</v>
      </c>
      <c r="R111" s="365">
        <f>SUM(R99:R110)</f>
        <v>9722.49</v>
      </c>
      <c r="S111" s="366">
        <f>R111/'INDICES CA 💵'!R33</f>
        <v>7.8377193086406199E-3</v>
      </c>
      <c r="T111" s="363">
        <f>SUM(T99:T110)</f>
        <v>106331.17</v>
      </c>
      <c r="U111" s="367">
        <f>T111/'INDICES CA 💵'!T33</f>
        <v>7.0604819668612746E-3</v>
      </c>
    </row>
    <row r="112" spans="2:21" ht="7" customHeight="1">
      <c r="B112" s="1787"/>
      <c r="U112" s="368"/>
    </row>
    <row r="113" spans="2:21" s="324" customFormat="1" ht="36">
      <c r="B113" s="1787"/>
      <c r="C113" s="883" t="s">
        <v>271</v>
      </c>
      <c r="D113" s="884" t="s">
        <v>28</v>
      </c>
      <c r="E113" s="884" t="s">
        <v>163</v>
      </c>
      <c r="F113" s="885" t="s">
        <v>29</v>
      </c>
      <c r="G113" s="884" t="s">
        <v>163</v>
      </c>
      <c r="H113" s="887" t="s">
        <v>30</v>
      </c>
      <c r="I113" s="884" t="s">
        <v>163</v>
      </c>
      <c r="J113" s="888" t="s">
        <v>31</v>
      </c>
      <c r="K113" s="884" t="s">
        <v>163</v>
      </c>
      <c r="L113" s="884" t="s">
        <v>32</v>
      </c>
      <c r="M113" s="884" t="s">
        <v>163</v>
      </c>
      <c r="N113" s="885" t="s">
        <v>253</v>
      </c>
      <c r="O113" s="884" t="s">
        <v>163</v>
      </c>
      <c r="P113" s="887" t="s">
        <v>34</v>
      </c>
      <c r="Q113" s="884" t="s">
        <v>163</v>
      </c>
      <c r="R113" s="888" t="s">
        <v>308</v>
      </c>
      <c r="S113" s="884" t="s">
        <v>163</v>
      </c>
      <c r="T113" s="887" t="s">
        <v>37</v>
      </c>
      <c r="U113" s="889" t="s">
        <v>163</v>
      </c>
    </row>
    <row r="114" spans="2:21">
      <c r="B114" s="1787"/>
      <c r="C114" s="348" t="s">
        <v>10</v>
      </c>
      <c r="D114" s="369">
        <f>[13]JANVIER!$B$326</f>
        <v>605</v>
      </c>
      <c r="E114" s="370">
        <f t="shared" ref="E114:E119" si="65">D99/D114</f>
        <v>16.598743801652891</v>
      </c>
      <c r="F114" s="395">
        <f>[13]JANVIER!$B$38</f>
        <v>186</v>
      </c>
      <c r="G114" s="370">
        <f t="shared" ref="G114:G119" si="66">F99/F114</f>
        <v>11.141397849462367</v>
      </c>
      <c r="H114" s="371">
        <f>[13]JANVIER!$B$182</f>
        <v>223</v>
      </c>
      <c r="I114" s="370">
        <f t="shared" ref="I114:I119" si="67">H99/H114</f>
        <v>15.083856502242151</v>
      </c>
      <c r="J114" s="371">
        <f>[13]JANVIER!$B$902</f>
        <v>383</v>
      </c>
      <c r="K114" s="370">
        <f t="shared" ref="K114:K119" si="68">J99/J114</f>
        <v>11.913994778067886</v>
      </c>
      <c r="L114" s="371">
        <f>[13]JANVIER!$B$614</f>
        <v>106</v>
      </c>
      <c r="M114" s="370">
        <f t="shared" ref="M114:M119" si="69">L99/L114</f>
        <v>14.278018867924528</v>
      </c>
      <c r="N114" s="371">
        <f>[13]JANVIER!$B$758</f>
        <v>206</v>
      </c>
      <c r="O114" s="370">
        <f t="shared" ref="O114:O119" si="70">N99/N114</f>
        <v>11.211456310679612</v>
      </c>
      <c r="P114" s="371">
        <f>[13]JANVIER!$B$470</f>
        <v>102</v>
      </c>
      <c r="Q114" s="370">
        <f t="shared" ref="Q114:Q119" si="71">P99/P114</f>
        <v>12.443137254901961</v>
      </c>
      <c r="R114" s="371">
        <f>[13]JANVIER!$B$1046</f>
        <v>240</v>
      </c>
      <c r="S114" s="370">
        <f t="shared" ref="S114:S119" si="72">R99/R114</f>
        <v>13.703541666666666</v>
      </c>
      <c r="T114" s="396">
        <f>D114+F114+H114+J114+L114+N114+P114+R114</f>
        <v>2051</v>
      </c>
      <c r="U114" s="373">
        <f t="shared" ref="U114:U126" si="73">T99/T114</f>
        <v>13.857815699658705</v>
      </c>
    </row>
    <row r="115" spans="2:21" s="229" customFormat="1">
      <c r="B115" s="1787"/>
      <c r="C115" s="355" t="s">
        <v>25</v>
      </c>
      <c r="D115" s="374">
        <f>[13]FEVRIER!$B$326</f>
        <v>705</v>
      </c>
      <c r="E115" s="375">
        <f t="shared" si="65"/>
        <v>15.701148936170211</v>
      </c>
      <c r="F115" s="397">
        <f>[13]FEVRIER!$B$38</f>
        <v>310</v>
      </c>
      <c r="G115" s="375">
        <f t="shared" si="66"/>
        <v>12.975354838709677</v>
      </c>
      <c r="H115" s="376">
        <f>[13]FEVRIER!$B$182</f>
        <v>233</v>
      </c>
      <c r="I115" s="375">
        <f t="shared" si="67"/>
        <v>14.341030042918455</v>
      </c>
      <c r="J115" s="376">
        <f>[13]FEVRIER!$B$902</f>
        <v>416</v>
      </c>
      <c r="K115" s="375">
        <f t="shared" si="68"/>
        <v>13.839014423076922</v>
      </c>
      <c r="L115" s="376">
        <f>[13]FEVRIER!$B$614</f>
        <v>138</v>
      </c>
      <c r="M115" s="375">
        <f t="shared" si="69"/>
        <v>13.493623188405797</v>
      </c>
      <c r="N115" s="376">
        <f>[13]FEVRIER!$B$758</f>
        <v>244</v>
      </c>
      <c r="O115" s="375">
        <f t="shared" si="70"/>
        <v>13.173852459016393</v>
      </c>
      <c r="P115" s="376">
        <f>[13]FEVRIER!$B$470</f>
        <v>110</v>
      </c>
      <c r="Q115" s="375">
        <f t="shared" si="71"/>
        <v>13.879909090909091</v>
      </c>
      <c r="R115" s="376">
        <f>[13]FEVRIER!$B$1046</f>
        <v>206</v>
      </c>
      <c r="S115" s="375">
        <f t="shared" si="72"/>
        <v>12.030097087378639</v>
      </c>
      <c r="T115" s="398">
        <f>D115+F115+H115+J115+L115+N115+P115+R115</f>
        <v>2362</v>
      </c>
      <c r="U115" s="378">
        <f t="shared" si="73"/>
        <v>14.086236240474172</v>
      </c>
    </row>
    <row r="116" spans="2:21" s="229" customFormat="1">
      <c r="B116" s="1787"/>
      <c r="C116" s="355" t="s">
        <v>17</v>
      </c>
      <c r="D116" s="374">
        <f>[13]MARS!$B$326</f>
        <v>576</v>
      </c>
      <c r="E116" s="375">
        <f t="shared" si="65"/>
        <v>16.074201388888888</v>
      </c>
      <c r="F116" s="397">
        <f>[13]MARS!$B$38</f>
        <v>280</v>
      </c>
      <c r="G116" s="375">
        <f t="shared" si="66"/>
        <v>12.211714285714287</v>
      </c>
      <c r="H116" s="376">
        <f>[13]MARS!$B$182</f>
        <v>278</v>
      </c>
      <c r="I116" s="375">
        <f t="shared" si="67"/>
        <v>14.014208633093524</v>
      </c>
      <c r="J116" s="376">
        <f>[13]MARS!$B$902</f>
        <v>391</v>
      </c>
      <c r="K116" s="375">
        <f t="shared" si="68"/>
        <v>12.84462915601023</v>
      </c>
      <c r="L116" s="376">
        <f>[13]MARS!$B$614</f>
        <v>175</v>
      </c>
      <c r="M116" s="375">
        <f t="shared" si="69"/>
        <v>12.4688</v>
      </c>
      <c r="N116" s="376">
        <f>[13]MARS!$B$758</f>
        <v>282</v>
      </c>
      <c r="O116" s="375">
        <f t="shared" si="70"/>
        <v>11.20145390070922</v>
      </c>
      <c r="P116" s="376">
        <f>[13]MARS!$B$470</f>
        <v>121</v>
      </c>
      <c r="Q116" s="375">
        <f t="shared" si="71"/>
        <v>12.668429752066116</v>
      </c>
      <c r="R116" s="376">
        <f>[13]MARS!$B$1046</f>
        <v>217</v>
      </c>
      <c r="S116" s="375">
        <f t="shared" si="72"/>
        <v>12.582304147465438</v>
      </c>
      <c r="T116" s="398">
        <f>D116+F116+H116+J116+L116+N116+P116+R116</f>
        <v>2320</v>
      </c>
      <c r="U116" s="378">
        <f t="shared" si="73"/>
        <v>13.448409482758622</v>
      </c>
    </row>
    <row r="117" spans="2:21" s="229" customFormat="1">
      <c r="B117" s="1787"/>
      <c r="C117" s="355" t="s">
        <v>18</v>
      </c>
      <c r="D117" s="374">
        <f>[13]AVRIL!$B$326</f>
        <v>216</v>
      </c>
      <c r="E117" s="375">
        <f t="shared" si="65"/>
        <v>17.102824074074075</v>
      </c>
      <c r="F117" s="397">
        <f>[13]AVRIL!$B$38</f>
        <v>163</v>
      </c>
      <c r="G117" s="375">
        <f t="shared" si="66"/>
        <v>13.540122699386503</v>
      </c>
      <c r="H117" s="376">
        <f>[13]AVRIL!$B$182</f>
        <v>120</v>
      </c>
      <c r="I117" s="375">
        <f t="shared" si="67"/>
        <v>14.806666666666667</v>
      </c>
      <c r="J117" s="376">
        <f>[13]AVRIL!$B$902</f>
        <v>132</v>
      </c>
      <c r="K117" s="375">
        <f t="shared" si="68"/>
        <v>12.727727272727272</v>
      </c>
      <c r="L117" s="376">
        <f>[13]AVRIL!$B$614</f>
        <v>72</v>
      </c>
      <c r="M117" s="375">
        <f t="shared" si="69"/>
        <v>13.152638888888889</v>
      </c>
      <c r="N117" s="376">
        <f>[13]AVRIL!$B$758</f>
        <v>97</v>
      </c>
      <c r="O117" s="375">
        <f t="shared" si="70"/>
        <v>13.915463917525773</v>
      </c>
      <c r="P117" s="376">
        <f>[13]AVRIL!$B$470</f>
        <v>30</v>
      </c>
      <c r="Q117" s="375">
        <f t="shared" si="71"/>
        <v>18.560333333333332</v>
      </c>
      <c r="R117" s="376">
        <f>[13]AVRIL!$B$1046</f>
        <v>73</v>
      </c>
      <c r="S117" s="375">
        <f t="shared" si="72"/>
        <v>16.781917808219177</v>
      </c>
      <c r="T117" s="398">
        <f>D117+F117+H117+J117+L117+N117+P117+R117</f>
        <v>903</v>
      </c>
      <c r="U117" s="378">
        <f t="shared" si="73"/>
        <v>14.880166112956809</v>
      </c>
    </row>
    <row r="118" spans="2:21" s="229" customFormat="1">
      <c r="B118" s="1787"/>
      <c r="C118" s="355" t="s">
        <v>19</v>
      </c>
      <c r="D118" s="374">
        <f>[13]MAI!$B$326</f>
        <v>0</v>
      </c>
      <c r="E118" s="375" t="e">
        <f t="shared" si="65"/>
        <v>#DIV/0!</v>
      </c>
      <c r="F118" s="397">
        <f>[13]MAI!$B$38</f>
        <v>0</v>
      </c>
      <c r="G118" s="375" t="e">
        <f t="shared" si="66"/>
        <v>#DIV/0!</v>
      </c>
      <c r="H118" s="376">
        <f>[13]MAI!$B$182</f>
        <v>0</v>
      </c>
      <c r="I118" s="375" t="e">
        <f t="shared" si="67"/>
        <v>#DIV/0!</v>
      </c>
      <c r="J118" s="376">
        <f>[13]MAI!$B$902</f>
        <v>0</v>
      </c>
      <c r="K118" s="375" t="e">
        <f t="shared" si="68"/>
        <v>#DIV/0!</v>
      </c>
      <c r="L118" s="376">
        <f>[13]MAI!$B$614</f>
        <v>0</v>
      </c>
      <c r="M118" s="375" t="e">
        <f t="shared" si="69"/>
        <v>#DIV/0!</v>
      </c>
      <c r="N118" s="376">
        <f>[13]MAI!$B$758</f>
        <v>0</v>
      </c>
      <c r="O118" s="375" t="e">
        <f t="shared" si="70"/>
        <v>#DIV/0!</v>
      </c>
      <c r="P118" s="376">
        <f>[13]MAI!$B$470</f>
        <v>0</v>
      </c>
      <c r="Q118" s="375" t="e">
        <f t="shared" si="71"/>
        <v>#DIV/0!</v>
      </c>
      <c r="R118" s="376">
        <f>[13]MAI!$B$1046</f>
        <v>0</v>
      </c>
      <c r="S118" s="375" t="e">
        <f t="shared" si="72"/>
        <v>#DIV/0!</v>
      </c>
      <c r="T118" s="398">
        <f>D118+F118+H118+J118+L118+N118+P118+R118</f>
        <v>0</v>
      </c>
      <c r="U118" s="378" t="e">
        <f t="shared" si="73"/>
        <v>#DIV/0!</v>
      </c>
    </row>
    <row r="119" spans="2:21" s="229" customFormat="1">
      <c r="B119" s="1787"/>
      <c r="C119" s="1026" t="s">
        <v>20</v>
      </c>
      <c r="D119" s="1033">
        <f>[13]JUIN!$B$326</f>
        <v>0</v>
      </c>
      <c r="E119" s="1034" t="e">
        <f t="shared" si="65"/>
        <v>#DIV/0!</v>
      </c>
      <c r="F119" s="1041">
        <f>[13]JUIN!$B$38</f>
        <v>0</v>
      </c>
      <c r="G119" s="1034" t="e">
        <f t="shared" si="66"/>
        <v>#DIV/0!</v>
      </c>
      <c r="H119" s="1035">
        <f>[13]JUIN!$B$182</f>
        <v>0</v>
      </c>
      <c r="I119" s="1034" t="e">
        <f t="shared" si="67"/>
        <v>#DIV/0!</v>
      </c>
      <c r="J119" s="1035">
        <f>[13]JUIN!$B$902</f>
        <v>0</v>
      </c>
      <c r="K119" s="1034" t="e">
        <f t="shared" si="68"/>
        <v>#DIV/0!</v>
      </c>
      <c r="L119" s="1035">
        <f>[13]JUIN!$B$614</f>
        <v>0</v>
      </c>
      <c r="M119" s="1034" t="e">
        <f t="shared" si="69"/>
        <v>#DIV/0!</v>
      </c>
      <c r="N119" s="1035">
        <f>[13]JUIN!$B$758</f>
        <v>0</v>
      </c>
      <c r="O119" s="1034" t="e">
        <f t="shared" si="70"/>
        <v>#DIV/0!</v>
      </c>
      <c r="P119" s="1035">
        <f>[13]JUIN!$B$470</f>
        <v>0</v>
      </c>
      <c r="Q119" s="1034" t="e">
        <f t="shared" si="71"/>
        <v>#DIV/0!</v>
      </c>
      <c r="R119" s="1035">
        <f>[13]JUIN!$B$1046</f>
        <v>0</v>
      </c>
      <c r="S119" s="1034" t="e">
        <f t="shared" si="72"/>
        <v>#DIV/0!</v>
      </c>
      <c r="T119" s="1042">
        <f t="shared" ref="T119:T124" si="74">D119+F119+H119+J119+L119+N119+P119+R119</f>
        <v>0</v>
      </c>
      <c r="U119" s="1037" t="e">
        <f t="shared" si="73"/>
        <v>#DIV/0!</v>
      </c>
    </row>
    <row r="120" spans="2:21" s="229" customFormat="1">
      <c r="B120" s="1787"/>
      <c r="C120" s="355" t="s">
        <v>21</v>
      </c>
      <c r="D120" s="1110">
        <f>[13]JUILLET!$B$326</f>
        <v>0</v>
      </c>
      <c r="E120" s="1100" t="e">
        <f t="shared" ref="E120:E126" si="75">D105/D120</f>
        <v>#DIV/0!</v>
      </c>
      <c r="F120" s="1106">
        <f>[13]JUILLET!$B$38</f>
        <v>0</v>
      </c>
      <c r="G120" s="1100" t="e">
        <f t="shared" ref="G120:G126" si="76">F105/F120</f>
        <v>#DIV/0!</v>
      </c>
      <c r="H120" s="1106">
        <f>[13]JUILLET!$B$182</f>
        <v>0</v>
      </c>
      <c r="I120" s="1100" t="e">
        <f t="shared" ref="I120:I126" si="77">H105/H120</f>
        <v>#DIV/0!</v>
      </c>
      <c r="J120" s="1106">
        <f>[13]JUILLET!$B$902</f>
        <v>0</v>
      </c>
      <c r="K120" s="1100" t="e">
        <f t="shared" ref="K120:K126" si="78">J105/J120</f>
        <v>#DIV/0!</v>
      </c>
      <c r="L120" s="1106">
        <f>[13]JUILLET!$B$614</f>
        <v>0</v>
      </c>
      <c r="M120" s="1100" t="e">
        <f t="shared" ref="M120:M126" si="79">L105/L120</f>
        <v>#DIV/0!</v>
      </c>
      <c r="N120" s="1106">
        <f>[13]JUILLET!$B$758</f>
        <v>0</v>
      </c>
      <c r="O120" s="1100" t="e">
        <f t="shared" ref="O120:O126" si="80">N105/N120</f>
        <v>#DIV/0!</v>
      </c>
      <c r="P120" s="1106">
        <f>[13]JUILLET!$B$470</f>
        <v>0</v>
      </c>
      <c r="Q120" s="1100" t="e">
        <f t="shared" ref="Q120:Q126" si="81">P105/P120</f>
        <v>#DIV/0!</v>
      </c>
      <c r="R120" s="1106">
        <f>[13]JUILLET!$B$1046</f>
        <v>0</v>
      </c>
      <c r="S120" s="1100" t="e">
        <f t="shared" ref="S120:S126" si="82">R105/R120</f>
        <v>#DIV/0!</v>
      </c>
      <c r="T120" s="1107">
        <f t="shared" si="74"/>
        <v>0</v>
      </c>
      <c r="U120" s="1102" t="e">
        <f t="shared" si="73"/>
        <v>#DIV/0!</v>
      </c>
    </row>
    <row r="121" spans="2:21">
      <c r="B121" s="1787"/>
      <c r="C121" s="348" t="s">
        <v>26</v>
      </c>
      <c r="D121" s="1162">
        <f>[13]AOUT!$B$326</f>
        <v>0</v>
      </c>
      <c r="E121" s="1159" t="e">
        <f t="shared" si="75"/>
        <v>#DIV/0!</v>
      </c>
      <c r="F121" s="397">
        <f>[13]AOUT!$B$38</f>
        <v>0</v>
      </c>
      <c r="G121" s="1159" t="e">
        <f t="shared" si="76"/>
        <v>#DIV/0!</v>
      </c>
      <c r="H121" s="397">
        <f>[13]AOUT!$B$182</f>
        <v>0</v>
      </c>
      <c r="I121" s="1159" t="e">
        <f t="shared" si="77"/>
        <v>#DIV/0!</v>
      </c>
      <c r="J121" s="397">
        <f>[13]AOUT!$B$902</f>
        <v>0</v>
      </c>
      <c r="K121" s="1159" t="e">
        <f t="shared" si="78"/>
        <v>#DIV/0!</v>
      </c>
      <c r="L121" s="397">
        <f>[13]AOUT!$B$614</f>
        <v>0</v>
      </c>
      <c r="M121" s="1159" t="e">
        <f t="shared" si="79"/>
        <v>#DIV/0!</v>
      </c>
      <c r="N121" s="397">
        <f>[13]AOUT!$B$758</f>
        <v>0</v>
      </c>
      <c r="O121" s="1159" t="e">
        <f t="shared" si="80"/>
        <v>#DIV/0!</v>
      </c>
      <c r="P121" s="397">
        <f>[13]AOUT!$B$470</f>
        <v>0</v>
      </c>
      <c r="Q121" s="1159" t="e">
        <f t="shared" si="81"/>
        <v>#DIV/0!</v>
      </c>
      <c r="R121" s="397">
        <f>[13]AOUT!$B$1046</f>
        <v>0</v>
      </c>
      <c r="S121" s="1159" t="e">
        <f t="shared" si="82"/>
        <v>#DIV/0!</v>
      </c>
      <c r="T121" s="398">
        <f t="shared" si="74"/>
        <v>0</v>
      </c>
      <c r="U121" s="378" t="e">
        <f t="shared" si="73"/>
        <v>#DIV/0!</v>
      </c>
    </row>
    <row r="122" spans="2:21">
      <c r="B122" s="1787"/>
      <c r="C122" s="348" t="s">
        <v>22</v>
      </c>
      <c r="D122" s="1162">
        <f>[13]SEPTEMBRE!$B$326</f>
        <v>0</v>
      </c>
      <c r="E122" s="1159" t="e">
        <f t="shared" si="75"/>
        <v>#DIV/0!</v>
      </c>
      <c r="F122" s="397">
        <f>[13]SEPTEMBRE!$B$38</f>
        <v>0</v>
      </c>
      <c r="G122" s="1159" t="e">
        <f t="shared" si="76"/>
        <v>#DIV/0!</v>
      </c>
      <c r="H122" s="397">
        <f>[13]SEPTEMBRE!$B$182</f>
        <v>0</v>
      </c>
      <c r="I122" s="1159" t="e">
        <f t="shared" si="77"/>
        <v>#DIV/0!</v>
      </c>
      <c r="J122" s="397">
        <f>[13]SEPTEMBRE!$B$902</f>
        <v>0</v>
      </c>
      <c r="K122" s="1159" t="e">
        <f t="shared" si="78"/>
        <v>#DIV/0!</v>
      </c>
      <c r="L122" s="397">
        <f>[13]SEPTEMBRE!$B$614</f>
        <v>0</v>
      </c>
      <c r="M122" s="1159" t="e">
        <f t="shared" si="79"/>
        <v>#DIV/0!</v>
      </c>
      <c r="N122" s="397">
        <f>[13]SEPTEMBRE!$B$758</f>
        <v>0</v>
      </c>
      <c r="O122" s="1159" t="e">
        <f t="shared" si="80"/>
        <v>#DIV/0!</v>
      </c>
      <c r="P122" s="397">
        <f>[13]SEPTEMBRE!$B$470</f>
        <v>0</v>
      </c>
      <c r="Q122" s="1159" t="e">
        <f t="shared" si="81"/>
        <v>#DIV/0!</v>
      </c>
      <c r="R122" s="397">
        <f>[13]SEPTEMBRE!$B$1046</f>
        <v>0</v>
      </c>
      <c r="S122" s="1159" t="e">
        <f t="shared" si="82"/>
        <v>#DIV/0!</v>
      </c>
      <c r="T122" s="398">
        <f t="shared" si="74"/>
        <v>0</v>
      </c>
      <c r="U122" s="378" t="e">
        <f t="shared" si="73"/>
        <v>#DIV/0!</v>
      </c>
    </row>
    <row r="123" spans="2:21">
      <c r="B123" s="1787"/>
      <c r="C123" s="348" t="s">
        <v>23</v>
      </c>
      <c r="D123" s="1162">
        <f>[13]OCTOBRE!$B$326</f>
        <v>0</v>
      </c>
      <c r="E123" s="1159" t="e">
        <f t="shared" si="75"/>
        <v>#DIV/0!</v>
      </c>
      <c r="F123" s="397">
        <f>[13]OCTOBRE!$B$38</f>
        <v>0</v>
      </c>
      <c r="G123" s="1159" t="e">
        <f t="shared" si="76"/>
        <v>#DIV/0!</v>
      </c>
      <c r="H123" s="397">
        <f>[13]OCTOBRE!$B$182</f>
        <v>0</v>
      </c>
      <c r="I123" s="1159" t="e">
        <f t="shared" si="77"/>
        <v>#DIV/0!</v>
      </c>
      <c r="J123" s="397">
        <f>[13]OCTOBRE!$B$902</f>
        <v>0</v>
      </c>
      <c r="K123" s="1159" t="e">
        <f t="shared" si="78"/>
        <v>#DIV/0!</v>
      </c>
      <c r="L123" s="397">
        <f>[13]OCTOBRE!$B$614</f>
        <v>0</v>
      </c>
      <c r="M123" s="1159" t="e">
        <f t="shared" si="79"/>
        <v>#DIV/0!</v>
      </c>
      <c r="N123" s="397">
        <f>[13]OCTOBRE!$B$758</f>
        <v>0</v>
      </c>
      <c r="O123" s="1159" t="e">
        <f t="shared" si="80"/>
        <v>#DIV/0!</v>
      </c>
      <c r="P123" s="397">
        <f>[13]OCTOBRE!$B$470</f>
        <v>0</v>
      </c>
      <c r="Q123" s="1159" t="e">
        <f t="shared" si="81"/>
        <v>#DIV/0!</v>
      </c>
      <c r="R123" s="397">
        <f>[13]OCTOBRE!$B$902</f>
        <v>0</v>
      </c>
      <c r="S123" s="1159" t="e">
        <f t="shared" si="82"/>
        <v>#DIV/0!</v>
      </c>
      <c r="T123" s="398">
        <f t="shared" si="74"/>
        <v>0</v>
      </c>
      <c r="U123" s="378" t="e">
        <f t="shared" si="73"/>
        <v>#DIV/0!</v>
      </c>
    </row>
    <row r="124" spans="2:21">
      <c r="B124" s="1787"/>
      <c r="C124" s="348" t="s">
        <v>24</v>
      </c>
      <c r="D124" s="1162">
        <f>[13]NOVEMBRE!$B$326</f>
        <v>0</v>
      </c>
      <c r="E124" s="1159" t="e">
        <f t="shared" si="75"/>
        <v>#DIV/0!</v>
      </c>
      <c r="F124" s="397">
        <f>[13]NOVEMBRE!$B$38</f>
        <v>0</v>
      </c>
      <c r="G124" s="1159" t="e">
        <f t="shared" si="76"/>
        <v>#DIV/0!</v>
      </c>
      <c r="H124" s="397">
        <f>[13]NOVEMBRE!$B$182</f>
        <v>0</v>
      </c>
      <c r="I124" s="1159" t="e">
        <f t="shared" si="77"/>
        <v>#DIV/0!</v>
      </c>
      <c r="J124" s="397">
        <f>[13]NOVEMBRE!$B$902</f>
        <v>0</v>
      </c>
      <c r="K124" s="1159" t="e">
        <f t="shared" si="78"/>
        <v>#DIV/0!</v>
      </c>
      <c r="L124" s="397">
        <f>[13]NOVEMBRE!$B$614</f>
        <v>0</v>
      </c>
      <c r="M124" s="1159" t="e">
        <f t="shared" si="79"/>
        <v>#DIV/0!</v>
      </c>
      <c r="N124" s="397">
        <f>[13]NOVEMBRE!$B$758</f>
        <v>0</v>
      </c>
      <c r="O124" s="1159" t="e">
        <f t="shared" si="80"/>
        <v>#DIV/0!</v>
      </c>
      <c r="P124" s="397">
        <f>[13]NOVEMBRE!$B$470</f>
        <v>0</v>
      </c>
      <c r="Q124" s="1159" t="e">
        <f t="shared" si="81"/>
        <v>#DIV/0!</v>
      </c>
      <c r="R124" s="397">
        <f>[13]NOVEMBRE!$B$902</f>
        <v>0</v>
      </c>
      <c r="S124" s="1159" t="e">
        <f t="shared" si="82"/>
        <v>#DIV/0!</v>
      </c>
      <c r="T124" s="398">
        <f t="shared" si="74"/>
        <v>0</v>
      </c>
      <c r="U124" s="378" t="e">
        <f t="shared" si="73"/>
        <v>#DIV/0!</v>
      </c>
    </row>
    <row r="125" spans="2:21">
      <c r="B125" s="1787"/>
      <c r="C125" s="348" t="s">
        <v>27</v>
      </c>
      <c r="D125" s="1162">
        <f>[13]DECEMBRE!$B$326</f>
        <v>0</v>
      </c>
      <c r="E125" s="1159" t="e">
        <f t="shared" si="75"/>
        <v>#DIV/0!</v>
      </c>
      <c r="F125" s="397">
        <f>[13]DECEMBRE!$B$38</f>
        <v>0</v>
      </c>
      <c r="G125" s="1159" t="e">
        <f t="shared" si="76"/>
        <v>#DIV/0!</v>
      </c>
      <c r="H125" s="397">
        <f>[13]DECEMBRE!$B$182</f>
        <v>0</v>
      </c>
      <c r="I125" s="1159" t="e">
        <f t="shared" si="77"/>
        <v>#DIV/0!</v>
      </c>
      <c r="J125" s="397">
        <f>[13]DECEMBRE!$B$902</f>
        <v>0</v>
      </c>
      <c r="K125" s="1159" t="e">
        <f t="shared" si="78"/>
        <v>#DIV/0!</v>
      </c>
      <c r="L125" s="397">
        <f>[13]DECEMBRE!$B$614</f>
        <v>0</v>
      </c>
      <c r="M125" s="1159" t="e">
        <f t="shared" si="79"/>
        <v>#DIV/0!</v>
      </c>
      <c r="N125" s="397">
        <f>[13]DECEMBRE!$B$758</f>
        <v>0</v>
      </c>
      <c r="O125" s="1159" t="e">
        <f t="shared" si="80"/>
        <v>#DIV/0!</v>
      </c>
      <c r="P125" s="397">
        <f>[13]DECEMBRE!$B$470</f>
        <v>0</v>
      </c>
      <c r="Q125" s="1159" t="e">
        <f t="shared" si="81"/>
        <v>#DIV/0!</v>
      </c>
      <c r="R125" s="397">
        <f>[13]DECEMBRE!$B$902</f>
        <v>0</v>
      </c>
      <c r="S125" s="1159" t="e">
        <f t="shared" si="82"/>
        <v>#DIV/0!</v>
      </c>
      <c r="T125" s="398">
        <f>D125+F125+H125+J125+L125+N125+P125+R125</f>
        <v>0</v>
      </c>
      <c r="U125" s="378" t="e">
        <f t="shared" si="73"/>
        <v>#DIV/0!</v>
      </c>
    </row>
    <row r="126" spans="2:21" s="390" customFormat="1" ht="20" thickBot="1">
      <c r="B126" s="1788"/>
      <c r="C126" s="399" t="s">
        <v>45</v>
      </c>
      <c r="D126" s="386">
        <f>SUM(D114:D125)</f>
        <v>2102</v>
      </c>
      <c r="E126" s="400">
        <f t="shared" si="75"/>
        <v>16.205756422454805</v>
      </c>
      <c r="F126" s="387">
        <f>SUM(F114:F125)</f>
        <v>939</v>
      </c>
      <c r="G126" s="401">
        <f t="shared" si="76"/>
        <v>12.482406815761449</v>
      </c>
      <c r="H126" s="386">
        <f>SUM(H114:H125)</f>
        <v>854</v>
      </c>
      <c r="I126" s="402">
        <f t="shared" si="77"/>
        <v>14.494039812646371</v>
      </c>
      <c r="J126" s="387">
        <f>SUM(J114:J125)</f>
        <v>1322</v>
      </c>
      <c r="K126" s="401">
        <f t="shared" si="78"/>
        <v>12.876248108925871</v>
      </c>
      <c r="L126" s="386">
        <f>SUM(L114:L125)</f>
        <v>491</v>
      </c>
      <c r="M126" s="402">
        <f t="shared" si="79"/>
        <v>13.247698574338086</v>
      </c>
      <c r="N126" s="387">
        <f>SUM(N114:N125)</f>
        <v>829</v>
      </c>
      <c r="O126" s="401">
        <f t="shared" si="80"/>
        <v>12.102038600723761</v>
      </c>
      <c r="P126" s="386">
        <f>SUM(P114:P125)</f>
        <v>363</v>
      </c>
      <c r="Q126" s="402">
        <f t="shared" si="81"/>
        <v>13.459173553719008</v>
      </c>
      <c r="R126" s="387">
        <f>SUM(R114:R125)</f>
        <v>736</v>
      </c>
      <c r="S126" s="401">
        <f t="shared" si="82"/>
        <v>13.209904891304348</v>
      </c>
      <c r="T126" s="386">
        <f>SUM(T114:T125)</f>
        <v>7636</v>
      </c>
      <c r="U126" s="389">
        <f t="shared" si="73"/>
        <v>13.92498297537978</v>
      </c>
    </row>
  </sheetData>
  <mergeCells count="5">
    <mergeCell ref="B98:B126"/>
    <mergeCell ref="C2:U2"/>
    <mergeCell ref="B8:B36"/>
    <mergeCell ref="B38:B66"/>
    <mergeCell ref="B68:B96"/>
  </mergeCells>
  <printOptions horizontalCentered="1" verticalCentered="1"/>
  <pageMargins left="0" right="0" top="0" bottom="0" header="0.3" footer="0.3"/>
  <pageSetup paperSize="9" scale="37" orientation="portrait" horizontalDpi="0" verticalDpi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BB3C4-60B0-894B-A04B-466DECA840A8}">
  <sheetPr codeName="Feuil21">
    <tabColor theme="0" tint="-0.249977111117893"/>
    <pageSetUpPr fitToPage="1"/>
  </sheetPr>
  <dimension ref="B1:Y102"/>
  <sheetViews>
    <sheetView showGridLines="0" view="pageBreakPreview" topLeftCell="A7" zoomScaleNormal="110" zoomScaleSheetLayoutView="100" workbookViewId="0">
      <selection activeCell="F24" sqref="F24"/>
    </sheetView>
  </sheetViews>
  <sheetFormatPr baseColWidth="10" defaultColWidth="3.1640625" defaultRowHeight="19"/>
  <cols>
    <col min="1" max="2" width="3.1640625" style="211"/>
    <col min="3" max="3" width="13.5" style="211" bestFit="1" customWidth="1"/>
    <col min="4" max="4" width="10.33203125" style="404" bestFit="1" customWidth="1"/>
    <col min="5" max="5" width="11.33203125" style="404" customWidth="1"/>
    <col min="6" max="6" width="9.1640625" style="404" bestFit="1" customWidth="1"/>
    <col min="7" max="7" width="11.33203125" style="404" customWidth="1"/>
    <col min="8" max="8" width="9.1640625" style="404" bestFit="1" customWidth="1"/>
    <col min="9" max="9" width="11.33203125" style="404" customWidth="1"/>
    <col min="10" max="10" width="9.1640625" style="404" bestFit="1" customWidth="1"/>
    <col min="11" max="11" width="11.33203125" style="404" customWidth="1"/>
    <col min="12" max="12" width="9.1640625" style="404" bestFit="1" customWidth="1"/>
    <col min="13" max="13" width="11.33203125" style="404" customWidth="1"/>
    <col min="14" max="14" width="9.1640625" style="404" bestFit="1" customWidth="1"/>
    <col min="15" max="15" width="11.33203125" style="404" customWidth="1"/>
    <col min="16" max="16" width="9.1640625" style="404" bestFit="1" customWidth="1"/>
    <col min="17" max="17" width="11.33203125" style="404" customWidth="1"/>
    <col min="18" max="18" width="9.1640625" style="404" bestFit="1" customWidth="1"/>
    <col min="19" max="19" width="11.33203125" style="404" customWidth="1"/>
    <col min="20" max="20" width="8.83203125" style="404" bestFit="1" customWidth="1"/>
    <col min="21" max="21" width="11.33203125" style="404" customWidth="1"/>
    <col min="22" max="23" width="3.1640625" style="211"/>
    <col min="24" max="24" width="12.6640625" style="211" bestFit="1" customWidth="1"/>
    <col min="25" max="25" width="8" style="211" bestFit="1" customWidth="1"/>
    <col min="26" max="16384" width="3.1640625" style="211"/>
  </cols>
  <sheetData>
    <row r="1" spans="2:21" ht="20" thickBot="1"/>
    <row r="2" spans="2:21" ht="30" customHeight="1" thickBot="1">
      <c r="B2" s="405"/>
      <c r="C2" s="406" t="s">
        <v>66</v>
      </c>
      <c r="D2" s="406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  <c r="R2" s="406"/>
      <c r="S2" s="406"/>
      <c r="T2" s="407"/>
      <c r="U2" s="408"/>
    </row>
    <row r="3" spans="2:21" ht="20" thickBot="1">
      <c r="C3" s="409"/>
      <c r="D3" s="409"/>
      <c r="E3" s="409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  <c r="U3" s="409"/>
    </row>
    <row r="4" spans="2:21" ht="17" customHeight="1" thickBot="1">
      <c r="B4" s="410"/>
      <c r="C4" s="411" t="s">
        <v>50</v>
      </c>
      <c r="D4" s="412" t="s">
        <v>28</v>
      </c>
      <c r="E4" s="413"/>
      <c r="F4" s="414" t="s">
        <v>29</v>
      </c>
      <c r="G4" s="415"/>
      <c r="H4" s="416" t="s">
        <v>30</v>
      </c>
      <c r="I4" s="417"/>
      <c r="J4" s="416" t="s">
        <v>31</v>
      </c>
      <c r="K4" s="417"/>
      <c r="L4" s="418" t="s">
        <v>32</v>
      </c>
      <c r="M4" s="415"/>
      <c r="N4" s="418" t="s">
        <v>253</v>
      </c>
      <c r="O4" s="415"/>
      <c r="P4" s="416" t="s">
        <v>34</v>
      </c>
      <c r="Q4" s="417"/>
      <c r="R4" s="416" t="s">
        <v>308</v>
      </c>
      <c r="S4" s="417"/>
      <c r="T4" s="419"/>
      <c r="U4" s="420"/>
    </row>
    <row r="5" spans="2:21" ht="20" thickBot="1">
      <c r="B5" s="421"/>
      <c r="C5" s="422" t="s">
        <v>441</v>
      </c>
      <c r="D5" s="1458">
        <v>0.14000000000000001</v>
      </c>
      <c r="E5" s="423"/>
      <c r="F5" s="425">
        <v>0.72</v>
      </c>
      <c r="G5" s="430"/>
      <c r="H5" s="431">
        <v>0.68</v>
      </c>
      <c r="I5" s="432"/>
      <c r="J5" s="425">
        <v>0.38</v>
      </c>
      <c r="K5" s="1492"/>
      <c r="L5" s="433">
        <v>0.44</v>
      </c>
      <c r="M5" s="423"/>
      <c r="N5" s="424">
        <v>0.98</v>
      </c>
      <c r="O5" s="430"/>
      <c r="P5" s="431">
        <v>0.49</v>
      </c>
      <c r="Q5" s="1494"/>
      <c r="R5" s="425">
        <v>0.72</v>
      </c>
      <c r="S5" s="434"/>
      <c r="T5" s="426"/>
      <c r="U5" s="427"/>
    </row>
    <row r="6" spans="2:21" ht="20" thickBot="1">
      <c r="B6" s="421"/>
      <c r="C6" s="428" t="s">
        <v>442</v>
      </c>
      <c r="D6" s="1459" t="s">
        <v>451</v>
      </c>
      <c r="E6" s="1410"/>
      <c r="F6" s="1411" t="s">
        <v>156</v>
      </c>
      <c r="G6" s="1412"/>
      <c r="H6" s="1411" t="s">
        <v>156</v>
      </c>
      <c r="I6" s="1412"/>
      <c r="J6" s="1411" t="s">
        <v>156</v>
      </c>
      <c r="K6" s="1493"/>
      <c r="L6" s="1410" t="s">
        <v>156</v>
      </c>
      <c r="M6" s="1410"/>
      <c r="N6" s="1413" t="s">
        <v>155</v>
      </c>
      <c r="O6" s="1412"/>
      <c r="P6" s="1411" t="s">
        <v>156</v>
      </c>
      <c r="Q6" s="1493"/>
      <c r="R6" s="1411" t="s">
        <v>156</v>
      </c>
      <c r="S6" s="1414"/>
      <c r="T6" s="429"/>
      <c r="U6" s="427"/>
    </row>
    <row r="7" spans="2:21" ht="20" thickBot="1">
      <c r="B7" s="421"/>
      <c r="C7" s="422" t="s">
        <v>461</v>
      </c>
      <c r="D7" s="1489">
        <v>3</v>
      </c>
      <c r="E7" s="423"/>
      <c r="F7" s="1490">
        <v>2</v>
      </c>
      <c r="G7" s="432"/>
      <c r="H7" s="1490">
        <v>2</v>
      </c>
      <c r="I7" s="432"/>
      <c r="J7" s="1490">
        <v>2</v>
      </c>
      <c r="K7" s="1494"/>
      <c r="L7" s="1490">
        <v>2</v>
      </c>
      <c r="M7" s="423"/>
      <c r="N7" s="1491">
        <v>1</v>
      </c>
      <c r="O7" s="432"/>
      <c r="P7" s="1490">
        <v>2</v>
      </c>
      <c r="Q7" s="1494"/>
      <c r="R7" s="1490">
        <v>2</v>
      </c>
      <c r="S7" s="1409"/>
      <c r="T7" s="426"/>
      <c r="U7" s="427"/>
    </row>
    <row r="8" spans="2:21" ht="20" thickBot="1">
      <c r="B8" s="435"/>
      <c r="C8" s="436" t="s">
        <v>462</v>
      </c>
      <c r="D8" s="1486" t="s">
        <v>479</v>
      </c>
      <c r="E8" s="437"/>
      <c r="F8" s="1487" t="s">
        <v>480</v>
      </c>
      <c r="G8" s="1485"/>
      <c r="H8" s="1487" t="s">
        <v>480</v>
      </c>
      <c r="I8" s="438"/>
      <c r="J8" s="1487" t="s">
        <v>480</v>
      </c>
      <c r="K8" s="1495"/>
      <c r="L8" s="1487" t="s">
        <v>480</v>
      </c>
      <c r="M8" s="437"/>
      <c r="N8" s="1488" t="s">
        <v>481</v>
      </c>
      <c r="O8" s="438"/>
      <c r="P8" s="1487" t="s">
        <v>480</v>
      </c>
      <c r="Q8" s="1495"/>
      <c r="R8" s="1487" t="s">
        <v>480</v>
      </c>
      <c r="S8" s="439"/>
      <c r="T8" s="440"/>
      <c r="U8" s="441"/>
    </row>
    <row r="9" spans="2:21" ht="20" thickBot="1"/>
    <row r="10" spans="2:21" ht="16" customHeight="1">
      <c r="B10" s="1799" t="s">
        <v>330</v>
      </c>
      <c r="C10" s="1795" t="s">
        <v>314</v>
      </c>
      <c r="D10" s="412" t="s">
        <v>28</v>
      </c>
      <c r="E10" s="413"/>
      <c r="F10" s="414" t="s">
        <v>29</v>
      </c>
      <c r="G10" s="415"/>
      <c r="H10" s="416" t="s">
        <v>30</v>
      </c>
      <c r="I10" s="417"/>
      <c r="J10" s="416" t="s">
        <v>31</v>
      </c>
      <c r="K10" s="417"/>
      <c r="L10" s="418" t="s">
        <v>32</v>
      </c>
      <c r="M10" s="415"/>
      <c r="N10" s="418" t="s">
        <v>253</v>
      </c>
      <c r="O10" s="415"/>
      <c r="P10" s="416" t="s">
        <v>34</v>
      </c>
      <c r="Q10" s="417"/>
      <c r="R10" s="416" t="s">
        <v>308</v>
      </c>
      <c r="S10" s="417"/>
      <c r="T10" s="1793" t="s">
        <v>48</v>
      </c>
      <c r="U10" s="1794"/>
    </row>
    <row r="11" spans="2:21" ht="20">
      <c r="B11" s="1800"/>
      <c r="C11" s="1796"/>
      <c r="D11" s="444" t="s">
        <v>47</v>
      </c>
      <c r="E11" s="444" t="s">
        <v>49</v>
      </c>
      <c r="F11" s="444" t="s">
        <v>47</v>
      </c>
      <c r="G11" s="444" t="s">
        <v>49</v>
      </c>
      <c r="H11" s="444" t="s">
        <v>47</v>
      </c>
      <c r="I11" s="444" t="s">
        <v>49</v>
      </c>
      <c r="J11" s="444" t="s">
        <v>47</v>
      </c>
      <c r="K11" s="444" t="s">
        <v>49</v>
      </c>
      <c r="L11" s="444" t="s">
        <v>47</v>
      </c>
      <c r="M11" s="444" t="s">
        <v>49</v>
      </c>
      <c r="N11" s="444" t="s">
        <v>47</v>
      </c>
      <c r="O11" s="444" t="s">
        <v>49</v>
      </c>
      <c r="P11" s="444" t="s">
        <v>47</v>
      </c>
      <c r="Q11" s="444" t="s">
        <v>49</v>
      </c>
      <c r="R11" s="444" t="s">
        <v>47</v>
      </c>
      <c r="S11" s="444" t="s">
        <v>49</v>
      </c>
      <c r="T11" s="444" t="s">
        <v>47</v>
      </c>
      <c r="U11" s="445" t="s">
        <v>49</v>
      </c>
    </row>
    <row r="12" spans="2:21">
      <c r="B12" s="1800"/>
      <c r="C12" s="446" t="s">
        <v>10</v>
      </c>
      <c r="D12" s="447">
        <v>333</v>
      </c>
      <c r="E12" s="448">
        <v>349</v>
      </c>
      <c r="F12" s="449">
        <v>200</v>
      </c>
      <c r="G12" s="450">
        <v>213</v>
      </c>
      <c r="H12" s="447">
        <v>293</v>
      </c>
      <c r="I12" s="448">
        <v>282</v>
      </c>
      <c r="J12" s="449">
        <v>301</v>
      </c>
      <c r="K12" s="450">
        <v>292</v>
      </c>
      <c r="L12" s="447">
        <v>277</v>
      </c>
      <c r="M12" s="448">
        <v>295</v>
      </c>
      <c r="N12" s="449">
        <v>166</v>
      </c>
      <c r="O12" s="450">
        <v>205</v>
      </c>
      <c r="P12" s="447">
        <v>367</v>
      </c>
      <c r="Q12" s="448">
        <v>357</v>
      </c>
      <c r="R12" s="449">
        <v>245</v>
      </c>
      <c r="S12" s="450">
        <v>295</v>
      </c>
      <c r="T12" s="451">
        <v>308</v>
      </c>
      <c r="U12" s="452">
        <v>280</v>
      </c>
    </row>
    <row r="13" spans="2:21">
      <c r="B13" s="1800"/>
      <c r="C13" s="446" t="s">
        <v>25</v>
      </c>
      <c r="D13" s="447">
        <v>283</v>
      </c>
      <c r="E13" s="448">
        <v>294</v>
      </c>
      <c r="F13" s="449">
        <v>189</v>
      </c>
      <c r="G13" s="450">
        <v>200</v>
      </c>
      <c r="H13" s="447">
        <v>270</v>
      </c>
      <c r="I13" s="448">
        <v>260</v>
      </c>
      <c r="J13" s="449">
        <v>238</v>
      </c>
      <c r="K13" s="450">
        <v>229</v>
      </c>
      <c r="L13" s="447">
        <v>297</v>
      </c>
      <c r="M13" s="448">
        <v>283</v>
      </c>
      <c r="N13" s="449">
        <v>220</v>
      </c>
      <c r="O13" s="450">
        <v>211</v>
      </c>
      <c r="P13" s="447">
        <v>342</v>
      </c>
      <c r="Q13" s="448">
        <v>350</v>
      </c>
      <c r="R13" s="449">
        <v>220</v>
      </c>
      <c r="S13" s="450">
        <v>247</v>
      </c>
      <c r="T13" s="451">
        <v>303</v>
      </c>
      <c r="U13" s="452">
        <v>272</v>
      </c>
    </row>
    <row r="14" spans="2:21">
      <c r="B14" s="1800"/>
      <c r="C14" s="446" t="s">
        <v>17</v>
      </c>
      <c r="D14" s="447">
        <v>242</v>
      </c>
      <c r="E14" s="448">
        <v>267</v>
      </c>
      <c r="F14" s="449">
        <v>195</v>
      </c>
      <c r="G14" s="450">
        <v>197</v>
      </c>
      <c r="H14" s="447">
        <v>299</v>
      </c>
      <c r="I14" s="448">
        <v>275</v>
      </c>
      <c r="J14" s="449">
        <v>253</v>
      </c>
      <c r="K14" s="450">
        <v>235</v>
      </c>
      <c r="L14" s="447">
        <v>305</v>
      </c>
      <c r="M14" s="448">
        <v>309</v>
      </c>
      <c r="N14" s="449">
        <v>225</v>
      </c>
      <c r="O14" s="450">
        <v>221</v>
      </c>
      <c r="P14" s="447">
        <v>314</v>
      </c>
      <c r="Q14" s="448">
        <v>303</v>
      </c>
      <c r="R14" s="449">
        <v>252</v>
      </c>
      <c r="S14" s="450">
        <v>252</v>
      </c>
      <c r="T14" s="451">
        <v>303</v>
      </c>
      <c r="U14" s="452">
        <v>270</v>
      </c>
    </row>
    <row r="15" spans="2:21">
      <c r="B15" s="1800"/>
      <c r="C15" s="446" t="s">
        <v>18</v>
      </c>
      <c r="D15" s="447">
        <v>270</v>
      </c>
      <c r="E15" s="448">
        <v>272</v>
      </c>
      <c r="F15" s="449">
        <v>334</v>
      </c>
      <c r="G15" s="450">
        <v>291</v>
      </c>
      <c r="H15" s="447">
        <v>301</v>
      </c>
      <c r="I15" s="448">
        <v>277</v>
      </c>
      <c r="J15" s="449">
        <v>255</v>
      </c>
      <c r="K15" s="450">
        <v>227</v>
      </c>
      <c r="L15" s="447">
        <v>317</v>
      </c>
      <c r="M15" s="448">
        <v>302</v>
      </c>
      <c r="N15" s="449">
        <v>246</v>
      </c>
      <c r="O15" s="450">
        <v>219</v>
      </c>
      <c r="P15" s="447">
        <v>292</v>
      </c>
      <c r="Q15" s="448">
        <v>281</v>
      </c>
      <c r="R15" s="449">
        <v>244</v>
      </c>
      <c r="S15" s="450">
        <v>244</v>
      </c>
      <c r="T15" s="451">
        <v>330</v>
      </c>
      <c r="U15" s="452">
        <v>281</v>
      </c>
    </row>
    <row r="16" spans="2:21">
      <c r="B16" s="1800"/>
      <c r="C16" s="446" t="s">
        <v>19</v>
      </c>
      <c r="D16" s="447">
        <v>277</v>
      </c>
      <c r="E16" s="448">
        <v>282</v>
      </c>
      <c r="F16" s="449">
        <v>349</v>
      </c>
      <c r="G16" s="450">
        <v>302</v>
      </c>
      <c r="H16" s="447">
        <v>324</v>
      </c>
      <c r="I16" s="448">
        <v>302</v>
      </c>
      <c r="J16" s="449">
        <v>252</v>
      </c>
      <c r="K16" s="450">
        <v>234</v>
      </c>
      <c r="L16" s="447">
        <v>334</v>
      </c>
      <c r="M16" s="448">
        <v>327</v>
      </c>
      <c r="N16" s="449">
        <v>240</v>
      </c>
      <c r="O16" s="450">
        <v>214</v>
      </c>
      <c r="P16" s="447">
        <v>321</v>
      </c>
      <c r="Q16" s="448">
        <v>304</v>
      </c>
      <c r="R16" s="449">
        <v>285</v>
      </c>
      <c r="S16" s="450">
        <v>291</v>
      </c>
      <c r="T16" s="451">
        <v>339</v>
      </c>
      <c r="U16" s="452">
        <v>291.000001</v>
      </c>
    </row>
    <row r="17" spans="2:21">
      <c r="B17" s="1800"/>
      <c r="C17" s="457" t="s">
        <v>20</v>
      </c>
      <c r="D17" s="447">
        <v>248</v>
      </c>
      <c r="E17" s="458">
        <v>237</v>
      </c>
      <c r="F17" s="1068">
        <v>307</v>
      </c>
      <c r="G17" s="459">
        <v>260</v>
      </c>
      <c r="H17" s="447">
        <v>273</v>
      </c>
      <c r="I17" s="1055">
        <v>233</v>
      </c>
      <c r="J17" s="449">
        <v>250</v>
      </c>
      <c r="K17" s="462">
        <v>225</v>
      </c>
      <c r="L17" s="447">
        <v>351</v>
      </c>
      <c r="M17" s="461">
        <v>317</v>
      </c>
      <c r="N17" s="449">
        <v>227</v>
      </c>
      <c r="O17" s="462">
        <v>198</v>
      </c>
      <c r="P17" s="447">
        <v>356</v>
      </c>
      <c r="Q17" s="461">
        <v>335</v>
      </c>
      <c r="R17" s="449">
        <v>328</v>
      </c>
      <c r="S17" s="462">
        <v>320</v>
      </c>
      <c r="T17" s="463"/>
      <c r="U17" s="464"/>
    </row>
    <row r="18" spans="2:21">
      <c r="B18" s="1800"/>
      <c r="C18" s="446" t="s">
        <v>21</v>
      </c>
      <c r="D18" s="900"/>
      <c r="E18" s="901"/>
      <c r="F18" s="894"/>
      <c r="G18" s="903"/>
      <c r="H18" s="465"/>
      <c r="I18" s="466"/>
      <c r="J18" s="467"/>
      <c r="K18" s="468"/>
      <c r="L18" s="465"/>
      <c r="M18" s="1140"/>
      <c r="N18" s="467"/>
      <c r="O18" s="468"/>
      <c r="P18" s="465"/>
      <c r="Q18" s="466"/>
      <c r="R18" s="467"/>
      <c r="S18" s="450"/>
      <c r="T18" s="451"/>
      <c r="U18" s="452"/>
    </row>
    <row r="19" spans="2:21">
      <c r="B19" s="1800"/>
      <c r="C19" s="446" t="s">
        <v>26</v>
      </c>
      <c r="D19" s="453"/>
      <c r="E19" s="454"/>
      <c r="F19" s="455"/>
      <c r="G19" s="456"/>
      <c r="H19" s="447"/>
      <c r="I19" s="448"/>
      <c r="J19" s="449"/>
      <c r="K19" s="450"/>
      <c r="L19" s="447"/>
      <c r="M19" s="448"/>
      <c r="N19" s="449"/>
      <c r="O19" s="450"/>
      <c r="P19" s="447"/>
      <c r="Q19" s="448"/>
      <c r="R19" s="449"/>
      <c r="S19" s="450"/>
      <c r="T19" s="451"/>
      <c r="U19" s="452"/>
    </row>
    <row r="20" spans="2:21">
      <c r="B20" s="1800"/>
      <c r="C20" s="446" t="s">
        <v>22</v>
      </c>
      <c r="D20" s="453"/>
      <c r="E20" s="454"/>
      <c r="F20" s="455"/>
      <c r="G20" s="456"/>
      <c r="H20" s="447"/>
      <c r="I20" s="448"/>
      <c r="J20" s="449"/>
      <c r="K20" s="450"/>
      <c r="L20" s="447"/>
      <c r="M20" s="448"/>
      <c r="N20" s="449"/>
      <c r="O20" s="450"/>
      <c r="P20" s="447"/>
      <c r="Q20" s="448"/>
      <c r="R20" s="449"/>
      <c r="S20" s="450"/>
      <c r="T20" s="451"/>
      <c r="U20" s="452"/>
    </row>
    <row r="21" spans="2:21">
      <c r="B21" s="1800"/>
      <c r="C21" s="446" t="s">
        <v>23</v>
      </c>
      <c r="D21" s="892"/>
      <c r="E21" s="893"/>
      <c r="F21" s="894"/>
      <c r="G21" s="895"/>
      <c r="H21" s="447"/>
      <c r="I21" s="448"/>
      <c r="J21" s="449"/>
      <c r="K21" s="450"/>
      <c r="L21" s="447"/>
      <c r="M21" s="448"/>
      <c r="N21" s="449"/>
      <c r="O21" s="450"/>
      <c r="P21" s="447"/>
      <c r="Q21" s="448"/>
      <c r="R21" s="449"/>
      <c r="S21" s="450"/>
      <c r="T21" s="451"/>
      <c r="U21" s="452"/>
    </row>
    <row r="22" spans="2:21">
      <c r="B22" s="1800"/>
      <c r="C22" s="446" t="s">
        <v>24</v>
      </c>
      <c r="D22" s="453"/>
      <c r="E22" s="454"/>
      <c r="F22" s="455"/>
      <c r="G22" s="456"/>
      <c r="H22" s="447"/>
      <c r="I22" s="448"/>
      <c r="J22" s="449"/>
      <c r="K22" s="450"/>
      <c r="L22" s="447"/>
      <c r="M22" s="448"/>
      <c r="N22" s="449"/>
      <c r="O22" s="1388"/>
      <c r="P22" s="447"/>
      <c r="Q22" s="448"/>
      <c r="R22" s="449"/>
      <c r="S22" s="450"/>
      <c r="T22" s="451"/>
      <c r="U22" s="452"/>
    </row>
    <row r="23" spans="2:21">
      <c r="B23" s="1800"/>
      <c r="C23" s="446" t="s">
        <v>27</v>
      </c>
      <c r="D23" s="447"/>
      <c r="E23" s="448"/>
      <c r="F23" s="449"/>
      <c r="G23" s="450"/>
      <c r="H23" s="447"/>
      <c r="I23" s="448"/>
      <c r="J23" s="449"/>
      <c r="K23" s="450"/>
      <c r="L23" s="447"/>
      <c r="M23" s="448"/>
      <c r="N23" s="449"/>
      <c r="O23" s="450"/>
      <c r="P23" s="447"/>
      <c r="Q23" s="448"/>
      <c r="R23" s="449"/>
      <c r="S23" s="450"/>
      <c r="T23" s="451"/>
      <c r="U23" s="452"/>
    </row>
    <row r="24" spans="2:21" ht="21" thickBot="1">
      <c r="B24" s="1800"/>
      <c r="C24" s="469" t="s">
        <v>301</v>
      </c>
      <c r="D24" s="470">
        <v>287</v>
      </c>
      <c r="E24" s="470">
        <v>275</v>
      </c>
      <c r="F24" s="470">
        <v>255</v>
      </c>
      <c r="G24" s="470">
        <v>225</v>
      </c>
      <c r="H24" s="470">
        <v>303</v>
      </c>
      <c r="I24" s="1393">
        <v>275</v>
      </c>
      <c r="J24" s="470">
        <v>266</v>
      </c>
      <c r="K24" s="470">
        <v>229</v>
      </c>
      <c r="L24" s="470">
        <v>318</v>
      </c>
      <c r="M24" s="470">
        <v>297</v>
      </c>
      <c r="N24" s="470">
        <v>225</v>
      </c>
      <c r="O24" s="470">
        <v>206</v>
      </c>
      <c r="P24" s="470">
        <v>334</v>
      </c>
      <c r="Q24" s="470">
        <v>314</v>
      </c>
      <c r="R24" s="470">
        <v>263</v>
      </c>
      <c r="S24" s="470">
        <v>264</v>
      </c>
      <c r="T24" s="471"/>
      <c r="U24" s="472"/>
    </row>
    <row r="25" spans="2:21" ht="21" thickBot="1">
      <c r="B25" s="1800"/>
      <c r="C25" s="469" t="s">
        <v>266</v>
      </c>
      <c r="D25" s="470">
        <v>300</v>
      </c>
      <c r="E25" s="470">
        <v>300</v>
      </c>
      <c r="F25" s="470">
        <v>290</v>
      </c>
      <c r="G25" s="470">
        <v>290</v>
      </c>
      <c r="H25" s="470">
        <v>300</v>
      </c>
      <c r="I25" s="470">
        <v>300</v>
      </c>
      <c r="J25" s="470">
        <v>300</v>
      </c>
      <c r="K25" s="470">
        <v>300</v>
      </c>
      <c r="L25" s="470">
        <v>290</v>
      </c>
      <c r="M25" s="470">
        <v>290</v>
      </c>
      <c r="N25" s="470">
        <v>270</v>
      </c>
      <c r="O25" s="470">
        <v>270</v>
      </c>
      <c r="P25" s="470">
        <v>300</v>
      </c>
      <c r="Q25" s="470">
        <v>300</v>
      </c>
      <c r="R25" s="470">
        <v>300</v>
      </c>
      <c r="S25" s="470">
        <v>300</v>
      </c>
      <c r="T25" s="471"/>
      <c r="U25" s="472"/>
    </row>
    <row r="26" spans="2:21">
      <c r="B26" s="1800"/>
      <c r="T26" s="473"/>
      <c r="U26" s="474"/>
    </row>
    <row r="27" spans="2:21" ht="16" customHeight="1">
      <c r="B27" s="1800"/>
      <c r="C27" s="1796" t="s">
        <v>315</v>
      </c>
      <c r="D27" s="475" t="s">
        <v>28</v>
      </c>
      <c r="E27" s="476"/>
      <c r="F27" s="477" t="s">
        <v>29</v>
      </c>
      <c r="G27" s="478"/>
      <c r="H27" s="479" t="s">
        <v>30</v>
      </c>
      <c r="I27" s="480"/>
      <c r="J27" s="479" t="s">
        <v>31</v>
      </c>
      <c r="K27" s="480"/>
      <c r="L27" s="481" t="s">
        <v>32</v>
      </c>
      <c r="M27" s="478"/>
      <c r="N27" s="481" t="s">
        <v>253</v>
      </c>
      <c r="O27" s="478"/>
      <c r="P27" s="479" t="s">
        <v>34</v>
      </c>
      <c r="Q27" s="480"/>
      <c r="R27" s="479" t="s">
        <v>308</v>
      </c>
      <c r="S27" s="480"/>
      <c r="T27" s="1791" t="s">
        <v>37</v>
      </c>
      <c r="U27" s="1792"/>
    </row>
    <row r="28" spans="2:21" ht="27" customHeight="1">
      <c r="B28" s="1800"/>
      <c r="C28" s="1796"/>
      <c r="D28" s="444" t="s">
        <v>312</v>
      </c>
      <c r="E28" s="444" t="s">
        <v>313</v>
      </c>
      <c r="F28" s="444" t="s">
        <v>312</v>
      </c>
      <c r="G28" s="444" t="s">
        <v>313</v>
      </c>
      <c r="H28" s="444" t="s">
        <v>312</v>
      </c>
      <c r="I28" s="444" t="s">
        <v>313</v>
      </c>
      <c r="J28" s="444" t="s">
        <v>312</v>
      </c>
      <c r="K28" s="444" t="s">
        <v>313</v>
      </c>
      <c r="L28" s="444" t="s">
        <v>312</v>
      </c>
      <c r="M28" s="444" t="s">
        <v>313</v>
      </c>
      <c r="N28" s="444" t="s">
        <v>312</v>
      </c>
      <c r="O28" s="444" t="s">
        <v>313</v>
      </c>
      <c r="P28" s="444" t="s">
        <v>312</v>
      </c>
      <c r="Q28" s="444" t="s">
        <v>313</v>
      </c>
      <c r="R28" s="444" t="s">
        <v>312</v>
      </c>
      <c r="S28" s="444" t="s">
        <v>313</v>
      </c>
      <c r="T28" s="444" t="s">
        <v>312</v>
      </c>
      <c r="U28" s="445" t="s">
        <v>313</v>
      </c>
    </row>
    <row r="29" spans="2:21">
      <c r="B29" s="1800"/>
      <c r="C29" s="446" t="s">
        <v>10</v>
      </c>
      <c r="D29" s="892">
        <v>210</v>
      </c>
      <c r="E29" s="893">
        <v>342</v>
      </c>
      <c r="F29" s="894">
        <v>112</v>
      </c>
      <c r="G29" s="895">
        <v>223</v>
      </c>
      <c r="H29" s="892">
        <v>152</v>
      </c>
      <c r="I29" s="893">
        <v>276</v>
      </c>
      <c r="J29" s="894">
        <v>167</v>
      </c>
      <c r="K29" s="895">
        <v>296</v>
      </c>
      <c r="L29" s="892">
        <v>162</v>
      </c>
      <c r="M29" s="893">
        <v>302</v>
      </c>
      <c r="N29" s="894">
        <v>105</v>
      </c>
      <c r="O29" s="895">
        <v>215</v>
      </c>
      <c r="P29" s="892">
        <v>173</v>
      </c>
      <c r="Q29" s="893">
        <v>355</v>
      </c>
      <c r="R29" s="894">
        <v>139</v>
      </c>
      <c r="S29" s="895">
        <v>290</v>
      </c>
      <c r="T29" s="451">
        <v>160</v>
      </c>
      <c r="U29" s="482">
        <v>294</v>
      </c>
    </row>
    <row r="30" spans="2:21">
      <c r="B30" s="1800"/>
      <c r="C30" s="446" t="s">
        <v>25</v>
      </c>
      <c r="D30" s="892">
        <v>166</v>
      </c>
      <c r="E30" s="893">
        <v>291</v>
      </c>
      <c r="F30" s="894">
        <v>122</v>
      </c>
      <c r="G30" s="895">
        <v>208</v>
      </c>
      <c r="H30" s="892">
        <v>135</v>
      </c>
      <c r="I30" s="893">
        <v>251</v>
      </c>
      <c r="J30" s="894">
        <v>138</v>
      </c>
      <c r="K30" s="895">
        <v>242</v>
      </c>
      <c r="L30" s="892">
        <v>164</v>
      </c>
      <c r="M30" s="893">
        <v>301</v>
      </c>
      <c r="N30" s="894">
        <v>110</v>
      </c>
      <c r="O30" s="895">
        <v>224</v>
      </c>
      <c r="P30" s="892">
        <v>166</v>
      </c>
      <c r="Q30" s="893">
        <v>346</v>
      </c>
      <c r="R30" s="894">
        <v>112</v>
      </c>
      <c r="S30" s="895">
        <v>250</v>
      </c>
      <c r="T30" s="451">
        <v>142</v>
      </c>
      <c r="U30" s="482">
        <v>264</v>
      </c>
    </row>
    <row r="31" spans="2:21">
      <c r="B31" s="1800"/>
      <c r="C31" s="446" t="s">
        <v>17</v>
      </c>
      <c r="D31" s="892">
        <v>143</v>
      </c>
      <c r="E31" s="893">
        <v>250</v>
      </c>
      <c r="F31" s="894">
        <v>121</v>
      </c>
      <c r="G31" s="895">
        <v>207</v>
      </c>
      <c r="H31" s="892">
        <v>153</v>
      </c>
      <c r="I31" s="893">
        <v>283</v>
      </c>
      <c r="J31" s="894">
        <v>131</v>
      </c>
      <c r="K31" s="895">
        <v>238</v>
      </c>
      <c r="L31" s="892">
        <v>173</v>
      </c>
      <c r="M31" s="893">
        <v>318</v>
      </c>
      <c r="N31" s="894">
        <v>121</v>
      </c>
      <c r="O31" s="895">
        <v>227</v>
      </c>
      <c r="P31" s="892">
        <v>145</v>
      </c>
      <c r="Q31" s="893">
        <v>311</v>
      </c>
      <c r="R31" s="894">
        <v>116</v>
      </c>
      <c r="S31" s="895">
        <v>242</v>
      </c>
      <c r="T31" s="451">
        <v>138</v>
      </c>
      <c r="U31" s="482">
        <v>256</v>
      </c>
    </row>
    <row r="32" spans="2:21">
      <c r="B32" s="1800"/>
      <c r="C32" s="446" t="s">
        <v>18</v>
      </c>
      <c r="D32" s="892">
        <v>156</v>
      </c>
      <c r="E32" s="893">
        <v>275</v>
      </c>
      <c r="F32" s="894">
        <v>176</v>
      </c>
      <c r="G32" s="895">
        <v>303</v>
      </c>
      <c r="H32" s="892">
        <v>150</v>
      </c>
      <c r="I32" s="893">
        <v>283</v>
      </c>
      <c r="J32" s="894">
        <v>142</v>
      </c>
      <c r="K32" s="895">
        <v>250</v>
      </c>
      <c r="L32" s="892">
        <v>170</v>
      </c>
      <c r="M32" s="893">
        <v>320</v>
      </c>
      <c r="N32" s="894">
        <v>123</v>
      </c>
      <c r="O32" s="895">
        <v>240</v>
      </c>
      <c r="P32" s="892">
        <v>137</v>
      </c>
      <c r="Q32" s="893">
        <v>304</v>
      </c>
      <c r="R32" s="894">
        <v>120</v>
      </c>
      <c r="S32" s="895">
        <v>258</v>
      </c>
      <c r="T32" s="451">
        <v>150</v>
      </c>
      <c r="U32" s="482">
        <v>278</v>
      </c>
    </row>
    <row r="33" spans="2:21">
      <c r="B33" s="1800"/>
      <c r="C33" s="446" t="s">
        <v>19</v>
      </c>
      <c r="D33" s="892">
        <v>158</v>
      </c>
      <c r="E33" s="893">
        <v>278</v>
      </c>
      <c r="F33" s="894">
        <v>172</v>
      </c>
      <c r="G33" s="895">
        <v>313</v>
      </c>
      <c r="H33" s="892">
        <v>170</v>
      </c>
      <c r="I33" s="893">
        <v>310</v>
      </c>
      <c r="J33" s="894">
        <v>141</v>
      </c>
      <c r="K33" s="895">
        <v>250</v>
      </c>
      <c r="L33" s="892">
        <v>191</v>
      </c>
      <c r="M33" s="893">
        <v>338</v>
      </c>
      <c r="N33" s="894">
        <v>116</v>
      </c>
      <c r="O33" s="895">
        <v>228</v>
      </c>
      <c r="P33" s="892">
        <v>141</v>
      </c>
      <c r="Q33" s="893">
        <v>327</v>
      </c>
      <c r="R33" s="894">
        <v>152</v>
      </c>
      <c r="S33" s="895">
        <v>300</v>
      </c>
      <c r="T33" s="451">
        <v>156</v>
      </c>
      <c r="U33" s="482">
        <v>288</v>
      </c>
    </row>
    <row r="34" spans="2:21">
      <c r="B34" s="1800"/>
      <c r="C34" s="457" t="s">
        <v>20</v>
      </c>
      <c r="D34" s="896"/>
      <c r="E34" s="897"/>
      <c r="F34" s="898"/>
      <c r="G34" s="899"/>
      <c r="H34" s="896"/>
      <c r="I34" s="897"/>
      <c r="J34" s="898"/>
      <c r="K34" s="899"/>
      <c r="L34" s="896"/>
      <c r="M34" s="897"/>
      <c r="N34" s="898"/>
      <c r="O34" s="899"/>
      <c r="P34" s="896"/>
      <c r="Q34" s="897"/>
      <c r="R34" s="898"/>
      <c r="S34" s="899"/>
      <c r="T34" s="463"/>
      <c r="U34" s="483"/>
    </row>
    <row r="35" spans="2:21">
      <c r="B35" s="1800"/>
      <c r="C35" s="446" t="s">
        <v>21</v>
      </c>
      <c r="D35" s="900"/>
      <c r="E35" s="901"/>
      <c r="F35" s="902"/>
      <c r="G35" s="903"/>
      <c r="H35" s="900"/>
      <c r="I35" s="901"/>
      <c r="J35" s="902"/>
      <c r="K35" s="903"/>
      <c r="L35" s="900"/>
      <c r="M35" s="901"/>
      <c r="N35" s="902"/>
      <c r="O35" s="903"/>
      <c r="P35" s="900"/>
      <c r="Q35" s="901"/>
      <c r="R35" s="902"/>
      <c r="S35" s="895"/>
      <c r="T35" s="451"/>
      <c r="U35" s="482"/>
    </row>
    <row r="36" spans="2:21">
      <c r="B36" s="1800"/>
      <c r="C36" s="446" t="s">
        <v>26</v>
      </c>
      <c r="D36" s="892"/>
      <c r="E36" s="893"/>
      <c r="F36" s="894"/>
      <c r="G36" s="895"/>
      <c r="H36" s="892"/>
      <c r="I36" s="893"/>
      <c r="J36" s="894"/>
      <c r="K36" s="895"/>
      <c r="L36" s="892"/>
      <c r="M36" s="893"/>
      <c r="N36" s="894"/>
      <c r="O36" s="895"/>
      <c r="P36" s="892"/>
      <c r="Q36" s="893"/>
      <c r="R36" s="894"/>
      <c r="S36" s="895"/>
      <c r="T36" s="451"/>
      <c r="U36" s="482"/>
    </row>
    <row r="37" spans="2:21">
      <c r="B37" s="1800"/>
      <c r="C37" s="446" t="s">
        <v>22</v>
      </c>
      <c r="D37" s="892"/>
      <c r="E37" s="893"/>
      <c r="F37" s="894"/>
      <c r="G37" s="895"/>
      <c r="H37" s="892"/>
      <c r="I37" s="893"/>
      <c r="J37" s="894"/>
      <c r="K37" s="895"/>
      <c r="L37" s="892"/>
      <c r="M37" s="893"/>
      <c r="N37" s="894"/>
      <c r="O37" s="895"/>
      <c r="P37" s="892"/>
      <c r="Q37" s="893"/>
      <c r="R37" s="894"/>
      <c r="S37" s="895"/>
      <c r="T37" s="451"/>
      <c r="U37" s="482"/>
    </row>
    <row r="38" spans="2:21">
      <c r="B38" s="1800"/>
      <c r="C38" s="446" t="s">
        <v>23</v>
      </c>
      <c r="D38" s="892"/>
      <c r="E38" s="893"/>
      <c r="F38" s="894"/>
      <c r="G38" s="895"/>
      <c r="H38" s="892"/>
      <c r="I38" s="893"/>
      <c r="J38" s="894"/>
      <c r="K38" s="895"/>
      <c r="L38" s="892"/>
      <c r="M38" s="893"/>
      <c r="N38" s="894"/>
      <c r="O38" s="895"/>
      <c r="P38" s="892"/>
      <c r="Q38" s="893"/>
      <c r="R38" s="894"/>
      <c r="S38" s="895"/>
      <c r="T38" s="451"/>
      <c r="U38" s="482"/>
    </row>
    <row r="39" spans="2:21">
      <c r="B39" s="1800"/>
      <c r="C39" s="446" t="s">
        <v>24</v>
      </c>
      <c r="D39" s="892"/>
      <c r="E39" s="893"/>
      <c r="F39" s="894"/>
      <c r="G39" s="895"/>
      <c r="H39" s="892"/>
      <c r="I39" s="893"/>
      <c r="J39" s="894"/>
      <c r="K39" s="895"/>
      <c r="L39" s="892"/>
      <c r="M39" s="893"/>
      <c r="N39" s="894"/>
      <c r="O39" s="895"/>
      <c r="P39" s="892"/>
      <c r="Q39" s="893"/>
      <c r="R39" s="894"/>
      <c r="S39" s="895"/>
      <c r="T39" s="451"/>
      <c r="U39" s="482"/>
    </row>
    <row r="40" spans="2:21">
      <c r="B40" s="1800"/>
      <c r="C40" s="446" t="s">
        <v>27</v>
      </c>
      <c r="D40" s="892"/>
      <c r="E40" s="893"/>
      <c r="F40" s="894"/>
      <c r="G40" s="895"/>
      <c r="H40" s="892"/>
      <c r="I40" s="893"/>
      <c r="J40" s="894"/>
      <c r="K40" s="895"/>
      <c r="L40" s="892"/>
      <c r="M40" s="893"/>
      <c r="N40" s="894"/>
      <c r="O40" s="895"/>
      <c r="P40" s="892"/>
      <c r="Q40" s="893"/>
      <c r="R40" s="894"/>
      <c r="S40" s="895"/>
      <c r="T40" s="451"/>
      <c r="U40" s="482"/>
    </row>
    <row r="41" spans="2:21">
      <c r="B41" s="1800"/>
      <c r="C41" s="484" t="s">
        <v>331</v>
      </c>
      <c r="D41" s="485"/>
      <c r="E41" s="485"/>
      <c r="F41" s="486"/>
      <c r="G41" s="486"/>
      <c r="H41" s="486"/>
      <c r="I41" s="486"/>
      <c r="J41" s="486"/>
      <c r="K41" s="486"/>
      <c r="L41" s="486"/>
      <c r="M41" s="486"/>
      <c r="N41" s="486"/>
      <c r="O41" s="486"/>
      <c r="P41" s="486"/>
      <c r="Q41" s="486"/>
      <c r="R41" s="486"/>
      <c r="S41" s="486"/>
      <c r="T41" s="487"/>
      <c r="U41" s="488"/>
    </row>
    <row r="42" spans="2:21" ht="20" thickBot="1"/>
    <row r="43" spans="2:21" ht="32" customHeight="1">
      <c r="B43" s="1799" t="s">
        <v>236</v>
      </c>
      <c r="C43" s="442" t="s">
        <v>51</v>
      </c>
      <c r="D43" s="412" t="s">
        <v>28</v>
      </c>
      <c r="E43" s="413"/>
      <c r="F43" s="414" t="s">
        <v>29</v>
      </c>
      <c r="G43" s="415"/>
      <c r="H43" s="416" t="s">
        <v>30</v>
      </c>
      <c r="I43" s="417"/>
      <c r="J43" s="416" t="s">
        <v>31</v>
      </c>
      <c r="K43" s="417"/>
      <c r="L43" s="418" t="s">
        <v>32</v>
      </c>
      <c r="M43" s="415"/>
      <c r="N43" s="418" t="s">
        <v>253</v>
      </c>
      <c r="O43" s="415"/>
      <c r="P43" s="416" t="s">
        <v>34</v>
      </c>
      <c r="Q43" s="417"/>
      <c r="R43" s="416" t="s">
        <v>308</v>
      </c>
      <c r="S43" s="417"/>
      <c r="T43" s="1797" t="s">
        <v>168</v>
      </c>
      <c r="U43" s="1798"/>
    </row>
    <row r="44" spans="2:21">
      <c r="B44" s="1800"/>
      <c r="C44" s="446" t="s">
        <v>10</v>
      </c>
      <c r="D44" s="490">
        <v>311</v>
      </c>
      <c r="E44" s="490"/>
      <c r="F44" s="491">
        <v>132</v>
      </c>
      <c r="G44" s="492"/>
      <c r="H44" s="493">
        <v>351</v>
      </c>
      <c r="I44" s="492"/>
      <c r="J44" s="493">
        <v>327</v>
      </c>
      <c r="K44" s="492"/>
      <c r="L44" s="493">
        <v>161</v>
      </c>
      <c r="M44" s="492"/>
      <c r="N44" s="493">
        <v>106</v>
      </c>
      <c r="O44" s="492"/>
      <c r="P44" s="493">
        <v>167</v>
      </c>
      <c r="Q44" s="490"/>
      <c r="R44" s="493">
        <v>156</v>
      </c>
      <c r="S44" s="490"/>
      <c r="T44" s="494">
        <f>6*31</f>
        <v>186</v>
      </c>
      <c r="U44" s="495"/>
    </row>
    <row r="45" spans="2:21">
      <c r="B45" s="1800"/>
      <c r="C45" s="446" t="s">
        <v>25</v>
      </c>
      <c r="D45" s="490">
        <v>334</v>
      </c>
      <c r="E45" s="490"/>
      <c r="F45" s="491">
        <v>156</v>
      </c>
      <c r="G45" s="492"/>
      <c r="H45" s="493">
        <v>263</v>
      </c>
      <c r="I45" s="492"/>
      <c r="J45" s="493">
        <v>175</v>
      </c>
      <c r="K45" s="492"/>
      <c r="L45" s="493">
        <v>105</v>
      </c>
      <c r="M45" s="492"/>
      <c r="N45" s="493">
        <v>79</v>
      </c>
      <c r="O45" s="492"/>
      <c r="P45" s="493">
        <v>170</v>
      </c>
      <c r="Q45" s="490"/>
      <c r="R45" s="493">
        <v>200</v>
      </c>
      <c r="S45" s="490"/>
      <c r="T45" s="494">
        <f>6*28</f>
        <v>168</v>
      </c>
      <c r="U45" s="495"/>
    </row>
    <row r="46" spans="2:21">
      <c r="B46" s="1800"/>
      <c r="C46" s="446" t="s">
        <v>17</v>
      </c>
      <c r="D46" s="490">
        <v>268</v>
      </c>
      <c r="E46" s="490"/>
      <c r="F46" s="491">
        <v>203</v>
      </c>
      <c r="G46" s="492"/>
      <c r="H46" s="493">
        <v>261</v>
      </c>
      <c r="I46" s="492"/>
      <c r="J46" s="493">
        <v>250</v>
      </c>
      <c r="K46" s="492"/>
      <c r="L46" s="493">
        <v>125</v>
      </c>
      <c r="M46" s="492"/>
      <c r="N46" s="493">
        <v>73</v>
      </c>
      <c r="O46" s="492"/>
      <c r="P46" s="493">
        <v>247</v>
      </c>
      <c r="Q46" s="490"/>
      <c r="R46" s="493">
        <v>211</v>
      </c>
      <c r="S46" s="490"/>
      <c r="T46" s="494">
        <f>6*31</f>
        <v>186</v>
      </c>
      <c r="U46" s="495"/>
    </row>
    <row r="47" spans="2:21">
      <c r="B47" s="1800"/>
      <c r="C47" s="446" t="s">
        <v>18</v>
      </c>
      <c r="D47" s="490">
        <v>255</v>
      </c>
      <c r="E47" s="490"/>
      <c r="F47" s="491">
        <v>160</v>
      </c>
      <c r="G47" s="490"/>
      <c r="H47" s="493">
        <v>241</v>
      </c>
      <c r="I47" s="490"/>
      <c r="J47" s="493">
        <v>206</v>
      </c>
      <c r="K47" s="490"/>
      <c r="L47" s="493">
        <v>103</v>
      </c>
      <c r="M47" s="490"/>
      <c r="N47" s="493">
        <v>55</v>
      </c>
      <c r="O47" s="490"/>
      <c r="P47" s="493">
        <v>119</v>
      </c>
      <c r="Q47" s="490"/>
      <c r="R47" s="493">
        <v>206</v>
      </c>
      <c r="S47" s="490"/>
      <c r="T47" s="494">
        <f>6*30</f>
        <v>180</v>
      </c>
      <c r="U47" s="495"/>
    </row>
    <row r="48" spans="2:21">
      <c r="B48" s="1800"/>
      <c r="C48" s="446" t="s">
        <v>19</v>
      </c>
      <c r="D48" s="490">
        <v>217</v>
      </c>
      <c r="E48" s="490"/>
      <c r="F48" s="491">
        <v>134</v>
      </c>
      <c r="G48" s="490"/>
      <c r="H48" s="493">
        <v>307</v>
      </c>
      <c r="I48" s="490"/>
      <c r="J48" s="493">
        <v>220</v>
      </c>
      <c r="K48" s="490"/>
      <c r="L48" s="493">
        <v>110</v>
      </c>
      <c r="M48" s="490"/>
      <c r="N48" s="493">
        <v>63</v>
      </c>
      <c r="O48" s="490"/>
      <c r="P48" s="493">
        <v>176</v>
      </c>
      <c r="Q48" s="490"/>
      <c r="R48" s="493">
        <v>204</v>
      </c>
      <c r="S48" s="490"/>
      <c r="T48" s="494">
        <f>6*31</f>
        <v>186</v>
      </c>
      <c r="U48" s="495"/>
    </row>
    <row r="49" spans="2:21">
      <c r="B49" s="1800"/>
      <c r="C49" s="457" t="s">
        <v>20</v>
      </c>
      <c r="D49" s="496">
        <v>40</v>
      </c>
      <c r="E49" s="496"/>
      <c r="F49" s="497">
        <v>41</v>
      </c>
      <c r="G49" s="496"/>
      <c r="H49" s="498">
        <v>96</v>
      </c>
      <c r="I49" s="496"/>
      <c r="J49" s="498">
        <v>31</v>
      </c>
      <c r="K49" s="496"/>
      <c r="L49" s="498">
        <v>30</v>
      </c>
      <c r="M49" s="496"/>
      <c r="N49" s="498">
        <v>28</v>
      </c>
      <c r="O49" s="496"/>
      <c r="P49" s="498">
        <v>35</v>
      </c>
      <c r="Q49" s="496"/>
      <c r="R49" s="498">
        <v>51</v>
      </c>
      <c r="S49" s="496"/>
      <c r="T49" s="499">
        <f>6*7</f>
        <v>42</v>
      </c>
      <c r="U49" s="500"/>
    </row>
    <row r="50" spans="2:21">
      <c r="B50" s="1800"/>
      <c r="C50" s="446" t="s">
        <v>21</v>
      </c>
      <c r="D50" s="501"/>
      <c r="E50" s="501"/>
      <c r="F50" s="502"/>
      <c r="G50" s="501"/>
      <c r="H50" s="502"/>
      <c r="I50" s="503"/>
      <c r="J50" s="502"/>
      <c r="K50" s="503"/>
      <c r="L50" s="502"/>
      <c r="M50" s="503"/>
      <c r="N50" s="502"/>
      <c r="O50" s="503"/>
      <c r="P50" s="502"/>
      <c r="Q50" s="503"/>
      <c r="R50" s="501"/>
      <c r="S50" s="490"/>
      <c r="T50" s="494"/>
      <c r="U50" s="495"/>
    </row>
    <row r="51" spans="2:21">
      <c r="B51" s="1800"/>
      <c r="C51" s="446" t="s">
        <v>26</v>
      </c>
      <c r="D51" s="490"/>
      <c r="E51" s="490"/>
      <c r="F51" s="491"/>
      <c r="G51" s="490"/>
      <c r="H51" s="493"/>
      <c r="I51" s="490"/>
      <c r="J51" s="493"/>
      <c r="K51" s="490"/>
      <c r="L51" s="493"/>
      <c r="M51" s="490"/>
      <c r="N51" s="493"/>
      <c r="O51" s="490"/>
      <c r="P51" s="493"/>
      <c r="Q51" s="490"/>
      <c r="R51" s="493"/>
      <c r="S51" s="490"/>
      <c r="T51" s="494"/>
      <c r="U51" s="495"/>
    </row>
    <row r="52" spans="2:21">
      <c r="B52" s="1800"/>
      <c r="C52" s="446" t="s">
        <v>22</v>
      </c>
      <c r="D52" s="490"/>
      <c r="E52" s="490"/>
      <c r="F52" s="491"/>
      <c r="G52" s="490"/>
      <c r="H52" s="493"/>
      <c r="I52" s="490"/>
      <c r="J52" s="493"/>
      <c r="K52" s="490"/>
      <c r="L52" s="493"/>
      <c r="M52" s="490"/>
      <c r="N52" s="493"/>
      <c r="O52" s="490"/>
      <c r="P52" s="493"/>
      <c r="Q52" s="490"/>
      <c r="R52" s="493"/>
      <c r="S52" s="490"/>
      <c r="T52" s="494"/>
      <c r="U52" s="495"/>
    </row>
    <row r="53" spans="2:21">
      <c r="B53" s="1800"/>
      <c r="C53" s="446" t="s">
        <v>23</v>
      </c>
      <c r="D53" s="490"/>
      <c r="E53" s="490"/>
      <c r="F53" s="491"/>
      <c r="G53" s="490"/>
      <c r="H53" s="493"/>
      <c r="I53" s="490"/>
      <c r="J53" s="493"/>
      <c r="K53" s="490"/>
      <c r="L53" s="493"/>
      <c r="M53" s="490"/>
      <c r="N53" s="493"/>
      <c r="O53" s="490"/>
      <c r="P53" s="493"/>
      <c r="Q53" s="490"/>
      <c r="R53" s="493"/>
      <c r="S53" s="490"/>
      <c r="T53" s="494"/>
      <c r="U53" s="495"/>
    </row>
    <row r="54" spans="2:21">
      <c r="B54" s="1800"/>
      <c r="C54" s="446" t="s">
        <v>24</v>
      </c>
      <c r="D54" s="490"/>
      <c r="E54" s="490"/>
      <c r="F54" s="491"/>
      <c r="G54" s="490"/>
      <c r="H54" s="493"/>
      <c r="I54" s="490"/>
      <c r="J54" s="493"/>
      <c r="K54" s="490"/>
      <c r="L54" s="493"/>
      <c r="M54" s="490"/>
      <c r="N54" s="493"/>
      <c r="O54" s="490"/>
      <c r="P54" s="493"/>
      <c r="Q54" s="490"/>
      <c r="R54" s="493"/>
      <c r="S54" s="490"/>
      <c r="T54" s="494"/>
      <c r="U54" s="495"/>
    </row>
    <row r="55" spans="2:21">
      <c r="B55" s="1800"/>
      <c r="C55" s="446" t="s">
        <v>27</v>
      </c>
      <c r="D55" s="490"/>
      <c r="E55" s="490"/>
      <c r="F55" s="491"/>
      <c r="G55" s="492"/>
      <c r="H55" s="493"/>
      <c r="I55" s="492"/>
      <c r="J55" s="493"/>
      <c r="K55" s="492"/>
      <c r="L55" s="493"/>
      <c r="M55" s="492"/>
      <c r="N55" s="493"/>
      <c r="O55" s="492"/>
      <c r="P55" s="493"/>
      <c r="Q55" s="490"/>
      <c r="R55" s="493"/>
      <c r="S55" s="490"/>
      <c r="T55" s="494"/>
      <c r="U55" s="495"/>
    </row>
    <row r="56" spans="2:21" ht="41" thickBot="1">
      <c r="B56" s="1800"/>
      <c r="C56" s="469" t="s">
        <v>167</v>
      </c>
      <c r="D56" s="504">
        <f>SUM(D44:D55)</f>
        <v>1425</v>
      </c>
      <c r="E56" s="504"/>
      <c r="F56" s="504">
        <f t="shared" ref="F56:T56" si="0">SUM(F44:F55)</f>
        <v>826</v>
      </c>
      <c r="G56" s="504"/>
      <c r="H56" s="504">
        <f t="shared" si="0"/>
        <v>1519</v>
      </c>
      <c r="I56" s="504"/>
      <c r="J56" s="504">
        <f t="shared" si="0"/>
        <v>1209</v>
      </c>
      <c r="K56" s="504"/>
      <c r="L56" s="504">
        <f t="shared" si="0"/>
        <v>634</v>
      </c>
      <c r="M56" s="504"/>
      <c r="N56" s="504">
        <f t="shared" si="0"/>
        <v>404</v>
      </c>
      <c r="O56" s="504"/>
      <c r="P56" s="504">
        <f t="shared" si="0"/>
        <v>914</v>
      </c>
      <c r="Q56" s="504"/>
      <c r="R56" s="504">
        <f t="shared" si="0"/>
        <v>1028</v>
      </c>
      <c r="S56" s="504"/>
      <c r="T56" s="505">
        <f t="shared" si="0"/>
        <v>948</v>
      </c>
      <c r="U56" s="506"/>
    </row>
    <row r="57" spans="2:21">
      <c r="B57" s="1800"/>
      <c r="T57" s="473"/>
      <c r="U57" s="474"/>
    </row>
    <row r="58" spans="2:21" ht="16" customHeight="1">
      <c r="B58" s="1800"/>
      <c r="C58" s="1796" t="s">
        <v>319</v>
      </c>
      <c r="D58" s="475" t="s">
        <v>28</v>
      </c>
      <c r="E58" s="476"/>
      <c r="F58" s="477" t="s">
        <v>29</v>
      </c>
      <c r="G58" s="478"/>
      <c r="H58" s="479" t="s">
        <v>30</v>
      </c>
      <c r="I58" s="480"/>
      <c r="J58" s="479" t="s">
        <v>31</v>
      </c>
      <c r="K58" s="480"/>
      <c r="L58" s="481" t="s">
        <v>32</v>
      </c>
      <c r="M58" s="478"/>
      <c r="N58" s="481" t="s">
        <v>253</v>
      </c>
      <c r="O58" s="478"/>
      <c r="P58" s="479" t="s">
        <v>34</v>
      </c>
      <c r="Q58" s="480"/>
      <c r="R58" s="479" t="s">
        <v>308</v>
      </c>
      <c r="S58" s="480"/>
      <c r="T58" s="1806" t="s">
        <v>37</v>
      </c>
      <c r="U58" s="1807"/>
    </row>
    <row r="59" spans="2:21" ht="40">
      <c r="B59" s="1800"/>
      <c r="C59" s="1796"/>
      <c r="D59" s="444" t="s">
        <v>318</v>
      </c>
      <c r="E59" s="444" t="s">
        <v>317</v>
      </c>
      <c r="F59" s="444" t="s">
        <v>318</v>
      </c>
      <c r="G59" s="444" t="s">
        <v>317</v>
      </c>
      <c r="H59" s="444" t="s">
        <v>318</v>
      </c>
      <c r="I59" s="444" t="s">
        <v>317</v>
      </c>
      <c r="J59" s="444" t="s">
        <v>318</v>
      </c>
      <c r="K59" s="444" t="s">
        <v>317</v>
      </c>
      <c r="L59" s="444" t="s">
        <v>318</v>
      </c>
      <c r="M59" s="444" t="s">
        <v>317</v>
      </c>
      <c r="N59" s="444" t="s">
        <v>318</v>
      </c>
      <c r="O59" s="444" t="s">
        <v>317</v>
      </c>
      <c r="P59" s="444" t="s">
        <v>318</v>
      </c>
      <c r="Q59" s="444" t="s">
        <v>317</v>
      </c>
      <c r="R59" s="444" t="s">
        <v>318</v>
      </c>
      <c r="S59" s="444" t="s">
        <v>317</v>
      </c>
      <c r="T59" s="507"/>
      <c r="U59" s="445"/>
    </row>
    <row r="60" spans="2:21">
      <c r="B60" s="1800"/>
      <c r="C60" s="446" t="s">
        <v>10</v>
      </c>
      <c r="D60" s="508">
        <v>0.89700000000000002</v>
      </c>
      <c r="E60" s="509">
        <v>3.2</v>
      </c>
      <c r="F60" s="510">
        <v>0.93200000000000005</v>
      </c>
      <c r="G60" s="511">
        <v>4.4000000000000004</v>
      </c>
      <c r="H60" s="512">
        <v>0.96899999999999997</v>
      </c>
      <c r="I60" s="513">
        <v>4.5</v>
      </c>
      <c r="J60" s="512">
        <v>0.95399999999999996</v>
      </c>
      <c r="K60" s="513">
        <v>4.4000000000000004</v>
      </c>
      <c r="L60" s="512">
        <v>0.95</v>
      </c>
      <c r="M60" s="513">
        <v>3.8</v>
      </c>
      <c r="N60" s="512">
        <v>0.97199999999999998</v>
      </c>
      <c r="O60" s="511">
        <v>4.4000000000000004</v>
      </c>
      <c r="P60" s="512">
        <v>0.95799999999999996</v>
      </c>
      <c r="Q60" s="509">
        <v>3.2</v>
      </c>
      <c r="R60" s="512">
        <v>0.96199999999999997</v>
      </c>
      <c r="S60" s="509">
        <v>4.5</v>
      </c>
      <c r="T60" s="514">
        <v>0.94799999999999995</v>
      </c>
      <c r="U60" s="516">
        <v>4.0999999999999996</v>
      </c>
    </row>
    <row r="61" spans="2:21">
      <c r="B61" s="1800"/>
      <c r="C61" s="446" t="s">
        <v>25</v>
      </c>
      <c r="D61" s="508">
        <v>0.93400000000000005</v>
      </c>
      <c r="E61" s="509">
        <v>3.4</v>
      </c>
      <c r="F61" s="510">
        <v>0.92900000000000005</v>
      </c>
      <c r="G61" s="515">
        <v>4.3</v>
      </c>
      <c r="H61" s="512">
        <v>0.95799999999999996</v>
      </c>
      <c r="I61" s="513">
        <v>4.8</v>
      </c>
      <c r="J61" s="512">
        <v>0.95399999999999996</v>
      </c>
      <c r="K61" s="513">
        <v>4.4000000000000004</v>
      </c>
      <c r="L61" s="512">
        <v>0.94299999999999995</v>
      </c>
      <c r="M61" s="513">
        <v>4.2</v>
      </c>
      <c r="N61" s="512">
        <v>0.96199999999999997</v>
      </c>
      <c r="O61" s="513">
        <v>4.2</v>
      </c>
      <c r="P61" s="512">
        <v>0.93500000000000005</v>
      </c>
      <c r="Q61" s="509">
        <v>4.3</v>
      </c>
      <c r="R61" s="512">
        <v>0.99</v>
      </c>
      <c r="S61" s="509">
        <v>4.3</v>
      </c>
      <c r="T61" s="514">
        <v>0.95</v>
      </c>
      <c r="U61" s="516">
        <v>4.3</v>
      </c>
    </row>
    <row r="62" spans="2:21">
      <c r="B62" s="1800"/>
      <c r="C62" s="446" t="s">
        <v>17</v>
      </c>
      <c r="D62" s="508">
        <v>0.95099999999999996</v>
      </c>
      <c r="E62" s="450">
        <v>3.9</v>
      </c>
      <c r="F62" s="510">
        <v>0.95599999999999996</v>
      </c>
      <c r="G62" s="515">
        <v>4.5</v>
      </c>
      <c r="H62" s="512">
        <v>0.98099999999999998</v>
      </c>
      <c r="I62" s="513">
        <v>4.2</v>
      </c>
      <c r="J62" s="512">
        <v>0.96399999999999997</v>
      </c>
      <c r="K62" s="515">
        <v>4.3</v>
      </c>
      <c r="L62" s="512">
        <v>0.97599999999999998</v>
      </c>
      <c r="M62" s="513">
        <v>3.9</v>
      </c>
      <c r="N62" s="512">
        <v>0.94499999999999995</v>
      </c>
      <c r="O62" s="515">
        <v>4.5999999999999996</v>
      </c>
      <c r="P62" s="512">
        <v>0.96399999999999997</v>
      </c>
      <c r="Q62" s="509">
        <v>4.2</v>
      </c>
      <c r="R62" s="512">
        <v>0.97599999999999998</v>
      </c>
      <c r="S62" s="450">
        <v>4.5</v>
      </c>
      <c r="T62" s="514">
        <v>0.96499999999999997</v>
      </c>
      <c r="U62" s="482">
        <v>4.3</v>
      </c>
    </row>
    <row r="63" spans="2:21">
      <c r="B63" s="1800"/>
      <c r="C63" s="446" t="s">
        <v>18</v>
      </c>
      <c r="D63" s="508">
        <v>0.94099999999999995</v>
      </c>
      <c r="E63" s="509">
        <v>3.8</v>
      </c>
      <c r="F63" s="510">
        <v>0.91200000000000003</v>
      </c>
      <c r="G63" s="509">
        <v>3.5</v>
      </c>
      <c r="H63" s="512">
        <v>0.95899999999999996</v>
      </c>
      <c r="I63" s="450">
        <v>4.4000000000000004</v>
      </c>
      <c r="J63" s="512">
        <v>0.94699999999999995</v>
      </c>
      <c r="K63" s="509">
        <v>4.3</v>
      </c>
      <c r="L63" s="512">
        <v>0.96099999999999997</v>
      </c>
      <c r="M63" s="509">
        <v>3.9</v>
      </c>
      <c r="N63" s="512">
        <v>0.98199999999999998</v>
      </c>
      <c r="O63" s="509">
        <v>4.5999999999999996</v>
      </c>
      <c r="P63" s="512">
        <v>0.95799999999999996</v>
      </c>
      <c r="Q63" s="509">
        <v>3.4</v>
      </c>
      <c r="R63" s="512">
        <v>0.97099999999999997</v>
      </c>
      <c r="S63" s="450">
        <v>4.3</v>
      </c>
      <c r="T63" s="514">
        <v>0.95099999999999996</v>
      </c>
      <c r="U63" s="482">
        <v>4.0999999999999996</v>
      </c>
    </row>
    <row r="64" spans="2:21">
      <c r="B64" s="1800"/>
      <c r="C64" s="446" t="s">
        <v>19</v>
      </c>
      <c r="D64" s="508">
        <v>0.93100000000000005</v>
      </c>
      <c r="E64" s="450">
        <v>3.5</v>
      </c>
      <c r="F64" s="510">
        <v>0.90300000000000002</v>
      </c>
      <c r="G64" s="509">
        <v>3.9</v>
      </c>
      <c r="H64" s="512">
        <v>0.97099999999999997</v>
      </c>
      <c r="I64" s="509">
        <v>4.3</v>
      </c>
      <c r="J64" s="512">
        <v>0.94499999999999995</v>
      </c>
      <c r="K64" s="509">
        <v>4.9000000000000004</v>
      </c>
      <c r="L64" s="512">
        <v>0.96399999999999997</v>
      </c>
      <c r="M64" s="450">
        <v>4.3</v>
      </c>
      <c r="N64" s="512">
        <v>0.84099999999999997</v>
      </c>
      <c r="O64" s="509">
        <v>5</v>
      </c>
      <c r="P64" s="512">
        <v>0.96</v>
      </c>
      <c r="Q64" s="509">
        <v>3.2</v>
      </c>
      <c r="R64" s="512">
        <v>0.96599999999999997</v>
      </c>
      <c r="S64" s="450">
        <v>4.2</v>
      </c>
      <c r="T64" s="514">
        <v>0.94799999999999995</v>
      </c>
      <c r="U64" s="482">
        <v>4.4000000000000004</v>
      </c>
    </row>
    <row r="65" spans="2:25">
      <c r="B65" s="1800"/>
      <c r="C65" s="457" t="s">
        <v>20</v>
      </c>
      <c r="D65" s="517">
        <v>1</v>
      </c>
      <c r="E65" s="1054">
        <v>3.6</v>
      </c>
      <c r="F65" s="518">
        <v>0.97599999999999998</v>
      </c>
      <c r="G65" s="1054">
        <v>4.8</v>
      </c>
      <c r="H65" s="519">
        <v>0.99</v>
      </c>
      <c r="I65" s="1054">
        <v>5</v>
      </c>
      <c r="J65" s="519">
        <v>0.871</v>
      </c>
      <c r="K65" s="1054">
        <v>4.5999999999999996</v>
      </c>
      <c r="L65" s="519">
        <v>0.93300000000000005</v>
      </c>
      <c r="M65" s="1054">
        <v>5</v>
      </c>
      <c r="N65" s="519">
        <v>0.96399999999999997</v>
      </c>
      <c r="O65" s="1054">
        <v>4.0999999999999996</v>
      </c>
      <c r="P65" s="519">
        <v>0.94299999999999995</v>
      </c>
      <c r="Q65" s="1054">
        <v>3.8</v>
      </c>
      <c r="R65" s="519">
        <v>1</v>
      </c>
      <c r="S65" s="1058">
        <v>5</v>
      </c>
      <c r="T65" s="520">
        <v>0.96899999999999997</v>
      </c>
      <c r="U65" s="483">
        <v>4.3</v>
      </c>
    </row>
    <row r="66" spans="2:25">
      <c r="B66" s="1800"/>
      <c r="C66" s="446" t="s">
        <v>21</v>
      </c>
      <c r="D66" s="521"/>
      <c r="E66" s="1137"/>
      <c r="F66" s="522"/>
      <c r="G66" s="1137"/>
      <c r="H66" s="522"/>
      <c r="I66" s="1136"/>
      <c r="J66" s="522"/>
      <c r="K66" s="523"/>
      <c r="L66" s="522"/>
      <c r="M66" s="523"/>
      <c r="N66" s="522"/>
      <c r="O66" s="523"/>
      <c r="P66" s="522"/>
      <c r="Q66" s="523"/>
      <c r="R66" s="508"/>
      <c r="S66" s="450"/>
      <c r="T66" s="514"/>
      <c r="U66" s="516"/>
    </row>
    <row r="67" spans="2:25">
      <c r="B67" s="1800"/>
      <c r="C67" s="446" t="s">
        <v>26</v>
      </c>
      <c r="D67" s="508"/>
      <c r="E67" s="509"/>
      <c r="F67" s="510"/>
      <c r="G67" s="509"/>
      <c r="H67" s="512"/>
      <c r="I67" s="450"/>
      <c r="J67" s="512"/>
      <c r="K67" s="509"/>
      <c r="L67" s="512"/>
      <c r="M67" s="509"/>
      <c r="N67" s="512"/>
      <c r="O67" s="450"/>
      <c r="P67" s="512"/>
      <c r="Q67" s="509"/>
      <c r="R67" s="512"/>
      <c r="S67" s="450"/>
      <c r="T67" s="514"/>
      <c r="U67" s="516"/>
    </row>
    <row r="68" spans="2:25">
      <c r="B68" s="1800"/>
      <c r="C68" s="446" t="s">
        <v>22</v>
      </c>
      <c r="D68" s="508"/>
      <c r="E68" s="509"/>
      <c r="F68" s="510"/>
      <c r="G68" s="450"/>
      <c r="H68" s="512"/>
      <c r="I68" s="450"/>
      <c r="J68" s="512"/>
      <c r="K68" s="450"/>
      <c r="L68" s="512"/>
      <c r="M68" s="450"/>
      <c r="N68" s="512"/>
      <c r="O68" s="450"/>
      <c r="P68" s="512"/>
      <c r="Q68" s="509"/>
      <c r="R68" s="512"/>
      <c r="S68" s="450"/>
      <c r="T68" s="514"/>
      <c r="U68" s="482"/>
    </row>
    <row r="69" spans="2:25">
      <c r="B69" s="1800"/>
      <c r="C69" s="446" t="s">
        <v>23</v>
      </c>
      <c r="D69" s="508"/>
      <c r="E69" s="450"/>
      <c r="F69" s="510"/>
      <c r="G69" s="509"/>
      <c r="H69" s="512"/>
      <c r="I69" s="450"/>
      <c r="J69" s="512"/>
      <c r="K69" s="450"/>
      <c r="L69" s="512"/>
      <c r="M69" s="450"/>
      <c r="N69" s="512"/>
      <c r="O69" s="509"/>
      <c r="P69" s="512"/>
      <c r="Q69" s="450"/>
      <c r="R69" s="512"/>
      <c r="S69" s="450"/>
      <c r="T69" s="514"/>
      <c r="U69" s="482"/>
    </row>
    <row r="70" spans="2:25">
      <c r="B70" s="1800"/>
      <c r="C70" s="446" t="s">
        <v>24</v>
      </c>
      <c r="D70" s="508"/>
      <c r="E70" s="450"/>
      <c r="F70" s="510"/>
      <c r="G70" s="509"/>
      <c r="H70" s="512"/>
      <c r="I70" s="450"/>
      <c r="J70" s="512"/>
      <c r="K70" s="509"/>
      <c r="L70" s="512"/>
      <c r="M70" s="509"/>
      <c r="N70" s="512"/>
      <c r="O70" s="509"/>
      <c r="P70" s="512"/>
      <c r="Q70" s="509"/>
      <c r="R70" s="512"/>
      <c r="S70" s="450"/>
      <c r="T70" s="514"/>
      <c r="U70" s="482"/>
    </row>
    <row r="71" spans="2:25">
      <c r="B71" s="1800"/>
      <c r="C71" s="446" t="s">
        <v>27</v>
      </c>
      <c r="D71" s="508"/>
      <c r="E71" s="509"/>
      <c r="F71" s="510"/>
      <c r="G71" s="513"/>
      <c r="H71" s="512"/>
      <c r="I71" s="513"/>
      <c r="J71" s="512"/>
      <c r="K71" s="513"/>
      <c r="L71" s="512"/>
      <c r="M71" s="513"/>
      <c r="N71" s="512"/>
      <c r="O71" s="513"/>
      <c r="P71" s="512"/>
      <c r="Q71" s="509"/>
      <c r="R71" s="512"/>
      <c r="S71" s="509"/>
      <c r="T71" s="514"/>
      <c r="U71" s="482"/>
    </row>
    <row r="72" spans="2:25" ht="21" thickBot="1">
      <c r="B72" s="1801"/>
      <c r="C72" s="489" t="s">
        <v>162</v>
      </c>
      <c r="D72" s="524">
        <v>0.9</v>
      </c>
      <c r="E72" s="525" t="s">
        <v>321</v>
      </c>
      <c r="F72" s="524">
        <v>0.9</v>
      </c>
      <c r="G72" s="525" t="s">
        <v>321</v>
      </c>
      <c r="H72" s="526">
        <v>0.9</v>
      </c>
      <c r="I72" s="525" t="s">
        <v>321</v>
      </c>
      <c r="J72" s="526">
        <v>0.9</v>
      </c>
      <c r="K72" s="525" t="s">
        <v>321</v>
      </c>
      <c r="L72" s="526">
        <v>0.9</v>
      </c>
      <c r="M72" s="525" t="s">
        <v>321</v>
      </c>
      <c r="N72" s="526">
        <v>0.9</v>
      </c>
      <c r="O72" s="525" t="s">
        <v>321</v>
      </c>
      <c r="P72" s="526">
        <v>0.9</v>
      </c>
      <c r="Q72" s="525" t="s">
        <v>321</v>
      </c>
      <c r="R72" s="526">
        <v>0.9</v>
      </c>
      <c r="S72" s="525" t="s">
        <v>321</v>
      </c>
      <c r="T72" s="526">
        <v>0.9</v>
      </c>
      <c r="U72" s="527" t="s">
        <v>321</v>
      </c>
    </row>
    <row r="73" spans="2:25" ht="20" thickBot="1"/>
    <row r="74" spans="2:25" ht="32" customHeight="1">
      <c r="B74" s="1799" t="s">
        <v>235</v>
      </c>
      <c r="C74" s="442" t="s">
        <v>272</v>
      </c>
      <c r="D74" s="412" t="s">
        <v>28</v>
      </c>
      <c r="E74" s="413"/>
      <c r="F74" s="414" t="s">
        <v>29</v>
      </c>
      <c r="G74" s="415"/>
      <c r="H74" s="416" t="s">
        <v>30</v>
      </c>
      <c r="I74" s="417"/>
      <c r="J74" s="416" t="s">
        <v>31</v>
      </c>
      <c r="K74" s="417"/>
      <c r="L74" s="418" t="s">
        <v>32</v>
      </c>
      <c r="M74" s="415"/>
      <c r="N74" s="418" t="s">
        <v>253</v>
      </c>
      <c r="O74" s="415"/>
      <c r="P74" s="416" t="s">
        <v>34</v>
      </c>
      <c r="Q74" s="417"/>
      <c r="R74" s="416" t="s">
        <v>308</v>
      </c>
      <c r="S74" s="417"/>
      <c r="T74" s="1797" t="s">
        <v>37</v>
      </c>
      <c r="U74" s="1798"/>
      <c r="X74" s="211" t="str">
        <f>D74</f>
        <v>CHAMBERY</v>
      </c>
      <c r="Y74" s="237">
        <f>D87</f>
        <v>0.98899999999999999</v>
      </c>
    </row>
    <row r="75" spans="2:25">
      <c r="B75" s="1800"/>
      <c r="C75" s="528" t="s">
        <v>10</v>
      </c>
      <c r="D75" s="529">
        <v>0.98899999999999999</v>
      </c>
      <c r="E75" s="490"/>
      <c r="F75" s="1455"/>
      <c r="G75" s="530"/>
      <c r="H75" s="913"/>
      <c r="I75" s="492"/>
      <c r="J75" s="1701">
        <v>0.96599999999999997</v>
      </c>
      <c r="K75" s="1418"/>
      <c r="L75" s="913">
        <f>100%+0.000001</f>
        <v>1.0000009999999999</v>
      </c>
      <c r="M75" s="1418"/>
      <c r="N75" s="913">
        <v>1</v>
      </c>
      <c r="O75" s="1418"/>
      <c r="P75" s="531"/>
      <c r="Q75" s="532"/>
      <c r="R75" s="531"/>
      <c r="S75" s="532"/>
      <c r="T75" s="1229">
        <f>AVERAGE(D75:S75)</f>
        <v>0.98875025000000005</v>
      </c>
      <c r="U75" s="495"/>
      <c r="X75" s="211" t="str">
        <f>F74</f>
        <v>AIX LES BAINS</v>
      </c>
      <c r="Y75" s="237">
        <f>F87</f>
        <v>0.98699999999999999</v>
      </c>
    </row>
    <row r="76" spans="2:25" s="404" customFormat="1">
      <c r="B76" s="1800"/>
      <c r="C76" s="528" t="s">
        <v>25</v>
      </c>
      <c r="D76" s="450"/>
      <c r="E76" s="450"/>
      <c r="F76" s="1456">
        <v>0.98899999999999999</v>
      </c>
      <c r="G76" s="529"/>
      <c r="H76" s="913">
        <v>1</v>
      </c>
      <c r="I76" s="1418"/>
      <c r="J76" s="1571"/>
      <c r="K76" s="515"/>
      <c r="L76" s="447"/>
      <c r="M76" s="515"/>
      <c r="N76" s="447"/>
      <c r="O76" s="515"/>
      <c r="P76" s="534"/>
      <c r="Q76" s="535"/>
      <c r="R76" s="447"/>
      <c r="S76" s="450"/>
      <c r="T76" s="1230">
        <f t="shared" ref="T76:T85" si="1">IFERROR(AVERAGE(D76:S76),"")</f>
        <v>0.99449999999999994</v>
      </c>
      <c r="U76" s="1231"/>
      <c r="X76" s="211" t="str">
        <f>H74</f>
        <v>BELLEY</v>
      </c>
      <c r="Y76" s="237">
        <f>IFERROR(H87,"")</f>
        <v>1</v>
      </c>
    </row>
    <row r="77" spans="2:25" s="404" customFormat="1">
      <c r="B77" s="1800"/>
      <c r="C77" s="528" t="s">
        <v>17</v>
      </c>
      <c r="D77" s="450"/>
      <c r="E77" s="450"/>
      <c r="F77" s="1457"/>
      <c r="G77" s="492"/>
      <c r="H77" s="447"/>
      <c r="I77" s="515"/>
      <c r="J77" s="447"/>
      <c r="K77" s="515"/>
      <c r="L77" s="890"/>
      <c r="M77" s="492"/>
      <c r="N77" s="891"/>
      <c r="O77" s="492"/>
      <c r="P77" s="1712">
        <v>0.86599999999999999</v>
      </c>
      <c r="Q77" s="490"/>
      <c r="R77" s="890">
        <v>0.98899999999999999</v>
      </c>
      <c r="S77" s="490"/>
      <c r="T77" s="1230">
        <f t="shared" si="1"/>
        <v>0.92749999999999999</v>
      </c>
      <c r="U77" s="1231"/>
      <c r="X77" s="211" t="str">
        <f>J74</f>
        <v>ST ALBAN</v>
      </c>
      <c r="Y77" s="237">
        <f>J87</f>
        <v>0.96599999999999997</v>
      </c>
    </row>
    <row r="78" spans="2:25" s="404" customFormat="1">
      <c r="B78" s="1800"/>
      <c r="C78" s="528" t="s">
        <v>18</v>
      </c>
      <c r="D78" s="450"/>
      <c r="E78" s="450"/>
      <c r="F78" s="1456">
        <v>0.98499999999999999</v>
      </c>
      <c r="G78" s="529"/>
      <c r="H78" s="447"/>
      <c r="I78" s="450"/>
      <c r="J78" s="447"/>
      <c r="K78" s="450"/>
      <c r="L78" s="447"/>
      <c r="M78" s="450"/>
      <c r="N78" s="913">
        <v>1</v>
      </c>
      <c r="O78" s="490"/>
      <c r="P78" s="913" t="s">
        <v>438</v>
      </c>
      <c r="Q78" s="490"/>
      <c r="R78" s="890">
        <v>0.98499999999999999</v>
      </c>
      <c r="S78" s="490"/>
      <c r="T78" s="1230">
        <f t="shared" si="1"/>
        <v>0.98999999999999988</v>
      </c>
      <c r="U78" s="1231"/>
      <c r="X78" s="211" t="str">
        <f>L74</f>
        <v>LES ABRETS</v>
      </c>
      <c r="Y78" s="237">
        <f>L87</f>
        <v>1.0000005000000001</v>
      </c>
    </row>
    <row r="79" spans="2:25" s="404" customFormat="1">
      <c r="B79" s="1800"/>
      <c r="C79" s="528" t="s">
        <v>19</v>
      </c>
      <c r="D79" s="529"/>
      <c r="E79" s="492"/>
      <c r="F79" s="536"/>
      <c r="G79" s="492"/>
      <c r="H79" s="447"/>
      <c r="I79" s="450"/>
      <c r="J79" s="890"/>
      <c r="K79" s="492"/>
      <c r="L79" s="913">
        <v>1</v>
      </c>
      <c r="M79" s="1418"/>
      <c r="N79" s="891" t="s">
        <v>438</v>
      </c>
      <c r="O79" s="492"/>
      <c r="P79" s="447"/>
      <c r="Q79" s="450"/>
      <c r="R79" s="890"/>
      <c r="S79" s="492"/>
      <c r="T79" s="1230">
        <f t="shared" si="1"/>
        <v>1</v>
      </c>
      <c r="U79" s="1231"/>
      <c r="X79" s="211" t="str">
        <f>N74</f>
        <v>PDB</v>
      </c>
      <c r="Y79" s="237">
        <f>N87</f>
        <v>1</v>
      </c>
    </row>
    <row r="80" spans="2:25" s="404" customFormat="1">
      <c r="B80" s="1800"/>
      <c r="C80" s="538" t="s">
        <v>20</v>
      </c>
      <c r="D80" s="1052"/>
      <c r="E80" s="496"/>
      <c r="F80" s="1062"/>
      <c r="G80" s="462"/>
      <c r="H80" s="1060"/>
      <c r="I80" s="1061"/>
      <c r="J80" s="460"/>
      <c r="K80" s="462"/>
      <c r="L80" s="890"/>
      <c r="M80" s="496"/>
      <c r="N80" s="460"/>
      <c r="O80" s="462"/>
      <c r="P80" s="460"/>
      <c r="Q80" s="462"/>
      <c r="R80" s="460"/>
      <c r="S80" s="462"/>
      <c r="T80" s="1232" t="str">
        <f t="shared" si="1"/>
        <v/>
      </c>
      <c r="U80" s="1233"/>
      <c r="X80" s="211" t="str">
        <f>P74</f>
        <v>FRANCIN</v>
      </c>
      <c r="Y80" s="237">
        <f>P87</f>
        <v>0.86599999999999999</v>
      </c>
    </row>
    <row r="81" spans="2:25" s="404" customFormat="1">
      <c r="B81" s="1800"/>
      <c r="C81" s="528" t="s">
        <v>21</v>
      </c>
      <c r="D81" s="1064"/>
      <c r="E81" s="1065"/>
      <c r="F81" s="1138"/>
      <c r="G81" s="501"/>
      <c r="H81" s="1138"/>
      <c r="I81" s="503"/>
      <c r="J81" s="465"/>
      <c r="K81" s="523"/>
      <c r="L81" s="1138"/>
      <c r="M81" s="501"/>
      <c r="N81" s="465"/>
      <c r="O81" s="523"/>
      <c r="P81" s="1063"/>
      <c r="Q81" s="1139"/>
      <c r="R81" s="468"/>
      <c r="S81" s="450"/>
      <c r="T81" s="1230" t="str">
        <f t="shared" si="1"/>
        <v/>
      </c>
      <c r="U81" s="1231"/>
      <c r="X81" s="211" t="str">
        <f>R74</f>
        <v>VIVIERS</v>
      </c>
      <c r="Y81" s="237">
        <f>R87</f>
        <v>0.98699999999999999</v>
      </c>
    </row>
    <row r="82" spans="2:25" s="404" customFormat="1">
      <c r="B82" s="1800"/>
      <c r="C82" s="528" t="s">
        <v>26</v>
      </c>
      <c r="D82" s="450"/>
      <c r="E82" s="450"/>
      <c r="F82" s="533"/>
      <c r="G82" s="450"/>
      <c r="H82" s="447"/>
      <c r="I82" s="450"/>
      <c r="J82" s="447"/>
      <c r="K82" s="450"/>
      <c r="L82" s="447"/>
      <c r="M82" s="450"/>
      <c r="N82" s="890"/>
      <c r="O82" s="492"/>
      <c r="P82" s="447"/>
      <c r="Q82" s="450"/>
      <c r="R82" s="447"/>
      <c r="S82" s="450"/>
      <c r="T82" s="1230" t="str">
        <f t="shared" si="1"/>
        <v/>
      </c>
      <c r="U82" s="1231"/>
    </row>
    <row r="83" spans="2:25" s="404" customFormat="1">
      <c r="B83" s="1800"/>
      <c r="C83" s="528" t="s">
        <v>22</v>
      </c>
      <c r="D83" s="529"/>
      <c r="E83" s="490"/>
      <c r="F83" s="533"/>
      <c r="G83" s="450"/>
      <c r="H83" s="447"/>
      <c r="I83" s="450"/>
      <c r="J83" s="1227"/>
      <c r="K83" s="490"/>
      <c r="L83" s="447"/>
      <c r="M83" s="450"/>
      <c r="N83" s="447"/>
      <c r="O83" s="450"/>
      <c r="P83" s="890"/>
      <c r="Q83" s="490"/>
      <c r="R83" s="537"/>
      <c r="S83" s="1228"/>
      <c r="T83" s="1230" t="str">
        <f t="shared" si="1"/>
        <v/>
      </c>
      <c r="U83" s="1231"/>
    </row>
    <row r="84" spans="2:25" s="404" customFormat="1">
      <c r="B84" s="1800"/>
      <c r="C84" s="528" t="s">
        <v>23</v>
      </c>
      <c r="D84" s="450"/>
      <c r="E84" s="450"/>
      <c r="F84" s="536"/>
      <c r="G84" s="490"/>
      <c r="H84" s="447"/>
      <c r="I84" s="450"/>
      <c r="J84" s="447"/>
      <c r="K84" s="450"/>
      <c r="L84" s="447"/>
      <c r="M84" s="450"/>
      <c r="N84" s="890"/>
      <c r="O84" s="490"/>
      <c r="P84" s="447"/>
      <c r="Q84" s="450"/>
      <c r="R84" s="447"/>
      <c r="S84" s="450"/>
      <c r="T84" s="1230" t="str">
        <f t="shared" si="1"/>
        <v/>
      </c>
      <c r="U84" s="495"/>
    </row>
    <row r="85" spans="2:25" s="404" customFormat="1">
      <c r="B85" s="1800"/>
      <c r="C85" s="528" t="s">
        <v>24</v>
      </c>
      <c r="D85" s="536"/>
      <c r="E85" s="490"/>
      <c r="F85" s="533"/>
      <c r="G85" s="450"/>
      <c r="H85" s="447"/>
      <c r="I85" s="450"/>
      <c r="J85" s="890"/>
      <c r="K85" s="490"/>
      <c r="L85" s="890"/>
      <c r="M85" s="490"/>
      <c r="N85" s="447"/>
      <c r="O85" s="450"/>
      <c r="P85" s="447"/>
      <c r="Q85" s="450"/>
      <c r="R85" s="890"/>
      <c r="S85" s="490"/>
      <c r="T85" s="1230" t="str">
        <f t="shared" si="1"/>
        <v/>
      </c>
      <c r="U85" s="495"/>
    </row>
    <row r="86" spans="2:25" s="404" customFormat="1">
      <c r="B86" s="1800"/>
      <c r="C86" s="528" t="s">
        <v>27</v>
      </c>
      <c r="D86" s="450"/>
      <c r="E86" s="450"/>
      <c r="F86" s="533"/>
      <c r="G86" s="515"/>
      <c r="H86" s="890"/>
      <c r="I86" s="490"/>
      <c r="J86" s="447"/>
      <c r="K86" s="515"/>
      <c r="L86" s="447"/>
      <c r="M86" s="515"/>
      <c r="N86" s="447"/>
      <c r="O86" s="515"/>
      <c r="P86" s="447"/>
      <c r="Q86" s="450"/>
      <c r="R86" s="447"/>
      <c r="S86" s="450"/>
      <c r="T86" s="451"/>
      <c r="U86" s="482"/>
    </row>
    <row r="87" spans="2:25" ht="20" thickBot="1">
      <c r="B87" s="1800"/>
      <c r="C87" s="539" t="s">
        <v>54</v>
      </c>
      <c r="D87" s="540">
        <f>AVERAGE(D75:D86)</f>
        <v>0.98899999999999999</v>
      </c>
      <c r="E87" s="540"/>
      <c r="F87" s="541">
        <f t="shared" ref="F87:T87" si="2">AVERAGE(F75:F86)</f>
        <v>0.98699999999999999</v>
      </c>
      <c r="G87" s="541"/>
      <c r="H87" s="541">
        <f t="shared" si="2"/>
        <v>1</v>
      </c>
      <c r="I87" s="541"/>
      <c r="J87" s="541">
        <f t="shared" si="2"/>
        <v>0.96599999999999997</v>
      </c>
      <c r="K87" s="541"/>
      <c r="L87" s="541">
        <f t="shared" si="2"/>
        <v>1.0000005000000001</v>
      </c>
      <c r="M87" s="541"/>
      <c r="N87" s="541">
        <f t="shared" si="2"/>
        <v>1</v>
      </c>
      <c r="O87" s="541"/>
      <c r="P87" s="541">
        <f t="shared" si="2"/>
        <v>0.86599999999999999</v>
      </c>
      <c r="Q87" s="542"/>
      <c r="R87" s="542">
        <f t="shared" si="2"/>
        <v>0.98699999999999999</v>
      </c>
      <c r="S87" s="542"/>
      <c r="T87" s="542">
        <f t="shared" si="2"/>
        <v>0.98015004999999999</v>
      </c>
      <c r="U87" s="543"/>
    </row>
    <row r="88" spans="2:25">
      <c r="B88" s="1800"/>
      <c r="T88" s="473"/>
      <c r="U88" s="474"/>
    </row>
    <row r="89" spans="2:25" ht="40">
      <c r="B89" s="1800"/>
      <c r="C89" s="443" t="s">
        <v>52</v>
      </c>
      <c r="D89" s="1802" t="s">
        <v>28</v>
      </c>
      <c r="E89" s="1803"/>
      <c r="F89" s="1804" t="s">
        <v>29</v>
      </c>
      <c r="G89" s="1805"/>
      <c r="H89" s="1791" t="s">
        <v>30</v>
      </c>
      <c r="I89" s="1808"/>
      <c r="J89" s="1791" t="s">
        <v>31</v>
      </c>
      <c r="K89" s="1808"/>
      <c r="L89" s="1806" t="s">
        <v>32</v>
      </c>
      <c r="M89" s="1805"/>
      <c r="N89" s="1806" t="s">
        <v>253</v>
      </c>
      <c r="O89" s="1805"/>
      <c r="P89" s="1791" t="s">
        <v>34</v>
      </c>
      <c r="Q89" s="1808"/>
      <c r="R89" s="1791" t="s">
        <v>308</v>
      </c>
      <c r="S89" s="1808"/>
      <c r="T89" s="1806" t="s">
        <v>37</v>
      </c>
      <c r="U89" s="1807"/>
      <c r="X89" s="211" t="str">
        <f>D89</f>
        <v>CHAMBERY</v>
      </c>
      <c r="Y89" s="237">
        <f>D102</f>
        <v>0.88571428571428568</v>
      </c>
    </row>
    <row r="90" spans="2:25">
      <c r="B90" s="1800"/>
      <c r="C90" s="446" t="s">
        <v>10</v>
      </c>
      <c r="D90" s="544">
        <f>'ANALYSES 🔬'!$F$4</f>
        <v>0.84615384615384615</v>
      </c>
      <c r="E90" s="544"/>
      <c r="F90" s="545">
        <f>'ANALYSES 🔬'!$F$5+1/10000</f>
        <v>1.0001</v>
      </c>
      <c r="G90" s="546"/>
      <c r="H90" s="547">
        <f>'ANALYSES 🔬'!$F$6+1/1000000</f>
        <v>1.0000009999999999</v>
      </c>
      <c r="I90" s="546"/>
      <c r="J90" s="547">
        <f>'ANALYSES 🔬'!$F$7</f>
        <v>1</v>
      </c>
      <c r="K90" s="546"/>
      <c r="L90" s="547">
        <f>'ANALYSES 🔬'!$F$8</f>
        <v>1</v>
      </c>
      <c r="M90" s="546"/>
      <c r="N90" s="547">
        <f>'ANALYSES 🔬'!$F$9</f>
        <v>1</v>
      </c>
      <c r="O90" s="546"/>
      <c r="P90" s="547">
        <f>'ANALYSES 🔬'!$F$10</f>
        <v>1</v>
      </c>
      <c r="Q90" s="544"/>
      <c r="R90" s="547">
        <f>'ANALYSES 🔬'!$F$11</f>
        <v>0.90909090909090906</v>
      </c>
      <c r="S90" s="544"/>
      <c r="T90" s="548">
        <f>'ANALYSES 🔬'!$F$12</f>
        <v>0.96250000000000002</v>
      </c>
      <c r="U90" s="549"/>
      <c r="X90" s="211" t="str">
        <f>F89</f>
        <v>AIX LES BAINS</v>
      </c>
      <c r="Y90" s="237">
        <f>F102</f>
        <v>0.94285714285714284</v>
      </c>
    </row>
    <row r="91" spans="2:25">
      <c r="B91" s="1800"/>
      <c r="C91" s="446" t="s">
        <v>25</v>
      </c>
      <c r="D91" s="544" t="str">
        <f>'ANALYSES 🔬'!$I$4</f>
        <v/>
      </c>
      <c r="E91" s="544"/>
      <c r="F91" s="545">
        <f>'ANALYSES 🔬'!$I$5</f>
        <v>0.9</v>
      </c>
      <c r="G91" s="546"/>
      <c r="H91" s="547">
        <f>'ANALYSES 🔬'!$I$6</f>
        <v>0.8666666666666667</v>
      </c>
      <c r="I91" s="546"/>
      <c r="J91" s="547" t="str">
        <f>'ANALYSES 🔬'!$I$7</f>
        <v/>
      </c>
      <c r="K91" s="546"/>
      <c r="L91" s="547">
        <f>'ANALYSES 🔬'!$I$8</f>
        <v>0.88888888888888884</v>
      </c>
      <c r="M91" s="546"/>
      <c r="N91" s="547">
        <f>'ANALYSES 🔬'!$I$9</f>
        <v>1</v>
      </c>
      <c r="O91" s="546"/>
      <c r="P91" s="547" t="str">
        <f>'ANALYSES 🔬'!$I$10</f>
        <v/>
      </c>
      <c r="Q91" s="544"/>
      <c r="R91" s="547" t="str">
        <f>'ANALYSES 🔬'!$I$11</f>
        <v/>
      </c>
      <c r="S91" s="544"/>
      <c r="T91" s="548">
        <f>'ANALYSES 🔬'!$I$12</f>
        <v>0.90697674418604646</v>
      </c>
      <c r="U91" s="495"/>
      <c r="X91" s="211" t="str">
        <f>H89</f>
        <v>BELLEY</v>
      </c>
      <c r="Y91" s="237">
        <f>H102</f>
        <v>0.88888888888888884</v>
      </c>
    </row>
    <row r="92" spans="2:25">
      <c r="B92" s="1800"/>
      <c r="C92" s="446" t="s">
        <v>17</v>
      </c>
      <c r="D92" s="544">
        <f>'ANALYSES 🔬'!$L$4</f>
        <v>0.91666666666666663</v>
      </c>
      <c r="E92" s="544"/>
      <c r="F92" s="545" t="str">
        <f>'ANALYSES 🔬'!$L$5</f>
        <v/>
      </c>
      <c r="G92" s="546"/>
      <c r="H92" s="547" t="str">
        <f>'ANALYSES 🔬'!$L$6</f>
        <v/>
      </c>
      <c r="I92" s="546"/>
      <c r="J92" s="547">
        <f>'ANALYSES 🔬'!$L$7</f>
        <v>1</v>
      </c>
      <c r="K92" s="546"/>
      <c r="L92" s="547" t="str">
        <f>'ANALYSES 🔬'!$L$8</f>
        <v/>
      </c>
      <c r="M92" s="546"/>
      <c r="N92" s="547" t="str">
        <f>'ANALYSES 🔬'!$L$9</f>
        <v/>
      </c>
      <c r="O92" s="546"/>
      <c r="P92" s="547">
        <f>'ANALYSES 🔬'!$L$10</f>
        <v>0.84615384615384615</v>
      </c>
      <c r="Q92" s="544"/>
      <c r="R92" s="547">
        <f>'ANALYSES 🔬'!$L$11</f>
        <v>1</v>
      </c>
      <c r="S92" s="544"/>
      <c r="T92" s="548">
        <f>'ANALYSES 🔬'!$L$12</f>
        <v>0.93181818181818177</v>
      </c>
      <c r="U92" s="495"/>
      <c r="X92" s="211" t="str">
        <f>J89</f>
        <v>ST ALBAN</v>
      </c>
      <c r="Y92" s="237">
        <f>J102</f>
        <v>1</v>
      </c>
    </row>
    <row r="93" spans="2:25">
      <c r="B93" s="1800"/>
      <c r="C93" s="446" t="s">
        <v>18</v>
      </c>
      <c r="D93" s="544">
        <f>'ANALYSES 🔬'!$O$4</f>
        <v>0.9</v>
      </c>
      <c r="E93" s="544"/>
      <c r="F93" s="545">
        <f>'ANALYSES 🔬'!$O$5</f>
        <v>0.8571428571428571</v>
      </c>
      <c r="G93" s="544"/>
      <c r="H93" s="547">
        <f>'ANALYSES 🔬'!$O$6</f>
        <v>0.83333333333333337</v>
      </c>
      <c r="I93" s="544"/>
      <c r="J93" s="547">
        <f>'ANALYSES 🔬'!$O$7</f>
        <v>1</v>
      </c>
      <c r="K93" s="544"/>
      <c r="L93" s="547">
        <f>'ANALYSES 🔬'!$O$8</f>
        <v>1</v>
      </c>
      <c r="M93" s="544"/>
      <c r="N93" s="547">
        <f>'ANALYSES 🔬'!$O$9</f>
        <v>1</v>
      </c>
      <c r="O93" s="544"/>
      <c r="P93" s="547">
        <f>'ANALYSES 🔬'!$O$10</f>
        <v>1</v>
      </c>
      <c r="Q93" s="544"/>
      <c r="R93" s="547">
        <f>'ANALYSES 🔬'!$O$11</f>
        <v>1</v>
      </c>
      <c r="S93" s="544"/>
      <c r="T93" s="548">
        <f>'ANALYSES 🔬'!$O$12</f>
        <v>0.9285714285714286</v>
      </c>
      <c r="U93" s="495"/>
      <c r="X93" s="211" t="str">
        <f>L89</f>
        <v>LES ABRETS</v>
      </c>
      <c r="Y93" s="237">
        <f>L102</f>
        <v>0.92</v>
      </c>
    </row>
    <row r="94" spans="2:25">
      <c r="B94" s="1800"/>
      <c r="C94" s="446" t="s">
        <v>19</v>
      </c>
      <c r="D94" s="544" t="str">
        <f>'ANALYSES 🔬'!$R$4</f>
        <v/>
      </c>
      <c r="E94" s="544"/>
      <c r="F94" s="545">
        <f>'ANALYSES 🔬'!$R$5</f>
        <v>1</v>
      </c>
      <c r="G94" s="544"/>
      <c r="H94" s="547" t="str">
        <f>'ANALYSES 🔬'!$R$6</f>
        <v/>
      </c>
      <c r="I94" s="544"/>
      <c r="J94" s="547">
        <f>'ANALYSES 🔬'!$R$7</f>
        <v>1</v>
      </c>
      <c r="K94" s="544"/>
      <c r="L94" s="547">
        <f>'ANALYSES 🔬'!$R$8</f>
        <v>0.83333333333333337</v>
      </c>
      <c r="M94" s="544"/>
      <c r="N94" s="547" t="str">
        <f>'ANALYSES 🔬'!$R$9</f>
        <v/>
      </c>
      <c r="O94" s="544"/>
      <c r="P94" s="547" t="str">
        <f>'ANALYSES 🔬'!$R$10</f>
        <v/>
      </c>
      <c r="Q94" s="544"/>
      <c r="R94" s="547">
        <f>'ANALYSES 🔬'!$R$11</f>
        <v>0.83333333333333337</v>
      </c>
      <c r="S94" s="544"/>
      <c r="T94" s="548">
        <f>'ANALYSES 🔬'!$R$12</f>
        <v>0.9285714285714286</v>
      </c>
      <c r="U94" s="495"/>
      <c r="X94" s="211" t="str">
        <f>N89</f>
        <v>PDB</v>
      </c>
      <c r="Y94" s="237">
        <f>N102</f>
        <v>1</v>
      </c>
    </row>
    <row r="95" spans="2:25">
      <c r="B95" s="1800"/>
      <c r="C95" s="457" t="s">
        <v>20</v>
      </c>
      <c r="D95" s="550" t="str">
        <f>'ANALYSES 🔬'!$U$4</f>
        <v/>
      </c>
      <c r="E95" s="550"/>
      <c r="F95" s="551" t="str">
        <f>'ANALYSES 🔬'!$U$5</f>
        <v/>
      </c>
      <c r="G95" s="550"/>
      <c r="H95" s="552" t="str">
        <f>'ANALYSES 🔬'!$U$6</f>
        <v/>
      </c>
      <c r="I95" s="550"/>
      <c r="J95" s="552" t="str">
        <f>'ANALYSES 🔬'!$U$7</f>
        <v/>
      </c>
      <c r="K95" s="550"/>
      <c r="L95" s="552" t="str">
        <f>'ANALYSES 🔬'!$U$8</f>
        <v/>
      </c>
      <c r="M95" s="550"/>
      <c r="N95" s="552" t="str">
        <f>'ANALYSES 🔬'!$U$9</f>
        <v/>
      </c>
      <c r="O95" s="550"/>
      <c r="P95" s="552" t="str">
        <f>'ANALYSES 🔬'!$U$10</f>
        <v/>
      </c>
      <c r="Q95" s="550"/>
      <c r="R95" s="552" t="str">
        <f>'ANALYSES 🔬'!$U$11</f>
        <v/>
      </c>
      <c r="S95" s="550"/>
      <c r="T95" s="1059" t="str">
        <f>'ANALYSES 🔬'!$U$12</f>
        <v/>
      </c>
      <c r="U95" s="500"/>
      <c r="X95" s="211" t="str">
        <f>P89</f>
        <v>FRANCIN</v>
      </c>
      <c r="Y95" s="237">
        <f>P102</f>
        <v>0.9333433333333333</v>
      </c>
    </row>
    <row r="96" spans="2:25">
      <c r="B96" s="1800"/>
      <c r="C96" s="446" t="s">
        <v>21</v>
      </c>
      <c r="D96" s="553" t="str">
        <f>'ANALYSES 🔬'!$X$4</f>
        <v/>
      </c>
      <c r="E96" s="553"/>
      <c r="F96" s="554" t="str">
        <f>'ANALYSES 🔬'!$X$5</f>
        <v/>
      </c>
      <c r="G96" s="553"/>
      <c r="H96" s="554" t="str">
        <f>'ANALYSES 🔬'!$X$6</f>
        <v/>
      </c>
      <c r="I96" s="555"/>
      <c r="J96" s="554" t="str">
        <f>'ANALYSES 🔬'!$X$7</f>
        <v/>
      </c>
      <c r="K96" s="555"/>
      <c r="L96" s="554" t="str">
        <f>'ANALYSES 🔬'!$X$8</f>
        <v/>
      </c>
      <c r="M96" s="555"/>
      <c r="N96" s="554" t="str">
        <f>'ANALYSES 🔬'!$X$9</f>
        <v/>
      </c>
      <c r="O96" s="555"/>
      <c r="P96" s="554" t="str">
        <f>'ANALYSES 🔬'!$X$10</f>
        <v/>
      </c>
      <c r="Q96" s="555"/>
      <c r="R96" s="553" t="str">
        <f>'ANALYSES 🔬'!$X$11</f>
        <v/>
      </c>
      <c r="S96" s="544"/>
      <c r="T96" s="548" t="str">
        <f>'ANALYSES 🔬'!$X$12</f>
        <v/>
      </c>
      <c r="U96" s="495"/>
      <c r="X96" s="211" t="str">
        <f>R89</f>
        <v>VIVIERS</v>
      </c>
      <c r="Y96" s="237">
        <f>R102</f>
        <v>0.93548387096774188</v>
      </c>
    </row>
    <row r="97" spans="2:21">
      <c r="B97" s="1800"/>
      <c r="C97" s="446" t="s">
        <v>26</v>
      </c>
      <c r="D97" s="544" t="str">
        <f>'ANALYSES 🔬'!$AA$4</f>
        <v/>
      </c>
      <c r="E97" s="544"/>
      <c r="F97" s="545" t="str">
        <f>'ANALYSES 🔬'!$AA$5</f>
        <v/>
      </c>
      <c r="G97" s="544"/>
      <c r="H97" s="547" t="str">
        <f>'ANALYSES 🔬'!$AA$6</f>
        <v/>
      </c>
      <c r="I97" s="544"/>
      <c r="J97" s="547" t="str">
        <f>'ANALYSES 🔬'!$AA$7</f>
        <v/>
      </c>
      <c r="K97" s="544"/>
      <c r="L97" s="547" t="str">
        <f>'ANALYSES 🔬'!$AA$8</f>
        <v/>
      </c>
      <c r="M97" s="544"/>
      <c r="N97" s="547" t="str">
        <f>'ANALYSES 🔬'!$AA$9</f>
        <v/>
      </c>
      <c r="O97" s="544"/>
      <c r="P97" s="547" t="str">
        <f>'ANALYSES 🔬'!$AA$10</f>
        <v/>
      </c>
      <c r="Q97" s="544"/>
      <c r="R97" s="547" t="str">
        <f>'ANALYSES 🔬'!$AA$11</f>
        <v/>
      </c>
      <c r="S97" s="544"/>
      <c r="T97" s="548" t="str">
        <f>'ANALYSES 🔬'!$AA$12</f>
        <v/>
      </c>
      <c r="U97" s="495"/>
    </row>
    <row r="98" spans="2:21">
      <c r="B98" s="1800"/>
      <c r="C98" s="446" t="s">
        <v>22</v>
      </c>
      <c r="D98" s="544" t="str">
        <f>'ANALYSES 🔬'!$AD$4</f>
        <v/>
      </c>
      <c r="E98" s="544"/>
      <c r="F98" s="545" t="str">
        <f>'ANALYSES 🔬'!$AD$5</f>
        <v/>
      </c>
      <c r="G98" s="544"/>
      <c r="H98" s="547" t="str">
        <f>'ANALYSES 🔬'!$AD$6</f>
        <v/>
      </c>
      <c r="I98" s="544"/>
      <c r="J98" s="547" t="str">
        <f>'ANALYSES 🔬'!$AD$7</f>
        <v/>
      </c>
      <c r="K98" s="544"/>
      <c r="L98" s="547" t="str">
        <f>'ANALYSES 🔬'!$AD$8</f>
        <v/>
      </c>
      <c r="M98" s="544"/>
      <c r="N98" s="547" t="str">
        <f>'ANALYSES 🔬'!$AD$9</f>
        <v/>
      </c>
      <c r="O98" s="544"/>
      <c r="P98" s="547" t="str">
        <f>'ANALYSES 🔬'!$AD$10</f>
        <v/>
      </c>
      <c r="Q98" s="544"/>
      <c r="R98" s="547" t="str">
        <f>'ANALYSES 🔬'!$AD$11</f>
        <v/>
      </c>
      <c r="S98" s="544"/>
      <c r="T98" s="548" t="str">
        <f>'ANALYSES 🔬'!$AD$12</f>
        <v/>
      </c>
      <c r="U98" s="495"/>
    </row>
    <row r="99" spans="2:21">
      <c r="B99" s="1800"/>
      <c r="C99" s="446" t="s">
        <v>23</v>
      </c>
      <c r="D99" s="544" t="str">
        <f>'ANALYSES 🔬'!$AG$4</f>
        <v/>
      </c>
      <c r="E99" s="544"/>
      <c r="F99" s="545" t="str">
        <f>'ANALYSES 🔬'!$AG$5</f>
        <v/>
      </c>
      <c r="G99" s="544"/>
      <c r="H99" s="547" t="str">
        <f>'ANALYSES 🔬'!$AG$6</f>
        <v/>
      </c>
      <c r="I99" s="544"/>
      <c r="J99" s="547" t="str">
        <f>'ANALYSES 🔬'!$AG$7</f>
        <v/>
      </c>
      <c r="K99" s="544"/>
      <c r="L99" s="547" t="str">
        <f>'ANALYSES 🔬'!$AG$8</f>
        <v/>
      </c>
      <c r="M99" s="544"/>
      <c r="N99" s="547" t="str">
        <f>'ANALYSES 🔬'!$AG$9</f>
        <v/>
      </c>
      <c r="O99" s="544"/>
      <c r="P99" s="547" t="str">
        <f>'ANALYSES 🔬'!$AG$10</f>
        <v/>
      </c>
      <c r="Q99" s="544"/>
      <c r="R99" s="547" t="str">
        <f>'ANALYSES 🔬'!$AG$11</f>
        <v/>
      </c>
      <c r="S99" s="544"/>
      <c r="T99" s="548" t="str">
        <f>'ANALYSES 🔬'!$AG$12</f>
        <v/>
      </c>
      <c r="U99" s="495"/>
    </row>
    <row r="100" spans="2:21">
      <c r="B100" s="1800"/>
      <c r="C100" s="446" t="s">
        <v>24</v>
      </c>
      <c r="D100" s="544" t="str">
        <f>'ANALYSES 🔬'!$AJ$4</f>
        <v/>
      </c>
      <c r="E100" s="544"/>
      <c r="F100" s="545" t="str">
        <f>'ANALYSES 🔬'!$AJ$5</f>
        <v/>
      </c>
      <c r="G100" s="544"/>
      <c r="H100" s="547" t="str">
        <f>'ANALYSES 🔬'!$AJ$6</f>
        <v/>
      </c>
      <c r="I100" s="544"/>
      <c r="J100" s="547" t="str">
        <f>'ANALYSES 🔬'!$AJ$7</f>
        <v/>
      </c>
      <c r="K100" s="544"/>
      <c r="L100" s="547" t="str">
        <f>'ANALYSES 🔬'!$AJ$8</f>
        <v/>
      </c>
      <c r="M100" s="544"/>
      <c r="N100" s="547" t="str">
        <f>'ANALYSES 🔬'!$AJ$9</f>
        <v/>
      </c>
      <c r="O100" s="544"/>
      <c r="P100" s="547" t="str">
        <f>'ANALYSES 🔬'!$AJ$10</f>
        <v/>
      </c>
      <c r="Q100" s="544"/>
      <c r="R100" s="547" t="str">
        <f>'ANALYSES 🔬'!$AJ$11</f>
        <v/>
      </c>
      <c r="S100" s="544"/>
      <c r="T100" s="548" t="str">
        <f>'ANALYSES 🔬'!$AJ$12</f>
        <v/>
      </c>
      <c r="U100" s="495"/>
    </row>
    <row r="101" spans="2:21">
      <c r="B101" s="1800"/>
      <c r="C101" s="446" t="s">
        <v>27</v>
      </c>
      <c r="D101" s="544" t="str">
        <f>'ANALYSES 🔬'!$AM$4</f>
        <v/>
      </c>
      <c r="E101" s="544"/>
      <c r="F101" s="545" t="str">
        <f>'ANALYSES 🔬'!$AM$5</f>
        <v/>
      </c>
      <c r="G101" s="546"/>
      <c r="H101" s="547" t="str">
        <f>'ANALYSES 🔬'!$AM$6</f>
        <v/>
      </c>
      <c r="I101" s="546"/>
      <c r="J101" s="547" t="str">
        <f>'ANALYSES 🔬'!$AM$7</f>
        <v/>
      </c>
      <c r="K101" s="546"/>
      <c r="L101" s="547" t="str">
        <f>'ANALYSES 🔬'!$AM$8</f>
        <v/>
      </c>
      <c r="M101" s="546"/>
      <c r="N101" s="547" t="str">
        <f>'ANALYSES 🔬'!$AM$9</f>
        <v/>
      </c>
      <c r="O101" s="546"/>
      <c r="P101" s="547" t="str">
        <f>'ANALYSES 🔬'!$AM$10</f>
        <v/>
      </c>
      <c r="Q101" s="544"/>
      <c r="R101" s="547" t="str">
        <f>'ANALYSES 🔬'!$AM$11</f>
        <v/>
      </c>
      <c r="S101" s="544"/>
      <c r="T101" s="494" t="str">
        <f>'ANALYSES 🔬'!$AM$12</f>
        <v/>
      </c>
      <c r="U101" s="495"/>
    </row>
    <row r="102" spans="2:21" ht="20" thickBot="1">
      <c r="B102" s="1801"/>
      <c r="C102" s="556" t="s">
        <v>54</v>
      </c>
      <c r="D102" s="557">
        <f>'ANALYSES 🔬'!AP4</f>
        <v>0.88571428571428568</v>
      </c>
      <c r="E102" s="557"/>
      <c r="F102" s="558">
        <f>'ANALYSES 🔬'!AP5</f>
        <v>0.94285714285714284</v>
      </c>
      <c r="G102" s="558"/>
      <c r="H102" s="558">
        <f>'ANALYSES 🔬'!AP6</f>
        <v>0.88888888888888884</v>
      </c>
      <c r="I102" s="558"/>
      <c r="J102" s="558">
        <f>'ANALYSES 🔬'!AP7</f>
        <v>1</v>
      </c>
      <c r="K102" s="558"/>
      <c r="L102" s="558">
        <f>'ANALYSES 🔬'!AP8</f>
        <v>0.92</v>
      </c>
      <c r="M102" s="558"/>
      <c r="N102" s="558">
        <f>'ANALYSES 🔬'!AP9</f>
        <v>1</v>
      </c>
      <c r="O102" s="558"/>
      <c r="P102" s="558">
        <f>'ANALYSES 🔬'!AP10</f>
        <v>0.9333433333333333</v>
      </c>
      <c r="Q102" s="559"/>
      <c r="R102" s="559">
        <f>'ANALYSES 🔬'!AP11</f>
        <v>0.93548387096774188</v>
      </c>
      <c r="S102" s="559"/>
      <c r="T102" s="560">
        <f>'ANALYSES 🔬'!AP12</f>
        <v>0.93670886075949367</v>
      </c>
      <c r="U102" s="561"/>
    </row>
  </sheetData>
  <mergeCells count="20">
    <mergeCell ref="T58:U58"/>
    <mergeCell ref="T74:U74"/>
    <mergeCell ref="R89:S89"/>
    <mergeCell ref="T89:U89"/>
    <mergeCell ref="H89:I89"/>
    <mergeCell ref="J89:K89"/>
    <mergeCell ref="L89:M89"/>
    <mergeCell ref="N89:O89"/>
    <mergeCell ref="P89:Q89"/>
    <mergeCell ref="B74:B102"/>
    <mergeCell ref="B10:B41"/>
    <mergeCell ref="B43:B72"/>
    <mergeCell ref="D89:E89"/>
    <mergeCell ref="F89:G89"/>
    <mergeCell ref="C58:C59"/>
    <mergeCell ref="T27:U27"/>
    <mergeCell ref="T10:U10"/>
    <mergeCell ref="C10:C11"/>
    <mergeCell ref="C27:C28"/>
    <mergeCell ref="T43:U43"/>
  </mergeCells>
  <phoneticPr fontId="5" type="noConversion"/>
  <conditionalFormatting sqref="D12 F12 H12 J12 L12 N12 P12 R12">
    <cfRule type="cellIs" dxfId="187" priority="92" operator="greaterThan">
      <formula>$T$12</formula>
    </cfRule>
    <cfRule type="cellIs" dxfId="186" priority="91" operator="lessThan">
      <formula>$T$12</formula>
    </cfRule>
  </conditionalFormatting>
  <conditionalFormatting sqref="D13 F13 H13 J13 L13 N13 P13 R13">
    <cfRule type="cellIs" dxfId="185" priority="87" operator="lessThan">
      <formula>$T$13</formula>
    </cfRule>
    <cfRule type="cellIs" dxfId="184" priority="88" operator="greaterThan">
      <formula>$T$13</formula>
    </cfRule>
  </conditionalFormatting>
  <conditionalFormatting sqref="D14 F14 H14 J14 L14 N14 P14 R14">
    <cfRule type="cellIs" dxfId="183" priority="83" operator="lessThan">
      <formula>$T$14</formula>
    </cfRule>
    <cfRule type="cellIs" dxfId="182" priority="84" operator="greaterThan">
      <formula>$T$14</formula>
    </cfRule>
  </conditionalFormatting>
  <conditionalFormatting sqref="D15 F15 H15 J15 L15 N15 P15 R15">
    <cfRule type="cellIs" dxfId="181" priority="75" operator="lessThan">
      <formula>$T$15</formula>
    </cfRule>
    <cfRule type="cellIs" dxfId="180" priority="76" operator="greaterThan">
      <formula>$T$15</formula>
    </cfRule>
  </conditionalFormatting>
  <conditionalFormatting sqref="D16 F16 H16 J16 L16 N16 P16 R16">
    <cfRule type="cellIs" dxfId="179" priority="71" operator="greaterThan">
      <formula>$T$16</formula>
    </cfRule>
    <cfRule type="cellIs" dxfId="178" priority="70" operator="lessThan">
      <formula>$T$16</formula>
    </cfRule>
  </conditionalFormatting>
  <conditionalFormatting sqref="D17 F17 H17 J17 L17 N17 P17 R17">
    <cfRule type="cellIs" dxfId="177" priority="67" operator="greaterThan">
      <formula>$T$17</formula>
    </cfRule>
    <cfRule type="cellIs" dxfId="176" priority="66" operator="lessThan">
      <formula>$T$17</formula>
    </cfRule>
  </conditionalFormatting>
  <conditionalFormatting sqref="D18 F18 H18 J18 L18 N18 P18 R18">
    <cfRule type="cellIs" dxfId="175" priority="51" operator="greaterThan">
      <formula>$T$18</formula>
    </cfRule>
    <cfRule type="cellIs" dxfId="174" priority="50" operator="lessThan">
      <formula>$T$18</formula>
    </cfRule>
  </conditionalFormatting>
  <conditionalFormatting sqref="D19 F19 H19 J19 L19 N19 P19 R19">
    <cfRule type="cellIs" dxfId="173" priority="38" operator="greaterThan">
      <formula>$T$19</formula>
    </cfRule>
    <cfRule type="cellIs" dxfId="172" priority="37" operator="lessThan">
      <formula>$T$19</formula>
    </cfRule>
  </conditionalFormatting>
  <conditionalFormatting sqref="D20 F20 H20 J20 L20 N20 P20 R20">
    <cfRule type="cellIs" dxfId="171" priority="34" operator="greaterThan">
      <formula>$T$20</formula>
    </cfRule>
    <cfRule type="cellIs" dxfId="170" priority="33" operator="lessThan">
      <formula>$T$20</formula>
    </cfRule>
  </conditionalFormatting>
  <conditionalFormatting sqref="D21 F21 H21 J21 L21 N21 P21 R21">
    <cfRule type="cellIs" dxfId="169" priority="25" operator="lessThan">
      <formula>$T$21</formula>
    </cfRule>
    <cfRule type="cellIs" dxfId="168" priority="26" operator="greaterThan">
      <formula>$T$21</formula>
    </cfRule>
  </conditionalFormatting>
  <conditionalFormatting sqref="D22 F22 H22 J22 L22 N22 P22 R22">
    <cfRule type="cellIs" dxfId="167" priority="17" operator="lessThan">
      <formula>$T$22</formula>
    </cfRule>
    <cfRule type="cellIs" dxfId="166" priority="18" operator="greaterThan">
      <formula>$T$22</formula>
    </cfRule>
  </conditionalFormatting>
  <conditionalFormatting sqref="D23 F23 H23 J23 L23 N23 P23 R23">
    <cfRule type="cellIs" dxfId="165" priority="9" operator="lessThan">
      <formula>$T$23</formula>
    </cfRule>
    <cfRule type="cellIs" dxfId="164" priority="10" operator="greaterThan">
      <formula>$T$23</formula>
    </cfRule>
  </conditionalFormatting>
  <conditionalFormatting sqref="D34 F34 H34 J34 L34 N34 P34 R34">
    <cfRule type="cellIs" dxfId="163" priority="63" operator="greaterThan">
      <formula>$T$34</formula>
    </cfRule>
    <cfRule type="cellIs" dxfId="162" priority="62" operator="lessThan">
      <formula>$T$34</formula>
    </cfRule>
  </conditionalFormatting>
  <conditionalFormatting sqref="D35 F35 H35 J35 L35 N35 P35 R35">
    <cfRule type="cellIs" dxfId="161" priority="46" operator="lessThan">
      <formula>$T$35</formula>
    </cfRule>
    <cfRule type="cellIs" dxfId="160" priority="47" operator="greaterThan">
      <formula>$T$35</formula>
    </cfRule>
  </conditionalFormatting>
  <conditionalFormatting sqref="D36 F36 H36 J36 L36 N36 P36 R36">
    <cfRule type="cellIs" dxfId="159" priority="42" operator="lessThan">
      <formula>$T$36</formula>
    </cfRule>
    <cfRule type="cellIs" dxfId="158" priority="43" operator="greaterThan">
      <formula>$T$36</formula>
    </cfRule>
  </conditionalFormatting>
  <conditionalFormatting sqref="D37 F37 H37 J37 L37 N37 P37 R37">
    <cfRule type="cellIs" dxfId="157" priority="29" operator="lessThan">
      <formula>$T$37</formula>
    </cfRule>
    <cfRule type="cellIs" dxfId="156" priority="30" operator="greaterThan">
      <formula>$T$37</formula>
    </cfRule>
  </conditionalFormatting>
  <conditionalFormatting sqref="D38 F38 H38 J38 L38 N38 P38 R38">
    <cfRule type="cellIs" dxfId="155" priority="22" operator="greaterThan">
      <formula>$T$38</formula>
    </cfRule>
    <cfRule type="cellIs" dxfId="154" priority="21" operator="lessThan">
      <formula>$T$38</formula>
    </cfRule>
  </conditionalFormatting>
  <conditionalFormatting sqref="D39 F39 H39 J39 L39 N39 P39 R39">
    <cfRule type="cellIs" dxfId="153" priority="14" operator="greaterThan">
      <formula>$T$39</formula>
    </cfRule>
    <cfRule type="cellIs" dxfId="152" priority="13" operator="lessThan">
      <formula>$T$39</formula>
    </cfRule>
  </conditionalFormatting>
  <conditionalFormatting sqref="D40 F40 H40 J40 L40 N40 P40 R40">
    <cfRule type="cellIs" dxfId="151" priority="6" operator="greaterThan">
      <formula>$T$40</formula>
    </cfRule>
    <cfRule type="cellIs" dxfId="150" priority="5" operator="lessThan">
      <formula>$T$40</formula>
    </cfRule>
  </conditionalFormatting>
  <conditionalFormatting sqref="D60:D71 F60:F71 H60:H71 J60:J71 L60:L71 N60:N71 P60:P71 R60:R71 T60:T71">
    <cfRule type="cellIs" dxfId="149" priority="101" operator="greaterThan">
      <formula>0.9</formula>
    </cfRule>
    <cfRule type="cellIs" dxfId="148" priority="100" operator="lessThan">
      <formula>0.9</formula>
    </cfRule>
  </conditionalFormatting>
  <conditionalFormatting sqref="D53:Q53">
    <cfRule type="cellIs" dxfId="147" priority="217" operator="greaterThan">
      <formula>$T$53</formula>
    </cfRule>
    <cfRule type="cellIs" dxfId="146" priority="216" stopIfTrue="1" operator="lessThan">
      <formula>$T$53</formula>
    </cfRule>
  </conditionalFormatting>
  <conditionalFormatting sqref="D54:Q54">
    <cfRule type="cellIs" dxfId="145" priority="199" stopIfTrue="1" operator="greaterThan">
      <formula>$T$54</formula>
    </cfRule>
    <cfRule type="cellIs" dxfId="144" priority="198" operator="lessThan">
      <formula>$T$54</formula>
    </cfRule>
  </conditionalFormatting>
  <conditionalFormatting sqref="D99:Q99">
    <cfRule type="cellIs" dxfId="143" priority="109" stopIfTrue="1" operator="lessThan">
      <formula>$T$53</formula>
    </cfRule>
    <cfRule type="cellIs" dxfId="142" priority="110" operator="greaterThan">
      <formula>$T$53</formula>
    </cfRule>
  </conditionalFormatting>
  <conditionalFormatting sqref="D100:Q100">
    <cfRule type="cellIs" dxfId="141" priority="108" stopIfTrue="1" operator="greaterThan">
      <formula>$T$54</formula>
    </cfRule>
    <cfRule type="cellIs" dxfId="140" priority="107" operator="lessThan">
      <formula>$T$54</formula>
    </cfRule>
  </conditionalFormatting>
  <conditionalFormatting sqref="D44:S44">
    <cfRule type="cellIs" dxfId="139" priority="1349" operator="lessThan">
      <formula>$T$44</formula>
    </cfRule>
    <cfRule type="cellIs" dxfId="138" priority="1350" operator="greaterThan">
      <formula>$T$44</formula>
    </cfRule>
  </conditionalFormatting>
  <conditionalFormatting sqref="D45:S45">
    <cfRule type="cellIs" dxfId="137" priority="1353" operator="lessThan">
      <formula>$T$45</formula>
    </cfRule>
    <cfRule type="cellIs" dxfId="136" priority="1354" stopIfTrue="1" operator="greaterThan">
      <formula>$T$45</formula>
    </cfRule>
  </conditionalFormatting>
  <conditionalFormatting sqref="D46:S46">
    <cfRule type="cellIs" dxfId="135" priority="1357" operator="lessThan">
      <formula>$T$46</formula>
    </cfRule>
    <cfRule type="cellIs" dxfId="134" priority="1358" operator="greaterThan">
      <formula>$T$46</formula>
    </cfRule>
  </conditionalFormatting>
  <conditionalFormatting sqref="D47:S47">
    <cfRule type="cellIs" dxfId="133" priority="1361" operator="lessThan">
      <formula>$T$47</formula>
    </cfRule>
    <cfRule type="cellIs" dxfId="132" priority="1362" operator="greaterThan">
      <formula>$T$47</formula>
    </cfRule>
  </conditionalFormatting>
  <conditionalFormatting sqref="D48:S48">
    <cfRule type="cellIs" dxfId="131" priority="1365" operator="lessThan">
      <formula>$T$48</formula>
    </cfRule>
    <cfRule type="cellIs" dxfId="130" priority="1366" stopIfTrue="1" operator="greaterThan">
      <formula>$T$48</formula>
    </cfRule>
  </conditionalFormatting>
  <conditionalFormatting sqref="D49:S49">
    <cfRule type="cellIs" dxfId="129" priority="1370" operator="greaterThan">
      <formula>$T$49</formula>
    </cfRule>
    <cfRule type="cellIs" dxfId="128" priority="1369" stopIfTrue="1" operator="lessThan">
      <formula>$T$49</formula>
    </cfRule>
  </conditionalFormatting>
  <conditionalFormatting sqref="D50:S50">
    <cfRule type="cellIs" dxfId="127" priority="235" operator="lessThan">
      <formula>$T$50</formula>
    </cfRule>
    <cfRule type="cellIs" dxfId="126" priority="236" stopIfTrue="1" operator="greaterThan">
      <formula>$T$50</formula>
    </cfRule>
  </conditionalFormatting>
  <conditionalFormatting sqref="D51:S51">
    <cfRule type="cellIs" dxfId="125" priority="224" stopIfTrue="1" operator="lessThan">
      <formula>$T$51</formula>
    </cfRule>
    <cfRule type="cellIs" dxfId="124" priority="225" operator="greaterThan">
      <formula>$T$51</formula>
    </cfRule>
  </conditionalFormatting>
  <conditionalFormatting sqref="D52:S52 R53:S55 R99:S101">
    <cfRule type="cellIs" dxfId="123" priority="219" stopIfTrue="1" operator="greaterThan">
      <formula>$T$52</formula>
    </cfRule>
  </conditionalFormatting>
  <conditionalFormatting sqref="D90:S90">
    <cfRule type="cellIs" dxfId="122" priority="117" operator="lessThan">
      <formula>$T$44</formula>
    </cfRule>
    <cfRule type="cellIs" dxfId="121" priority="118" operator="greaterThan">
      <formula>$T$44</formula>
    </cfRule>
  </conditionalFormatting>
  <conditionalFormatting sqref="D90:S102">
    <cfRule type="cellIs" dxfId="120" priority="97" operator="lessThan">
      <formula>0.95</formula>
    </cfRule>
    <cfRule type="cellIs" dxfId="119" priority="99" operator="greaterThan">
      <formula>0.97</formula>
    </cfRule>
    <cfRule type="cellIs" dxfId="118" priority="98" operator="between">
      <formula>0.95</formula>
      <formula>0.97</formula>
    </cfRule>
  </conditionalFormatting>
  <conditionalFormatting sqref="D91:S91">
    <cfRule type="cellIs" dxfId="117" priority="119" operator="lessThan">
      <formula>$T$45</formula>
    </cfRule>
    <cfRule type="cellIs" dxfId="116" priority="120" stopIfTrue="1" operator="greaterThan">
      <formula>$T$45</formula>
    </cfRule>
  </conditionalFormatting>
  <conditionalFormatting sqref="D92:S92">
    <cfRule type="cellIs" dxfId="115" priority="121" operator="lessThan">
      <formula>$T$46</formula>
    </cfRule>
    <cfRule type="cellIs" dxfId="114" priority="122" operator="greaterThan">
      <formula>$T$46</formula>
    </cfRule>
  </conditionalFormatting>
  <conditionalFormatting sqref="D93:S93">
    <cfRule type="cellIs" dxfId="113" priority="123" operator="lessThan">
      <formula>$T$47</formula>
    </cfRule>
    <cfRule type="cellIs" dxfId="112" priority="124" operator="greaterThan">
      <formula>$T$47</formula>
    </cfRule>
  </conditionalFormatting>
  <conditionalFormatting sqref="D94:S94">
    <cfRule type="cellIs" dxfId="111" priority="125" operator="lessThan">
      <formula>$T$48</formula>
    </cfRule>
    <cfRule type="cellIs" dxfId="110" priority="126" stopIfTrue="1" operator="greaterThan">
      <formula>$T$48</formula>
    </cfRule>
  </conditionalFormatting>
  <conditionalFormatting sqref="D95:S95">
    <cfRule type="cellIs" dxfId="109" priority="127" stopIfTrue="1" operator="lessThan">
      <formula>$T$49</formula>
    </cfRule>
    <cfRule type="cellIs" dxfId="108" priority="128" operator="greaterThan">
      <formula>$T$49</formula>
    </cfRule>
  </conditionalFormatting>
  <conditionalFormatting sqref="D96:S96">
    <cfRule type="cellIs" dxfId="107" priority="115" operator="lessThan">
      <formula>$T$50</formula>
    </cfRule>
    <cfRule type="cellIs" dxfId="106" priority="116" stopIfTrue="1" operator="greaterThan">
      <formula>$T$50</formula>
    </cfRule>
  </conditionalFormatting>
  <conditionalFormatting sqref="D97:S97">
    <cfRule type="cellIs" dxfId="105" priority="113" stopIfTrue="1" operator="lessThan">
      <formula>$T$51</formula>
    </cfRule>
    <cfRule type="cellIs" dxfId="104" priority="114" operator="greaterThan">
      <formula>$T$51</formula>
    </cfRule>
  </conditionalFormatting>
  <conditionalFormatting sqref="D98:S98">
    <cfRule type="cellIs" dxfId="103" priority="111" operator="lessThan">
      <formula>$T$52</formula>
    </cfRule>
    <cfRule type="cellIs" dxfId="102" priority="112" stopIfTrue="1" operator="greaterThan">
      <formula>$T$52</formula>
    </cfRule>
  </conditionalFormatting>
  <conditionalFormatting sqref="E12 G12 I12 K12 M12 O12 Q12 S12">
    <cfRule type="cellIs" dxfId="101" priority="90" operator="greaterThan">
      <formula>$U$12</formula>
    </cfRule>
    <cfRule type="cellIs" dxfId="100" priority="89" operator="lessThan">
      <formula>$U$12</formula>
    </cfRule>
  </conditionalFormatting>
  <conditionalFormatting sqref="E13 G13 I13 K13 M13 O13 Q13 S13">
    <cfRule type="cellIs" dxfId="99" priority="86" operator="greaterThan">
      <formula>$U$13</formula>
    </cfRule>
    <cfRule type="cellIs" dxfId="98" priority="85" operator="lessThan">
      <formula>$U$13</formula>
    </cfRule>
  </conditionalFormatting>
  <conditionalFormatting sqref="E14 G14 I14 K14 M14 O14 Q14 S14">
    <cfRule type="cellIs" dxfId="97" priority="81" operator="lessThan">
      <formula>$U$14</formula>
    </cfRule>
    <cfRule type="cellIs" dxfId="96" priority="82" operator="greaterThan">
      <formula>$U$14</formula>
    </cfRule>
  </conditionalFormatting>
  <conditionalFormatting sqref="E15 G15 I15 K15 M15 O15 Q15 S15">
    <cfRule type="cellIs" dxfId="95" priority="73" operator="lessThan">
      <formula>$U$15</formula>
    </cfRule>
    <cfRule type="cellIs" dxfId="94" priority="74" operator="greaterThan">
      <formula>$U$15</formula>
    </cfRule>
  </conditionalFormatting>
  <conditionalFormatting sqref="E16 G16 I16 K16 M16 O16 Q16 S16">
    <cfRule type="cellIs" dxfId="93" priority="69" operator="greaterThan">
      <formula>$U$16</formula>
    </cfRule>
    <cfRule type="cellIs" dxfId="92" priority="68" operator="lessThan">
      <formula>$U$16</formula>
    </cfRule>
  </conditionalFormatting>
  <conditionalFormatting sqref="E17 G17 I17 K17 M17 O17 Q17 S17">
    <cfRule type="cellIs" dxfId="91" priority="65" operator="greaterThan">
      <formula>$U$17</formula>
    </cfRule>
    <cfRule type="cellIs" dxfId="90" priority="64" operator="lessThan">
      <formula>$U$17</formula>
    </cfRule>
  </conditionalFormatting>
  <conditionalFormatting sqref="E18 G18 I18 K18 M18 O18 Q18 S18">
    <cfRule type="cellIs" dxfId="89" priority="49" operator="greaterThan">
      <formula>$U$18</formula>
    </cfRule>
    <cfRule type="cellIs" dxfId="88" priority="48" operator="lessThan">
      <formula>$U$18</formula>
    </cfRule>
  </conditionalFormatting>
  <conditionalFormatting sqref="E19 G19 I19 K19 M19 O19 Q19 S19">
    <cfRule type="cellIs" dxfId="87" priority="35" operator="lessThan">
      <formula>$U$19</formula>
    </cfRule>
    <cfRule type="cellIs" dxfId="86" priority="36" operator="greaterThan">
      <formula>$U$19</formula>
    </cfRule>
  </conditionalFormatting>
  <conditionalFormatting sqref="E20 G20 I20 K20 M20 O20 Q20 S20">
    <cfRule type="cellIs" dxfId="85" priority="31" operator="lessThan">
      <formula>$U$20</formula>
    </cfRule>
    <cfRule type="cellIs" dxfId="84" priority="32" operator="greaterThan">
      <formula>$U$20</formula>
    </cfRule>
  </conditionalFormatting>
  <conditionalFormatting sqref="E21 G21 I21 K21 M21 O21 Q21 S21">
    <cfRule type="cellIs" dxfId="83" priority="23" operator="lessThan">
      <formula>$U$21</formula>
    </cfRule>
    <cfRule type="cellIs" dxfId="82" priority="24" operator="greaterThan">
      <formula>$U$21</formula>
    </cfRule>
  </conditionalFormatting>
  <conditionalFormatting sqref="E22 G22 I22 K22 M22 O22 Q22 S22">
    <cfRule type="cellIs" dxfId="81" priority="15" operator="lessThan">
      <formula>$U$22</formula>
    </cfRule>
    <cfRule type="cellIs" dxfId="80" priority="16" operator="greaterThan">
      <formula>$U$22</formula>
    </cfRule>
  </conditionalFormatting>
  <conditionalFormatting sqref="E23 G23 I23 K23 M23 O23 Q23 S23">
    <cfRule type="cellIs" dxfId="79" priority="7" operator="lessThan">
      <formula>$U$23</formula>
    </cfRule>
    <cfRule type="cellIs" dxfId="78" priority="8" operator="greaterThan">
      <formula>$U$23</formula>
    </cfRule>
  </conditionalFormatting>
  <conditionalFormatting sqref="E34 G34 I34 K34 M34 O34 Q34 S34">
    <cfRule type="cellIs" dxfId="77" priority="60" operator="lessThan">
      <formula>$U$34</formula>
    </cfRule>
    <cfRule type="cellIs" dxfId="76" priority="61" operator="greaterThan">
      <formula>$U$34</formula>
    </cfRule>
  </conditionalFormatting>
  <conditionalFormatting sqref="E35 G35 I35 K35 M35 O35 Q35 S35">
    <cfRule type="cellIs" dxfId="75" priority="45" operator="greaterThan">
      <formula>$U$35</formula>
    </cfRule>
    <cfRule type="cellIs" dxfId="74" priority="44" operator="lessThan">
      <formula>$U$35</formula>
    </cfRule>
  </conditionalFormatting>
  <conditionalFormatting sqref="E36 G36 I36 K36 M36 O36 Q36 S36">
    <cfRule type="cellIs" dxfId="73" priority="41" operator="greaterThan">
      <formula>$U$36</formula>
    </cfRule>
    <cfRule type="cellIs" dxfId="72" priority="39" operator="lessThan">
      <formula>$U$36</formula>
    </cfRule>
  </conditionalFormatting>
  <conditionalFormatting sqref="E37 G37 I37 K37 M37 O37 Q37 S37">
    <cfRule type="cellIs" dxfId="71" priority="27" operator="lessThan">
      <formula>$U$37</formula>
    </cfRule>
    <cfRule type="cellIs" dxfId="70" priority="28" operator="greaterThan">
      <formula>$U$37</formula>
    </cfRule>
  </conditionalFormatting>
  <conditionalFormatting sqref="E38 G38 I38 K38 M38 O38 Q38 S38">
    <cfRule type="cellIs" dxfId="69" priority="20" operator="greaterThan">
      <formula>$U$38</formula>
    </cfRule>
    <cfRule type="cellIs" dxfId="68" priority="19" operator="lessThan">
      <formula>$U$38</formula>
    </cfRule>
  </conditionalFormatting>
  <conditionalFormatting sqref="E39 G39 I39 K39 M39 O39 Q39 S39">
    <cfRule type="cellIs" dxfId="67" priority="12" operator="greaterThan">
      <formula>$U$39</formula>
    </cfRule>
    <cfRule type="cellIs" dxfId="66" priority="11" operator="lessThan">
      <formula>$U$39</formula>
    </cfRule>
  </conditionalFormatting>
  <conditionalFormatting sqref="E40 G40 I40 K40 M40 O40 Q40 S40">
    <cfRule type="cellIs" dxfId="65" priority="4" operator="greaterThan">
      <formula>$U$40</formula>
    </cfRule>
    <cfRule type="cellIs" dxfId="64" priority="3" operator="lessThan">
      <formula>$U$40</formula>
    </cfRule>
  </conditionalFormatting>
  <conditionalFormatting sqref="E60:E71 G60:G71 I60:I71 K60:K71 M60:M71 O60:O71 Q60:Q71 S60:S71 U60:U71">
    <cfRule type="cellIs" dxfId="63" priority="102" stopIfTrue="1" operator="lessThan">
      <formula>3.3</formula>
    </cfRule>
    <cfRule type="cellIs" dxfId="62" priority="103" stopIfTrue="1" operator="greaterThan">
      <formula>3.3</formula>
    </cfRule>
  </conditionalFormatting>
  <conditionalFormatting sqref="R99:S101 D52:S52 R53:S55">
    <cfRule type="cellIs" dxfId="61" priority="218" operator="lessThan">
      <formula>$T$52</formula>
    </cfRule>
  </conditionalFormatting>
  <printOptions horizontalCentered="1" verticalCentered="1"/>
  <pageMargins left="0.2" right="0.2" top="0.25" bottom="0.25" header="0.3" footer="0.3"/>
  <pageSetup paperSize="9" scale="43"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7CC42-4321-B04C-8D53-36A7C0F09EC7}">
  <sheetPr codeName="Feuil22">
    <tabColor theme="8" tint="0.39997558519241921"/>
    <pageSetUpPr fitToPage="1"/>
  </sheetPr>
  <dimension ref="B1:U127"/>
  <sheetViews>
    <sheetView showGridLines="0" view="pageBreakPreview" topLeftCell="A72" zoomScaleNormal="110" zoomScaleSheetLayoutView="100" workbookViewId="0">
      <selection activeCell="T71" sqref="T71"/>
    </sheetView>
  </sheetViews>
  <sheetFormatPr baseColWidth="10" defaultColWidth="10.83203125" defaultRowHeight="19"/>
  <cols>
    <col min="1" max="1" width="2.83203125" style="211" customWidth="1"/>
    <col min="2" max="2" width="3.5" style="211" customWidth="1"/>
    <col min="3" max="3" width="14.6640625" style="211" customWidth="1"/>
    <col min="4" max="4" width="12.83203125" style="211" customWidth="1"/>
    <col min="5" max="5" width="9.5" style="211" bestFit="1" customWidth="1"/>
    <col min="6" max="6" width="12.83203125" style="211" customWidth="1"/>
    <col min="7" max="7" width="9.5" style="211" bestFit="1" customWidth="1"/>
    <col min="8" max="8" width="12.83203125" style="211" customWidth="1"/>
    <col min="9" max="9" width="8.83203125" style="211" customWidth="1"/>
    <col min="10" max="10" width="12.83203125" style="211" customWidth="1"/>
    <col min="11" max="11" width="8.83203125" style="211" customWidth="1"/>
    <col min="12" max="12" width="12.83203125" style="211" customWidth="1"/>
    <col min="13" max="13" width="8.83203125" style="211" customWidth="1"/>
    <col min="14" max="14" width="12.83203125" style="211" customWidth="1"/>
    <col min="15" max="15" width="8.83203125" style="211" customWidth="1"/>
    <col min="16" max="16" width="12.83203125" style="211" customWidth="1"/>
    <col min="17" max="17" width="8.83203125" style="211" customWidth="1"/>
    <col min="18" max="18" width="12.83203125" style="211" customWidth="1"/>
    <col min="19" max="19" width="8.83203125" style="211" customWidth="1"/>
    <col min="20" max="20" width="12.83203125" style="211" customWidth="1"/>
    <col min="21" max="21" width="9.5" style="211" bestFit="1" customWidth="1"/>
    <col min="22" max="22" width="2.83203125" style="211" customWidth="1"/>
    <col min="23" max="16384" width="10.83203125" style="211"/>
  </cols>
  <sheetData>
    <row r="1" spans="2:21" ht="20" thickBot="1"/>
    <row r="2" spans="2:21" ht="30" customHeight="1" thickBot="1">
      <c r="B2" s="562"/>
      <c r="C2" s="563" t="s">
        <v>65</v>
      </c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564"/>
      <c r="T2" s="564"/>
      <c r="U2" s="565"/>
    </row>
    <row r="3" spans="2:21" ht="20" hidden="1" thickBot="1"/>
    <row r="4" spans="2:21" ht="40" hidden="1">
      <c r="B4" s="1818" t="s">
        <v>324</v>
      </c>
      <c r="C4" s="566" t="s">
        <v>53</v>
      </c>
      <c r="D4" s="567" t="s">
        <v>28</v>
      </c>
      <c r="E4" s="567" t="s">
        <v>56</v>
      </c>
      <c r="F4" s="568" t="s">
        <v>29</v>
      </c>
      <c r="G4" s="567" t="s">
        <v>56</v>
      </c>
      <c r="H4" s="569" t="s">
        <v>30</v>
      </c>
      <c r="I4" s="567" t="s">
        <v>56</v>
      </c>
      <c r="J4" s="570" t="s">
        <v>31</v>
      </c>
      <c r="K4" s="567" t="s">
        <v>56</v>
      </c>
      <c r="L4" s="567" t="s">
        <v>32</v>
      </c>
      <c r="M4" s="567" t="s">
        <v>56</v>
      </c>
      <c r="N4" s="568" t="s">
        <v>253</v>
      </c>
      <c r="O4" s="567" t="s">
        <v>56</v>
      </c>
      <c r="P4" s="569" t="s">
        <v>34</v>
      </c>
      <c r="Q4" s="567" t="s">
        <v>56</v>
      </c>
      <c r="R4" s="570" t="s">
        <v>35</v>
      </c>
      <c r="S4" s="567" t="s">
        <v>56</v>
      </c>
      <c r="T4" s="569" t="s">
        <v>37</v>
      </c>
      <c r="U4" s="571" t="s">
        <v>56</v>
      </c>
    </row>
    <row r="5" spans="2:21" hidden="1">
      <c r="B5" s="1819"/>
      <c r="C5" s="572" t="s">
        <v>10</v>
      </c>
      <c r="D5" s="573">
        <f>IF(CHAMNORD!$P$377=0,"",CHAMNORD!$M$377/CHAMNORD!$P$377)</f>
        <v>96.663755276584538</v>
      </c>
      <c r="E5" s="574">
        <f>IF(D5="","",('INDICES CA 💵'!D21/'INDICES RH 🤝'!D5)-CHAMNORD!$E377)</f>
        <v>6720.73</v>
      </c>
      <c r="F5" s="575">
        <f>IF(AIX!$P$377=0,"",AIX!$M$377/AIX!$P$377)</f>
        <v>87.11350557771226</v>
      </c>
      <c r="G5" s="576">
        <f>IF(F5="","",('INDICES CA 💵'!F21/'INDICES RH 🤝'!F5)-AIX!$E377)</f>
        <v>4325.25</v>
      </c>
      <c r="H5" s="575">
        <f>IF(BELLEY!$P$377=0,"",BELLEY!$M$377/BELLEY!$P$377)</f>
        <v>84.177116341972436</v>
      </c>
      <c r="I5" s="576">
        <f>IF(H5="","",('INDICES CA 💵'!H21/'INDICES RH 🤝'!H5)-BELLEY!$E377)</f>
        <v>4288.6500000000005</v>
      </c>
      <c r="J5" s="575">
        <f>IF(STALBAN!$P$377=0,"",STALBAN!$M$377/STALBAN!$P$377)</f>
        <v>85.425950953064756</v>
      </c>
      <c r="K5" s="576">
        <f>IF(J5="","",('INDICES CA 💵'!J21/'INDICES RH 🤝'!J5)-STALBAN!$E377)</f>
        <v>5682.7199999999993</v>
      </c>
      <c r="L5" s="575">
        <f>IF(ABRETS!$P$377=0,"",ABRETS!$M$377/ABRETS!$P$377)</f>
        <v>82.105199527541458</v>
      </c>
      <c r="M5" s="576">
        <f>IF(L5="","",('INDICES CA 💵'!L21/'INDICES RH 🤝'!L5)-ABRETS!$E377)</f>
        <v>3341.6689999999994</v>
      </c>
      <c r="N5" s="575">
        <f>IF(PONT!$P$377=0,"",PONT!$M$377/PONT!$P$377)</f>
        <v>82.630283729009847</v>
      </c>
      <c r="O5" s="576">
        <f>IF(N5="","",('INDICES CA 💵'!N21/'INDICES RH 🤝'!N5)-PONT!$E377)</f>
        <v>3454</v>
      </c>
      <c r="P5" s="575">
        <f>IF(FRANCIN!$P$377=0,"",FRANCIN!$M$377/FRANCIN!$P$377)</f>
        <v>86.140839110470836</v>
      </c>
      <c r="Q5" s="576">
        <f>IF(P5="","",('INDICES CA 💵'!P21/'INDICES RH 🤝'!P5)-FRANCIN!$E377)</f>
        <v>3332.1000000000008</v>
      </c>
      <c r="R5" s="575">
        <f>IF(VIVIERS!$P$377=0,"",VIVIERS!$M$377/VIVIERS!$P$377)</f>
        <v>77.093794583558818</v>
      </c>
      <c r="S5" s="576">
        <f>IF(R5="","",('INDICES CA 💵'!R21/'INDICES RH 🤝'!R5)-VIVIERS!$E377)</f>
        <v>3252.3199999999993</v>
      </c>
      <c r="T5" s="577">
        <f>IF(FRANCHISE!$P$377=0,"",FRANCHISE!$M$377/FRANCHISE!$P$377)</f>
        <v>86.356243556388009</v>
      </c>
      <c r="U5" s="578">
        <f>IF(T5="","",('INDICES CA 💵'!T21/'INDICES RH 🤝'!T5)-FRANCHISE!$E377)</f>
        <v>34397.439000000006</v>
      </c>
    </row>
    <row r="6" spans="2:21" hidden="1">
      <c r="B6" s="1819"/>
      <c r="C6" s="572" t="s">
        <v>25</v>
      </c>
      <c r="D6" s="573">
        <f>IF(CHAMNORD!$P$378=0,"",CHAMNORD!$M$378/CHAMNORD!$P$378)</f>
        <v>96.606720281534479</v>
      </c>
      <c r="E6" s="574">
        <f>IF(D6="","",('INDICES CA 💵'!D22/'INDICES RH 🤝'!D6)-CHAMNORD!$E378)</f>
        <v>6205.9899999999989</v>
      </c>
      <c r="F6" s="575">
        <f>IF(AIX!$P$378=0,"",AIX!$M$378/AIX!$P$378)</f>
        <v>87.218535344273235</v>
      </c>
      <c r="G6" s="576">
        <f>IF(F6="","",('INDICES CA 💵'!F22/'INDICES RH 🤝'!F6)-AIX!$E378)</f>
        <v>4307.7699999999995</v>
      </c>
      <c r="H6" s="579">
        <f>IF(BELLEY!$P$378=0,"",BELLEY!$M$378/BELLEY!$P$378)</f>
        <v>83.733585415998533</v>
      </c>
      <c r="I6" s="580">
        <f>IF(H6="","",('INDICES CA 💵'!H22/'INDICES RH 🤝'!H6)-BELLEY!$E378)</f>
        <v>4022.4900000000007</v>
      </c>
      <c r="J6" s="575">
        <f>IF(STALBAN!$P$378=0,"",STALBAN!$M$378/STALBAN!$P$378)</f>
        <v>85.249052190362562</v>
      </c>
      <c r="K6" s="576">
        <f>IF(J6="","",('INDICES CA 💵'!J22/'INDICES RH 🤝'!J6)-STALBAN!$E378)</f>
        <v>5095.96</v>
      </c>
      <c r="L6" s="575">
        <f>IF(ABRETS!$P$378=0,"",ABRETS!$M$378/ABRETS!$P$378)</f>
        <v>83.025258815675414</v>
      </c>
      <c r="M6" s="576">
        <f>IF(L6="","",('INDICES CA 💵'!L22/'INDICES RH 🤝'!L6)-ABRETS!$E378)</f>
        <v>3010.83</v>
      </c>
      <c r="N6" s="575">
        <f>IF(PONT!$P$378=0,"",PONT!$M$378/PONT!$P$378)</f>
        <v>84.68656240025534</v>
      </c>
      <c r="O6" s="576">
        <f>IF(N6="","",('INDICES CA 💵'!N22/'INDICES RH 🤝'!N6)-PONT!$E378)</f>
        <v>3133</v>
      </c>
      <c r="P6" s="575">
        <f>IF(FRANCIN!$P$378=0,"",FRANCIN!$M$378/FRANCIN!$P$378)</f>
        <v>86.889012176898859</v>
      </c>
      <c r="Q6" s="576">
        <f>IF(P6="","",('INDICES CA 💵'!P22/'INDICES RH 🤝'!P6)-FRANCIN!$E378)</f>
        <v>3145.3</v>
      </c>
      <c r="R6" s="575">
        <f>IF(VIVIERS!$P$378=0,"",VIVIERS!$M$378/VIVIERS!$P$378)</f>
        <v>72.237517500381543</v>
      </c>
      <c r="S6" s="576">
        <f>IF(R6="","",('INDICES CA 💵'!R22/'INDICES RH 🤝'!R6)-VIVIERS!$E378)</f>
        <v>3014.2199999999993</v>
      </c>
      <c r="T6" s="577">
        <f>IF(FRANCHISE!$P$378=0,"",FRANCHISE!$M$378/FRANCHISE!$P$378)</f>
        <v>86.19954433239937</v>
      </c>
      <c r="U6" s="578">
        <f>IF(T6="","",('INDICES CA 💵'!T22/'INDICES RH 🤝'!T6)-FRANCHISE!$E378)</f>
        <v>31935.56</v>
      </c>
    </row>
    <row r="7" spans="2:21" hidden="1">
      <c r="B7" s="1819"/>
      <c r="C7" s="572" t="s">
        <v>17</v>
      </c>
      <c r="D7" s="573">
        <f>IF(CHAMNORD!$P$379=0,"",CHAMNORD!$M$379/CHAMNORD!$P$379)</f>
        <v>90.756838018992582</v>
      </c>
      <c r="E7" s="574">
        <f>IF(D7="","",('INDICES CA 💵'!D23/'INDICES RH 🤝'!D7)-CHAMNORD!$E379)</f>
        <v>6615.2199999999984</v>
      </c>
      <c r="F7" s="575">
        <f>IF(AIX!$P$379=0,"",AIX!$M$379/AIX!$P$379)</f>
        <v>83.432340747157937</v>
      </c>
      <c r="G7" s="576">
        <f>IF(F7="","",('INDICES CA 💵'!F23/'INDICES RH 🤝'!F7)-AIX!$E379)</f>
        <v>4524.88</v>
      </c>
      <c r="H7" s="575">
        <f>IF(BELLEY!$P$379=0,"",BELLEY!$M$379/BELLEY!$P$379)</f>
        <v>85.148803897685724</v>
      </c>
      <c r="I7" s="576">
        <f>IF(H7="","",('INDICES CA 💵'!H23/'INDICES RH 🤝'!H7)-BELLEY!$E379)</f>
        <v>4105</v>
      </c>
      <c r="J7" s="575">
        <f>IF(STALBAN!$P$379=0,"",STALBAN!$M$379/STALBAN!$P$379)</f>
        <v>86.589563399924472</v>
      </c>
      <c r="K7" s="576">
        <f>IF(J7="","",('INDICES CA 💵'!J23/'INDICES RH 🤝'!J7)-STALBAN!$E379)</f>
        <v>5349.0599999999995</v>
      </c>
      <c r="L7" s="575">
        <f>IF(ABRETS!$P$379=0,"",ABRETS!$M$379/ABRETS!$P$379)</f>
        <v>87.975900947200373</v>
      </c>
      <c r="M7" s="576">
        <f>IF(L7="","",('INDICES CA 💵'!L23/'INDICES RH 🤝'!L7)-ABRETS!$E379)</f>
        <v>3161.9499999999985</v>
      </c>
      <c r="N7" s="575">
        <f>IF(PONT!$P$379=0,"",PONT!$M$379/PONT!$P$379)</f>
        <v>94.977041653000981</v>
      </c>
      <c r="O7" s="576">
        <f>IF(N7="","",('INDICES CA 💵'!N23/'INDICES RH 🤝'!N7)-PONT!$E379)</f>
        <v>3049</v>
      </c>
      <c r="P7" s="575">
        <f>IF(FRANCIN!$P$379=0,"",FRANCIN!$M$379/FRANCIN!$P$379)</f>
        <v>81.993864903762343</v>
      </c>
      <c r="Q7" s="576">
        <f>IF(P7="","",('INDICES CA 💵'!P23/'INDICES RH 🤝'!P7)-FRANCIN!$E379)</f>
        <v>3383.81</v>
      </c>
      <c r="R7" s="575">
        <f>IF(VIVIERS!$P$379=0,"",VIVIERS!$M$379/VIVIERS!$P$379)</f>
        <v>80.223278597993513</v>
      </c>
      <c r="S7" s="576">
        <f>IF(R7="","",('INDICES CA 💵'!R23/'INDICES RH 🤝'!R7)-VIVIERS!$E379)</f>
        <v>2933.5099999999998</v>
      </c>
      <c r="T7" s="577">
        <f>IF(FRANCHISE!$P$379=0,"",FRANCHISE!$M$379/FRANCHISE!$P$379)</f>
        <v>86.683079713656284</v>
      </c>
      <c r="U7" s="578">
        <f>IF(T7="","",('INDICES CA 💵'!T23/'INDICES RH 🤝'!T7)-FRANCHISE!$E379)</f>
        <v>33122.43</v>
      </c>
    </row>
    <row r="8" spans="2:21" hidden="1">
      <c r="B8" s="1819"/>
      <c r="C8" s="572" t="s">
        <v>18</v>
      </c>
      <c r="D8" s="573">
        <f>IF(CHAMNORD!$P$380=0,"",CHAMNORD!$M$380/CHAMNORD!$P$380)</f>
        <v>93.117905341965852</v>
      </c>
      <c r="E8" s="574">
        <f>IF(D8="","",('INDICES CA 💵'!D24/'INDICES RH 🤝'!D8)-CHAMNORD!$E380)</f>
        <v>6124.15</v>
      </c>
      <c r="F8" s="575">
        <f>IF(AIX!$P$380=0,"",AIX!$M$380/AIX!$P$380)</f>
        <v>92.655586173712095</v>
      </c>
      <c r="G8" s="576">
        <f>IF(F8="","",('INDICES CA 💵'!F24/'INDICES RH 🤝'!F8)-AIX!$E380)</f>
        <v>4946.2299999999996</v>
      </c>
      <c r="H8" s="575">
        <f>IF(BELLEY!$P$380=0,"",BELLEY!$M$380/BELLEY!$P$380)</f>
        <v>84.425616419318729</v>
      </c>
      <c r="I8" s="576">
        <f>IF(H8="","",('INDICES CA 💵'!H24/'INDICES RH 🤝'!H8)-BELLEY!$E380)</f>
        <v>4101.51</v>
      </c>
      <c r="J8" s="575">
        <f>IF(STALBAN!$P$380=0,"",STALBAN!$M$380/STALBAN!$P$380)</f>
        <v>92.086146353588461</v>
      </c>
      <c r="K8" s="576">
        <f>IF(J8="","",('INDICES CA 💵'!J24/'INDICES RH 🤝'!J8)-STALBAN!$E380)</f>
        <v>4747.2700000000013</v>
      </c>
      <c r="L8" s="575">
        <f>IF(ABRETS!$P$380=0,"",ABRETS!$M$380/ABRETS!$P$380)</f>
        <v>88.838679385475388</v>
      </c>
      <c r="M8" s="576">
        <f>IF(L8="","",('INDICES CA 💵'!L24/'INDICES RH 🤝'!L8)-ABRETS!$E380)</f>
        <v>3162.77</v>
      </c>
      <c r="N8" s="575">
        <f>IF(PONT!$P$380=0,"",PONT!$M$380/PONT!$P$380)</f>
        <v>93.542684968195516</v>
      </c>
      <c r="O8" s="576">
        <f>IF(N8="","",('INDICES CA 💵'!N24/'INDICES RH 🤝'!N8)-PONT!$E380)</f>
        <v>2987</v>
      </c>
      <c r="P8" s="575">
        <f>IF(FRANCIN!$P$380=0,"",FRANCIN!$M$380/FRANCIN!$P$380)</f>
        <v>80.26509097356805</v>
      </c>
      <c r="Q8" s="576">
        <f>IF(P8="","",('INDICES CA 💵'!P24/'INDICES RH 🤝'!P8)-FRANCIN!$E380)</f>
        <v>3214.6700000000005</v>
      </c>
      <c r="R8" s="575">
        <f>IF(VIVIERS!$P$380=0,"",VIVIERS!$M$380/VIVIERS!$P$380)</f>
        <v>82.11163603507687</v>
      </c>
      <c r="S8" s="576">
        <f>IF(R8="","",('INDICES CA 💵'!R24/'INDICES RH 🤝'!R8)-VIVIERS!$E380)</f>
        <v>2855.4400000000005</v>
      </c>
      <c r="T8" s="577">
        <f>IF(FRANCHISE!$P$380=0,"",FRANCHISE!$M$380/FRANCHISE!$P$380)</f>
        <v>89.139971511283449</v>
      </c>
      <c r="U8" s="578">
        <f>IF(T8="","",('INDICES CA 💵'!T24/'INDICES RH 🤝'!T8)-FRANCHISE!$E380)</f>
        <v>32139.040000000001</v>
      </c>
    </row>
    <row r="9" spans="2:21" hidden="1">
      <c r="B9" s="1819"/>
      <c r="C9" s="572" t="s">
        <v>19</v>
      </c>
      <c r="D9" s="573">
        <f>IF(CHAMNORD!$P$381=0,"",CHAMNORD!$M$381/CHAMNORD!$P$381)</f>
        <v>90.394840166108253</v>
      </c>
      <c r="E9" s="574">
        <f>IF(D9="","",('INDICES CA 💵'!D25/'INDICES RH 🤝'!D9)-CHAMNORD!$E381)</f>
        <v>6183.9199999999992</v>
      </c>
      <c r="F9" s="575">
        <f>IF(AIX!$P$381=0,"",AIX!$M$381/AIX!$P$381)</f>
        <v>88.216686359584415</v>
      </c>
      <c r="G9" s="576">
        <f>IF(F9="","",('INDICES CA 💵'!F25/'INDICES RH 🤝'!F9)-AIX!$E381)</f>
        <v>5238.7699999999995</v>
      </c>
      <c r="H9" s="575">
        <f>IF(BELLEY!$P$381=0,"",BELLEY!$M$381/BELLEY!$P$381)</f>
        <v>88.920543679147755</v>
      </c>
      <c r="I9" s="576">
        <f>IF(H9="","",('INDICES CA 💵'!H25/'INDICES RH 🤝'!H9)-BELLEY!$E381)</f>
        <v>4123.0200000000013</v>
      </c>
      <c r="J9" s="575">
        <f>IF(STALBAN!$P$381=0,"",STALBAN!$M$381/STALBAN!$P$381)</f>
        <v>82.321521281604191</v>
      </c>
      <c r="K9" s="576">
        <f>IF(J9="","",('INDICES CA 💵'!J25/'INDICES RH 🤝'!J9)-STALBAN!$E381)</f>
        <v>5373.89</v>
      </c>
      <c r="L9" s="575">
        <f>IF(ABRETS!$P$381=0,"",ABRETS!$M$381/ABRETS!$P$381)</f>
        <v>83.926395462178959</v>
      </c>
      <c r="M9" s="576">
        <f>IF(L9="","",('INDICES CA 💵'!L25/'INDICES RH 🤝'!L9)-ABRETS!$E381)</f>
        <v>3406.0400000000009</v>
      </c>
      <c r="N9" s="575">
        <f>IF(PONT!$P$381=0,"",PONT!$M$381/PONT!$P$381)</f>
        <v>85.438861458030786</v>
      </c>
      <c r="O9" s="576">
        <f>IF(N9="","",('INDICES CA 💵'!N25/'INDICES RH 🤝'!N9)-PONT!$E381)</f>
        <v>3443</v>
      </c>
      <c r="P9" s="575">
        <f>IF(FRANCIN!$P$381=0,"",FRANCIN!$M$381/FRANCIN!$P$381)</f>
        <v>84.197536435879798</v>
      </c>
      <c r="Q9" s="576">
        <f>IF(P9="","",('INDICES CA 💵'!P25/'INDICES RH 🤝'!P9)-FRANCIN!$E381)</f>
        <v>3168.58</v>
      </c>
      <c r="R9" s="575">
        <f>IF(VIVIERS!$P$381=0,"",VIVIERS!$M$381/VIVIERS!$P$381)</f>
        <v>84.235958225549027</v>
      </c>
      <c r="S9" s="576">
        <f>IF(R9="","",('INDICES CA 💵'!R25/'INDICES RH 🤝'!R9)-VIVIERS!$E381)</f>
        <v>2907.0399999999995</v>
      </c>
      <c r="T9" s="577">
        <f>IF(FRANCHISE!$P$381=0,"",FRANCHISE!$M$381/FRANCHISE!$P$381)</f>
        <v>86.331802202205054</v>
      </c>
      <c r="U9" s="578">
        <f>IF(T9="","",('INDICES CA 💵'!T25/'INDICES RH 🤝'!T9)-FRANCHISE!$E381)</f>
        <v>33844.26</v>
      </c>
    </row>
    <row r="10" spans="2:21" hidden="1">
      <c r="B10" s="1819"/>
      <c r="C10" s="581" t="s">
        <v>20</v>
      </c>
      <c r="D10" s="582">
        <f>IF(CHAMNORD!$P$382=0,"",CHAMNORD!$M$382/CHAMNORD!$P$382)</f>
        <v>90.485608646582705</v>
      </c>
      <c r="E10" s="583">
        <f>IF(D10="","",('INDICES CA 💵'!D26/'INDICES RH 🤝'!D10)-CHAMNORD!$E382)</f>
        <v>1444.27</v>
      </c>
      <c r="F10" s="584">
        <f>IF(AIX!$P$382=0,"",AIX!$M$382/AIX!$P$382)</f>
        <v>77.535425522719947</v>
      </c>
      <c r="G10" s="585">
        <f>IF(F10="","",('INDICES CA 💵'!F26/'INDICES RH 🤝'!F10)-AIX!$E382)</f>
        <v>1272.67</v>
      </c>
      <c r="H10" s="584">
        <f>IF(BELLEY!$P$382=0,"",BELLEY!$M$382/BELLEY!$P$382)</f>
        <v>79.253430958066602</v>
      </c>
      <c r="I10" s="585">
        <f>IF(H10="","",('INDICES CA 💵'!H26/'INDICES RH 🤝'!H10)-BELLEY!$E382)</f>
        <v>1076.2299999999998</v>
      </c>
      <c r="J10" s="584">
        <f>IF(STALBAN!$P$382=0,"",STALBAN!$M$382/STALBAN!$P$382)</f>
        <v>88.463580791845018</v>
      </c>
      <c r="K10" s="585">
        <f>IF(J10="","",('INDICES CA 💵'!J26/'INDICES RH 🤝'!J10)-STALBAN!$E382)</f>
        <v>1200.74</v>
      </c>
      <c r="L10" s="584">
        <f>IF(ABRETS!$P$382=0,"",ABRETS!$M$382/ABRETS!$P$382)</f>
        <v>91.345753817439174</v>
      </c>
      <c r="M10" s="585">
        <f>IF(L10="","",('INDICES CA 💵'!L26/'INDICES RH 🤝'!L10)-ABRETS!$E382)</f>
        <v>739.37</v>
      </c>
      <c r="N10" s="584">
        <f>IF(PONT!$P$382=0,"",PONT!$M$382/PONT!$P$382)</f>
        <v>92.686030428769016</v>
      </c>
      <c r="O10" s="585">
        <f>IF(N10="","",('INDICES CA 💵'!N26/'INDICES RH 🤝'!N10)-PONT!$E382)</f>
        <v>723</v>
      </c>
      <c r="P10" s="584">
        <f>IF(FRANCIN!$P$382=0,"",FRANCIN!$M$382/FRANCIN!$P$382)</f>
        <v>87.981503151511944</v>
      </c>
      <c r="Q10" s="585">
        <f>IF(P10="","",('INDICES CA 💵'!P26/'INDICES RH 🤝'!P10)-FRANCIN!$E382)</f>
        <v>752.02</v>
      </c>
      <c r="R10" s="584">
        <f>IF(VIVIERS!$P$382=0,"",VIVIERS!$M$382/VIVIERS!$P$382)</f>
        <v>83.239642779350888</v>
      </c>
      <c r="S10" s="585">
        <f>IF(R10="","",('INDICES CA 💵'!R26/'INDICES RH 🤝'!R10)-VIVIERS!$E382)</f>
        <v>688.65000000000009</v>
      </c>
      <c r="T10" s="586">
        <f>IF(FRANCHISE!$P$382=0,"",FRANCHISE!$M$382/FRANCHISE!$P$382)</f>
        <v>85.971986653074936</v>
      </c>
      <c r="U10" s="587">
        <f>IF(T10="","",('INDICES CA 💵'!T26/'INDICES RH 🤝'!T10)-FRANCHISE!$E382)</f>
        <v>7896.9499999999989</v>
      </c>
    </row>
    <row r="11" spans="2:21" hidden="1">
      <c r="B11" s="1819"/>
      <c r="C11" s="572" t="s">
        <v>21</v>
      </c>
      <c r="D11" s="573" t="str">
        <f>IF(CHAMNORD!$P$383=0,"",CHAMNORD!$M$383/CHAMNORD!$P$383)</f>
        <v/>
      </c>
      <c r="E11" s="574" t="str">
        <f>IF(D11="","",('INDICES CA 💵'!D27/'INDICES RH 🤝'!D11)-CHAMNORD!$E383)</f>
        <v/>
      </c>
      <c r="F11" s="575" t="str">
        <f>IF(AIX!$P$383=0,"",AIX!$M$383/AIX!$P$383)</f>
        <v/>
      </c>
      <c r="G11" s="576" t="str">
        <f>IF(F11="","",('INDICES CA 💵'!F27/'INDICES RH 🤝'!F11)-AIX!$E383)</f>
        <v/>
      </c>
      <c r="H11" s="575" t="str">
        <f>IF(BELLEY!$P$383=0,"",BELLEY!$M$383/BELLEY!$P$383)</f>
        <v/>
      </c>
      <c r="I11" s="576" t="str">
        <f>IF(H11="","",('INDICES CA 💵'!H27/'INDICES RH 🤝'!H11)-BELLEY!$E383)</f>
        <v/>
      </c>
      <c r="J11" s="575" t="str">
        <f>IF(STALBAN!$P$383=0,"",STALBAN!$M$383/STALBAN!$P$383)</f>
        <v/>
      </c>
      <c r="K11" s="576" t="str">
        <f>IF(J11="","",('INDICES CA 💵'!J27/'INDICES RH 🤝'!J11)-STALBAN!$E383)</f>
        <v/>
      </c>
      <c r="L11" s="575" t="str">
        <f>IF(ABRETS!$P$383=0,"",ABRETS!$M$383/ABRETS!$P$383)</f>
        <v/>
      </c>
      <c r="M11" s="576" t="str">
        <f>IF(L11="","",('INDICES CA 💵'!L27/'INDICES RH 🤝'!L11)-ABRETS!$E383)</f>
        <v/>
      </c>
      <c r="N11" s="575" t="str">
        <f>IF(PONT!$P$383=0,"",PONT!$M$383/PONT!$P$383)</f>
        <v/>
      </c>
      <c r="O11" s="576" t="str">
        <f>IF(N11="","",('INDICES CA 💵'!N27/'INDICES RH 🤝'!N11)-PONT!$E383)</f>
        <v/>
      </c>
      <c r="P11" s="575" t="str">
        <f>IF(FRANCIN!$P$383=0,"",FRANCIN!$M$383/FRANCIN!$P$383)</f>
        <v/>
      </c>
      <c r="Q11" s="576" t="str">
        <f>IF(P11="","",('INDICES CA 💵'!P27/'INDICES RH 🤝'!P11)-FRANCIN!$E383)</f>
        <v/>
      </c>
      <c r="R11" s="575" t="str">
        <f>IF(VIVIERS!$P$383=0,"",VIVIERS!$M$383/VIVIERS!$P$383)</f>
        <v/>
      </c>
      <c r="S11" s="576" t="str">
        <f>IF(R11="","",('INDICES CA 💵'!R27/'INDICES RH 🤝'!R11)-VIVIERS!$E383)</f>
        <v/>
      </c>
      <c r="T11" s="577" t="str">
        <f>IF(FRANCHISE!$P$383=0,"",FRANCHISE!$M$383/FRANCHISE!$P$383)</f>
        <v/>
      </c>
      <c r="U11" s="578" t="str">
        <f>IF(T11="","",('INDICES CA 💵'!T27/'INDICES RH 🤝'!T11)-FRANCHISE!$E383)</f>
        <v/>
      </c>
    </row>
    <row r="12" spans="2:21" hidden="1">
      <c r="B12" s="1819"/>
      <c r="C12" s="572" t="s">
        <v>26</v>
      </c>
      <c r="D12" s="573" t="str">
        <f>IF(CHAMNORD!$P$384=0,"",CHAMNORD!$M$384/CHAMNORD!$P$384)</f>
        <v/>
      </c>
      <c r="E12" s="574" t="str">
        <f>IF(D12="","",('INDICES CA 💵'!D28/'INDICES RH 🤝'!D12)-CHAMNORD!$E384)</f>
        <v/>
      </c>
      <c r="F12" s="575" t="str">
        <f>IF(AIX!$P$384=0,"",AIX!$M$384/AIX!$P$384)</f>
        <v/>
      </c>
      <c r="G12" s="576" t="str">
        <f>IF(F12="","",('INDICES CA 💵'!F28/'INDICES RH 🤝'!F12)-AIX!$E384)</f>
        <v/>
      </c>
      <c r="H12" s="575" t="str">
        <f>IF(BELLEY!$P$384=0,"",BELLEY!$M$384/BELLEY!$P$384)</f>
        <v/>
      </c>
      <c r="I12" s="576" t="str">
        <f>IF(H12="","",('INDICES CA 💵'!H28/'INDICES RH 🤝'!H12)-BELLEY!$E384)</f>
        <v/>
      </c>
      <c r="J12" s="575" t="str">
        <f>IF(STALBAN!$P$384=0,"",STALBAN!$M$384/STALBAN!$P$384)</f>
        <v/>
      </c>
      <c r="K12" s="576" t="str">
        <f>IF(J12="","",('INDICES CA 💵'!J28/'INDICES RH 🤝'!J12)-STALBAN!$E384)</f>
        <v/>
      </c>
      <c r="L12" s="575" t="str">
        <f>IF(ABRETS!$P$384=0,"",ABRETS!$M$384/ABRETS!$P$384)</f>
        <v/>
      </c>
      <c r="M12" s="576" t="str">
        <f>IF(L12="","",('INDICES CA 💵'!L28/'INDICES RH 🤝'!L12)-ABRETS!$E384)</f>
        <v/>
      </c>
      <c r="N12" s="575" t="str">
        <f>IF(PONT!$P$384=0,"",PONT!$M$384/PONT!$P$384)</f>
        <v/>
      </c>
      <c r="O12" s="576" t="str">
        <f>IF(N12="","",('INDICES CA 💵'!N28/'INDICES RH 🤝'!N12)-PONT!$E384)</f>
        <v/>
      </c>
      <c r="P12" s="575" t="str">
        <f>IF(FRANCIN!$P$384=0,"",FRANCIN!$M$384/FRANCIN!$P$384)</f>
        <v/>
      </c>
      <c r="Q12" s="576" t="str">
        <f>IF(P12="","",('INDICES CA 💵'!P28/'INDICES RH 🤝'!P12)-FRANCIN!$E384)</f>
        <v/>
      </c>
      <c r="R12" s="575" t="str">
        <f>IF(VIVIERS!$P$384=0,"",VIVIERS!$M$384/VIVIERS!$P$384)</f>
        <v/>
      </c>
      <c r="S12" s="576" t="str">
        <f>IF(R12="","",('INDICES CA 💵'!R28/'INDICES RH 🤝'!R12)-VIVIERS!$E384)</f>
        <v/>
      </c>
      <c r="T12" s="577" t="str">
        <f>IF(FRANCHISE!$P$384=0,"",FRANCHISE!$M$384/FRANCHISE!$P$384)</f>
        <v/>
      </c>
      <c r="U12" s="578" t="str">
        <f>IF(T12="","",('INDICES CA 💵'!T28/'INDICES RH 🤝'!T12)-FRANCHISE!$E384)</f>
        <v/>
      </c>
    </row>
    <row r="13" spans="2:21" hidden="1">
      <c r="B13" s="1819"/>
      <c r="C13" s="572" t="s">
        <v>22</v>
      </c>
      <c r="D13" s="573" t="str">
        <f>IF(CHAMNORD!$P$385=0,"",CHAMNORD!$M$385/CHAMNORD!$P$385)</f>
        <v/>
      </c>
      <c r="E13" s="574" t="str">
        <f>IF(D13="","",('INDICES CA 💵'!D29/'INDICES RH 🤝'!D13)-CHAMNORD!$E385)</f>
        <v/>
      </c>
      <c r="F13" s="575" t="str">
        <f>IF(AIX!$P$385=0,"",AIX!$M$385/AIX!$P$385)</f>
        <v/>
      </c>
      <c r="G13" s="576" t="str">
        <f>IF(F13="","",('INDICES CA 💵'!F29/'INDICES RH 🤝'!F13)-AIX!$E385)</f>
        <v/>
      </c>
      <c r="H13" s="575" t="str">
        <f>IF(BELLEY!$P$385=0,"",BELLEY!$M$385/BELLEY!$P$385)</f>
        <v/>
      </c>
      <c r="I13" s="576" t="str">
        <f>IF(H13="","",('INDICES CA 💵'!H29/'INDICES RH 🤝'!H13)-BELLEY!$E385)</f>
        <v/>
      </c>
      <c r="J13" s="575" t="str">
        <f>IF(STALBAN!$P$385=0,"",STALBAN!$M$385/STALBAN!$P$385)</f>
        <v/>
      </c>
      <c r="K13" s="576" t="str">
        <f>IF(J13="","",('INDICES CA 💵'!J29/'INDICES RH 🤝'!J13)-STALBAN!$E385)</f>
        <v/>
      </c>
      <c r="L13" s="575" t="str">
        <f>IF(ABRETS!$P$385=0,"",ABRETS!$M$385/ABRETS!$P$385)</f>
        <v/>
      </c>
      <c r="M13" s="576" t="str">
        <f>IF(L13="","",('INDICES CA 💵'!L29/'INDICES RH 🤝'!L13)-ABRETS!$E385)</f>
        <v/>
      </c>
      <c r="N13" s="575" t="str">
        <f>IF(PONT!$P$385=0,"",PONT!$M$385/PONT!$P$385)</f>
        <v/>
      </c>
      <c r="O13" s="576" t="str">
        <f>IF(N13="","",('INDICES CA 💵'!N29/'INDICES RH 🤝'!N13)-PONT!$E385)</f>
        <v/>
      </c>
      <c r="P13" s="575" t="str">
        <f>IF(FRANCIN!$P$385=0,"",FRANCIN!$M$385/FRANCIN!$P$385)</f>
        <v/>
      </c>
      <c r="Q13" s="576" t="str">
        <f>IF(P13="","",('INDICES CA 💵'!P29/'INDICES RH 🤝'!P13)-FRANCIN!$E385)</f>
        <v/>
      </c>
      <c r="R13" s="575" t="str">
        <f>IF(VIVIERS!$P$385=0,"",VIVIERS!$M$385/VIVIERS!$P$385)</f>
        <v/>
      </c>
      <c r="S13" s="576" t="str">
        <f>IF(R13="","",('INDICES CA 💵'!R29/'INDICES RH 🤝'!R13)-VIVIERS!$E385)</f>
        <v/>
      </c>
      <c r="T13" s="577" t="str">
        <f>IF(FRANCHISE!$P$385=0,"",FRANCHISE!$M$385/FRANCHISE!$P$385)</f>
        <v/>
      </c>
      <c r="U13" s="578" t="str">
        <f>IF(T13="","",('INDICES CA 💵'!T29/'INDICES RH 🤝'!T13)-FRANCHISE!$E385)</f>
        <v/>
      </c>
    </row>
    <row r="14" spans="2:21" hidden="1">
      <c r="B14" s="1819"/>
      <c r="C14" s="572" t="s">
        <v>23</v>
      </c>
      <c r="D14" s="573" t="str">
        <f>IF(CHAMNORD!$P$386=0,"",CHAMNORD!$M$386/CHAMNORD!$P$386)</f>
        <v/>
      </c>
      <c r="E14" s="574" t="str">
        <f>IF(D14="","",('INDICES CA 💵'!D30/'INDICES RH 🤝'!D14)-CHAMNORD!$E386)</f>
        <v/>
      </c>
      <c r="F14" s="575" t="str">
        <f>IF(AIX!$P$386=0,"",AIX!$M$386/AIX!$P$386)</f>
        <v/>
      </c>
      <c r="G14" s="576" t="str">
        <f>IF(F14="","",('INDICES CA 💵'!F30/'INDICES RH 🤝'!F14)-AIX!$E386)</f>
        <v/>
      </c>
      <c r="H14" s="575" t="str">
        <f>IF(BELLEY!$P$386=0,"",BELLEY!$M$386/BELLEY!$P$386)</f>
        <v/>
      </c>
      <c r="I14" s="576" t="str">
        <f>IF(H14="","",('INDICES CA 💵'!H30/'INDICES RH 🤝'!H14)-BELLEY!$E386)</f>
        <v/>
      </c>
      <c r="J14" s="575" t="str">
        <f>IF(STALBAN!$P$386=0,"",STALBAN!$M$386/STALBAN!$P$386)</f>
        <v/>
      </c>
      <c r="K14" s="576" t="str">
        <f>IF(J14="","",('INDICES CA 💵'!J30/'INDICES RH 🤝'!J14)-STALBAN!$E386)</f>
        <v/>
      </c>
      <c r="L14" s="575" t="str">
        <f>IF(ABRETS!$P$386=0,"",ABRETS!$M$386/ABRETS!$P$386)</f>
        <v/>
      </c>
      <c r="M14" s="576" t="str">
        <f>IF(L14="","",('INDICES CA 💵'!L30/'INDICES RH 🤝'!L14)-ABRETS!$E386)</f>
        <v/>
      </c>
      <c r="N14" s="575" t="str">
        <f>IF(PONT!$P$386=0,"",PONT!$M$386/PONT!$P$386)</f>
        <v/>
      </c>
      <c r="O14" s="576" t="str">
        <f>IF(N14="","",('INDICES CA 💵'!N30/'INDICES RH 🤝'!N14)-PONT!$E386)</f>
        <v/>
      </c>
      <c r="P14" s="575" t="str">
        <f>IF(FRANCIN!$P$386=0,"",FRANCIN!$M$386/FRANCIN!$P$386)</f>
        <v/>
      </c>
      <c r="Q14" s="576" t="str">
        <f>IF(P14="","",('INDICES CA 💵'!P30/'INDICES RH 🤝'!P14)-FRANCIN!$E386)</f>
        <v/>
      </c>
      <c r="R14" s="575" t="str">
        <f>IF(VIVIERS!$P$385=0,"",VIVIERS!$M$385/VIVIERS!$P$385)</f>
        <v/>
      </c>
      <c r="S14" s="576" t="str">
        <f>IF(R14="","",('INDICES CA 💵'!R30/'INDICES RH 🤝'!R14)-VIVIERS!$E386)</f>
        <v/>
      </c>
      <c r="T14" s="577" t="str">
        <f>IF(FRANCHISE!$P$386=0,"",FRANCHISE!$M$386/FRANCHISE!$P$386)</f>
        <v/>
      </c>
      <c r="U14" s="578" t="e">
        <f>IF(T14="","",('INDICES CA 💵'!T30/'INDICES RH 🤝'!T14)-FRANCHISE!$E386)+S29</f>
        <v>#VALUE!</v>
      </c>
    </row>
    <row r="15" spans="2:21" hidden="1">
      <c r="B15" s="1819"/>
      <c r="C15" s="572" t="s">
        <v>24</v>
      </c>
      <c r="D15" s="573" t="str">
        <f>IF(CHAMNORD!$P$387=0,"",CHAMNORD!$M$387/CHAMNORD!$P$387)</f>
        <v/>
      </c>
      <c r="E15" s="574" t="str">
        <f>IF(D15="","",('INDICES CA 💵'!D31/'INDICES RH 🤝'!D15)-CHAMNORD!$E387)</f>
        <v/>
      </c>
      <c r="F15" s="575" t="str">
        <f>IF(AIX!$P$387=0,"",AIX!$M$387/AIX!$P$387)</f>
        <v/>
      </c>
      <c r="G15" s="576" t="str">
        <f>IF(F15="","",('INDICES CA 💵'!F31/'INDICES RH 🤝'!F15)-AIX!$E387)</f>
        <v/>
      </c>
      <c r="H15" s="575" t="str">
        <f>IF(BELLEY!$P$387=0,"",BELLEY!$M$387/BELLEY!$P$387)</f>
        <v/>
      </c>
      <c r="I15" s="576" t="str">
        <f>IF(H15="","",('INDICES CA 💵'!H31/'INDICES RH 🤝'!H15)-BELLEY!$E387)</f>
        <v/>
      </c>
      <c r="J15" s="575" t="str">
        <f>IF(STALBAN!$P$387=0,"",STALBAN!$M$387/STALBAN!$P$387)</f>
        <v/>
      </c>
      <c r="K15" s="576" t="str">
        <f>IF(J15="","",('INDICES CA 💵'!J31/'INDICES RH 🤝'!J15)-STALBAN!$E387)</f>
        <v/>
      </c>
      <c r="L15" s="575" t="str">
        <f>IF(ABRETS!$P$387=0,"",ABRETS!$M$387/ABRETS!$P$387)</f>
        <v/>
      </c>
      <c r="M15" s="576" t="str">
        <f>IF(L15="","",('INDICES CA 💵'!L31/'INDICES RH 🤝'!L15)-ABRETS!$E387)</f>
        <v/>
      </c>
      <c r="N15" s="575" t="str">
        <f>IF(PONT!$P$387=0,"",PONT!$M$387/PONT!$P$387)</f>
        <v/>
      </c>
      <c r="O15" s="576" t="str">
        <f>IF(N15="","",('INDICES CA 💵'!N31/'INDICES RH 🤝'!N15)-PONT!$E387)</f>
        <v/>
      </c>
      <c r="P15" s="575" t="str">
        <f>IF(FRANCIN!$P$387=0,"",FRANCIN!$M$387/FRANCIN!$P$387)</f>
        <v/>
      </c>
      <c r="Q15" s="576" t="str">
        <f>IF(P15="","",('INDICES CA 💵'!P31/'INDICES RH 🤝'!P15)-FRANCIN!$E387)</f>
        <v/>
      </c>
      <c r="R15" s="575" t="str">
        <f>IF(VIVIERS!$P$385=0,"",VIVIERS!$M$385/VIVIERS!$P$385)</f>
        <v/>
      </c>
      <c r="S15" s="576" t="str">
        <f>IF(R15="","",('INDICES CA 💵'!R31/'INDICES RH 🤝'!R15)-VIVIERS!$E387)</f>
        <v/>
      </c>
      <c r="T15" s="577" t="str">
        <f>IF(FRANCHISE!$P$387=0,"",FRANCHISE!$M$387/FRANCHISE!$P$387)</f>
        <v/>
      </c>
      <c r="U15" s="578" t="e">
        <f>IF(T15="","",('INDICES CA 💵'!T31/'INDICES RH 🤝'!T15)-FRANCHISE!$E387)+S30</f>
        <v>#VALUE!</v>
      </c>
    </row>
    <row r="16" spans="2:21" hidden="1">
      <c r="B16" s="1819"/>
      <c r="C16" s="572" t="s">
        <v>27</v>
      </c>
      <c r="D16" s="573" t="str">
        <f>IF(CHAMNORD!$P$388=0,"",CHAMNORD!$M$388/CHAMNORD!$P$388)</f>
        <v/>
      </c>
      <c r="E16" s="574" t="str">
        <f>IF(D16="","",('INDICES CA 💵'!D32/'INDICES RH 🤝'!D16)-CHAMNORD!$E388)</f>
        <v/>
      </c>
      <c r="F16" s="575" t="str">
        <f>IF(AIX!$P$388=0,"",AIX!$M$388/AIX!$P$388)</f>
        <v/>
      </c>
      <c r="G16" s="576" t="str">
        <f>IF(F16="","",('INDICES CA 💵'!F32/'INDICES RH 🤝'!F16)-AIX!$E388)</f>
        <v/>
      </c>
      <c r="H16" s="575" t="str">
        <f>IF(BELLEY!$P$388=0,"",BELLEY!$M$388/BELLEY!$P$388)</f>
        <v/>
      </c>
      <c r="I16" s="576" t="str">
        <f>IF(H16="","",('INDICES CA 💵'!H32/'INDICES RH 🤝'!H16)-BELLEY!$E388)</f>
        <v/>
      </c>
      <c r="J16" s="575" t="str">
        <f>IF(STALBAN!$P$388=0,"",STALBAN!$M$388/STALBAN!$P$388)</f>
        <v/>
      </c>
      <c r="K16" s="576" t="str">
        <f>IF(J16="","",('INDICES CA 💵'!J32/'INDICES RH 🤝'!J16)-STALBAN!$E388)</f>
        <v/>
      </c>
      <c r="L16" s="575" t="str">
        <f>IF(ABRETS!$P$388=0,"",ABRETS!$M$388/ABRETS!$P$388)</f>
        <v/>
      </c>
      <c r="M16" s="576" t="str">
        <f>IF(L16="","",('INDICES CA 💵'!L32/'INDICES RH 🤝'!L16)-ABRETS!$E388)</f>
        <v/>
      </c>
      <c r="N16" s="575" t="str">
        <f>IF(PONT!$P$388=0,"",PONT!$M$388/PONT!$P$388)</f>
        <v/>
      </c>
      <c r="O16" s="576" t="str">
        <f>IF(N16="","",('INDICES CA 💵'!N32/'INDICES RH 🤝'!N16)-PONT!$E388)</f>
        <v/>
      </c>
      <c r="P16" s="575" t="str">
        <f>IF(FRANCIN!$P$388=0,"",FRANCIN!$M$388/FRANCIN!$P$388)</f>
        <v/>
      </c>
      <c r="Q16" s="576" t="str">
        <f>IF(P16="","",('INDICES CA 💵'!P32/'INDICES RH 🤝'!P16)-FRANCIN!$E388)</f>
        <v/>
      </c>
      <c r="R16" s="575" t="str">
        <f>IF(VIVIERS!$P$385=0,"",VIVIERS!$M$385/VIVIERS!$P$385)</f>
        <v/>
      </c>
      <c r="S16" s="576" t="str">
        <f>IF(R16="","",('INDICES CA 💵'!R32/'INDICES RH 🤝'!R16)-VIVIERS!$E388)</f>
        <v/>
      </c>
      <c r="T16" s="577" t="str">
        <f>IF(FRANCHISE!$P$388=0,"",FRANCHISE!$M$388/FRANCHISE!$P$388)</f>
        <v/>
      </c>
      <c r="U16" s="578" t="str">
        <f>IF(T16="","",('INDICES CA 💵'!T32/'INDICES RH 🤝'!T16)-FRANCHISE!$E388)</f>
        <v/>
      </c>
    </row>
    <row r="17" spans="2:21" ht="21" hidden="1" thickBot="1">
      <c r="B17" s="1819"/>
      <c r="C17" s="588" t="s">
        <v>54</v>
      </c>
      <c r="D17" s="589">
        <f>IF(CHAMNORD!$P$389=0,"",CHAMNORD!$M$389/CHAMNORD!$P$389)</f>
        <v>93.394899063743097</v>
      </c>
      <c r="E17" s="590">
        <f>SUM(E5:E16)</f>
        <v>33294.279999999992</v>
      </c>
      <c r="F17" s="591">
        <f>IF(AIX!$P$389=0,"",AIX!$M$389/AIX!$P$389)</f>
        <v>87.308406427314097</v>
      </c>
      <c r="G17" s="592">
        <f>SUM(G5:G16)</f>
        <v>24615.57</v>
      </c>
      <c r="H17" s="591">
        <f>IF(BELLEY!$P$389=0,"",BELLEY!$M$389/BELLEY!$P$389)</f>
        <v>84.98211761347153</v>
      </c>
      <c r="I17" s="592">
        <f>SUM(I5:I16)</f>
        <v>21716.9</v>
      </c>
      <c r="J17" s="591">
        <f>IF(STALBAN!$P$389=0,"",STALBAN!$M$389/STALBAN!$P$389)</f>
        <v>86.296820286167673</v>
      </c>
      <c r="K17" s="592">
        <f>SUM(K5:K16)</f>
        <v>27449.640000000003</v>
      </c>
      <c r="L17" s="591">
        <f>IF(ABRETS!$P$389=0,"",ABRETS!$M$389/ABRETS!$P$389)</f>
        <v>85.41411809057908</v>
      </c>
      <c r="M17" s="592">
        <f>SUM(M5:M16)</f>
        <v>16822.629000000001</v>
      </c>
      <c r="N17" s="591">
        <f>IF(PONT!$P$389=0,"",PONT!$M$389/PONT!$P$389)</f>
        <v>88.206742509976777</v>
      </c>
      <c r="O17" s="592">
        <f>SUM(O5:O16)</f>
        <v>16789</v>
      </c>
      <c r="P17" s="591">
        <f>IF(FRANCIN!$P$389=0,"",FRANCIN!$M$389/FRANCIN!$P$389)</f>
        <v>84.061512736754892</v>
      </c>
      <c r="Q17" s="592">
        <f>SUM(Q5:Q16)</f>
        <v>16996.48</v>
      </c>
      <c r="R17" s="591">
        <f>IF(VIVIERS!$P$389=0,"",VIVIERS!$M$389/VIVIERS!$P$389)</f>
        <v>79.257562688564065</v>
      </c>
      <c r="S17" s="592">
        <f>SUM(S5:S16)</f>
        <v>15651.179999999998</v>
      </c>
      <c r="T17" s="591">
        <f>IF(FRANCHISE!$P$389=0,"",FRANCHISE!$M$389/FRANCHISE!$P$389)</f>
        <v>86.883694210468917</v>
      </c>
      <c r="U17" s="593" t="e">
        <f>SUM(U5:U16)</f>
        <v>#VALUE!</v>
      </c>
    </row>
    <row r="18" spans="2:21" ht="20" thickBot="1">
      <c r="B18" s="1819"/>
      <c r="C18" s="594"/>
      <c r="D18" s="594"/>
      <c r="E18" s="594"/>
      <c r="F18" s="594"/>
      <c r="G18" s="594"/>
      <c r="H18" s="594"/>
      <c r="I18" s="594"/>
      <c r="J18" s="594"/>
      <c r="K18" s="594"/>
      <c r="L18" s="594"/>
      <c r="M18" s="594"/>
      <c r="N18" s="594"/>
      <c r="O18" s="594"/>
      <c r="P18" s="594"/>
      <c r="Q18" s="594"/>
      <c r="R18" s="594"/>
      <c r="S18" s="594"/>
      <c r="T18" s="594"/>
      <c r="U18" s="595"/>
    </row>
    <row r="19" spans="2:21" s="601" customFormat="1" ht="40">
      <c r="B19" s="1819"/>
      <c r="C19" s="596" t="s">
        <v>55</v>
      </c>
      <c r="D19" s="596" t="s">
        <v>28</v>
      </c>
      <c r="E19" s="596" t="s">
        <v>56</v>
      </c>
      <c r="F19" s="597" t="s">
        <v>29</v>
      </c>
      <c r="G19" s="596" t="s">
        <v>56</v>
      </c>
      <c r="H19" s="598" t="s">
        <v>30</v>
      </c>
      <c r="I19" s="596" t="s">
        <v>56</v>
      </c>
      <c r="J19" s="599" t="s">
        <v>31</v>
      </c>
      <c r="K19" s="596" t="s">
        <v>56</v>
      </c>
      <c r="L19" s="596" t="s">
        <v>32</v>
      </c>
      <c r="M19" s="596" t="s">
        <v>56</v>
      </c>
      <c r="N19" s="597" t="s">
        <v>253</v>
      </c>
      <c r="O19" s="596" t="s">
        <v>56</v>
      </c>
      <c r="P19" s="598" t="s">
        <v>34</v>
      </c>
      <c r="Q19" s="596" t="s">
        <v>56</v>
      </c>
      <c r="R19" s="599" t="s">
        <v>308</v>
      </c>
      <c r="S19" s="596" t="s">
        <v>56</v>
      </c>
      <c r="T19" s="598" t="s">
        <v>37</v>
      </c>
      <c r="U19" s="600" t="s">
        <v>56</v>
      </c>
    </row>
    <row r="20" spans="2:21">
      <c r="B20" s="1819"/>
      <c r="C20" s="572" t="s">
        <v>10</v>
      </c>
      <c r="D20" s="573">
        <f>IF(CHAMNORD!$M377=0,"",CHAMNORD!$M377/CHAMNORD!$O377)</f>
        <v>104.20091104481442</v>
      </c>
      <c r="E20" s="602">
        <f>IF(D20="","",('INDICES CA 💵'!D21/'INDICES RH 🤝'!D20)-CHAMNORD!$G377)</f>
        <v>-462.83298969072166</v>
      </c>
      <c r="F20" s="575">
        <f>IF(AIX!$M377=0,"",AIX!$M377/AIX!$O377)</f>
        <v>101.36085427825108</v>
      </c>
      <c r="G20" s="603">
        <f>IF(F20="","",('INDICES CA 💵'!F21/'INDICES RH 🤝'!F20)-AIX!$G377)</f>
        <v>-167.11917525773151</v>
      </c>
      <c r="H20" s="575">
        <f>IF(BELLEY!$M377=0,"",BELLEY!$M377/BELLEY!$O377)</f>
        <v>100.05936661566778</v>
      </c>
      <c r="I20" s="603">
        <f>IF(H20="","",('INDICES CA 💵'!H21/'INDICES RH 🤝'!H20)-BELLEY!$G377)</f>
        <v>-232.57138297872461</v>
      </c>
      <c r="J20" s="575">
        <f>IF(STALBAN!$M377=0,"",STALBAN!$M377/STALBAN!$O377)</f>
        <v>97.57765480811176</v>
      </c>
      <c r="K20" s="603">
        <f>IF(J20="","",('INDICES CA 💵'!J21/'INDICES RH 🤝'!J20)-STALBAN!$G377)</f>
        <v>-29.627319587631973</v>
      </c>
      <c r="L20" s="575">
        <f>IF(ABRETS!$M377=0,"",ABRETS!$M377/ABRETS!$O377)</f>
        <v>94.151696401302587</v>
      </c>
      <c r="M20" s="603">
        <f>IF(L20="","",('INDICES CA 💵'!L21/'INDICES RH 🤝'!L20)-ABRETS!$G377)</f>
        <v>-4.7027659574455356</v>
      </c>
      <c r="N20" s="575">
        <f>IF(PONT!$M377=0,"",PONT!$M377/PONT!$O377)</f>
        <v>94.068885959129858</v>
      </c>
      <c r="O20" s="603">
        <f>IF(N20="","",('INDICES CA 💵'!N21/'INDICES RH 🤝'!N20)-PONT!$G377)</f>
        <v>29.736842105263349</v>
      </c>
      <c r="P20" s="575">
        <f>IF(FRANCIN!$M377=0,"",FRANCIN!$M377/FRANCIN!$O377)</f>
        <v>98.061150304914463</v>
      </c>
      <c r="Q20" s="603">
        <f>IF(P20="","",('INDICES CA 💵'!P21/'INDICES RH 🤝'!P20)-FRANCIN!$G377)</f>
        <v>-126.45946808510507</v>
      </c>
      <c r="R20" s="575">
        <f>IF(VIVIERS!$M377=0,"",VIVIERS!$M377/VIVIERS!$O377)</f>
        <v>93.320563495608141</v>
      </c>
      <c r="S20" s="603">
        <f>IF(R20="","",('INDICES CA 💵'!R21/'INDICES RH 🤝'!R20)-VIVIERS!$G377)</f>
        <v>19.420319148936414</v>
      </c>
      <c r="T20" s="577">
        <f>IF(FRANCHISE!$M377=0,"",FRANCHISE!$M377/FRANCHISE!$O377)</f>
        <v>98.695994923048318</v>
      </c>
      <c r="U20" s="604">
        <f>IF(T20="","",('INDICES CA 💵'!T21/'INDICES RH 🤝'!T20)-FRANCHISE!$G377)</f>
        <v>-1503.5576595744751</v>
      </c>
    </row>
    <row r="21" spans="2:21" s="229" customFormat="1">
      <c r="B21" s="1819"/>
      <c r="C21" s="605" t="s">
        <v>25</v>
      </c>
      <c r="D21" s="606">
        <f>IF(CHAMNORD!$M378=0,"",CHAMNORD!$M378/CHAMNORD!$O378)</f>
        <v>104.96044159200011</v>
      </c>
      <c r="E21" s="607">
        <f>IF(D21="","",('INDICES CA 💵'!D22/'INDICES RH 🤝'!D21)-CHAMNORD!$G378)</f>
        <v>-468.76824742268218</v>
      </c>
      <c r="F21" s="579">
        <f>IF(AIX!$M378=0,"",AIX!$M378/AIX!$O378)</f>
        <v>100.20706991233284</v>
      </c>
      <c r="G21" s="608">
        <f>IF(F21="","",('INDICES CA 💵'!F22/'INDICES RH 🤝'!F21)-AIX!$G378)</f>
        <v>-123.96515463917376</v>
      </c>
      <c r="H21" s="579">
        <f>IF(BELLEY!$M378=0,"",BELLEY!$M378/BELLEY!$O378)</f>
        <v>96.421734413154809</v>
      </c>
      <c r="I21" s="608">
        <f>IF(H21="","",('INDICES CA 💵'!H22/'INDICES RH 🤝'!H21)-BELLEY!$G378)</f>
        <v>-89.994999999999891</v>
      </c>
      <c r="J21" s="579">
        <f>IF(STALBAN!$M378=0,"",STALBAN!$M378/STALBAN!$O378)</f>
        <v>97.115709278203028</v>
      </c>
      <c r="K21" s="608">
        <f>IF(J21="","",('INDICES CA 💵'!J22/'INDICES RH 🤝'!J21)-STALBAN!$G378)</f>
        <v>-5.3360824742267141</v>
      </c>
      <c r="L21" s="579">
        <f>IF(ABRETS!$M378=0,"",ABRETS!$M378/ABRETS!$O378)</f>
        <v>100.05200824511199</v>
      </c>
      <c r="M21" s="608">
        <f>IF(L21="","",('INDICES CA 💵'!L22/'INDICES RH 🤝'!L21)-ABRETS!$G378)</f>
        <v>-160.85787234042618</v>
      </c>
      <c r="N21" s="579">
        <f>IF(PONT!$M378=0,"",PONT!$M378/PONT!$O378)</f>
        <v>97.259164222873906</v>
      </c>
      <c r="O21" s="608">
        <f>IF(N21="","",('INDICES CA 💵'!N22/'INDICES RH 🤝'!N21)-PONT!$G378)</f>
        <v>-64.873684210526335</v>
      </c>
      <c r="P21" s="579">
        <f>IF(FRANCIN!$M378=0,"",FRANCIN!$M378/FRANCIN!$O378)</f>
        <v>98.860166471930938</v>
      </c>
      <c r="Q21" s="608">
        <f>IF(P21="","",('INDICES CA 💵'!P22/'INDICES RH 🤝'!P21)-FRANCIN!$G378)</f>
        <v>-142.93180851063835</v>
      </c>
      <c r="R21" s="579">
        <f>IF(VIVIERS!$M378=0,"",VIVIERS!$M378/VIVIERS!$O378)</f>
        <v>88.548816989158112</v>
      </c>
      <c r="S21" s="608">
        <f>IF(R21="","",('INDICES CA 💵'!R22/'INDICES RH 🤝'!R21)-VIVIERS!$G378)</f>
        <v>142.59946808510631</v>
      </c>
      <c r="T21" s="609">
        <f>IF(FRANCHISE!$M378=0,"",FRANCHISE!$M378/FRANCHISE!$O378)</f>
        <v>98.746410940899878</v>
      </c>
      <c r="U21" s="610">
        <f>IF(T21="","",('INDICES CA 💵'!T22/'INDICES RH 🤝'!T21)-FRANCHISE!$G378)</f>
        <v>-1407.6531914893603</v>
      </c>
    </row>
    <row r="22" spans="2:21">
      <c r="B22" s="1819"/>
      <c r="C22" s="572" t="s">
        <v>17</v>
      </c>
      <c r="D22" s="573">
        <f>IF(CHAMNORD!$M379=0,"",CHAMNORD!$M379/CHAMNORD!$O379)</f>
        <v>97.197678108294497</v>
      </c>
      <c r="E22" s="602">
        <f>IF(D22="","",('INDICES CA 💵'!D23/'INDICES RH 🤝'!D22)-CHAMNORD!$G379)</f>
        <v>-12.58793814433011</v>
      </c>
      <c r="F22" s="575">
        <f>IF(AIX!$M379=0,"",AIX!$M379/AIX!$O379)</f>
        <v>97.241167652331598</v>
      </c>
      <c r="G22" s="603">
        <f>IF(F22="","",('INDICES CA 💵'!F23/'INDICES RH 🤝'!F22)-AIX!$G379)</f>
        <v>-9.6524742268043155</v>
      </c>
      <c r="H22" s="575">
        <f>IF(BELLEY!$M379=0,"",BELLEY!$M379/BELLEY!$O379)</f>
        <v>95.798151107115714</v>
      </c>
      <c r="I22" s="603">
        <f>IF(H22="","",('INDICES CA 💵'!H23/'INDICES RH 🤝'!H22)-BELLEY!$G379)</f>
        <v>-69.796382978722249</v>
      </c>
      <c r="J22" s="575">
        <f>IF(STALBAN!$M379=0,"",STALBAN!$M379/STALBAN!$O379)</f>
        <v>95.671354122558256</v>
      </c>
      <c r="K22" s="603">
        <f>IF(J22="","",('INDICES CA 💵'!J23/'INDICES RH 🤝'!J22)-STALBAN!$G379)</f>
        <v>66.312989690721224</v>
      </c>
      <c r="L22" s="575">
        <f>IF(ABRETS!$M379=0,"",ABRETS!$M379/ABRETS!$O379)</f>
        <v>101.50497535130323</v>
      </c>
      <c r="M22" s="603">
        <f>IF(L22="","",('INDICES CA 💵'!L23/'INDICES RH 🤝'!L22)-ABRETS!$G379)</f>
        <v>-218.80276595744681</v>
      </c>
      <c r="N22" s="575">
        <f>IF(PONT!$M379=0,"",PONT!$M379/PONT!$O379)</f>
        <v>109.98290922901633</v>
      </c>
      <c r="O22" s="603">
        <f>IF(N22="","",('INDICES CA 💵'!N23/'INDICES RH 🤝'!N22)-PONT!$G379)</f>
        <v>-415.26315789473665</v>
      </c>
      <c r="P22" s="575">
        <f>IF(FRANCIN!$M379=0,"",FRANCIN!$M379/FRANCIN!$O379)</f>
        <v>94.887384106073512</v>
      </c>
      <c r="Q22" s="603">
        <f>IF(P22="","",('INDICES CA 💵'!P23/'INDICES RH 🤝'!P22)-FRANCIN!$G379)</f>
        <v>-27.603404255319219</v>
      </c>
      <c r="R22" s="575">
        <f>IF(VIVIERS!$M379=0,"",VIVIERS!$M379/VIVIERS!$O379)</f>
        <v>99.957436415841215</v>
      </c>
      <c r="S22" s="603">
        <f>IF(R22="","",('INDICES CA 💵'!R23/'INDICES RH 🤝'!R22)-VIVIERS!$G379)</f>
        <v>-149.21223404255215</v>
      </c>
      <c r="T22" s="577">
        <f>IF(FRANCHISE!$M379=0,"",FRANCHISE!$M379/FRANCHISE!$O379)</f>
        <v>98.323765402715395</v>
      </c>
      <c r="U22" s="604">
        <f>IF(T22="","",('INDICES CA 💵'!T23/'INDICES RH 🤝'!T22)-FRANCHISE!$G379)</f>
        <v>-1343.1740425531934</v>
      </c>
    </row>
    <row r="23" spans="2:21">
      <c r="B23" s="1819"/>
      <c r="C23" s="572" t="s">
        <v>18</v>
      </c>
      <c r="D23" s="606">
        <f>IF(CHAMNORD!$M380=0,"",CHAMNORD!$M380/CHAMNORD!$O380)</f>
        <v>100.75175305160838</v>
      </c>
      <c r="E23" s="607">
        <f>IF(D23="","",('INDICES CA 💵'!D24/'INDICES RH 🤝'!D23)-CHAMNORD!$G380)</f>
        <v>-218.92175257732106</v>
      </c>
      <c r="F23" s="579">
        <f>IF(AIX!$M380=0,"",AIX!$M380/AIX!$O380)</f>
        <v>107.97735352949907</v>
      </c>
      <c r="G23" s="608">
        <f>IF(F23="","",('INDICES CA 💵'!F24/'INDICES RH 🤝'!F23)-AIX!$G380)</f>
        <v>-480.3293814432991</v>
      </c>
      <c r="H23" s="579">
        <f>IF(BELLEY!$M380=0,"",BELLEY!$M380/BELLEY!$O380)</f>
        <v>95.460618197236215</v>
      </c>
      <c r="I23" s="608">
        <f>IF(H23="","",('INDICES CA 💵'!H24/'INDICES RH 🤝'!H23)-BELLEY!$G380)</f>
        <v>-56.364106382977297</v>
      </c>
      <c r="J23" s="579">
        <f>IF(STALBAN!$M380=0,"",STALBAN!$M380/STALBAN!$O380)</f>
        <v>97.643290619576547</v>
      </c>
      <c r="K23" s="608">
        <f>IF(J23="","",('INDICES CA 💵'!J24/'INDICES RH 🤝'!J23)-STALBAN!$G380)</f>
        <v>-29.691443298968807</v>
      </c>
      <c r="L23" s="579">
        <f>IF(ABRETS!$M380=0,"",ABRETS!$M380/ABRETS!$O380)</f>
        <v>103.86756692814419</v>
      </c>
      <c r="M23" s="608">
        <f>IF(L23="","",('INDICES CA 💵'!L24/'INDICES RH 🤝'!L23)-ABRETS!$G380)</f>
        <v>-283.96968085106346</v>
      </c>
      <c r="N23" s="579">
        <f>IF(PONT!$M380=0,"",PONT!$M380/PONT!$O380)</f>
        <v>106.03870967741935</v>
      </c>
      <c r="O23" s="608">
        <f>IF(N23="","",('INDICES CA 💵'!N24/'INDICES RH 🤝'!N23)-PONT!$G380)</f>
        <v>-306.17894736842118</v>
      </c>
      <c r="P23" s="579">
        <f>IF(FRANCIN!$M380=0,"",FRANCIN!$M380/FRANCIN!$O380)</f>
        <v>93.082557422231531</v>
      </c>
      <c r="Q23" s="608">
        <f>IF(P23="","",('INDICES CA 💵'!P24/'INDICES RH 🤝'!P23)-FRANCIN!$G380)</f>
        <v>27.054893617021207</v>
      </c>
      <c r="R23" s="579">
        <f>IF(VIVIERS!$M380=0,"",VIVIERS!$M380/VIVIERS!$O380)</f>
        <v>102.99039783533998</v>
      </c>
      <c r="S23" s="608">
        <f>IF(R23="","",('INDICES CA 💵'!R24/'INDICES RH 🤝'!R23)-VIVIERS!$G380)</f>
        <v>-217.73691489361636</v>
      </c>
      <c r="T23" s="609">
        <f>IF(FRANCHISE!$M380=0,"",FRANCHISE!$M380/FRANCHISE!$O380)</f>
        <v>100.88399812435486</v>
      </c>
      <c r="U23" s="610">
        <f>IF(T23="","",('INDICES CA 💵'!T24/'INDICES RH 🤝'!T23)-FRANCHISE!$G380)</f>
        <v>-2079.677510638292</v>
      </c>
    </row>
    <row r="24" spans="2:21">
      <c r="B24" s="1819"/>
      <c r="C24" s="572" t="s">
        <v>19</v>
      </c>
      <c r="D24" s="573">
        <f>IF(CHAMNORD!$M381=0,"",CHAMNORD!$M381/CHAMNORD!$O381)</f>
        <v>97.041247278825367</v>
      </c>
      <c r="E24" s="602">
        <f>IF(D24="","",('INDICES CA 💵'!D25/'INDICES RH 🤝'!D24)-CHAMNORD!$G381)</f>
        <v>-2.4494845360832187</v>
      </c>
      <c r="F24" s="575">
        <f>IF(AIX!$M381=0,"",AIX!$M381/AIX!$O381)</f>
        <v>101.91502504063178</v>
      </c>
      <c r="G24" s="603">
        <f>IF(F24="","",('INDICES CA 💵'!F25/'INDICES RH 🤝'!F24)-AIX!$G381)</f>
        <v>-229.77134020618632</v>
      </c>
      <c r="H24" s="575">
        <f>IF(BELLEY!$M381=0,"",BELLEY!$M381/BELLEY!$O381)</f>
        <v>102.25904686462752</v>
      </c>
      <c r="I24" s="603">
        <f>IF(H24="","",('INDICES CA 💵'!H25/'INDICES RH 🤝'!H24)-BELLEY!$G381)</f>
        <v>-315.00531914893509</v>
      </c>
      <c r="J24" s="575">
        <f>IF(STALBAN!$M381=0,"",STALBAN!$M381/STALBAN!$O381)</f>
        <v>86.546846051964863</v>
      </c>
      <c r="K24" s="603">
        <f>IF(J24="","",('INDICES CA 💵'!J25/'INDICES RH 🤝'!J24)-STALBAN!$G381)</f>
        <v>550.84134020618603</v>
      </c>
      <c r="L24" s="575">
        <f>IF(ABRETS!$M381=0,"",ABRETS!$M381/ABRETS!$O381)</f>
        <v>102.46199119675397</v>
      </c>
      <c r="M24" s="603">
        <f>IF(L24="","",('INDICES CA 💵'!L25/'INDICES RH 🤝'!L24)-ABRETS!$G381)</f>
        <v>-251.14829787234021</v>
      </c>
      <c r="N24" s="575">
        <f>IF(PONT!$M381=0,"",PONT!$M381/PONT!$O381)</f>
        <v>94.678467975539107</v>
      </c>
      <c r="O24" s="603">
        <f>IF(N24="","",('INDICES CA 💵'!N25/'INDICES RH 🤝'!N24)-PONT!$G381)</f>
        <v>10.515789473684436</v>
      </c>
      <c r="P24" s="575">
        <f>IF(FRANCIN!$M381=0,"",FRANCIN!$M381/FRANCIN!$O381)</f>
        <v>98.938482990851043</v>
      </c>
      <c r="Q24" s="603">
        <f>IF(P24="","",('INDICES CA 💵'!P25/'INDICES RH 🤝'!P24)-FRANCIN!$G381)</f>
        <v>-141.66563829787174</v>
      </c>
      <c r="R24" s="575">
        <f>IF(VIVIERS!$M381=0,"",VIVIERS!$M381/VIVIERS!$O381)</f>
        <v>102.12241646787996</v>
      </c>
      <c r="S24" s="603">
        <f>IF(R24="","",('INDICES CA 💵'!R25/'INDICES RH 🤝'!R24)-VIVIERS!$G381)</f>
        <v>-207.19765957446771</v>
      </c>
      <c r="T24" s="577">
        <f>IF(FRANCHISE!$M381=0,"",FRANCHISE!$M381/FRANCHISE!$O381)</f>
        <v>97.449721025340679</v>
      </c>
      <c r="U24" s="604">
        <f>IF(T24="","",('INDICES CA 💵'!T25/'INDICES RH 🤝'!T24)-FRANCHISE!$G381)</f>
        <v>-1100.3512765957421</v>
      </c>
    </row>
    <row r="25" spans="2:21" s="229" customFormat="1">
      <c r="B25" s="1819"/>
      <c r="C25" s="1043" t="s">
        <v>20</v>
      </c>
      <c r="D25" s="1044">
        <f>IF(CHAMNORD!$M382=0,"",CHAMNORD!$M382/CHAMNORD!$O382)</f>
        <v>98.675362428269409</v>
      </c>
      <c r="E25" s="1045">
        <f>IF(D25="","",('INDICES CA 💵'!D26/'INDICES RH 🤝'!D25)-CHAMNORD!$G382)</f>
        <v>-22.874742268041246</v>
      </c>
      <c r="F25" s="1046">
        <f>IF(AIX!$M382=0,"",AIX!$M382/AIX!$O382)</f>
        <v>88.140673848187646</v>
      </c>
      <c r="G25" s="1047">
        <f>IF(F25="","",('INDICES CA 💵'!F26/'INDICES RH 🤝'!F25)-AIX!$G382)</f>
        <v>102.25123711340211</v>
      </c>
      <c r="H25" s="1046">
        <f>IF(BELLEY!$M382=0,"",BELLEY!$M382/BELLEY!$O382)</f>
        <v>89.220627615062753</v>
      </c>
      <c r="I25" s="1047">
        <f>IF(H25="","",('INDICES CA 💵'!H26/'INDICES RH 🤝'!H25)-BELLEY!$G382)</f>
        <v>48.607234042553273</v>
      </c>
      <c r="J25" s="1046">
        <f>IF(STALBAN!$M382=0,"",STALBAN!$M382/STALBAN!$O382)</f>
        <v>95.349957810452239</v>
      </c>
      <c r="K25" s="1047">
        <f>IF(J25="","",('INDICES CA 💵'!J26/'INDICES RH 🤝'!J25)-STALBAN!$G382)</f>
        <v>18.95030927835046</v>
      </c>
      <c r="L25" s="1046">
        <f>IF(ABRETS!$M382=0,"",ABRETS!$M382/ABRETS!$O382)</f>
        <v>110.79664353560706</v>
      </c>
      <c r="M25" s="1047">
        <f>IF(L25="","",('INDICES CA 💵'!L26/'INDICES RH 🤝'!L25)-ABRETS!$G382)</f>
        <v>-108.92265957446796</v>
      </c>
      <c r="N25" s="1046">
        <f>IF(PONT!$M382=0,"",PONT!$M382/PONT!$O382)</f>
        <v>105.19937205651492</v>
      </c>
      <c r="O25" s="1047">
        <f>IF(N25="","",('INDICES CA 💵'!N26/'INDICES RH 🤝'!N25)-PONT!$G382)</f>
        <v>-68.389473684210543</v>
      </c>
      <c r="P25" s="1046">
        <f>IF(FRANCIN!$M382=0,"",FRANCIN!$M382/FRANCIN!$O382)</f>
        <v>100.4186650072851</v>
      </c>
      <c r="Q25" s="1047">
        <f>IF(P25="","",('INDICES CA 💵'!P26/'INDICES RH 🤝'!P25)-FRANCIN!$G382)</f>
        <v>-44.990744680851094</v>
      </c>
      <c r="R25" s="1046">
        <f>IF(VIVIERS!$M382=0,"",VIVIERS!$M382/VIVIERS!$O382)</f>
        <v>98.676203263788452</v>
      </c>
      <c r="S25" s="1047">
        <f>IF(R25="","",('INDICES CA 💵'!R26/'INDICES RH 🤝'!R25)-VIVIERS!$G382)</f>
        <v>-28.898936170212664</v>
      </c>
      <c r="T25" s="1048">
        <f>IF(FRANCHISE!$M382=0,"",FRANCHISE!$M382/FRANCHISE!$O382)</f>
        <v>96.98349649230822</v>
      </c>
      <c r="U25" s="1049">
        <f>IF(T25="","",('INDICES CA 💵'!T26/'INDICES RH 🤝'!T25)-FRANCHISE!$G382)</f>
        <v>-222.1857446808508</v>
      </c>
    </row>
    <row r="26" spans="2:21">
      <c r="B26" s="1819"/>
      <c r="C26" s="572" t="s">
        <v>21</v>
      </c>
      <c r="D26" s="573" t="str">
        <f>IF(CHAMNORD!$M383=0,"",CHAMNORD!$M383/CHAMNORD!$O383)</f>
        <v/>
      </c>
      <c r="E26" s="602" t="str">
        <f>IF(D26="","",('INDICES CA 💵'!D27/'INDICES RH 🤝'!D26)-CHAMNORD!$G383)</f>
        <v/>
      </c>
      <c r="F26" s="575" t="str">
        <f>IF(AIX!$M383=0,"",AIX!$M383/AIX!$O383)</f>
        <v/>
      </c>
      <c r="G26" s="603" t="str">
        <f>IF(F26="","",('INDICES CA 💵'!F27/'INDICES RH 🤝'!F26)-AIX!$G383)</f>
        <v/>
      </c>
      <c r="H26" s="575" t="str">
        <f>IF(BELLEY!$M383=0,"",BELLEY!$M383/BELLEY!$O383)</f>
        <v/>
      </c>
      <c r="I26" s="603" t="str">
        <f>IF(H26="","",('INDICES CA 💵'!H27/'INDICES RH 🤝'!H26)-BELLEY!$G383)</f>
        <v/>
      </c>
      <c r="J26" s="575" t="str">
        <f>IF(STALBAN!$M383=0,"",STALBAN!$M383/STALBAN!$O383)</f>
        <v/>
      </c>
      <c r="K26" s="603" t="str">
        <f>IF(J26="","",('INDICES CA 💵'!J27/'INDICES RH 🤝'!J26)-STALBAN!$G383)</f>
        <v/>
      </c>
      <c r="L26" s="575" t="str">
        <f>IF(ABRETS!$M383=0,"",ABRETS!$M383/ABRETS!$O383)</f>
        <v/>
      </c>
      <c r="M26" s="603" t="str">
        <f>IF(L26="","",('INDICES CA 💵'!L27/'INDICES RH 🤝'!L26)-ABRETS!$G383)</f>
        <v/>
      </c>
      <c r="N26" s="575" t="str">
        <f>IF(PONT!$M383=0,"",PONT!$M383/PONT!$O383)</f>
        <v/>
      </c>
      <c r="O26" s="603" t="str">
        <f>IF(N26="","",('INDICES CA 💵'!N27/'INDICES RH 🤝'!N26)-PONT!$G383)</f>
        <v/>
      </c>
      <c r="P26" s="575" t="str">
        <f>IF(FRANCIN!$M383=0,"",FRANCIN!$M383/FRANCIN!$O383)</f>
        <v/>
      </c>
      <c r="Q26" s="603" t="str">
        <f>IF(P26="","",('INDICES CA 💵'!P27/'INDICES RH 🤝'!P26)-FRANCIN!$G383)</f>
        <v/>
      </c>
      <c r="R26" s="575" t="str">
        <f>IF(VIVIERS!$M383=0,"",VIVIERS!$M383/VIVIERS!$O383)</f>
        <v/>
      </c>
      <c r="S26" s="603" t="str">
        <f>IF(R26="","",('INDICES CA 💵'!R27/'INDICES RH 🤝'!R26)-VIVIERS!$G383)</f>
        <v/>
      </c>
      <c r="T26" s="577" t="str">
        <f>IF(FRANCHISE!$M383=0,"",FRANCHISE!$M383/FRANCHISE!$O383)</f>
        <v/>
      </c>
      <c r="U26" s="604" t="str">
        <f>IF(T26="","",('INDICES CA 💵'!T27/'INDICES RH 🤝'!T26)-FRANCHISE!$G383)</f>
        <v/>
      </c>
    </row>
    <row r="27" spans="2:21">
      <c r="B27" s="1819"/>
      <c r="C27" s="572" t="s">
        <v>26</v>
      </c>
      <c r="D27" s="573" t="str">
        <f>IF(CHAMNORD!$M384=0,"",CHAMNORD!$M384/CHAMNORD!$O384)</f>
        <v/>
      </c>
      <c r="E27" s="602" t="str">
        <f>IF(D27="","",('INDICES CA 💵'!D28/'INDICES RH 🤝'!D27)-CHAMNORD!$G384)</f>
        <v/>
      </c>
      <c r="F27" s="575" t="str">
        <f>IF(AIX!$M384=0,"",AIX!$M384/AIX!$O384)</f>
        <v/>
      </c>
      <c r="G27" s="603" t="str">
        <f>IF(F27="","",('INDICES CA 💵'!F28/'INDICES RH 🤝'!F27)-AIX!$G384)</f>
        <v/>
      </c>
      <c r="H27" s="575" t="str">
        <f>IF(BELLEY!$M384=0,"",BELLEY!$M384/BELLEY!$O384)</f>
        <v/>
      </c>
      <c r="I27" s="603" t="str">
        <f>IF(H27="","",('INDICES CA 💵'!H28/'INDICES RH 🤝'!H27)-BELLEY!$G384)</f>
        <v/>
      </c>
      <c r="J27" s="575" t="str">
        <f>IF(STALBAN!$M384=0,"",STALBAN!$M384/STALBAN!$O384)</f>
        <v/>
      </c>
      <c r="K27" s="603" t="str">
        <f>IF(J27="","",('INDICES CA 💵'!J28/'INDICES RH 🤝'!J27)-STALBAN!$G384)</f>
        <v/>
      </c>
      <c r="L27" s="575" t="str">
        <f>IF(ABRETS!$M384=0,"",ABRETS!$M384/ABRETS!$O384)</f>
        <v/>
      </c>
      <c r="M27" s="603" t="str">
        <f>IF(L27="","",('INDICES CA 💵'!L28/'INDICES RH 🤝'!L27)-ABRETS!$G384)</f>
        <v/>
      </c>
      <c r="N27" s="575" t="str">
        <f>IF(PONT!$M384=0,"",PONT!$M384/PONT!$O384)</f>
        <v/>
      </c>
      <c r="O27" s="603" t="str">
        <f>IF(N27="","",('INDICES CA 💵'!N28/'INDICES RH 🤝'!N27)-PONT!$G384)</f>
        <v/>
      </c>
      <c r="P27" s="575" t="str">
        <f>IF(FRANCIN!$M384=0,"",FRANCIN!$M384/FRANCIN!$O384)</f>
        <v/>
      </c>
      <c r="Q27" s="603" t="str">
        <f>IF(P27="","",('INDICES CA 💵'!P28/'INDICES RH 🤝'!P27)-FRANCIN!$G384)</f>
        <v/>
      </c>
      <c r="R27" s="575" t="str">
        <f>IF(VIVIERS!$M384=0,"",VIVIERS!$M384/VIVIERS!$O384)</f>
        <v/>
      </c>
      <c r="S27" s="603" t="str">
        <f>IF(R27="","",('INDICES CA 💵'!R28/'INDICES RH 🤝'!R27)-VIVIERS!$G384)</f>
        <v/>
      </c>
      <c r="T27" s="577" t="str">
        <f>IF(FRANCHISE!$M384=0,"",FRANCHISE!$M384/FRANCHISE!$O384)</f>
        <v/>
      </c>
      <c r="U27" s="604" t="str">
        <f>IF(T27="","",('INDICES CA 💵'!T28/'INDICES RH 🤝'!T27)-FRANCHISE!$G384)</f>
        <v/>
      </c>
    </row>
    <row r="28" spans="2:21">
      <c r="B28" s="1819"/>
      <c r="C28" s="572" t="s">
        <v>22</v>
      </c>
      <c r="D28" s="573" t="str">
        <f>IF(CHAMNORD!$M385=0,"",CHAMNORD!$M385/CHAMNORD!$O385)</f>
        <v/>
      </c>
      <c r="E28" s="602" t="str">
        <f>IF(D28="","",('INDICES CA 💵'!D29/'INDICES RH 🤝'!D28)-CHAMNORD!$G385)</f>
        <v/>
      </c>
      <c r="F28" s="575" t="str">
        <f>IF(AIX!$M385=0,"",AIX!$M385/AIX!$O385)</f>
        <v/>
      </c>
      <c r="G28" s="603" t="str">
        <f>IF(F28="","",('INDICES CA 💵'!F29/'INDICES RH 🤝'!F28)-AIX!$G385)</f>
        <v/>
      </c>
      <c r="H28" s="575" t="str">
        <f>IF(BELLEY!$M385=0,"",BELLEY!$M385/BELLEY!$O385)</f>
        <v/>
      </c>
      <c r="I28" s="603" t="str">
        <f>IF(H28="","",('INDICES CA 💵'!H29/'INDICES RH 🤝'!H28)-BELLEY!$G385)</f>
        <v/>
      </c>
      <c r="J28" s="575" t="str">
        <f>IF(STALBAN!$M385=0,"",STALBAN!$M385/STALBAN!$O385)</f>
        <v/>
      </c>
      <c r="K28" s="603" t="str">
        <f>IF(J28="","",('INDICES CA 💵'!J29/'INDICES RH 🤝'!J28)-STALBAN!$G385)</f>
        <v/>
      </c>
      <c r="L28" s="575" t="str">
        <f>IF(ABRETS!$M385=0,"",ABRETS!$M385/ABRETS!$O385)</f>
        <v/>
      </c>
      <c r="M28" s="603" t="str">
        <f>IF(L28="","",('INDICES CA 💵'!L29/'INDICES RH 🤝'!L28)-ABRETS!$G385)</f>
        <v/>
      </c>
      <c r="N28" s="575" t="str">
        <f>IF(PONT!$M385=0,"",PONT!$M385/PONT!$O385)</f>
        <v/>
      </c>
      <c r="O28" s="603" t="str">
        <f>IF(N28="","",('INDICES CA 💵'!N29/'INDICES RH 🤝'!N28)-PONT!$G385)</f>
        <v/>
      </c>
      <c r="P28" s="575" t="str">
        <f>IF(FRANCIN!$M385=0,"",FRANCIN!$M385/FRANCIN!$O385)</f>
        <v/>
      </c>
      <c r="Q28" s="603" t="str">
        <f>IF(P28="","",('INDICES CA 💵'!P29/'INDICES RH 🤝'!P28)-FRANCIN!$G385)</f>
        <v/>
      </c>
      <c r="R28" s="575" t="str">
        <f>IF(VIVIERS!$M385=0,"",VIVIERS!$M385/VIVIERS!$O385)</f>
        <v/>
      </c>
      <c r="S28" s="603" t="str">
        <f>IF(R28="","",('INDICES CA 💵'!R29/'INDICES RH 🤝'!R28)-VIVIERS!$G385)</f>
        <v/>
      </c>
      <c r="T28" s="577" t="str">
        <f>IF(FRANCHISE!$M385=0,"",FRANCHISE!$M385/FRANCHISE!$O385)</f>
        <v/>
      </c>
      <c r="U28" s="604" t="str">
        <f>IF(T28="","",('INDICES CA 💵'!T29/'INDICES RH 🤝'!T28)-FRANCHISE!$G385)</f>
        <v/>
      </c>
    </row>
    <row r="29" spans="2:21">
      <c r="B29" s="1819"/>
      <c r="C29" s="572" t="s">
        <v>23</v>
      </c>
      <c r="D29" s="573" t="str">
        <f>IF(CHAMNORD!$M386=0,"",CHAMNORD!$M386/CHAMNORD!$O386)</f>
        <v/>
      </c>
      <c r="E29" s="602" t="str">
        <f>IF(D29="","",('INDICES CA 💵'!D30/'INDICES RH 🤝'!D29)-CHAMNORD!$G386)</f>
        <v/>
      </c>
      <c r="F29" s="575" t="str">
        <f>IF(AIX!$M386=0,"",AIX!$M386/AIX!$O386)</f>
        <v/>
      </c>
      <c r="G29" s="603" t="str">
        <f>IF(F29="","",('INDICES CA 💵'!F30/'INDICES RH 🤝'!F29)-AIX!$G386)</f>
        <v/>
      </c>
      <c r="H29" s="575" t="str">
        <f>IF(BELLEY!$M386=0,"",BELLEY!$M386/BELLEY!$O386)</f>
        <v/>
      </c>
      <c r="I29" s="603" t="str">
        <f>IF(H29="","",('INDICES CA 💵'!H30/'INDICES RH 🤝'!H29)-BELLEY!$G386)</f>
        <v/>
      </c>
      <c r="J29" s="575" t="str">
        <f>IF(STALBAN!$M386=0,"",STALBAN!$M386/STALBAN!$O386)</f>
        <v/>
      </c>
      <c r="K29" s="603" t="str">
        <f>IF(J29="","",('INDICES CA 💵'!J30/'INDICES RH 🤝'!J29)-STALBAN!$G386)</f>
        <v/>
      </c>
      <c r="L29" s="575" t="str">
        <f>IF(ABRETS!$M386=0,"",ABRETS!$M386/ABRETS!$O386)</f>
        <v/>
      </c>
      <c r="M29" s="603" t="str">
        <f>IF(L29="","",('INDICES CA 💵'!L30/'INDICES RH 🤝'!L29)-ABRETS!$G386)</f>
        <v/>
      </c>
      <c r="N29" s="575" t="str">
        <f>IF(PONT!$M386=0,"",PONT!$M386/PONT!$O386)</f>
        <v/>
      </c>
      <c r="O29" s="603" t="str">
        <f>IF(N29="","",('INDICES CA 💵'!N30/'INDICES RH 🤝'!N29)-PONT!$G386)</f>
        <v/>
      </c>
      <c r="P29" s="575" t="str">
        <f>IF(FRANCIN!$M386=0,"",FRANCIN!$M386/FRANCIN!$O386)</f>
        <v/>
      </c>
      <c r="Q29" s="603" t="str">
        <f>IF(P29="","",('INDICES CA 💵'!P30/'INDICES RH 🤝'!P29)-FRANCIN!$G386)</f>
        <v/>
      </c>
      <c r="R29" s="575" t="str">
        <f>IF(VIVIERS!$M386=0,"",VIVIERS!$M386/VIVIERS!$O386)</f>
        <v/>
      </c>
      <c r="S29" s="603" t="str">
        <f>IF(R29="","",('INDICES CA 💵'!R30/'INDICES RH 🤝'!R29)-VIVIERS!$G386)</f>
        <v/>
      </c>
      <c r="T29" s="577" t="str">
        <f>IF(FRANCHISE!$M386=0,"",FRANCHISE!$M386/FRANCHISE!$O386)</f>
        <v/>
      </c>
      <c r="U29" s="604" t="str">
        <f>IF(T29="","",('INDICES CA 💵'!T30/'INDICES RH 🤝'!T29)-FRANCHISE!$G386)</f>
        <v/>
      </c>
    </row>
    <row r="30" spans="2:21">
      <c r="B30" s="1819"/>
      <c r="C30" s="572" t="s">
        <v>24</v>
      </c>
      <c r="D30" s="573" t="str">
        <f>IF(CHAMNORD!$M387=0,"",CHAMNORD!$M387/CHAMNORD!$O387)</f>
        <v/>
      </c>
      <c r="E30" s="602" t="str">
        <f>IF(D30="","",('INDICES CA 💵'!D31/'INDICES RH 🤝'!D30)-CHAMNORD!$G387)</f>
        <v/>
      </c>
      <c r="F30" s="575" t="str">
        <f>IF(AIX!$M387=0,"",AIX!$M387/AIX!$O387)</f>
        <v/>
      </c>
      <c r="G30" s="603" t="str">
        <f>IF(F30="","",('INDICES CA 💵'!F31/'INDICES RH 🤝'!F30)-AIX!$G387)</f>
        <v/>
      </c>
      <c r="H30" s="575" t="str">
        <f>IF(BELLEY!$M387=0,"",BELLEY!$M387/BELLEY!$O387)</f>
        <v/>
      </c>
      <c r="I30" s="603" t="str">
        <f>IF(H30="","",('INDICES CA 💵'!H31/'INDICES RH 🤝'!H30)-BELLEY!$G387)</f>
        <v/>
      </c>
      <c r="J30" s="575" t="str">
        <f>IF(STALBAN!$M387=0,"",STALBAN!$M387/STALBAN!$O387)</f>
        <v/>
      </c>
      <c r="K30" s="603" t="str">
        <f>IF(J30="","",('INDICES CA 💵'!J31/'INDICES RH 🤝'!J30)-STALBAN!$G387)</f>
        <v/>
      </c>
      <c r="L30" s="575" t="str">
        <f>IF(ABRETS!$M387=0,"",ABRETS!$M387/ABRETS!$O387)</f>
        <v/>
      </c>
      <c r="M30" s="603" t="str">
        <f>IF(L30="","",('INDICES CA 💵'!L31/'INDICES RH 🤝'!L30)-ABRETS!$G387)</f>
        <v/>
      </c>
      <c r="N30" s="575" t="str">
        <f>IF(PONT!$M387=0,"",PONT!$M387/PONT!$O387)</f>
        <v/>
      </c>
      <c r="O30" s="603" t="str">
        <f>IF(N30="","",('INDICES CA 💵'!N31/'INDICES RH 🤝'!N30)-PONT!$G387)</f>
        <v/>
      </c>
      <c r="P30" s="575" t="str">
        <f>IF(FRANCIN!$M387=0,"",FRANCIN!$M387/FRANCIN!$O387)</f>
        <v/>
      </c>
      <c r="Q30" s="603" t="str">
        <f>IF(P30="","",('INDICES CA 💵'!P31/'INDICES RH 🤝'!P30)-FRANCIN!$G387)</f>
        <v/>
      </c>
      <c r="R30" s="575" t="str">
        <f>IF(VIVIERS!$M387=0,"",VIVIERS!$M387/VIVIERS!$O387)</f>
        <v/>
      </c>
      <c r="S30" s="603" t="str">
        <f>IF(R30="","",('INDICES CA 💵'!R31/'INDICES RH 🤝'!R30)-VIVIERS!$G387)</f>
        <v/>
      </c>
      <c r="T30" s="577" t="str">
        <f>IF(FRANCHISE!$M387=0,"",FRANCHISE!$M387/FRANCHISE!$O387)</f>
        <v/>
      </c>
      <c r="U30" s="604" t="str">
        <f>IF(T30="","",('INDICES CA 💵'!T31/'INDICES RH 🤝'!T30)-FRANCHISE!$G387)</f>
        <v/>
      </c>
    </row>
    <row r="31" spans="2:21">
      <c r="B31" s="1819"/>
      <c r="C31" s="572" t="s">
        <v>27</v>
      </c>
      <c r="D31" s="573" t="str">
        <f>IF(CHAMNORD!$M388=0,"",CHAMNORD!$M388/CHAMNORD!$O388)</f>
        <v/>
      </c>
      <c r="E31" s="602" t="str">
        <f>IF(D31="","",('INDICES CA 💵'!D32/'INDICES RH 🤝'!D31)-CHAMNORD!$G388)</f>
        <v/>
      </c>
      <c r="F31" s="575" t="str">
        <f>IF(AIX!$M388=0,"",AIX!$M388/AIX!$O388)</f>
        <v/>
      </c>
      <c r="G31" s="603" t="str">
        <f>IF(F31="","",('INDICES CA 💵'!F32/'INDICES RH 🤝'!F31)-AIX!$G388)</f>
        <v/>
      </c>
      <c r="H31" s="575" t="str">
        <f>IF(BELLEY!$M388=0,"",BELLEY!$M388/BELLEY!$O388)</f>
        <v/>
      </c>
      <c r="I31" s="603" t="str">
        <f>IF(H31="","",('INDICES CA 💵'!H32/'INDICES RH 🤝'!H31)-BELLEY!$G388)</f>
        <v/>
      </c>
      <c r="J31" s="575" t="str">
        <f>IF(STALBAN!$M388=0,"",STALBAN!$M388/STALBAN!$O388)</f>
        <v/>
      </c>
      <c r="K31" s="603" t="str">
        <f>IF(J31="","",('INDICES CA 💵'!J32/'INDICES RH 🤝'!J31)-STALBAN!$G388)</f>
        <v/>
      </c>
      <c r="L31" s="575" t="str">
        <f>IF(ABRETS!$M388=0,"",ABRETS!$M388/ABRETS!$O388)</f>
        <v/>
      </c>
      <c r="M31" s="603" t="str">
        <f>IF(L31="","",('INDICES CA 💵'!L32/'INDICES RH 🤝'!L31)-ABRETS!$G388)</f>
        <v/>
      </c>
      <c r="N31" s="575" t="str">
        <f>IF(PONT!$M388=0,"",PONT!$M388/PONT!$O388)</f>
        <v/>
      </c>
      <c r="O31" s="603" t="str">
        <f>IF(N31="","",('INDICES CA 💵'!N32/'INDICES RH 🤝'!N31)-PONT!$G388)</f>
        <v/>
      </c>
      <c r="P31" s="575" t="str">
        <f>IF(FRANCIN!$M388=0,"",FRANCIN!$M388/FRANCIN!$O388)</f>
        <v/>
      </c>
      <c r="Q31" s="603" t="str">
        <f>IF(P31="","",('INDICES CA 💵'!P32/'INDICES RH 🤝'!P31)-FRANCIN!$G388)</f>
        <v/>
      </c>
      <c r="R31" s="575" t="str">
        <f>IF(VIVIERS!$M388=0,"",VIVIERS!$M388/VIVIERS!$O388)</f>
        <v/>
      </c>
      <c r="S31" s="603" t="str">
        <f>IF(R31="","",('INDICES CA 💵'!R32/'INDICES RH 🤝'!R31)-VIVIERS!$G388)</f>
        <v/>
      </c>
      <c r="T31" s="577" t="str">
        <f>IF(FRANCHISE!$M388=0,"",FRANCHISE!$M388/FRANCHISE!$O388)</f>
        <v/>
      </c>
      <c r="U31" s="604" t="str">
        <f>IF(T31="","",('INDICES CA 💵'!T32/'INDICES RH 🤝'!T31)-FRANCHISE!$G388)</f>
        <v/>
      </c>
    </row>
    <row r="32" spans="2:21" ht="21" thickBot="1">
      <c r="B32" s="1819"/>
      <c r="C32" s="588" t="s">
        <v>54</v>
      </c>
      <c r="D32" s="589">
        <f>IF(CHAMNORD!$M389=0,"",CHAMNORD!$M389/CHAMNORD!$O389)</f>
        <v>100.73450188428758</v>
      </c>
      <c r="E32" s="611">
        <f>IF(D32="","",('INDICES CA 💵'!D33/'INDICES RH 🤝'!D32)-CHAMNORD!$G389)</f>
        <v>-1188.4351546391699</v>
      </c>
      <c r="F32" s="591">
        <f>IF(AIX!$M389=0,"",AIX!$M389/AIX!$O389)</f>
        <v>101.14790545361444</v>
      </c>
      <c r="G32" s="612">
        <f>IF(F32="","",('INDICES CA 💵'!F33/'INDICES RH 🤝'!F32)-AIX!$G389)</f>
        <v>-908.58628865979335</v>
      </c>
      <c r="H32" s="591">
        <f>IF(BELLEY!$M389=0,"",BELLEY!$M389/BELLEY!$O389)</f>
        <v>97.553253277793644</v>
      </c>
      <c r="I32" s="612">
        <f>IF(H32="","",('INDICES CA 💵'!H33/'INDICES RH 🤝'!H32)-BELLEY!$G389)</f>
        <v>-715.12495744680564</v>
      </c>
      <c r="J32" s="591">
        <f>IF(STALBAN!$M389=0,"",STALBAN!$M389/STALBAN!$O389)</f>
        <v>94.782086359606041</v>
      </c>
      <c r="K32" s="612">
        <f>IF(J32="","",('INDICES CA 💵'!J33/'INDICES RH 🤝'!J32)-STALBAN!$G389)</f>
        <v>571.44979381443045</v>
      </c>
      <c r="L32" s="591">
        <f>IF(ABRETS!$M389=0,"",ABRETS!$M389/ABRETS!$O389)</f>
        <v>100.78021358343517</v>
      </c>
      <c r="M32" s="612">
        <f>IF(L32="","",('INDICES CA 💵'!L33/'INDICES RH 🤝'!L32)-ABRETS!$G389)</f>
        <v>-1028.4040425531912</v>
      </c>
      <c r="N32" s="591">
        <f>IF(PONT!$M389=0,"",PONT!$M389/PONT!$O389)</f>
        <v>100.23710572627589</v>
      </c>
      <c r="O32" s="612">
        <f>IF(N32="","",('INDICES CA 💵'!N33/'INDICES RH 🤝'!N32)-PONT!$G389)</f>
        <v>-814.45263157894624</v>
      </c>
      <c r="P32" s="591">
        <f>IF(FRANCIN!$M389=0,"",FRANCIN!$M389/FRANCIN!$O389)</f>
        <v>96.911240484383285</v>
      </c>
      <c r="Q32" s="612">
        <f>IF(P32="","",('INDICES CA 💵'!P33/'INDICES RH 🤝'!P32)-FRANCIN!$G389)</f>
        <v>-456.59617021276426</v>
      </c>
      <c r="R32" s="591">
        <f>IF(VIVIERS!$M389=0,"",VIVIERS!$M389/VIVIERS!$O389)</f>
        <v>97.250080945411028</v>
      </c>
      <c r="S32" s="612">
        <f>IF(R32="","",('INDICES CA 💵'!R33/'INDICES RH 🤝'!R32)-VIVIERS!$G389)</f>
        <v>-441.02595744680912</v>
      </c>
      <c r="T32" s="591">
        <f>IF(FRANCHISE!$M389=0,"",FRANCHISE!$M389/FRANCHISE!$O389)</f>
        <v>98.71772559274315</v>
      </c>
      <c r="U32" s="613">
        <f>IF(T32="","",('INDICES CA 💵'!T33/'INDICES RH 🤝'!T32)-FRANCHISE!$G389)</f>
        <v>-7656.5994255319238</v>
      </c>
    </row>
    <row r="33" spans="2:21" ht="20" thickBot="1">
      <c r="B33" s="1819"/>
      <c r="C33" s="292"/>
      <c r="D33" s="614"/>
      <c r="E33" s="615"/>
      <c r="F33" s="614"/>
      <c r="G33" s="615"/>
      <c r="H33" s="614"/>
      <c r="I33" s="615"/>
      <c r="J33" s="614"/>
      <c r="K33" s="615"/>
      <c r="L33" s="614"/>
      <c r="M33" s="615"/>
      <c r="N33" s="614"/>
      <c r="O33" s="615"/>
      <c r="P33" s="614"/>
      <c r="Q33" s="615"/>
      <c r="R33" s="614"/>
      <c r="S33" s="615"/>
      <c r="T33" s="614"/>
      <c r="U33" s="616"/>
    </row>
    <row r="34" spans="2:21">
      <c r="B34" s="1819"/>
      <c r="C34" s="1816" t="s">
        <v>449</v>
      </c>
      <c r="D34" s="1809" t="s">
        <v>28</v>
      </c>
      <c r="E34" s="1810"/>
      <c r="F34" s="1811" t="s">
        <v>29</v>
      </c>
      <c r="G34" s="1809"/>
      <c r="H34" s="1812" t="s">
        <v>30</v>
      </c>
      <c r="I34" s="1813"/>
      <c r="J34" s="1814" t="s">
        <v>31</v>
      </c>
      <c r="K34" s="1812"/>
      <c r="L34" s="1809" t="s">
        <v>32</v>
      </c>
      <c r="M34" s="1810"/>
      <c r="N34" s="1811" t="s">
        <v>253</v>
      </c>
      <c r="O34" s="1809"/>
      <c r="P34" s="1812" t="s">
        <v>34</v>
      </c>
      <c r="Q34" s="1813"/>
      <c r="R34" s="1814" t="s">
        <v>411</v>
      </c>
      <c r="S34" s="1812"/>
      <c r="T34" s="1812" t="s">
        <v>37</v>
      </c>
      <c r="U34" s="1815"/>
    </row>
    <row r="35" spans="2:21" ht="20">
      <c r="B35" s="1819"/>
      <c r="C35" s="1817"/>
      <c r="D35" s="617" t="s">
        <v>300</v>
      </c>
      <c r="E35" s="617"/>
      <c r="F35" s="617" t="s">
        <v>300</v>
      </c>
      <c r="G35" s="617"/>
      <c r="H35" s="617" t="s">
        <v>300</v>
      </c>
      <c r="I35" s="617"/>
      <c r="J35" s="617" t="s">
        <v>300</v>
      </c>
      <c r="K35" s="617"/>
      <c r="L35" s="617" t="s">
        <v>300</v>
      </c>
      <c r="M35" s="617"/>
      <c r="N35" s="617" t="s">
        <v>300</v>
      </c>
      <c r="O35" s="617"/>
      <c r="P35" s="617" t="s">
        <v>300</v>
      </c>
      <c r="Q35" s="617"/>
      <c r="R35" s="617" t="s">
        <v>300</v>
      </c>
      <c r="S35" s="617"/>
      <c r="T35" s="618"/>
      <c r="U35" s="619"/>
    </row>
    <row r="36" spans="2:21">
      <c r="B36" s="1819"/>
      <c r="C36" s="572" t="s">
        <v>10</v>
      </c>
      <c r="D36" s="637">
        <f>[14]RECAPITULATIF!$C$3</f>
        <v>36.35</v>
      </c>
      <c r="E36" s="1716"/>
      <c r="F36" s="1727">
        <f>[15]RECAPITULATIF!$C$3</f>
        <v>33.69</v>
      </c>
      <c r="G36" s="1718"/>
      <c r="H36" s="637">
        <f>[16]RECAPITULATIF!$C$3</f>
        <v>33.35</v>
      </c>
      <c r="I36" s="1718"/>
      <c r="J36" s="637">
        <f>[17]RECAPITULATIF!$C$3</f>
        <v>33.42</v>
      </c>
      <c r="K36" s="1718"/>
      <c r="L36" s="637">
        <f>[18]RECAPITULATIF!$C$3</f>
        <v>30.72</v>
      </c>
      <c r="M36" s="1718"/>
      <c r="N36" s="637">
        <f>[19]RECAPITULATIF!$C$3</f>
        <v>33.1</v>
      </c>
      <c r="O36" s="1718"/>
      <c r="P36" s="637">
        <f>[20]RECAPITULATIF!$C$3</f>
        <v>33.090000000000003</v>
      </c>
      <c r="Q36" s="1718"/>
      <c r="R36" s="637">
        <f>[21]RECAPITULATIF!$C$3</f>
        <v>29.38</v>
      </c>
      <c r="S36" s="1718"/>
      <c r="T36" s="577" t="str">
        <f>IF(FRANCHISE!$M392=0,"",FRANCHISE!$M392/FRANCHISE!$O392)</f>
        <v/>
      </c>
      <c r="U36" s="578" t="str">
        <f>IF(T36="","",('INDICES CA 💵'!T36/'INDICES RH 🤝'!T36)-FRANCHISE!$G392)</f>
        <v/>
      </c>
    </row>
    <row r="37" spans="2:21">
      <c r="B37" s="1819"/>
      <c r="C37" s="572" t="s">
        <v>25</v>
      </c>
      <c r="D37" s="637">
        <f>[14]RECAPITULATIF!$D$3</f>
        <v>34.950000000000003</v>
      </c>
      <c r="E37" s="1719"/>
      <c r="F37" s="1727">
        <f>[15]RECAPITULATIF!$D$3</f>
        <v>33.549999999999997</v>
      </c>
      <c r="G37" s="1718"/>
      <c r="H37" s="637">
        <f>[16]RECAPITULATIF!$D$3</f>
        <v>32.270000000000003</v>
      </c>
      <c r="I37" s="1718"/>
      <c r="J37" s="637">
        <f>[17]RECAPITULATIF!$D$3</f>
        <v>32.68</v>
      </c>
      <c r="K37" s="1718"/>
      <c r="L37" s="637">
        <f>[18]RECAPITULATIF!$D$3</f>
        <v>33.57</v>
      </c>
      <c r="M37" s="1718"/>
      <c r="N37" s="637">
        <f>[19]RECAPITULATIF!$D$3</f>
        <v>33.049999999999997</v>
      </c>
      <c r="O37" s="1718"/>
      <c r="P37" s="637">
        <f>[20]RECAPITULATIF!$D$3</f>
        <v>33.57</v>
      </c>
      <c r="Q37" s="1718"/>
      <c r="R37" s="637">
        <f>[21]RECAPITULATIF!$D$3</f>
        <v>27.04</v>
      </c>
      <c r="S37" s="1718"/>
      <c r="T37" s="577" t="str">
        <f>IF(FRANCHISE!$M393=0,"",FRANCHISE!$M393/FRANCHISE!$O393)</f>
        <v/>
      </c>
      <c r="U37" s="578" t="str">
        <f>IF(T37="","",('INDICES CA 💵'!T37/'INDICES RH 🤝'!T37)-FRANCHISE!$G393)</f>
        <v/>
      </c>
    </row>
    <row r="38" spans="2:21">
      <c r="B38" s="1819"/>
      <c r="C38" s="572" t="s">
        <v>17</v>
      </c>
      <c r="D38" s="637">
        <f>[14]RECAPITULATIF!$E$3</f>
        <v>32.909999999999997</v>
      </c>
      <c r="E38" s="1719"/>
      <c r="F38" s="1727">
        <f>[15]RECAPITULATIF!$E$3</f>
        <v>32.32</v>
      </c>
      <c r="G38" s="1718"/>
      <c r="H38" s="637">
        <f>[16]RECAPITULATIF!$E$3</f>
        <v>31.01</v>
      </c>
      <c r="I38" s="1718"/>
      <c r="J38" s="637">
        <f>[17]RECAPITULATIF!$E$3</f>
        <v>33.18</v>
      </c>
      <c r="K38" s="1718"/>
      <c r="L38" s="637">
        <f>[18]RECAPITULATIF!$E$3</f>
        <v>31.36</v>
      </c>
      <c r="M38" s="1718"/>
      <c r="N38" s="637">
        <f>[19]RECAPITULATIF!$E$3</f>
        <v>36.64</v>
      </c>
      <c r="O38" s="1718"/>
      <c r="P38" s="637">
        <f>[20]RECAPITULATIF!$E$3</f>
        <v>31.3</v>
      </c>
      <c r="Q38" s="1718"/>
      <c r="R38" s="637">
        <f>[21]RECAPITULATIF!$E$3</f>
        <v>29.81</v>
      </c>
      <c r="S38" s="1718"/>
      <c r="T38" s="577" t="str">
        <f>IF(FRANCHISE!$M394=0,"",FRANCHISE!$M394/FRANCHISE!$O394)</f>
        <v/>
      </c>
      <c r="U38" s="578" t="str">
        <f>IF(T38="","",('INDICES CA 💵'!T38/'INDICES RH 🤝'!T38)-FRANCHISE!$G394)</f>
        <v/>
      </c>
    </row>
    <row r="39" spans="2:21">
      <c r="B39" s="1819"/>
      <c r="C39" s="572" t="s">
        <v>18</v>
      </c>
      <c r="D39" s="637">
        <f>[14]RECAPITULATIF!$F$3</f>
        <v>35.22</v>
      </c>
      <c r="E39" s="1719"/>
      <c r="F39" s="1727">
        <f>[15]RECAPITULATIF!$F$3</f>
        <v>36.25</v>
      </c>
      <c r="G39" s="1718"/>
      <c r="H39" s="637">
        <f>[16]RECAPITULATIF!$F$3</f>
        <v>31.29</v>
      </c>
      <c r="I39" s="1718"/>
      <c r="J39" s="637">
        <f>[17]RECAPITULATIF!$F$3</f>
        <v>33.950000000000003</v>
      </c>
      <c r="K39" s="1718"/>
      <c r="L39" s="637">
        <f>[18]RECAPITULATIF!$F$3</f>
        <v>34.32</v>
      </c>
      <c r="M39" s="1718"/>
      <c r="N39" s="637">
        <f>[19]RECAPITULATIF!$F$3</f>
        <v>35.1</v>
      </c>
      <c r="O39" s="1718"/>
      <c r="P39" s="637">
        <f>[20]RECAPITULATIF!$F$3</f>
        <v>30.89</v>
      </c>
      <c r="Q39" s="1718"/>
      <c r="R39" s="637">
        <f>[21]RECAPITULATIF!$F$3</f>
        <v>31.32</v>
      </c>
      <c r="S39" s="1718"/>
      <c r="T39" s="577" t="str">
        <f>IF(FRANCHISE!$M395=0,"",FRANCHISE!$M395/FRANCHISE!$O395)</f>
        <v/>
      </c>
      <c r="U39" s="578" t="str">
        <f>IF(T39="","",('INDICES CA 💵'!T39/'INDICES RH 🤝'!T39)-FRANCHISE!$G395)</f>
        <v/>
      </c>
    </row>
    <row r="40" spans="2:21">
      <c r="B40" s="1819"/>
      <c r="C40" s="572" t="s">
        <v>19</v>
      </c>
      <c r="D40" s="637">
        <f>[14]RECAPITULATIF!$G$3</f>
        <v>34.79</v>
      </c>
      <c r="E40" s="1719"/>
      <c r="F40" s="1727">
        <f>[15]RECAPITULATIF!$G$3</f>
        <v>37.020000000000003</v>
      </c>
      <c r="G40" s="1718"/>
      <c r="H40" s="625">
        <f>[16]RECAPITULATIF!$G$3</f>
        <v>34.96</v>
      </c>
      <c r="I40" s="1718"/>
      <c r="J40" s="637">
        <f>[17]RECAPITULATIF!$G$3</f>
        <v>31.8</v>
      </c>
      <c r="K40" s="1718"/>
      <c r="L40" s="637">
        <f>[18]RECAPITULATIF!$G$3</f>
        <v>35.58</v>
      </c>
      <c r="M40" s="1718"/>
      <c r="N40" s="637">
        <f>[19]RECAPITULATIF!$G$3</f>
        <v>34.450000000000003</v>
      </c>
      <c r="O40" s="1718"/>
      <c r="P40" s="637">
        <f>[20]RECAPITULATIF!$G$3</f>
        <v>32.1</v>
      </c>
      <c r="Q40" s="1718"/>
      <c r="R40" s="637">
        <f>[21]RECAPITULATIF!$G$3</f>
        <v>33.200000000000003</v>
      </c>
      <c r="S40" s="1718"/>
      <c r="T40" s="577" t="str">
        <f>IF(FRANCHISE!$M396=0,"",FRANCHISE!$M396/FRANCHISE!$O396)</f>
        <v/>
      </c>
      <c r="U40" s="578" t="str">
        <f>IF(T40="","",('INDICES CA 💵'!T40/'INDICES RH 🤝'!T40)-FRANCHISE!$G396)</f>
        <v/>
      </c>
    </row>
    <row r="41" spans="2:21">
      <c r="B41" s="1819"/>
      <c r="C41" s="581" t="s">
        <v>20</v>
      </c>
      <c r="D41" s="1720">
        <f>[14]RECAPITULATIF!$H$3</f>
        <v>34.869999999999997</v>
      </c>
      <c r="E41" s="1721"/>
      <c r="F41" s="1728">
        <f>[15]RECAPITULATIF!$H$3</f>
        <v>29.73</v>
      </c>
      <c r="G41" s="1722"/>
      <c r="H41" s="1720">
        <f>[16]RECAPITULATIF!$H$3</f>
        <v>31.23</v>
      </c>
      <c r="I41" s="1722"/>
      <c r="J41" s="1720">
        <f>[17]RECAPITULATIF!$H$3</f>
        <v>34.18</v>
      </c>
      <c r="K41" s="1722"/>
      <c r="L41" s="1720">
        <f>[18]RECAPITULATIF!$H$3</f>
        <v>33.83</v>
      </c>
      <c r="M41" s="1722"/>
      <c r="N41" s="1720">
        <f>[19]RECAPITULATIF!$H$3</f>
        <v>36.14</v>
      </c>
      <c r="O41" s="1722"/>
      <c r="P41" s="1720">
        <f>[20]RECAPITULATIF!$H$3</f>
        <v>32.17</v>
      </c>
      <c r="Q41" s="1722"/>
      <c r="R41" s="1720">
        <f>[21]RECAPITULATIF!$H$3</f>
        <v>32.340000000000003</v>
      </c>
      <c r="S41" s="1722"/>
      <c r="T41" s="586" t="str">
        <f>IF(FRANCHISE!$M397=0,"",FRANCHISE!$M397/FRANCHISE!$O397)</f>
        <v/>
      </c>
      <c r="U41" s="587" t="str">
        <f>IF(T41="","",('INDICES CA 💵'!T41/'INDICES RH 🤝'!T41)-FRANCHISE!$G397)</f>
        <v/>
      </c>
    </row>
    <row r="42" spans="2:21">
      <c r="B42" s="1819"/>
      <c r="C42" s="572" t="s">
        <v>21</v>
      </c>
      <c r="D42" s="637"/>
      <c r="E42" s="1719"/>
      <c r="F42" s="1717"/>
      <c r="G42" s="1718"/>
      <c r="H42" s="1717"/>
      <c r="I42" s="1718"/>
      <c r="J42" s="1717"/>
      <c r="K42" s="1718"/>
      <c r="L42" s="1717"/>
      <c r="M42" s="1718"/>
      <c r="N42" s="1717"/>
      <c r="O42" s="1718"/>
      <c r="P42" s="1717" t="str">
        <f>IF(FRANCIN!$M398=0,"",FRANCIN!$M398/FRANCIN!$O398)</f>
        <v/>
      </c>
      <c r="Q42" s="1718" t="str">
        <f>IF(P42="","",('INDICES CA 💵'!P42/'INDICES RH 🤝'!P42)-FRANCIN!$G398)</f>
        <v/>
      </c>
      <c r="R42" s="1717" t="str">
        <f>IF(VIVIERS!$M398=0,"",VIVIERS!$M398/VIVIERS!$O398)</f>
        <v/>
      </c>
      <c r="S42" s="1718" t="str">
        <f>IF(R42="","",('INDICES CA 💵'!R42/'INDICES RH 🤝'!R42)-VIVIERS!$G398)</f>
        <v/>
      </c>
      <c r="T42" s="577" t="str">
        <f>IF(FRANCHISE!$M398=0,"",FRANCHISE!$M398/FRANCHISE!$O398)</f>
        <v/>
      </c>
      <c r="U42" s="578" t="str">
        <f>IF(T42="","",('INDICES CA 💵'!T42/'INDICES RH 🤝'!T42)-FRANCHISE!$G398)</f>
        <v/>
      </c>
    </row>
    <row r="43" spans="2:21">
      <c r="B43" s="1819"/>
      <c r="C43" s="572" t="s">
        <v>26</v>
      </c>
      <c r="D43" s="637"/>
      <c r="E43" s="1719"/>
      <c r="F43" s="1717"/>
      <c r="G43" s="1718"/>
      <c r="H43" s="1717"/>
      <c r="I43" s="1718"/>
      <c r="J43" s="1717"/>
      <c r="K43" s="1718"/>
      <c r="L43" s="1717"/>
      <c r="M43" s="1718"/>
      <c r="N43" s="1717"/>
      <c r="O43" s="1718"/>
      <c r="P43" s="1717" t="str">
        <f>IF(FRANCIN!$M399=0,"",FRANCIN!$M399/FRANCIN!$O399)</f>
        <v/>
      </c>
      <c r="Q43" s="1718" t="str">
        <f>IF(P43="","",('INDICES CA 💵'!P43/'INDICES RH 🤝'!P43)-FRANCIN!$G399)</f>
        <v/>
      </c>
      <c r="R43" s="1717" t="str">
        <f>IF(VIVIERS!$M399=0,"",VIVIERS!$M399/VIVIERS!$O399)</f>
        <v/>
      </c>
      <c r="S43" s="1718" t="str">
        <f>IF(R43="","",('INDICES CA 💵'!R43/'INDICES RH 🤝'!R43)-VIVIERS!$G399)</f>
        <v/>
      </c>
      <c r="T43" s="577" t="str">
        <f>IF(FRANCHISE!$M399=0,"",FRANCHISE!$M399/FRANCHISE!$O399)</f>
        <v/>
      </c>
      <c r="U43" s="578" t="str">
        <f>IF(T43="","",('INDICES CA 💵'!T43/'INDICES RH 🤝'!T43)-FRANCHISE!$G399)</f>
        <v/>
      </c>
    </row>
    <row r="44" spans="2:21">
      <c r="B44" s="1819"/>
      <c r="C44" s="572" t="s">
        <v>22</v>
      </c>
      <c r="D44" s="637"/>
      <c r="E44" s="1719"/>
      <c r="F44" s="1717"/>
      <c r="G44" s="1718"/>
      <c r="H44" s="1717"/>
      <c r="I44" s="1718"/>
      <c r="J44" s="1717"/>
      <c r="K44" s="1718"/>
      <c r="L44" s="1717"/>
      <c r="M44" s="1718"/>
      <c r="N44" s="1717"/>
      <c r="O44" s="1718"/>
      <c r="P44" s="1717" t="str">
        <f>IF(FRANCIN!$M400=0,"",FRANCIN!$M400/FRANCIN!$O400)</f>
        <v/>
      </c>
      <c r="Q44" s="1718" t="str">
        <f>IF(P44="","",('INDICES CA 💵'!P44/'INDICES RH 🤝'!P44)-FRANCIN!$G400)</f>
        <v/>
      </c>
      <c r="R44" s="1717" t="str">
        <f>IF(VIVIERS!$M400=0,"",VIVIERS!$M400/VIVIERS!$O400)</f>
        <v/>
      </c>
      <c r="S44" s="1718" t="str">
        <f>IF(R44="","",('INDICES CA 💵'!R44/'INDICES RH 🤝'!R44)-VIVIERS!$G400)</f>
        <v/>
      </c>
      <c r="T44" s="577" t="str">
        <f>IF(FRANCHISE!$M400=0,"",FRANCHISE!$M400/FRANCHISE!$O400)</f>
        <v/>
      </c>
      <c r="U44" s="578" t="str">
        <f>IF(T44="","",('INDICES CA 💵'!T44/'INDICES RH 🤝'!T44)-FRANCHISE!$G400)</f>
        <v/>
      </c>
    </row>
    <row r="45" spans="2:21">
      <c r="B45" s="1819"/>
      <c r="C45" s="572" t="s">
        <v>23</v>
      </c>
      <c r="D45" s="637"/>
      <c r="E45" s="1719"/>
      <c r="F45" s="1717" t="str">
        <f>IF(AIX!$M401=0,"",AIX!$M401/AIX!$O401)</f>
        <v/>
      </c>
      <c r="G45" s="1718"/>
      <c r="H45" s="1717" t="str">
        <f>IF(BELLEY!$M401=0,"",BELLEY!$M401/BELLEY!$O401)</f>
        <v/>
      </c>
      <c r="I45" s="1718"/>
      <c r="J45" s="1717" t="str">
        <f>IF(STALBAN!$M401=0,"",STALBAN!$M401/STALBAN!$O401)</f>
        <v/>
      </c>
      <c r="K45" s="1718" t="str">
        <f>IF(J45="","",('INDICES CA 💵'!J45/'INDICES RH 🤝'!J45)-STALBAN!$G401)</f>
        <v/>
      </c>
      <c r="L45" s="1717" t="str">
        <f>IF(ABRETS!$M401=0,"",ABRETS!$M401/ABRETS!$O401)</f>
        <v/>
      </c>
      <c r="M45" s="1718" t="str">
        <f>IF(L45="","",('INDICES CA 💵'!L45/'INDICES RH 🤝'!L45)-ABRETS!$G401)</f>
        <v/>
      </c>
      <c r="N45" s="1717" t="str">
        <f>IF(PONT!$M401=0,"",PONT!$M401/PONT!$O401)</f>
        <v/>
      </c>
      <c r="O45" s="1718" t="str">
        <f>IF(N45="","",('INDICES CA 💵'!N45/'INDICES RH 🤝'!N45)-PONT!$G401)</f>
        <v/>
      </c>
      <c r="P45" s="1717" t="str">
        <f>IF(FRANCIN!$M401=0,"",FRANCIN!$M401/FRANCIN!$O401)</f>
        <v/>
      </c>
      <c r="Q45" s="1718" t="str">
        <f>IF(P45="","",('INDICES CA 💵'!P45/'INDICES RH 🤝'!P45)-FRANCIN!$G401)</f>
        <v/>
      </c>
      <c r="R45" s="1717" t="str">
        <f>IF(VIVIERS!$M401=0,"",VIVIERS!$M401/VIVIERS!$O401)</f>
        <v/>
      </c>
      <c r="S45" s="1718" t="str">
        <f>IF(R45="","",('INDICES CA 💵'!R45/'INDICES RH 🤝'!R45)-VIVIERS!$G401)</f>
        <v/>
      </c>
      <c r="T45" s="577" t="str">
        <f>IF(FRANCHISE!$M401=0,"",FRANCHISE!$M401/FRANCHISE!$O401)</f>
        <v/>
      </c>
      <c r="U45" s="578" t="str">
        <f>IF(T45="","",('INDICES CA 💵'!T45/'INDICES RH 🤝'!T45)-FRANCHISE!$G401)</f>
        <v/>
      </c>
    </row>
    <row r="46" spans="2:21">
      <c r="B46" s="1819"/>
      <c r="C46" s="572" t="s">
        <v>24</v>
      </c>
      <c r="D46" s="637"/>
      <c r="E46" s="1719"/>
      <c r="F46" s="1717" t="str">
        <f>IF(AIX!$M402=0,"",AIX!$M402/AIX!$O402)</f>
        <v/>
      </c>
      <c r="G46" s="1718"/>
      <c r="H46" s="1717" t="str">
        <f>IF(BELLEY!$M402=0,"",BELLEY!$M402/BELLEY!$O402)</f>
        <v/>
      </c>
      <c r="I46" s="1718"/>
      <c r="J46" s="1717" t="str">
        <f>IF(STALBAN!$M402=0,"",STALBAN!$M402/STALBAN!$O402)</f>
        <v/>
      </c>
      <c r="K46" s="1718" t="str">
        <f>IF(J46="","",('INDICES CA 💵'!J46/'INDICES RH 🤝'!J46)-STALBAN!$G402)</f>
        <v/>
      </c>
      <c r="L46" s="1717" t="str">
        <f>IF(ABRETS!$M402=0,"",ABRETS!$M402/ABRETS!$O402)</f>
        <v/>
      </c>
      <c r="M46" s="1718" t="str">
        <f>IF(L46="","",('INDICES CA 💵'!L46/'INDICES RH 🤝'!L46)-ABRETS!$G402)</f>
        <v/>
      </c>
      <c r="N46" s="1717" t="str">
        <f>IF(PONT!$M402=0,"",PONT!$M402/PONT!$O402)</f>
        <v/>
      </c>
      <c r="O46" s="1718" t="str">
        <f>IF(N46="","",('INDICES CA 💵'!N46/'INDICES RH 🤝'!N46)-PONT!$G402)</f>
        <v/>
      </c>
      <c r="P46" s="1717" t="str">
        <f>IF(FRANCIN!$M402=0,"",FRANCIN!$M402/FRANCIN!$O402)</f>
        <v/>
      </c>
      <c r="Q46" s="1718" t="str">
        <f>IF(P46="","",('INDICES CA 💵'!P46/'INDICES RH 🤝'!P46)-FRANCIN!$G402)</f>
        <v/>
      </c>
      <c r="R46" s="1717" t="str">
        <f>IF(VIVIERS!$M402=0,"",VIVIERS!$M402/VIVIERS!$O402)</f>
        <v/>
      </c>
      <c r="S46" s="1718" t="str">
        <f>IF(R46="","",('INDICES CA 💵'!R46/'INDICES RH 🤝'!R46)-VIVIERS!$G402)</f>
        <v/>
      </c>
      <c r="T46" s="577" t="str">
        <f>IF(FRANCHISE!$M402=0,"",FRANCHISE!$M402/FRANCHISE!$O402)</f>
        <v/>
      </c>
      <c r="U46" s="578" t="str">
        <f>IF(T46="","",('INDICES CA 💵'!T46/'INDICES RH 🤝'!T46)-FRANCHISE!$G402)</f>
        <v/>
      </c>
    </row>
    <row r="47" spans="2:21">
      <c r="B47" s="1819"/>
      <c r="C47" s="572" t="s">
        <v>27</v>
      </c>
      <c r="D47" s="637"/>
      <c r="E47" s="1719"/>
      <c r="F47" s="1717" t="str">
        <f>IF(AIX!$M403=0,"",AIX!$M403/AIX!$O403)</f>
        <v/>
      </c>
      <c r="G47" s="1718"/>
      <c r="H47" s="1717" t="str">
        <f>IF(BELLEY!$M403=0,"",BELLEY!$M403/BELLEY!$O403)</f>
        <v/>
      </c>
      <c r="I47" s="1718"/>
      <c r="J47" s="1717" t="str">
        <f>IF(STALBAN!$M403=0,"",STALBAN!$M403/STALBAN!$O403)</f>
        <v/>
      </c>
      <c r="K47" s="1718" t="str">
        <f>IF(J47="","",('INDICES CA 💵'!J47/'INDICES RH 🤝'!J47)-STALBAN!$G403)</f>
        <v/>
      </c>
      <c r="L47" s="1717" t="str">
        <f>IF(ABRETS!$M403=0,"",ABRETS!$M403/ABRETS!$O403)</f>
        <v/>
      </c>
      <c r="M47" s="1718" t="str">
        <f>IF(L47="","",('INDICES CA 💵'!L47/'INDICES RH 🤝'!L47)-ABRETS!$G403)</f>
        <v/>
      </c>
      <c r="N47" s="1717" t="str">
        <f>IF(PONT!$M403=0,"",PONT!$M403/PONT!$O403)</f>
        <v/>
      </c>
      <c r="O47" s="1718" t="str">
        <f>IF(N47="","",('INDICES CA 💵'!N47/'INDICES RH 🤝'!N47)-PONT!$G403)</f>
        <v/>
      </c>
      <c r="P47" s="1717" t="str">
        <f>IF(FRANCIN!$M403=0,"",FRANCIN!$M403/FRANCIN!$O403)</f>
        <v/>
      </c>
      <c r="Q47" s="1718" t="str">
        <f>IF(P47="","",('INDICES CA 💵'!P47/'INDICES RH 🤝'!P47)-FRANCIN!$G403)</f>
        <v/>
      </c>
      <c r="R47" s="1717" t="str">
        <f>IF(VIVIERS!$M403=0,"",VIVIERS!$M403/VIVIERS!$O403)</f>
        <v/>
      </c>
      <c r="S47" s="1718" t="str">
        <f>IF(R47="","",('INDICES CA 💵'!R47/'INDICES RH 🤝'!R47)-VIVIERS!$G403)</f>
        <v/>
      </c>
      <c r="T47" s="577" t="str">
        <f>IF(FRANCHISE!$M403=0,"",FRANCHISE!$M403/FRANCHISE!$O403)</f>
        <v/>
      </c>
      <c r="U47" s="578" t="str">
        <f>IF(T47="","",('INDICES CA 💵'!T47/'INDICES RH 🤝'!T47)-FRANCHISE!$G403)</f>
        <v/>
      </c>
    </row>
    <row r="48" spans="2:21" ht="21" thickBot="1">
      <c r="B48" s="1819"/>
      <c r="C48" s="588" t="s">
        <v>54</v>
      </c>
      <c r="D48" s="1724">
        <f>[14]RECAPITULATIF!$O$3</f>
        <v>34.83</v>
      </c>
      <c r="E48" s="644"/>
      <c r="F48" s="1724">
        <f>[15]RECAPITULATIF!$O$3</f>
        <v>34.43</v>
      </c>
      <c r="G48" s="1723"/>
      <c r="H48" s="1724">
        <f>[16]RECAPITULATIF!$O$3</f>
        <v>32.5</v>
      </c>
      <c r="I48" s="1723"/>
      <c r="J48" s="1724">
        <f>[17]RECAPITULATIF!$O$3</f>
        <v>33.04</v>
      </c>
      <c r="K48" s="1723"/>
      <c r="L48" s="1724">
        <f>[18]RECAPITULATIF!$O$3</f>
        <v>33.1</v>
      </c>
      <c r="M48" s="1723"/>
      <c r="N48" s="1724">
        <f>[19]RECAPITULATIF!$O$3</f>
        <v>34.5</v>
      </c>
      <c r="O48" s="1723"/>
      <c r="P48" s="1724">
        <f>[20]RECAPITULATIF!$O$3</f>
        <v>32.19</v>
      </c>
      <c r="Q48" s="1723"/>
      <c r="R48" s="1724">
        <f>[21]RECAPITULATIF!$O$3</f>
        <v>30.19</v>
      </c>
      <c r="S48" s="1723"/>
      <c r="T48" s="591" t="str">
        <f>IF(FRANCHISE!$M404=0,"",FRANCHISE!$M404/FRANCHISE!$O404)</f>
        <v/>
      </c>
      <c r="U48" s="593" t="str">
        <f>IF(T48="","",('INDICES CA 💵'!T48/'INDICES RH 🤝'!T48)-FRANCHISE!$G404)</f>
        <v/>
      </c>
    </row>
    <row r="49" spans="2:21" ht="20" thickBot="1">
      <c r="B49" s="1819"/>
      <c r="C49" s="292"/>
      <c r="D49" s="614"/>
      <c r="E49" s="615"/>
      <c r="F49" s="614"/>
      <c r="G49" s="615"/>
      <c r="H49" s="614"/>
      <c r="I49" s="615"/>
      <c r="J49" s="614"/>
      <c r="K49" s="615"/>
      <c r="L49" s="614"/>
      <c r="M49" s="615"/>
      <c r="N49" s="614"/>
      <c r="O49" s="615"/>
      <c r="P49" s="614"/>
      <c r="Q49" s="615"/>
      <c r="R49" s="614"/>
      <c r="S49" s="615"/>
      <c r="T49" s="614"/>
      <c r="U49" s="616"/>
    </row>
    <row r="50" spans="2:21" s="601" customFormat="1" ht="40">
      <c r="B50" s="1819"/>
      <c r="C50" s="620" t="s">
        <v>170</v>
      </c>
      <c r="D50" s="620" t="s">
        <v>28</v>
      </c>
      <c r="E50" s="620" t="s">
        <v>316</v>
      </c>
      <c r="F50" s="621" t="s">
        <v>29</v>
      </c>
      <c r="G50" s="620" t="s">
        <v>316</v>
      </c>
      <c r="H50" s="622" t="s">
        <v>30</v>
      </c>
      <c r="I50" s="620" t="s">
        <v>316</v>
      </c>
      <c r="J50" s="623" t="s">
        <v>31</v>
      </c>
      <c r="K50" s="620" t="s">
        <v>316</v>
      </c>
      <c r="L50" s="620" t="s">
        <v>32</v>
      </c>
      <c r="M50" s="620" t="s">
        <v>316</v>
      </c>
      <c r="N50" s="621" t="s">
        <v>253</v>
      </c>
      <c r="O50" s="620" t="s">
        <v>316</v>
      </c>
      <c r="P50" s="622" t="s">
        <v>34</v>
      </c>
      <c r="Q50" s="620" t="s">
        <v>316</v>
      </c>
      <c r="R50" s="623" t="s">
        <v>308</v>
      </c>
      <c r="S50" s="620" t="s">
        <v>316</v>
      </c>
      <c r="T50" s="622" t="s">
        <v>37</v>
      </c>
      <c r="U50" s="624" t="s">
        <v>316</v>
      </c>
    </row>
    <row r="51" spans="2:21">
      <c r="B51" s="1819"/>
      <c r="C51" s="572" t="s">
        <v>10</v>
      </c>
      <c r="D51" s="1618">
        <f>IF('INDICES CA 💵'!D38=0,"",'INDICES CA 💵'!D38/CHAMNORD!$O377)</f>
        <v>5.4654669104673914</v>
      </c>
      <c r="E51" s="1619">
        <f>D51-'[10]INDICES RH 🤝'!$D$51</f>
        <v>0.2360144273947764</v>
      </c>
      <c r="F51" s="1618">
        <f>IF('INDICES CA 💵'!F38=0,"",'INDICES CA 💵'!F38/AIX!$O377)</f>
        <v>5.6102698471198105</v>
      </c>
      <c r="G51" s="1619">
        <f>F51-'[10]INDICES RH 🤝'!$F$51</f>
        <v>0.56888996269433001</v>
      </c>
      <c r="H51" s="1618">
        <f>IF('INDICES CA 💵'!H38=0,"",'INDICES CA 💵'!H38/BELLEY!$O377)</f>
        <v>4.8058160934832257</v>
      </c>
      <c r="I51" s="1619">
        <f>H51-'[10]INDICES RH 🤝'!$H$51</f>
        <v>0.31700472488600084</v>
      </c>
      <c r="J51" s="1618">
        <f>IF('INDICES CA 💵'!J38=0,"",'INDICES CA 💵'!J38/STALBAN!$O377)</f>
        <v>5.1473056443880765</v>
      </c>
      <c r="K51" s="1619">
        <f>J51-'[10]INDICES RH 🤝'!$J$51</f>
        <v>-0.13198172531104024</v>
      </c>
      <c r="L51" s="1618">
        <f>IF('INDICES CA 💵'!L38=0,"",'INDICES CA 💵'!L38/ABRETS!$O377)</f>
        <v>4.2428048357817651</v>
      </c>
      <c r="M51" s="1619">
        <f>L51-'[10]INDICES RH 🤝'!$L$51</f>
        <v>-4.7166495675806885E-2</v>
      </c>
      <c r="N51" s="1618">
        <f>IF('INDICES CA 💵'!N38=0,"",'INDICES CA 💵'!N38/PONT!$O377)</f>
        <v>4.4920896506262356</v>
      </c>
      <c r="O51" s="1619">
        <f>N51-'[10]INDICES RH 🤝'!$N$51</f>
        <v>0.14461918713032507</v>
      </c>
      <c r="P51" s="1618">
        <f>IF('INDICES CA 💵'!P38=0,"",'INDICES CA 💵'!P38/FRANCIN!$O377)</f>
        <v>4.71327787362703</v>
      </c>
      <c r="Q51" s="1619">
        <f>P51-'[10]INDICES RH 🤝'!$P$51</f>
        <v>-3.879448518565809E-2</v>
      </c>
      <c r="R51" s="1618">
        <f>IF('INDICES CA 💵'!R38=0,"",'INDICES CA 💵'!R38/VIVIERS!$O377)</f>
        <v>4.7573321423254429</v>
      </c>
      <c r="S51" s="1619">
        <f>R51-'[10]INDICES RH 🤝'!$R$51</f>
        <v>1.7415990936411716</v>
      </c>
      <c r="T51" s="1620">
        <f>IF('INDICES CA 💵'!T38=0,"",'INDICES CA 💵'!T38/FRANCHISE!$O377)</f>
        <v>4.9988038595465305</v>
      </c>
      <c r="U51" s="1621">
        <f>T51-'[10]INDICES RH 🤝'!$T$51</f>
        <v>0.35843229232900509</v>
      </c>
    </row>
    <row r="52" spans="2:21">
      <c r="B52" s="1819"/>
      <c r="C52" s="572" t="s">
        <v>25</v>
      </c>
      <c r="D52" s="1618">
        <f>IF('INDICES CA 💵'!D39=0,"",'INDICES CA 💵'!D39/CHAMNORD!$O378)</f>
        <v>5.4486472481031365</v>
      </c>
      <c r="E52" s="1619">
        <f>D52-'[10]INDICES RH 🤝'!$D$52</f>
        <v>0.64131270795422246</v>
      </c>
      <c r="F52" s="1618">
        <f>IF('INDICES CA 💵'!F39=0,"",'INDICES CA 💵'!F39/AIX!$O378)</f>
        <v>5.6462216722097605</v>
      </c>
      <c r="G52" s="1619">
        <f>F52-'[10]INDICES RH 🤝'!$F$52</f>
        <v>0.49944193146979554</v>
      </c>
      <c r="H52" s="1618">
        <f>IF('INDICES CA 💵'!H39=0,"",'INDICES CA 💵'!H39/BELLEY!$O378)</f>
        <v>4.6138607625738226</v>
      </c>
      <c r="I52" s="1619">
        <f>H52-'[10]INDICES RH 🤝'!$H$51</f>
        <v>0.12504939397659776</v>
      </c>
      <c r="J52" s="1618">
        <f>IF('INDICES CA 💵'!J39=0,"",'INDICES CA 💵'!J39/STALBAN!$O378)</f>
        <v>5.0770351956506188</v>
      </c>
      <c r="K52" s="1619">
        <f>J52-'[10]INDICES RH 🤝'!$J$51</f>
        <v>-0.20225217404849793</v>
      </c>
      <c r="L52" s="1618">
        <f>IF('INDICES CA 💵'!L39=0,"",'INDICES CA 💵'!L39/ABRETS!$O378)</f>
        <v>4.5976505433368704</v>
      </c>
      <c r="M52" s="1619">
        <f>L52-'[10]INDICES RH 🤝'!$L$51</f>
        <v>0.30767921187929836</v>
      </c>
      <c r="N52" s="1618">
        <f>IF('INDICES CA 💵'!N39=0,"",'INDICES CA 💵'!N39/PONT!$O378)</f>
        <v>4.7463343108504397</v>
      </c>
      <c r="O52" s="1619">
        <f>N52-'[10]INDICES RH 🤝'!$N$51</f>
        <v>0.39886384735452918</v>
      </c>
      <c r="P52" s="1618">
        <f>IF('INDICES CA 💵'!P39=0,"",'INDICES CA 💵'!P39/FRANCIN!$O378)</f>
        <v>4.7120021125512315</v>
      </c>
      <c r="Q52" s="1619">
        <f>P52-'[10]INDICES RH 🤝'!$P$51</f>
        <v>-4.007024626145661E-2</v>
      </c>
      <c r="R52" s="1618">
        <f>IF('INDICES CA 💵'!R39=0,"",'INDICES CA 💵'!R39/VIVIERS!$O378)</f>
        <v>4.5486339864496657</v>
      </c>
      <c r="S52" s="1619">
        <f>R52-'[10]INDICES RH 🤝'!$R$52</f>
        <v>0.88275612702341943</v>
      </c>
      <c r="T52" s="1620">
        <f>IF('INDICES CA 💵'!T39=0,"",'INDICES CA 💵'!T39/FRANCHISE!$O378)</f>
        <v>5.0135627729324206</v>
      </c>
      <c r="U52" s="1621">
        <f>T52-'[10]INDICES RH 🤝'!$T$51</f>
        <v>0.37319120571489517</v>
      </c>
    </row>
    <row r="53" spans="2:21">
      <c r="B53" s="1819"/>
      <c r="C53" s="572" t="s">
        <v>17</v>
      </c>
      <c r="D53" s="1618">
        <f>IF('INDICES CA 💵'!D40=0,"",'INDICES CA 💵'!D40/CHAMNORD!$O379)</f>
        <v>5.2102524583688155</v>
      </c>
      <c r="E53" s="1619">
        <f>D53-'[10]INDICES RH 🤝'!$D$53</f>
        <v>0.11074857788546222</v>
      </c>
      <c r="F53" s="1618">
        <f>IF('INDICES CA 💵'!F40=0,"",'INDICES CA 💵'!F40/AIX!$O379)</f>
        <v>5.5366378866244927</v>
      </c>
      <c r="G53" s="1619">
        <f>F53-'[10]INDICES RH 🤝'!$F$53</f>
        <v>-5.5004006945177153E-2</v>
      </c>
      <c r="H53" s="1618">
        <f>IF('INDICES CA 💵'!H40=0,"",'INDICES CA 💵'!H40/BELLEY!$O379)</f>
        <v>4.6345654718020537</v>
      </c>
      <c r="I53" s="1619">
        <f>H53-'[10]INDICES RH 🤝'!$H$51</f>
        <v>0.14575410320482884</v>
      </c>
      <c r="J53" s="1618">
        <f>IF('INDICES CA 💵'!J40=0,"",'INDICES CA 💵'!J40/STALBAN!$O379)</f>
        <v>5.1058705427685602</v>
      </c>
      <c r="K53" s="1619">
        <f>J53-'[10]INDICES RH 🤝'!$J$51</f>
        <v>-0.17341682693055649</v>
      </c>
      <c r="L53" s="1618">
        <f>IF('INDICES CA 💵'!L40=0,"",'INDICES CA 💵'!L40/ABRETS!$O379)</f>
        <v>4.6403771560767879</v>
      </c>
      <c r="M53" s="1619">
        <f>L53-'[10]INDICES RH 🤝'!$L$51</f>
        <v>0.35040582461921588</v>
      </c>
      <c r="N53" s="1618">
        <f>IF('INDICES CA 💵'!N40=0,"",'INDICES CA 💵'!N40/PONT!$O379)</f>
        <v>5.3030763387770605</v>
      </c>
      <c r="O53" s="1619">
        <f>N53-'[10]INDICES RH 🤝'!$N$51</f>
        <v>0.95560587528115004</v>
      </c>
      <c r="P53" s="1618">
        <f>IF('INDICES CA 💵'!P40=0,"",'INDICES CA 💵'!P40/FRANCIN!$O379)</f>
        <v>4.589929583004162</v>
      </c>
      <c r="Q53" s="1619">
        <f>P53-'[10]INDICES RH 🤝'!$P$51</f>
        <v>-0.1621427758085261</v>
      </c>
      <c r="R53" s="1618">
        <f>IF('INDICES CA 💵'!R40=0,"",'INDICES CA 💵'!R40/VIVIERS!$O379)</f>
        <v>5.1801763536587435</v>
      </c>
      <c r="S53" s="1619">
        <f>R53-'[10]INDICES RH 🤝'!$R$53</f>
        <v>0.65382137254071715</v>
      </c>
      <c r="T53" s="1620">
        <f>IF('INDICES CA 💵'!T40=0,"",'INDICES CA 💵'!T40/FRANCHISE!$O379)</f>
        <v>5.0547549366426239</v>
      </c>
      <c r="U53" s="1621">
        <f>T53-'[10]INDICES RH 🤝'!$T$51</f>
        <v>0.41438336942509846</v>
      </c>
    </row>
    <row r="54" spans="2:21">
      <c r="B54" s="1819"/>
      <c r="C54" s="572" t="s">
        <v>18</v>
      </c>
      <c r="D54" s="1618">
        <f>IF('INDICES CA 💵'!D41=0,"",'INDICES CA 💵'!D41/CHAMNORD!$O380)</f>
        <v>5.3548240058090535</v>
      </c>
      <c r="E54" s="1619">
        <f>D54-'[10]INDICES RH 🤝'!$D$54</f>
        <v>-0.12312728274799145</v>
      </c>
      <c r="F54" s="1618">
        <f>IF('INDICES CA 💵'!F41=0,"",'INDICES CA 💵'!F41/AIX!$O380)</f>
        <v>6.3733840357932978</v>
      </c>
      <c r="G54" s="1619">
        <f>F54-'[10]INDICES RH 🤝'!$F$51</f>
        <v>1.3320041513678174</v>
      </c>
      <c r="H54" s="1618">
        <f>IF('INDICES CA 💵'!H41=0,"",'INDICES CA 💵'!H41/BELLEY!$O380)</f>
        <v>4.6758188954801057</v>
      </c>
      <c r="I54" s="1619">
        <f>H54-'[10]INDICES RH 🤝'!$H$51</f>
        <v>0.1870075268828808</v>
      </c>
      <c r="J54" s="1618">
        <f>IF('INDICES CA 💵'!J41=0,"",'INDICES CA 💵'!J41/STALBAN!$O380)</f>
        <v>5.2480517478987467</v>
      </c>
      <c r="K54" s="1619">
        <f>J54-'[10]INDICES RH 🤝'!$J$51</f>
        <v>-3.1235621800369984E-2</v>
      </c>
      <c r="L54" s="1618">
        <f>IF('INDICES CA 💵'!L41=0,"",'INDICES CA 💵'!L41/ABRETS!$O380)</f>
        <v>4.7383869226731328</v>
      </c>
      <c r="M54" s="1619">
        <f>L54-'[10]INDICES RH 🤝'!$L$51</f>
        <v>0.44841559121556074</v>
      </c>
      <c r="N54" s="1618">
        <f>IF('INDICES CA 💵'!N41=0,"",'INDICES CA 💵'!N41/PONT!$O380)</f>
        <v>5.1886148007590132</v>
      </c>
      <c r="O54" s="1619">
        <f>N54-'[10]INDICES RH 🤝'!$N$51</f>
        <v>0.84114433726310267</v>
      </c>
      <c r="P54" s="1618">
        <f>IF('INDICES CA 💵'!P41=0,"",'INDICES CA 💵'!P41/FRANCIN!$O380)</f>
        <v>4.5688868366275734</v>
      </c>
      <c r="Q54" s="1619">
        <f>P54-'[10]INDICES RH 🤝'!$P$51</f>
        <v>-0.18318552218511464</v>
      </c>
      <c r="R54" s="1618">
        <f>IF('INDICES CA 💵'!R41=0,"",'INDICES CA 💵'!R41/VIVIERS!$O380)</f>
        <v>5.2315544876722431</v>
      </c>
      <c r="S54" s="1619">
        <f>R54-'[10]INDICES RH 🤝'!$R$54</f>
        <v>0.31027352127538244</v>
      </c>
      <c r="T54" s="1620">
        <f>IF('INDICES CA 💵'!T41=0,"",'INDICES CA 💵'!T41/FRANCHISE!$O380)</f>
        <v>5.242749270926768</v>
      </c>
      <c r="U54" s="1621">
        <f>T54-'[10]INDICES RH 🤝'!$T$51</f>
        <v>0.6023777037092426</v>
      </c>
    </row>
    <row r="55" spans="2:21">
      <c r="B55" s="1819"/>
      <c r="C55" s="572" t="s">
        <v>19</v>
      </c>
      <c r="D55" s="625">
        <f>IF('INDICES CA 💵'!D42=0,"",'INDICES CA 💵'!D42/CHAMNORD!$O381)</f>
        <v>5.3022543651634093</v>
      </c>
      <c r="E55" s="1619">
        <f>D55-'[10]INDICES RH 🤝'!$D$54</f>
        <v>-0.17569692339363563</v>
      </c>
      <c r="F55" s="625">
        <f>IF('INDICES CA 💵'!F42=0,"",'INDICES CA 💵'!F42/AIX!$O381)</f>
        <v>6.1766891675836852</v>
      </c>
      <c r="G55" s="1619">
        <f>F55-'[10]INDICES RH 🤝'!$F$51</f>
        <v>1.1353092831582048</v>
      </c>
      <c r="H55" s="625">
        <f>IF('INDICES CA 💵'!H42=0,"",'INDICES CA 💵'!H42/BELLEY!$O381)</f>
        <v>5.0783494457801757</v>
      </c>
      <c r="I55" s="1619">
        <f>H55-'[10]INDICES RH 🤝'!$H$51</f>
        <v>0.58953807718295081</v>
      </c>
      <c r="J55" s="625">
        <f>IF('INDICES CA 💵'!J42=0,"",'INDICES CA 💵'!J42/STALBAN!$O381)</f>
        <v>4.7566971141712946</v>
      </c>
      <c r="K55" s="1619">
        <f>J55-'[10]INDICES RH 🤝'!$J$51</f>
        <v>-0.52259025552782212</v>
      </c>
      <c r="L55" s="625">
        <f>IF('INDICES CA 💵'!L42=0,"",'INDICES CA 💵'!L42/ABRETS!$O381)</f>
        <v>4.7571938578003339</v>
      </c>
      <c r="M55" s="1619">
        <f>L55-'[10]INDICES RH 🤝'!$L$51</f>
        <v>0.46722252634276185</v>
      </c>
      <c r="N55" s="625">
        <f>IF('INDICES CA 💵'!N42=0,"",'INDICES CA 💵'!N42/PONT!$O381)</f>
        <v>4.6694560669456067</v>
      </c>
      <c r="O55" s="1619">
        <f>N55-'[10]INDICES RH 🤝'!$N$51</f>
        <v>0.32198560344969618</v>
      </c>
      <c r="P55" s="625">
        <f>IF('INDICES CA 💵'!P42=0,"",'INDICES CA 💵'!P42/FRANCIN!$O381)</f>
        <v>4.8900607827212399</v>
      </c>
      <c r="Q55" s="1619">
        <f>P55-'[10]INDICES RH 🤝'!$P$51</f>
        <v>0.13798842390855182</v>
      </c>
      <c r="R55" s="625">
        <f>IF('INDICES CA 💵'!R42=0,"",'INDICES CA 💵'!R42/VIVIERS!$O381)</f>
        <v>5.2421305486513088</v>
      </c>
      <c r="S55" s="1619">
        <f>R55-'[10]INDICES RH 🤝'!$R$54</f>
        <v>0.32084958225444815</v>
      </c>
      <c r="T55" s="627">
        <f>IF('INDICES CA 💵'!T42=0,"",'INDICES CA 💵'!T42/FRANCHISE!$O381)</f>
        <v>5.1565536615569938</v>
      </c>
      <c r="U55" s="1621">
        <f>T55-'[10]INDICES RH 🤝'!$T$51</f>
        <v>0.51618209433946838</v>
      </c>
    </row>
    <row r="56" spans="2:21">
      <c r="B56" s="1819"/>
      <c r="C56" s="581" t="s">
        <v>20</v>
      </c>
      <c r="D56" s="629">
        <f>IF('INDICES CA 💵'!D43=0,"",'INDICES CA 💵'!D43/CHAMNORD!$O382)</f>
        <v>5.4583207490184238</v>
      </c>
      <c r="E56" s="630">
        <f>D56-'[10]INDICES RH 🤝'!$D$56</f>
        <v>-9.0405780674430503E-2</v>
      </c>
      <c r="F56" s="629">
        <f>IF('INDICES CA 💵'!F43=0,"",'INDICES CA 💵'!F43/AIX!$O382)</f>
        <v>5.239651999928542</v>
      </c>
      <c r="G56" s="630">
        <f>F56-'[10]INDICES RH 🤝'!$F$51</f>
        <v>0.19827211550306156</v>
      </c>
      <c r="H56" s="629">
        <f>IF('INDICES CA 💵'!H43=0,"",'INDICES CA 💵'!H43/BELLEY!$O382)</f>
        <v>4.5418410041841009</v>
      </c>
      <c r="I56" s="630">
        <f>H56-'[10]INDICES RH 🤝'!$H$51</f>
        <v>5.3029635586876012E-2</v>
      </c>
      <c r="J56" s="629">
        <f>IF('INDICES CA 💵'!J43=0,"",'INDICES CA 💵'!J43/STALBAN!$O382)</f>
        <v>5.2880558697330393</v>
      </c>
      <c r="K56" s="630">
        <f>J56-'[10]INDICES RH 🤝'!$J$51</f>
        <v>8.7685000339225994E-3</v>
      </c>
      <c r="L56" s="629">
        <f>IF('INDICES CA 💵'!L43=0,"",'INDICES CA 💵'!L43/ABRETS!$O382)</f>
        <v>5.1593746411404755</v>
      </c>
      <c r="M56" s="630">
        <f>L56-'[10]INDICES RH 🤝'!$L$51</f>
        <v>0.86940330968290347</v>
      </c>
      <c r="N56" s="629">
        <f>IF('INDICES CA 💵'!N43=0,"",'INDICES CA 💵'!N43/PONT!$O382)</f>
        <v>5.2951334379905806</v>
      </c>
      <c r="O56" s="630">
        <f>N56-'[10]INDICES RH 🤝'!$N$51</f>
        <v>0.94766297449467007</v>
      </c>
      <c r="P56" s="629">
        <f>IF('INDICES CA 💵'!P43=0,"",'INDICES CA 💵'!P43/FRANCIN!$O382)</f>
        <v>4.841549295774648</v>
      </c>
      <c r="Q56" s="630">
        <f>P56-'[10]INDICES RH 🤝'!$P$51</f>
        <v>8.9476936961959908E-2</v>
      </c>
      <c r="R56" s="629">
        <f>IF('INDICES CA 💵'!R43=0,"",'INDICES CA 💵'!R43/VIVIERS!$O382)</f>
        <v>5.0815947118363969</v>
      </c>
      <c r="S56" s="630">
        <f>R56-'[10]INDICES RH 🤝'!$R$56</f>
        <v>0.18405108145430393</v>
      </c>
      <c r="T56" s="631">
        <f>IF('INDICES CA 💵'!T43=0,"",'INDICES CA 💵'!T43/FRANCHISE!$O382)</f>
        <v>5.1409005004049808</v>
      </c>
      <c r="U56" s="632">
        <f>T56-'[10]INDICES RH 🤝'!$T$51</f>
        <v>0.50052893318745539</v>
      </c>
    </row>
    <row r="57" spans="2:21">
      <c r="B57" s="1819"/>
      <c r="C57" s="572" t="s">
        <v>21</v>
      </c>
      <c r="D57" s="625" t="str">
        <f>IF('INDICES CA 💵'!D44=0,"",'INDICES CA 💵'!D44/CHAMNORD!$O383)</f>
        <v/>
      </c>
      <c r="E57" s="626" t="e">
        <f>D57-'[10]INDICES RH 🤝'!$D$57</f>
        <v>#VALUE!</v>
      </c>
      <c r="F57" s="625" t="str">
        <f>IF('INDICES CA 💵'!F44=0,"",'INDICES CA 💵'!F44/AIX!$O383)</f>
        <v/>
      </c>
      <c r="G57" s="626" t="e">
        <f>F57-'[10]INDICES RH 🤝'!$F$51</f>
        <v>#VALUE!</v>
      </c>
      <c r="H57" s="625" t="str">
        <f>IF('INDICES CA 💵'!H44=0,"",'INDICES CA 💵'!H44/BELLEY!$O383)</f>
        <v/>
      </c>
      <c r="I57" s="626" t="e">
        <f>H57-'[10]INDICES RH 🤝'!$H$51</f>
        <v>#VALUE!</v>
      </c>
      <c r="J57" s="625" t="str">
        <f>IF('INDICES CA 💵'!J44=0,"",'INDICES CA 💵'!J44/STALBAN!$O383)</f>
        <v/>
      </c>
      <c r="K57" s="626" t="e">
        <f>J57-'[10]INDICES RH 🤝'!$J$51</f>
        <v>#VALUE!</v>
      </c>
      <c r="L57" s="625" t="str">
        <f>IF('INDICES CA 💵'!L44=0,"",'INDICES CA 💵'!L44/ABRETS!$O383)</f>
        <v/>
      </c>
      <c r="M57" s="626" t="e">
        <f>L57-'[10]INDICES RH 🤝'!$L$51</f>
        <v>#VALUE!</v>
      </c>
      <c r="N57" s="625" t="str">
        <f>IF('INDICES CA 💵'!N44=0,"",'INDICES CA 💵'!N44/PONT!$O383)</f>
        <v/>
      </c>
      <c r="O57" s="626" t="e">
        <f>N57-'[10]INDICES RH 🤝'!$N$51</f>
        <v>#VALUE!</v>
      </c>
      <c r="P57" s="625" t="str">
        <f>IF('INDICES CA 💵'!P44=0,"",'INDICES CA 💵'!P44/FRANCIN!$O383)</f>
        <v/>
      </c>
      <c r="Q57" s="626" t="e">
        <f>P57-'[10]INDICES RH 🤝'!$P$51</f>
        <v>#VALUE!</v>
      </c>
      <c r="R57" s="625" t="str">
        <f>IF('INDICES CA 💵'!R44=0,"",'INDICES CA 💵'!R44/VIVIERS!$O383)</f>
        <v/>
      </c>
      <c r="S57" s="626" t="e">
        <f>R57-'[10]INDICES RH 🤝'!$R$57</f>
        <v>#VALUE!</v>
      </c>
      <c r="T57" s="627" t="str">
        <f>IF('INDICES CA 💵'!T44=0,"",'INDICES CA 💵'!T44/FRANCHISE!$O383)</f>
        <v/>
      </c>
      <c r="U57" s="628" t="e">
        <f>T57-'[10]INDICES RH 🤝'!$T$51</f>
        <v>#VALUE!</v>
      </c>
    </row>
    <row r="58" spans="2:21">
      <c r="B58" s="1819"/>
      <c r="C58" s="572" t="s">
        <v>26</v>
      </c>
      <c r="D58" s="625" t="str">
        <f>IF('INDICES CA 💵'!D45=0,"",'INDICES CA 💵'!D45/CHAMNORD!$O384)</f>
        <v/>
      </c>
      <c r="E58" s="626" t="e">
        <f>D58-'[10]INDICES RH 🤝'!$D$58</f>
        <v>#VALUE!</v>
      </c>
      <c r="F58" s="625" t="str">
        <f>IF('INDICES CA 💵'!F45=0,"",'INDICES CA 💵'!F45/AIX!$O384)</f>
        <v/>
      </c>
      <c r="G58" s="626" t="e">
        <f>F58-'[10]INDICES RH 🤝'!$F$51</f>
        <v>#VALUE!</v>
      </c>
      <c r="H58" s="625" t="str">
        <f>IF('INDICES CA 💵'!H45=0,"",'INDICES CA 💵'!H45/BELLEY!$O384)</f>
        <v/>
      </c>
      <c r="I58" s="626" t="e">
        <f>H58-'[10]INDICES RH 🤝'!$H$51</f>
        <v>#VALUE!</v>
      </c>
      <c r="J58" s="625" t="str">
        <f>IF('INDICES CA 💵'!J45=0,"",'INDICES CA 💵'!J45/STALBAN!$O384)</f>
        <v/>
      </c>
      <c r="K58" s="626" t="e">
        <f>J58-'[10]INDICES RH 🤝'!$J$51</f>
        <v>#VALUE!</v>
      </c>
      <c r="L58" s="625" t="str">
        <f>IF('INDICES CA 💵'!L45=0,"",'INDICES CA 💵'!L45/ABRETS!$O384)</f>
        <v/>
      </c>
      <c r="M58" s="626" t="e">
        <f>L58-'[10]INDICES RH 🤝'!$L$51</f>
        <v>#VALUE!</v>
      </c>
      <c r="N58" s="625" t="str">
        <f>IF('INDICES CA 💵'!N45=0,"",'INDICES CA 💵'!N45/PONT!$O384)</f>
        <v/>
      </c>
      <c r="O58" s="626" t="e">
        <f>N58-'[10]INDICES RH 🤝'!$N$51</f>
        <v>#VALUE!</v>
      </c>
      <c r="P58" s="625" t="str">
        <f>IF('INDICES CA 💵'!P45=0,"",'INDICES CA 💵'!P45/FRANCIN!$O384)</f>
        <v/>
      </c>
      <c r="Q58" s="626" t="e">
        <f>P58-'[10]INDICES RH 🤝'!$P$51</f>
        <v>#VALUE!</v>
      </c>
      <c r="R58" s="625" t="str">
        <f>IF('INDICES CA 💵'!R45=0,"",'INDICES CA 💵'!R45/VIVIERS!$O384)</f>
        <v/>
      </c>
      <c r="S58" s="626" t="e">
        <f>R58-'[10]INDICES RH 🤝'!$R$58</f>
        <v>#VALUE!</v>
      </c>
      <c r="T58" s="627" t="str">
        <f>IF('INDICES CA 💵'!T45=0,"",'INDICES CA 💵'!T45/FRANCHISE!$O384)</f>
        <v/>
      </c>
      <c r="U58" s="628" t="e">
        <f>T58-'[10]INDICES RH 🤝'!$T$51</f>
        <v>#VALUE!</v>
      </c>
    </row>
    <row r="59" spans="2:21">
      <c r="B59" s="1819"/>
      <c r="C59" s="572" t="s">
        <v>22</v>
      </c>
      <c r="D59" s="625" t="str">
        <f>IF('INDICES CA 💵'!D46=0,"",'INDICES CA 💵'!D46/CHAMNORD!$O385)</f>
        <v/>
      </c>
      <c r="E59" s="626" t="e">
        <f>D59-'[10]INDICES RH 🤝'!$D$59</f>
        <v>#VALUE!</v>
      </c>
      <c r="F59" s="625" t="str">
        <f>IF('INDICES CA 💵'!F46=0,"",'INDICES CA 💵'!F46/AIX!$O385)</f>
        <v/>
      </c>
      <c r="G59" s="626" t="e">
        <f>F59-'[10]INDICES RH 🤝'!$F$51</f>
        <v>#VALUE!</v>
      </c>
      <c r="H59" s="625" t="str">
        <f>IF('INDICES CA 💵'!H46=0,"",'INDICES CA 💵'!H46/BELLEY!$O385)</f>
        <v/>
      </c>
      <c r="I59" s="626" t="e">
        <f>H59-'[10]INDICES RH 🤝'!$H$51</f>
        <v>#VALUE!</v>
      </c>
      <c r="J59" s="625" t="str">
        <f>IF('INDICES CA 💵'!J46=0,"",'INDICES CA 💵'!J46/STALBAN!$O385)</f>
        <v/>
      </c>
      <c r="K59" s="626" t="e">
        <f>J59-'[10]INDICES RH 🤝'!$J$51</f>
        <v>#VALUE!</v>
      </c>
      <c r="L59" s="625" t="str">
        <f>IF('INDICES CA 💵'!L46=0,"",'INDICES CA 💵'!L46/ABRETS!$O385)</f>
        <v/>
      </c>
      <c r="M59" s="626" t="e">
        <f>L59-'[10]INDICES RH 🤝'!$L$51</f>
        <v>#VALUE!</v>
      </c>
      <c r="N59" s="625" t="str">
        <f>IF('INDICES CA 💵'!N46=0,"",'INDICES CA 💵'!N46/PONT!$O385)</f>
        <v/>
      </c>
      <c r="O59" s="626" t="e">
        <f>N59-'[10]INDICES RH 🤝'!$N$51</f>
        <v>#VALUE!</v>
      </c>
      <c r="P59" s="625" t="str">
        <f>IF('INDICES CA 💵'!P46=0,"",'INDICES CA 💵'!P46/FRANCIN!$O385)</f>
        <v/>
      </c>
      <c r="Q59" s="626" t="e">
        <f>P59-'[10]INDICES RH 🤝'!$P$51</f>
        <v>#VALUE!</v>
      </c>
      <c r="R59" s="625" t="str">
        <f>IF('INDICES CA 💵'!R46=0,"",'INDICES CA 💵'!R46/VIVIERS!$O385)</f>
        <v/>
      </c>
      <c r="S59" s="626" t="e">
        <f>R59-'[10]INDICES RH 🤝'!$R$59</f>
        <v>#VALUE!</v>
      </c>
      <c r="T59" s="627" t="str">
        <f>IF('INDICES CA 💵'!T46=0,"",'INDICES CA 💵'!T46/FRANCHISE!$O385)</f>
        <v/>
      </c>
      <c r="U59" s="628" t="e">
        <f>T59-'[10]INDICES RH 🤝'!$T$51</f>
        <v>#VALUE!</v>
      </c>
    </row>
    <row r="60" spans="2:21">
      <c r="B60" s="1819"/>
      <c r="C60" s="572" t="s">
        <v>23</v>
      </c>
      <c r="D60" s="625" t="str">
        <f>IF('INDICES CA 💵'!D47=0,"",'INDICES CA 💵'!D47/CHAMNORD!$O386)</f>
        <v/>
      </c>
      <c r="E60" s="626" t="e">
        <f>D60-'[10]INDICES RH 🤝'!$D$60</f>
        <v>#VALUE!</v>
      </c>
      <c r="F60" s="625" t="str">
        <f>IF('INDICES CA 💵'!F47=0,"",'INDICES CA 💵'!F47/AIX!$O386)</f>
        <v/>
      </c>
      <c r="G60" s="626" t="e">
        <f>F60-'[10]INDICES RH 🤝'!$F$51</f>
        <v>#VALUE!</v>
      </c>
      <c r="H60" s="625" t="str">
        <f>IF('INDICES CA 💵'!H47=0,"",'INDICES CA 💵'!H47/BELLEY!$O386)</f>
        <v/>
      </c>
      <c r="I60" s="626" t="e">
        <f>H60-'[10]INDICES RH 🤝'!$H$51</f>
        <v>#VALUE!</v>
      </c>
      <c r="J60" s="625" t="str">
        <f>IF('INDICES CA 💵'!J47=0,"",'INDICES CA 💵'!J47/STALBAN!$O386)</f>
        <v/>
      </c>
      <c r="K60" s="626" t="e">
        <f>J60-'[10]INDICES RH 🤝'!$J$51</f>
        <v>#VALUE!</v>
      </c>
      <c r="L60" s="625" t="str">
        <f>IF('INDICES CA 💵'!L47=0,"",'INDICES CA 💵'!L47/ABRETS!$O386)</f>
        <v/>
      </c>
      <c r="M60" s="626" t="e">
        <f>L60-'[10]INDICES RH 🤝'!$L$51</f>
        <v>#VALUE!</v>
      </c>
      <c r="N60" s="625" t="str">
        <f>IF('INDICES CA 💵'!N47=0,"",'INDICES CA 💵'!N47/PONT!$O386)</f>
        <v/>
      </c>
      <c r="O60" s="626" t="e">
        <f>N60-'[10]INDICES RH 🤝'!$N$51</f>
        <v>#VALUE!</v>
      </c>
      <c r="P60" s="625" t="str">
        <f>IF('INDICES CA 💵'!P47=0,"",'INDICES CA 💵'!P47/FRANCIN!$O386)</f>
        <v/>
      </c>
      <c r="Q60" s="626" t="e">
        <f>P60-'[10]INDICES RH 🤝'!$P$51</f>
        <v>#VALUE!</v>
      </c>
      <c r="R60" s="625" t="str">
        <f>IF('INDICES CA 💵'!R47=0,"",'INDICES CA 💵'!R47/VIVIERS!$O386)</f>
        <v/>
      </c>
      <c r="S60" s="626" t="e">
        <f>R60-'[10]INDICES RH 🤝'!$R$60</f>
        <v>#VALUE!</v>
      </c>
      <c r="T60" s="627" t="str">
        <f>IF('INDICES CA 💵'!T47=0,"",'INDICES CA 💵'!T47/FRANCHISE!$O386)</f>
        <v/>
      </c>
      <c r="U60" s="628" t="e">
        <f>T60-'[10]INDICES RH 🤝'!$T$51</f>
        <v>#VALUE!</v>
      </c>
    </row>
    <row r="61" spans="2:21">
      <c r="B61" s="1819"/>
      <c r="C61" s="572" t="s">
        <v>24</v>
      </c>
      <c r="D61" s="625" t="str">
        <f>IF('INDICES CA 💵'!D48=0,"",'INDICES CA 💵'!D48/CHAMNORD!$O387)</f>
        <v/>
      </c>
      <c r="E61" s="626" t="e">
        <f>D61-'[10]INDICES RH 🤝'!$D$61</f>
        <v>#VALUE!</v>
      </c>
      <c r="F61" s="625" t="str">
        <f>IF('INDICES CA 💵'!F48=0,"",'INDICES CA 💵'!F48/AIX!$O387)</f>
        <v/>
      </c>
      <c r="G61" s="626" t="e">
        <f>F61-'[10]INDICES RH 🤝'!$F$51</f>
        <v>#VALUE!</v>
      </c>
      <c r="H61" s="625" t="str">
        <f>IF('INDICES CA 💵'!H48=0,"",'INDICES CA 💵'!H48/BELLEY!$O387)</f>
        <v/>
      </c>
      <c r="I61" s="626" t="e">
        <f>H61-'[10]INDICES RH 🤝'!$H$51</f>
        <v>#VALUE!</v>
      </c>
      <c r="J61" s="625" t="str">
        <f>IF('INDICES CA 💵'!J48=0,"",'INDICES CA 💵'!J48/STALBAN!$O387)</f>
        <v/>
      </c>
      <c r="K61" s="626" t="e">
        <f>J61-'[10]INDICES RH 🤝'!$J$51</f>
        <v>#VALUE!</v>
      </c>
      <c r="L61" s="625" t="str">
        <f>IF('INDICES CA 💵'!L48=0,"",'INDICES CA 💵'!L48/ABRETS!$O387)</f>
        <v/>
      </c>
      <c r="M61" s="626" t="e">
        <f>L61-'[10]INDICES RH 🤝'!$L$51</f>
        <v>#VALUE!</v>
      </c>
      <c r="N61" s="625" t="str">
        <f>IF('INDICES CA 💵'!N48=0,"",'INDICES CA 💵'!N48/PONT!$O387)</f>
        <v/>
      </c>
      <c r="O61" s="626" t="e">
        <f>N61-'[10]INDICES RH 🤝'!$N$51</f>
        <v>#VALUE!</v>
      </c>
      <c r="P61" s="625" t="str">
        <f>IF('INDICES CA 💵'!P48=0,"",'INDICES CA 💵'!P48/FRANCIN!$O387)</f>
        <v/>
      </c>
      <c r="Q61" s="626" t="e">
        <f>P61-'[10]INDICES RH 🤝'!$P$51</f>
        <v>#VALUE!</v>
      </c>
      <c r="R61" s="625" t="str">
        <f>IF('INDICES CA 💵'!R48=0,"",'INDICES CA 💵'!R48/VIVIERS!$O387)</f>
        <v/>
      </c>
      <c r="S61" s="626" t="e">
        <f>R61-'[10]INDICES RH 🤝'!$R$61</f>
        <v>#VALUE!</v>
      </c>
      <c r="T61" s="627" t="str">
        <f>IF('INDICES CA 💵'!T48=0,"",'INDICES CA 💵'!T48/FRANCHISE!$O387)</f>
        <v/>
      </c>
      <c r="U61" s="628" t="e">
        <f>T61-'[10]INDICES RH 🤝'!$T$51</f>
        <v>#VALUE!</v>
      </c>
    </row>
    <row r="62" spans="2:21">
      <c r="B62" s="1819"/>
      <c r="C62" s="572" t="s">
        <v>27</v>
      </c>
      <c r="D62" s="625" t="str">
        <f>IF('INDICES CA 💵'!D49=0,"",'INDICES CA 💵'!D49/CHAMNORD!$O388)</f>
        <v/>
      </c>
      <c r="E62" s="626" t="e">
        <f>D62-'[10]INDICES RH 🤝'!$D$62</f>
        <v>#VALUE!</v>
      </c>
      <c r="F62" s="625" t="str">
        <f>IF('INDICES CA 💵'!F49=0,"",'INDICES CA 💵'!F49/AIX!$O388)</f>
        <v/>
      </c>
      <c r="G62" s="626" t="e">
        <f>F62-'[10]INDICES RH 🤝'!$F$51</f>
        <v>#VALUE!</v>
      </c>
      <c r="H62" s="625" t="str">
        <f>IF('INDICES CA 💵'!H49=0,"",'INDICES CA 💵'!H49/BELLEY!$O388)</f>
        <v/>
      </c>
      <c r="I62" s="626" t="e">
        <f>H62-'[10]INDICES RH 🤝'!$H$51</f>
        <v>#VALUE!</v>
      </c>
      <c r="J62" s="625" t="str">
        <f>IF('INDICES CA 💵'!J49=0,"",'INDICES CA 💵'!J49/STALBAN!$O388)</f>
        <v/>
      </c>
      <c r="K62" s="626" t="e">
        <f>J62-'[10]INDICES RH 🤝'!$J$51</f>
        <v>#VALUE!</v>
      </c>
      <c r="L62" s="625" t="str">
        <f>IF('INDICES CA 💵'!L49=0,"",'INDICES CA 💵'!L49/ABRETS!$O388)</f>
        <v/>
      </c>
      <c r="M62" s="626" t="e">
        <f>L62-'[10]INDICES RH 🤝'!$L$51</f>
        <v>#VALUE!</v>
      </c>
      <c r="N62" s="625" t="str">
        <f>IF('INDICES CA 💵'!N49=0,"",'INDICES CA 💵'!N49/PONT!$O388)</f>
        <v/>
      </c>
      <c r="O62" s="626" t="e">
        <f>N62-'[10]INDICES RH 🤝'!$N$51</f>
        <v>#VALUE!</v>
      </c>
      <c r="P62" s="625" t="str">
        <f>IF('INDICES CA 💵'!P49=0,"",'INDICES CA 💵'!P49/FRANCIN!$O388)</f>
        <v/>
      </c>
      <c r="Q62" s="626" t="e">
        <f>P62-'[10]INDICES RH 🤝'!$P$51</f>
        <v>#VALUE!</v>
      </c>
      <c r="R62" s="625" t="str">
        <f>IF('INDICES CA 💵'!R49=0,"",'INDICES CA 💵'!R49/VIVIERS!$O388)</f>
        <v/>
      </c>
      <c r="S62" s="626" t="e">
        <f>R62-'[10]INDICES RH 🤝'!$R$62</f>
        <v>#VALUE!</v>
      </c>
      <c r="T62" s="627" t="str">
        <f>IF('INDICES CA 💵'!T49=0,"",'INDICES CA 💵'!T49/FRANCHISE!$O388)</f>
        <v/>
      </c>
      <c r="U62" s="628" t="e">
        <f>T62-'[10]INDICES RH 🤝'!$T$51</f>
        <v>#VALUE!</v>
      </c>
    </row>
    <row r="63" spans="2:21" ht="21" thickBot="1">
      <c r="B63" s="1820"/>
      <c r="C63" s="633" t="s">
        <v>54</v>
      </c>
      <c r="D63" s="634">
        <f>IF('INDICES CA 💵'!D50=0,"",'INDICES CA 💵'!D50/CHAMNORD!$O389)</f>
        <v>5.3602337404267075</v>
      </c>
      <c r="E63" s="635">
        <f>D63-'[10]INDICES RH 🤝'!$D$63</f>
        <v>-4.8753472541784859E-3</v>
      </c>
      <c r="F63" s="634">
        <f>IF('INDICES CA 💵'!F50=0,"",'INDICES CA 💵'!F50/AIX!$O389)</f>
        <v>5.8569548691708606</v>
      </c>
      <c r="G63" s="635">
        <f>F63-'[10]INDICES RH 🤝'!$F$51</f>
        <v>0.81557498474538015</v>
      </c>
      <c r="H63" s="634">
        <f>IF('INDICES CA 💵'!H50=0,"",'INDICES CA 💵'!H50/BELLEY!$O389)</f>
        <v>4.7507274148306458</v>
      </c>
      <c r="I63" s="635">
        <f>H63-'[10]INDICES RH 🤝'!$H$51</f>
        <v>0.26191604623342091</v>
      </c>
      <c r="J63" s="634">
        <f>IF('INDICES CA 💵'!J50=0,"",'INDICES CA 💵'!J50/STALBAN!$O389)</f>
        <v>5.0711340800184388</v>
      </c>
      <c r="K63" s="635">
        <f>J63-'[10]INDICES RH 🤝'!$J$51</f>
        <v>-0.20815328968067792</v>
      </c>
      <c r="L63" s="634">
        <f>IF('INDICES CA 💵'!L50=0,"",'INDICES CA 💵'!L50/ABRETS!$O389)</f>
        <v>4.6152734740483359</v>
      </c>
      <c r="M63" s="635">
        <f>L63-'[10]INDICES RH 🤝'!$L$51</f>
        <v>0.32530214259076384</v>
      </c>
      <c r="N63" s="634">
        <f>IF('INDICES CA 💵'!N50=0,"",'INDICES CA 💵'!N50/PONT!$O389)</f>
        <v>4.8797211317178828</v>
      </c>
      <c r="O63" s="635">
        <f>N63-'[10]INDICES RH 🤝'!$N$51</f>
        <v>0.53225066822197231</v>
      </c>
      <c r="P63" s="634">
        <f>IF('INDICES CA 💵'!P50=0,"",'INDICES CA 💵'!P50/FRANCIN!$O389)</f>
        <v>4.6994920256367987</v>
      </c>
      <c r="Q63" s="635">
        <f>P63-'[10]INDICES RH 🤝'!$P$51</f>
        <v>-5.2580333175889393E-2</v>
      </c>
      <c r="R63" s="634">
        <f>IF('INDICES CA 💵'!R50=0,"",'INDICES CA 💵'!R50/VIVIERS!$O389)</f>
        <v>4.9856885377378086</v>
      </c>
      <c r="S63" s="635">
        <f>R63-'[10]INDICES RH 🤝'!$R$63</f>
        <v>0.50084157867967694</v>
      </c>
      <c r="T63" s="634">
        <f>IF('INDICES CA 💵'!T50=0,"",'INDICES CA 💵'!T50/FRANCHISE!$O389)</f>
        <v>5.0951438126886854</v>
      </c>
      <c r="U63" s="636">
        <f>T63-'[10]INDICES RH 🤝'!$T$51</f>
        <v>0.45477224547116002</v>
      </c>
    </row>
    <row r="64" spans="2:21" ht="20" thickBot="1"/>
    <row r="65" spans="2:21" s="601" customFormat="1" ht="16" customHeight="1">
      <c r="B65" s="1821" t="s">
        <v>164</v>
      </c>
      <c r="C65" s="1825" t="s">
        <v>57</v>
      </c>
      <c r="D65" s="1831" t="s">
        <v>28</v>
      </c>
      <c r="E65" s="1831"/>
      <c r="F65" s="1831" t="s">
        <v>29</v>
      </c>
      <c r="G65" s="1831"/>
      <c r="H65" s="1829" t="s">
        <v>30</v>
      </c>
      <c r="I65" s="1829"/>
      <c r="J65" s="1829" t="s">
        <v>31</v>
      </c>
      <c r="K65" s="1829"/>
      <c r="L65" s="1831" t="s">
        <v>32</v>
      </c>
      <c r="M65" s="1831"/>
      <c r="N65" s="1831" t="s">
        <v>253</v>
      </c>
      <c r="O65" s="1831"/>
      <c r="P65" s="1829" t="s">
        <v>34</v>
      </c>
      <c r="Q65" s="1829"/>
      <c r="R65" s="1829" t="s">
        <v>308</v>
      </c>
      <c r="S65" s="1829"/>
      <c r="T65" s="1829" t="s">
        <v>37</v>
      </c>
      <c r="U65" s="1830"/>
    </row>
    <row r="66" spans="2:21" ht="20">
      <c r="B66" s="1822"/>
      <c r="C66" s="1817"/>
      <c r="D66" s="617" t="s">
        <v>58</v>
      </c>
      <c r="E66" s="617" t="s">
        <v>59</v>
      </c>
      <c r="F66" s="617" t="s">
        <v>58</v>
      </c>
      <c r="G66" s="617" t="s">
        <v>59</v>
      </c>
      <c r="H66" s="617" t="s">
        <v>58</v>
      </c>
      <c r="I66" s="617" t="s">
        <v>59</v>
      </c>
      <c r="J66" s="617" t="s">
        <v>58</v>
      </c>
      <c r="K66" s="617" t="s">
        <v>59</v>
      </c>
      <c r="L66" s="617" t="s">
        <v>58</v>
      </c>
      <c r="M66" s="617" t="s">
        <v>59</v>
      </c>
      <c r="N66" s="617" t="s">
        <v>58</v>
      </c>
      <c r="O66" s="617" t="s">
        <v>59</v>
      </c>
      <c r="P66" s="617" t="s">
        <v>58</v>
      </c>
      <c r="Q66" s="617" t="s">
        <v>59</v>
      </c>
      <c r="R66" s="617" t="s">
        <v>58</v>
      </c>
      <c r="S66" s="617" t="s">
        <v>59</v>
      </c>
      <c r="T66" s="617" t="s">
        <v>58</v>
      </c>
      <c r="U66" s="619" t="s">
        <v>59</v>
      </c>
    </row>
    <row r="67" spans="2:21">
      <c r="B67" s="1822"/>
      <c r="C67" s="572" t="s">
        <v>10</v>
      </c>
      <c r="D67" s="1472">
        <v>8</v>
      </c>
      <c r="E67" s="1478">
        <v>5</v>
      </c>
      <c r="F67" s="1474">
        <v>2</v>
      </c>
      <c r="G67" s="1479">
        <v>3</v>
      </c>
      <c r="H67" s="1474">
        <v>3</v>
      </c>
      <c r="I67" s="1479">
        <v>3</v>
      </c>
      <c r="J67" s="1474">
        <v>6</v>
      </c>
      <c r="K67" s="1479">
        <v>10</v>
      </c>
      <c r="L67" s="1474">
        <v>1</v>
      </c>
      <c r="M67" s="1479">
        <v>3</v>
      </c>
      <c r="N67" s="1474">
        <v>0</v>
      </c>
      <c r="O67" s="1479">
        <v>1</v>
      </c>
      <c r="P67" s="1474">
        <v>5</v>
      </c>
      <c r="Q67" s="1479">
        <v>4</v>
      </c>
      <c r="R67" s="1474">
        <v>6</v>
      </c>
      <c r="S67" s="1479">
        <v>5</v>
      </c>
      <c r="T67" s="638">
        <f t="shared" ref="T67:U69" si="0">D67+F67+H67+J67+L67+N67+P67+R67</f>
        <v>31</v>
      </c>
      <c r="U67" s="639">
        <f t="shared" si="0"/>
        <v>34</v>
      </c>
    </row>
    <row r="68" spans="2:21">
      <c r="B68" s="1822"/>
      <c r="C68" s="572" t="s">
        <v>25</v>
      </c>
      <c r="D68" s="1472">
        <v>15</v>
      </c>
      <c r="E68" s="1478">
        <v>9</v>
      </c>
      <c r="F68" s="1474">
        <v>1</v>
      </c>
      <c r="G68" s="1479">
        <v>0</v>
      </c>
      <c r="H68" s="1474">
        <v>4</v>
      </c>
      <c r="I68" s="1479">
        <v>2</v>
      </c>
      <c r="J68" s="1474">
        <v>5</v>
      </c>
      <c r="K68" s="1479">
        <v>3</v>
      </c>
      <c r="L68" s="1474">
        <v>3</v>
      </c>
      <c r="M68" s="1479">
        <v>1</v>
      </c>
      <c r="N68" s="1474">
        <v>1</v>
      </c>
      <c r="O68" s="1479">
        <v>0</v>
      </c>
      <c r="P68" s="1474">
        <v>6</v>
      </c>
      <c r="Q68" s="1479">
        <v>5</v>
      </c>
      <c r="R68" s="1474">
        <v>2</v>
      </c>
      <c r="S68" s="1479">
        <v>4</v>
      </c>
      <c r="T68" s="638">
        <f t="shared" si="0"/>
        <v>37</v>
      </c>
      <c r="U68" s="639">
        <f t="shared" si="0"/>
        <v>24</v>
      </c>
    </row>
    <row r="69" spans="2:21">
      <c r="B69" s="1822"/>
      <c r="C69" s="572" t="s">
        <v>17</v>
      </c>
      <c r="D69" s="1472">
        <v>10</v>
      </c>
      <c r="E69" s="1478">
        <v>17</v>
      </c>
      <c r="F69" s="1474">
        <v>3</v>
      </c>
      <c r="G69" s="1479">
        <v>2</v>
      </c>
      <c r="H69" s="1474">
        <v>0</v>
      </c>
      <c r="I69" s="1479">
        <v>1</v>
      </c>
      <c r="J69" s="1474">
        <v>1</v>
      </c>
      <c r="K69" s="1479">
        <v>5</v>
      </c>
      <c r="L69" s="1474">
        <v>0</v>
      </c>
      <c r="M69" s="1479">
        <v>1</v>
      </c>
      <c r="N69" s="1474">
        <v>1</v>
      </c>
      <c r="O69" s="1479">
        <v>2</v>
      </c>
      <c r="P69" s="1474">
        <v>4</v>
      </c>
      <c r="Q69" s="1479">
        <v>6</v>
      </c>
      <c r="R69" s="1474">
        <v>0</v>
      </c>
      <c r="S69" s="1479">
        <v>1</v>
      </c>
      <c r="T69" s="638">
        <f t="shared" si="0"/>
        <v>19</v>
      </c>
      <c r="U69" s="639">
        <f t="shared" si="0"/>
        <v>35</v>
      </c>
    </row>
    <row r="70" spans="2:21">
      <c r="B70" s="1822"/>
      <c r="C70" s="572" t="s">
        <v>18</v>
      </c>
      <c r="D70" s="1472">
        <v>3</v>
      </c>
      <c r="E70" s="1478">
        <v>14</v>
      </c>
      <c r="F70" s="1474">
        <v>6</v>
      </c>
      <c r="G70" s="1479">
        <v>2</v>
      </c>
      <c r="H70" s="1474">
        <v>2</v>
      </c>
      <c r="I70" s="1479">
        <v>0</v>
      </c>
      <c r="J70" s="1474">
        <v>5</v>
      </c>
      <c r="K70" s="1479">
        <v>5</v>
      </c>
      <c r="L70" s="1474">
        <v>4</v>
      </c>
      <c r="M70" s="1479">
        <v>3</v>
      </c>
      <c r="N70" s="1474">
        <v>1</v>
      </c>
      <c r="O70" s="1479">
        <v>0</v>
      </c>
      <c r="P70" s="1474">
        <v>2</v>
      </c>
      <c r="Q70" s="1479">
        <v>0</v>
      </c>
      <c r="R70" s="1474">
        <v>0</v>
      </c>
      <c r="S70" s="1479">
        <v>2</v>
      </c>
      <c r="T70" s="638">
        <f t="shared" ref="T70:U77" si="1">D70+F70+H70+J70+L70+N70+P70+R70</f>
        <v>23</v>
      </c>
      <c r="U70" s="639">
        <f t="shared" si="1"/>
        <v>26</v>
      </c>
    </row>
    <row r="71" spans="2:21">
      <c r="B71" s="1822"/>
      <c r="C71" s="572" t="s">
        <v>19</v>
      </c>
      <c r="D71" s="1472">
        <v>10</v>
      </c>
      <c r="E71" s="1478">
        <v>9</v>
      </c>
      <c r="F71" s="1474">
        <v>4</v>
      </c>
      <c r="G71" s="1479">
        <v>4</v>
      </c>
      <c r="H71" s="1474">
        <v>2</v>
      </c>
      <c r="I71" s="1479">
        <v>1</v>
      </c>
      <c r="J71" s="1474">
        <v>1</v>
      </c>
      <c r="K71" s="1479">
        <v>2</v>
      </c>
      <c r="L71" s="1474">
        <v>3</v>
      </c>
      <c r="M71" s="1479">
        <v>2</v>
      </c>
      <c r="N71" s="1474">
        <v>1</v>
      </c>
      <c r="O71" s="1479">
        <v>1</v>
      </c>
      <c r="P71" s="1474">
        <v>1</v>
      </c>
      <c r="Q71" s="1479">
        <v>7</v>
      </c>
      <c r="R71" s="1474">
        <v>6</v>
      </c>
      <c r="S71" s="1479">
        <v>4</v>
      </c>
      <c r="T71" s="638">
        <f t="shared" si="1"/>
        <v>28</v>
      </c>
      <c r="U71" s="639">
        <f t="shared" si="1"/>
        <v>30</v>
      </c>
    </row>
    <row r="72" spans="2:21">
      <c r="B72" s="1822"/>
      <c r="C72" s="581" t="s">
        <v>20</v>
      </c>
      <c r="D72" s="1480"/>
      <c r="E72" s="1481"/>
      <c r="F72" s="1482"/>
      <c r="G72" s="1483"/>
      <c r="H72" s="1482"/>
      <c r="I72" s="1483"/>
      <c r="J72" s="1482"/>
      <c r="K72" s="1483"/>
      <c r="L72" s="1482"/>
      <c r="M72" s="1483"/>
      <c r="N72" s="1482"/>
      <c r="O72" s="1483"/>
      <c r="P72" s="1482"/>
      <c r="Q72" s="1483"/>
      <c r="R72" s="1482"/>
      <c r="S72" s="1483"/>
      <c r="T72" s="640">
        <f t="shared" si="1"/>
        <v>0</v>
      </c>
      <c r="U72" s="641">
        <f t="shared" si="1"/>
        <v>0</v>
      </c>
    </row>
    <row r="73" spans="2:21" s="229" customFormat="1">
      <c r="B73" s="1822"/>
      <c r="C73" s="605" t="s">
        <v>21</v>
      </c>
      <c r="D73" s="1472"/>
      <c r="E73" s="1478"/>
      <c r="F73" s="1474"/>
      <c r="G73" s="1479"/>
      <c r="H73" s="1474"/>
      <c r="I73" s="1479"/>
      <c r="J73" s="1474"/>
      <c r="K73" s="1479"/>
      <c r="L73" s="1474"/>
      <c r="M73" s="1479"/>
      <c r="N73" s="1474"/>
      <c r="O73" s="1479"/>
      <c r="P73" s="1474"/>
      <c r="Q73" s="1479"/>
      <c r="R73" s="1474"/>
      <c r="S73" s="1479"/>
      <c r="T73" s="642">
        <f t="shared" si="1"/>
        <v>0</v>
      </c>
      <c r="U73" s="643">
        <f t="shared" si="1"/>
        <v>0</v>
      </c>
    </row>
    <row r="74" spans="2:21">
      <c r="B74" s="1822"/>
      <c r="C74" s="572" t="s">
        <v>26</v>
      </c>
      <c r="D74" s="1472"/>
      <c r="E74" s="1478"/>
      <c r="F74" s="1474"/>
      <c r="G74" s="1479"/>
      <c r="H74" s="1474"/>
      <c r="I74" s="1479"/>
      <c r="J74" s="1474"/>
      <c r="K74" s="1479"/>
      <c r="L74" s="1474"/>
      <c r="M74" s="1479"/>
      <c r="N74" s="1474"/>
      <c r="O74" s="1479"/>
      <c r="P74" s="1474"/>
      <c r="Q74" s="1479"/>
      <c r="R74" s="1474"/>
      <c r="S74" s="1479"/>
      <c r="T74" s="638">
        <f t="shared" si="1"/>
        <v>0</v>
      </c>
      <c r="U74" s="639">
        <f t="shared" si="1"/>
        <v>0</v>
      </c>
    </row>
    <row r="75" spans="2:21">
      <c r="B75" s="1822"/>
      <c r="C75" s="572" t="s">
        <v>22</v>
      </c>
      <c r="D75" s="1472"/>
      <c r="E75" s="1478"/>
      <c r="F75" s="1474"/>
      <c r="G75" s="1479"/>
      <c r="H75" s="1474"/>
      <c r="I75" s="1479"/>
      <c r="J75" s="1474"/>
      <c r="K75" s="1479"/>
      <c r="L75" s="1474"/>
      <c r="M75" s="1479"/>
      <c r="N75" s="1474"/>
      <c r="O75" s="1479"/>
      <c r="P75" s="1474"/>
      <c r="Q75" s="1479"/>
      <c r="R75" s="1474"/>
      <c r="S75" s="1479"/>
      <c r="T75" s="638">
        <f t="shared" si="1"/>
        <v>0</v>
      </c>
      <c r="U75" s="639">
        <f t="shared" si="1"/>
        <v>0</v>
      </c>
    </row>
    <row r="76" spans="2:21">
      <c r="B76" s="1822"/>
      <c r="C76" s="572" t="s">
        <v>23</v>
      </c>
      <c r="D76" s="1472"/>
      <c r="E76" s="1478"/>
      <c r="F76" s="1474"/>
      <c r="G76" s="1479"/>
      <c r="H76" s="1474"/>
      <c r="I76" s="1479"/>
      <c r="J76" s="1474"/>
      <c r="K76" s="1479"/>
      <c r="L76" s="1474"/>
      <c r="M76" s="1484"/>
      <c r="N76" s="1474"/>
      <c r="O76" s="1479"/>
      <c r="P76" s="1474"/>
      <c r="Q76" s="1479"/>
      <c r="R76" s="1474"/>
      <c r="S76" s="1479"/>
      <c r="T76" s="638">
        <f t="shared" si="1"/>
        <v>0</v>
      </c>
      <c r="U76" s="639">
        <f t="shared" si="1"/>
        <v>0</v>
      </c>
    </row>
    <row r="77" spans="2:21">
      <c r="B77" s="1822"/>
      <c r="C77" s="572" t="s">
        <v>24</v>
      </c>
      <c r="D77" s="1472"/>
      <c r="E77" s="1478"/>
      <c r="F77" s="1474"/>
      <c r="G77" s="1479"/>
      <c r="H77" s="1474"/>
      <c r="I77" s="1479"/>
      <c r="J77" s="1474"/>
      <c r="K77" s="1479"/>
      <c r="L77" s="1474"/>
      <c r="M77" s="1479"/>
      <c r="N77" s="1474"/>
      <c r="O77" s="1479"/>
      <c r="P77" s="1474"/>
      <c r="Q77" s="1479"/>
      <c r="R77" s="1474"/>
      <c r="S77" s="1479"/>
      <c r="T77" s="638">
        <f t="shared" si="1"/>
        <v>0</v>
      </c>
      <c r="U77" s="639">
        <f t="shared" si="1"/>
        <v>0</v>
      </c>
    </row>
    <row r="78" spans="2:21">
      <c r="B78" s="1822"/>
      <c r="C78" s="572" t="s">
        <v>27</v>
      </c>
      <c r="D78" s="1472"/>
      <c r="E78" s="1478"/>
      <c r="F78" s="1474"/>
      <c r="G78" s="1479"/>
      <c r="H78" s="1474"/>
      <c r="I78" s="1479"/>
      <c r="J78" s="1474"/>
      <c r="K78" s="1479"/>
      <c r="L78" s="1474"/>
      <c r="M78" s="1479"/>
      <c r="N78" s="1474"/>
      <c r="O78" s="1479"/>
      <c r="P78" s="1474"/>
      <c r="Q78" s="1479"/>
      <c r="R78" s="1474"/>
      <c r="S78" s="1479"/>
      <c r="T78" s="638"/>
      <c r="U78" s="639"/>
    </row>
    <row r="79" spans="2:21" ht="20" thickBot="1">
      <c r="B79" s="1822"/>
      <c r="C79" s="588"/>
      <c r="D79" s="644">
        <f>SUM(D67:D78)</f>
        <v>46</v>
      </c>
      <c r="E79" s="644">
        <f t="shared" ref="E79:U79" si="2">SUM(E67:E78)</f>
        <v>54</v>
      </c>
      <c r="F79" s="644">
        <f t="shared" si="2"/>
        <v>16</v>
      </c>
      <c r="G79" s="644">
        <f t="shared" si="2"/>
        <v>11</v>
      </c>
      <c r="H79" s="644">
        <f t="shared" si="2"/>
        <v>11</v>
      </c>
      <c r="I79" s="644">
        <f t="shared" si="2"/>
        <v>7</v>
      </c>
      <c r="J79" s="644">
        <f t="shared" si="2"/>
        <v>18</v>
      </c>
      <c r="K79" s="644">
        <f t="shared" si="2"/>
        <v>25</v>
      </c>
      <c r="L79" s="644">
        <f t="shared" si="2"/>
        <v>11</v>
      </c>
      <c r="M79" s="644">
        <f t="shared" si="2"/>
        <v>10</v>
      </c>
      <c r="N79" s="644">
        <f t="shared" si="2"/>
        <v>4</v>
      </c>
      <c r="O79" s="644">
        <f t="shared" si="2"/>
        <v>4</v>
      </c>
      <c r="P79" s="644">
        <f t="shared" si="2"/>
        <v>18</v>
      </c>
      <c r="Q79" s="644">
        <f t="shared" si="2"/>
        <v>22</v>
      </c>
      <c r="R79" s="644">
        <f t="shared" si="2"/>
        <v>14</v>
      </c>
      <c r="S79" s="644">
        <f t="shared" si="2"/>
        <v>16</v>
      </c>
      <c r="T79" s="644">
        <f t="shared" si="2"/>
        <v>138</v>
      </c>
      <c r="U79" s="645">
        <f t="shared" si="2"/>
        <v>149</v>
      </c>
    </row>
    <row r="80" spans="2:21" ht="20" thickBot="1">
      <c r="B80" s="1822"/>
      <c r="U80" s="646"/>
    </row>
    <row r="81" spans="2:21" s="647" customFormat="1" ht="16" customHeight="1">
      <c r="B81" s="1822"/>
      <c r="C81" s="1816" t="s">
        <v>322</v>
      </c>
      <c r="D81" s="1816" t="s">
        <v>28</v>
      </c>
      <c r="E81" s="1816"/>
      <c r="F81" s="1816" t="s">
        <v>29</v>
      </c>
      <c r="G81" s="1816"/>
      <c r="H81" s="1824" t="s">
        <v>30</v>
      </c>
      <c r="I81" s="1824"/>
      <c r="J81" s="1824" t="s">
        <v>31</v>
      </c>
      <c r="K81" s="1824"/>
      <c r="L81" s="1816" t="s">
        <v>32</v>
      </c>
      <c r="M81" s="1816"/>
      <c r="N81" s="1816" t="s">
        <v>253</v>
      </c>
      <c r="O81" s="1816"/>
      <c r="P81" s="1824" t="s">
        <v>34</v>
      </c>
      <c r="Q81" s="1824"/>
      <c r="R81" s="1824" t="s">
        <v>308</v>
      </c>
      <c r="S81" s="1824"/>
      <c r="T81" s="1824" t="s">
        <v>37</v>
      </c>
      <c r="U81" s="1827"/>
    </row>
    <row r="82" spans="2:21" ht="20">
      <c r="B82" s="1822"/>
      <c r="C82" s="1817"/>
      <c r="D82" s="617" t="s">
        <v>60</v>
      </c>
      <c r="E82" s="617" t="s">
        <v>36</v>
      </c>
      <c r="F82" s="617" t="s">
        <v>60</v>
      </c>
      <c r="G82" s="617" t="s">
        <v>36</v>
      </c>
      <c r="H82" s="617" t="s">
        <v>60</v>
      </c>
      <c r="I82" s="617" t="s">
        <v>36</v>
      </c>
      <c r="J82" s="617" t="s">
        <v>60</v>
      </c>
      <c r="K82" s="617" t="s">
        <v>36</v>
      </c>
      <c r="L82" s="617" t="s">
        <v>60</v>
      </c>
      <c r="M82" s="617" t="s">
        <v>36</v>
      </c>
      <c r="N82" s="617" t="s">
        <v>60</v>
      </c>
      <c r="O82" s="617" t="s">
        <v>36</v>
      </c>
      <c r="P82" s="617" t="s">
        <v>60</v>
      </c>
      <c r="Q82" s="617" t="s">
        <v>36</v>
      </c>
      <c r="R82" s="617" t="s">
        <v>60</v>
      </c>
      <c r="S82" s="617" t="s">
        <v>36</v>
      </c>
      <c r="T82" s="617" t="s">
        <v>60</v>
      </c>
      <c r="U82" s="619" t="s">
        <v>36</v>
      </c>
    </row>
    <row r="83" spans="2:21" s="229" customFormat="1">
      <c r="B83" s="1822"/>
      <c r="C83" s="605" t="s">
        <v>10</v>
      </c>
      <c r="D83" s="1472">
        <v>91</v>
      </c>
      <c r="E83" s="1473">
        <f>(D67+E67)/2/D83</f>
        <v>7.1428571428571425E-2</v>
      </c>
      <c r="F83" s="1474">
        <v>47</v>
      </c>
      <c r="G83" s="1475">
        <f>(F67+G67)/2/F83</f>
        <v>5.3191489361702128E-2</v>
      </c>
      <c r="H83" s="1474">
        <v>54</v>
      </c>
      <c r="I83" s="1475">
        <f t="shared" ref="I83:I95" si="3">(H67+I67)/2/H83</f>
        <v>5.5555555555555552E-2</v>
      </c>
      <c r="J83" s="1472">
        <v>66</v>
      </c>
      <c r="K83" s="1475">
        <f t="shared" ref="K83:K95" si="4">(J67+K67)/2/J83</f>
        <v>0.12121212121212122</v>
      </c>
      <c r="L83" s="1474">
        <v>39</v>
      </c>
      <c r="M83" s="1475">
        <f>(L67+M67)/2/L83</f>
        <v>5.128205128205128E-2</v>
      </c>
      <c r="N83" s="1474">
        <v>44</v>
      </c>
      <c r="O83" s="1475">
        <f>(N67+O67)/2/N83</f>
        <v>1.1363636363636364E-2</v>
      </c>
      <c r="P83" s="1474">
        <v>45</v>
      </c>
      <c r="Q83" s="1475">
        <f>(P67+Q67)/2/P83</f>
        <v>0.1</v>
      </c>
      <c r="R83" s="1474">
        <v>36</v>
      </c>
      <c r="S83" s="1475">
        <f>(R67+S67)/2/R83</f>
        <v>0.15277777777777779</v>
      </c>
      <c r="T83" s="1476">
        <f>D83+F83+H83+J83+L83+N83+P83+R83</f>
        <v>422</v>
      </c>
      <c r="U83" s="1477">
        <f>(T67+U67)/2/T83</f>
        <v>7.7014218009478677E-2</v>
      </c>
    </row>
    <row r="84" spans="2:21" s="229" customFormat="1">
      <c r="B84" s="1822"/>
      <c r="C84" s="605" t="s">
        <v>25</v>
      </c>
      <c r="D84" s="1472">
        <f>D83+D68-E68</f>
        <v>97</v>
      </c>
      <c r="E84" s="1473">
        <f t="shared" ref="E84:G92" si="5">(D68+E68)/2/D84</f>
        <v>0.12371134020618557</v>
      </c>
      <c r="F84" s="1474">
        <f t="shared" ref="F84:F94" si="6">F83+F68-G68</f>
        <v>48</v>
      </c>
      <c r="G84" s="1475">
        <f t="shared" si="5"/>
        <v>1.0416666666666666E-2</v>
      </c>
      <c r="H84" s="1474">
        <f t="shared" ref="H84:H94" si="7">H83+H68-I68</f>
        <v>56</v>
      </c>
      <c r="I84" s="1475">
        <f t="shared" si="3"/>
        <v>5.3571428571428568E-2</v>
      </c>
      <c r="J84" s="1474">
        <f t="shared" ref="J84:J94" si="8">J83+J68-K68</f>
        <v>68</v>
      </c>
      <c r="K84" s="1473">
        <f t="shared" si="4"/>
        <v>5.8823529411764705E-2</v>
      </c>
      <c r="L84" s="1474">
        <f t="shared" ref="L84:L94" si="9">L83+L68-M68</f>
        <v>41</v>
      </c>
      <c r="M84" s="1475">
        <f t="shared" ref="M84:M89" si="10">(L68+M68)/2/L84</f>
        <v>4.878048780487805E-2</v>
      </c>
      <c r="N84" s="1474">
        <f t="shared" ref="N84:N94" si="11">N83+N68-O68</f>
        <v>45</v>
      </c>
      <c r="O84" s="1475">
        <f t="shared" ref="O84:O89" si="12">(N68+O68)/2/N84</f>
        <v>1.1111111111111112E-2</v>
      </c>
      <c r="P84" s="1474">
        <f t="shared" ref="P84:P94" si="13">P83+P68-Q68</f>
        <v>46</v>
      </c>
      <c r="Q84" s="1475">
        <f t="shared" ref="Q84:Q89" si="14">(P68+Q68)/2/P84</f>
        <v>0.11956521739130435</v>
      </c>
      <c r="R84" s="1474">
        <f t="shared" ref="R84:R94" si="15">R83+R68-S68</f>
        <v>34</v>
      </c>
      <c r="S84" s="1475">
        <f t="shared" ref="S84:S89" si="16">(R68+S68)/2/R84</f>
        <v>8.8235294117647065E-2</v>
      </c>
      <c r="T84" s="1476">
        <f t="shared" ref="T84:T94" si="17">T83+T68-U68</f>
        <v>435</v>
      </c>
      <c r="U84" s="1477">
        <f t="shared" ref="U84:U89" si="18">(T68+U68)/2/T84</f>
        <v>7.0114942528735638E-2</v>
      </c>
    </row>
    <row r="85" spans="2:21">
      <c r="B85" s="1822"/>
      <c r="C85" s="572" t="s">
        <v>17</v>
      </c>
      <c r="D85" s="1472">
        <f>D84+D69-E69</f>
        <v>90</v>
      </c>
      <c r="E85" s="1473">
        <f t="shared" si="5"/>
        <v>0.15</v>
      </c>
      <c r="F85" s="1474">
        <f t="shared" si="6"/>
        <v>49</v>
      </c>
      <c r="G85" s="1475">
        <f t="shared" si="5"/>
        <v>5.1020408163265307E-2</v>
      </c>
      <c r="H85" s="1474">
        <f t="shared" si="7"/>
        <v>55</v>
      </c>
      <c r="I85" s="1475">
        <f t="shared" si="3"/>
        <v>9.0909090909090905E-3</v>
      </c>
      <c r="J85" s="1472">
        <f t="shared" si="8"/>
        <v>64</v>
      </c>
      <c r="K85" s="1473">
        <f t="shared" si="4"/>
        <v>4.6875E-2</v>
      </c>
      <c r="L85" s="1474">
        <f t="shared" si="9"/>
        <v>40</v>
      </c>
      <c r="M85" s="1475">
        <f t="shared" si="10"/>
        <v>1.2500000000000001E-2</v>
      </c>
      <c r="N85" s="1474">
        <f t="shared" si="11"/>
        <v>44</v>
      </c>
      <c r="O85" s="1475">
        <f t="shared" si="12"/>
        <v>3.4090909090909088E-2</v>
      </c>
      <c r="P85" s="1474">
        <f t="shared" si="13"/>
        <v>44</v>
      </c>
      <c r="Q85" s="1475">
        <f t="shared" si="14"/>
        <v>0.11363636363636363</v>
      </c>
      <c r="R85" s="1474">
        <f t="shared" si="15"/>
        <v>33</v>
      </c>
      <c r="S85" s="1475">
        <f t="shared" si="16"/>
        <v>1.5151515151515152E-2</v>
      </c>
      <c r="T85" s="1476">
        <f t="shared" si="17"/>
        <v>419</v>
      </c>
      <c r="U85" s="1477">
        <f t="shared" si="18"/>
        <v>6.4439140811455853E-2</v>
      </c>
    </row>
    <row r="86" spans="2:21" s="229" customFormat="1">
      <c r="B86" s="1822"/>
      <c r="C86" s="605" t="s">
        <v>18</v>
      </c>
      <c r="D86" s="1472">
        <f>D85+D70-E70</f>
        <v>79</v>
      </c>
      <c r="E86" s="1473">
        <f t="shared" si="5"/>
        <v>0.10759493670886076</v>
      </c>
      <c r="F86" s="1474">
        <f t="shared" si="6"/>
        <v>53</v>
      </c>
      <c r="G86" s="1475">
        <f t="shared" si="5"/>
        <v>7.5471698113207544E-2</v>
      </c>
      <c r="H86" s="1474">
        <f t="shared" si="7"/>
        <v>57</v>
      </c>
      <c r="I86" s="1475">
        <f t="shared" si="3"/>
        <v>1.7543859649122806E-2</v>
      </c>
      <c r="J86" s="1472">
        <f t="shared" si="8"/>
        <v>64</v>
      </c>
      <c r="K86" s="1473">
        <f t="shared" si="4"/>
        <v>7.8125E-2</v>
      </c>
      <c r="L86" s="1474">
        <f t="shared" si="9"/>
        <v>41</v>
      </c>
      <c r="M86" s="1475">
        <f t="shared" si="10"/>
        <v>8.5365853658536592E-2</v>
      </c>
      <c r="N86" s="1474">
        <f t="shared" si="11"/>
        <v>45</v>
      </c>
      <c r="O86" s="1475">
        <f t="shared" si="12"/>
        <v>1.1111111111111112E-2</v>
      </c>
      <c r="P86" s="1474">
        <f t="shared" si="13"/>
        <v>46</v>
      </c>
      <c r="Q86" s="1475">
        <f t="shared" si="14"/>
        <v>2.1739130434782608E-2</v>
      </c>
      <c r="R86" s="1474">
        <f t="shared" si="15"/>
        <v>31</v>
      </c>
      <c r="S86" s="1475">
        <f t="shared" si="16"/>
        <v>3.2258064516129031E-2</v>
      </c>
      <c r="T86" s="1476">
        <f t="shared" si="17"/>
        <v>416</v>
      </c>
      <c r="U86" s="1477">
        <f t="shared" si="18"/>
        <v>5.8894230769230768E-2</v>
      </c>
    </row>
    <row r="87" spans="2:21">
      <c r="B87" s="1822"/>
      <c r="C87" s="572" t="s">
        <v>19</v>
      </c>
      <c r="D87" s="1472">
        <f>D86+D71-E71</f>
        <v>80</v>
      </c>
      <c r="E87" s="1473">
        <f>(D71+E71)/2/D87</f>
        <v>0.11874999999999999</v>
      </c>
      <c r="F87" s="1474">
        <f>F86+F71-G71</f>
        <v>53</v>
      </c>
      <c r="G87" s="1475">
        <f>(F71+G71)/2/F87</f>
        <v>7.5471698113207544E-2</v>
      </c>
      <c r="H87" s="1474">
        <f>H86+H71-I71</f>
        <v>58</v>
      </c>
      <c r="I87" s="1475">
        <f>(H71+I71)/2/H87</f>
        <v>2.5862068965517241E-2</v>
      </c>
      <c r="J87" s="1472">
        <f>J86+J71-K71</f>
        <v>63</v>
      </c>
      <c r="K87" s="1473">
        <f>(J71+K71)/2/J87</f>
        <v>2.3809523809523808E-2</v>
      </c>
      <c r="L87" s="1474">
        <f>L86+L71-M71</f>
        <v>42</v>
      </c>
      <c r="M87" s="1475">
        <f>(L71+M71)/2/L87</f>
        <v>5.9523809523809521E-2</v>
      </c>
      <c r="N87" s="1474">
        <f>N86+N71-O71</f>
        <v>45</v>
      </c>
      <c r="O87" s="1475">
        <f>(N71+O71)/2/N87</f>
        <v>2.2222222222222223E-2</v>
      </c>
      <c r="P87" s="1474">
        <f>P86+P71-Q71</f>
        <v>40</v>
      </c>
      <c r="Q87" s="1475">
        <f>(P71+Q71)/2/P87</f>
        <v>0.1</v>
      </c>
      <c r="R87" s="1474">
        <f>R86+R71-S71</f>
        <v>33</v>
      </c>
      <c r="S87" s="1475">
        <f>(R71+S71)/2/R87</f>
        <v>0.15151515151515152</v>
      </c>
      <c r="T87" s="1476">
        <f>T86+T71-U71</f>
        <v>414</v>
      </c>
      <c r="U87" s="1477">
        <f>(T71+U71)/2/T87</f>
        <v>7.0048309178743967E-2</v>
      </c>
    </row>
    <row r="88" spans="2:21">
      <c r="B88" s="1822"/>
      <c r="C88" s="581" t="s">
        <v>20</v>
      </c>
      <c r="D88" s="1428">
        <f>D87+D72-E72</f>
        <v>80</v>
      </c>
      <c r="E88" s="1429">
        <f>(D72+E72)/2/D88</f>
        <v>0</v>
      </c>
      <c r="F88" s="1430">
        <f t="shared" si="6"/>
        <v>53</v>
      </c>
      <c r="G88" s="1431">
        <f>(F72+G72)/2/F88</f>
        <v>0</v>
      </c>
      <c r="H88" s="1430">
        <f t="shared" si="7"/>
        <v>58</v>
      </c>
      <c r="I88" s="1431">
        <f t="shared" si="3"/>
        <v>0</v>
      </c>
      <c r="J88" s="1428">
        <f t="shared" si="8"/>
        <v>63</v>
      </c>
      <c r="K88" s="1429">
        <f t="shared" si="4"/>
        <v>0</v>
      </c>
      <c r="L88" s="1430">
        <f t="shared" si="9"/>
        <v>42</v>
      </c>
      <c r="M88" s="1431">
        <f>(L72+M72)/2/L88</f>
        <v>0</v>
      </c>
      <c r="N88" s="1430">
        <f t="shared" si="11"/>
        <v>45</v>
      </c>
      <c r="O88" s="1431">
        <f>(N72+O72)/2/N88</f>
        <v>0</v>
      </c>
      <c r="P88" s="1430">
        <f t="shared" si="13"/>
        <v>40</v>
      </c>
      <c r="Q88" s="1431">
        <f>(P72+Q72)/2/P88</f>
        <v>0</v>
      </c>
      <c r="R88" s="1430">
        <f t="shared" si="15"/>
        <v>33</v>
      </c>
      <c r="S88" s="1431">
        <f>(R72+S72)/2/R88</f>
        <v>0</v>
      </c>
      <c r="T88" s="1432">
        <f t="shared" si="17"/>
        <v>414</v>
      </c>
      <c r="U88" s="1433">
        <f>(T72+U72)/2/T88</f>
        <v>0</v>
      </c>
    </row>
    <row r="89" spans="2:21">
      <c r="B89" s="1822"/>
      <c r="C89" s="572" t="s">
        <v>21</v>
      </c>
      <c r="D89" s="648">
        <f t="shared" ref="D89:D94" si="19">D88+D73-E73</f>
        <v>80</v>
      </c>
      <c r="E89" s="649">
        <f t="shared" si="5"/>
        <v>0</v>
      </c>
      <c r="F89" s="650">
        <f t="shared" si="6"/>
        <v>53</v>
      </c>
      <c r="G89" s="651">
        <f t="shared" si="5"/>
        <v>0</v>
      </c>
      <c r="H89" s="650">
        <f t="shared" si="7"/>
        <v>58</v>
      </c>
      <c r="I89" s="651">
        <f t="shared" si="3"/>
        <v>0</v>
      </c>
      <c r="J89" s="648">
        <f t="shared" si="8"/>
        <v>63</v>
      </c>
      <c r="K89" s="649">
        <f t="shared" si="4"/>
        <v>0</v>
      </c>
      <c r="L89" s="650">
        <f t="shared" si="9"/>
        <v>42</v>
      </c>
      <c r="M89" s="651">
        <f t="shared" si="10"/>
        <v>0</v>
      </c>
      <c r="N89" s="650">
        <f t="shared" si="11"/>
        <v>45</v>
      </c>
      <c r="O89" s="651">
        <f t="shared" si="12"/>
        <v>0</v>
      </c>
      <c r="P89" s="650">
        <f t="shared" si="13"/>
        <v>40</v>
      </c>
      <c r="Q89" s="651">
        <f t="shared" si="14"/>
        <v>0</v>
      </c>
      <c r="R89" s="650">
        <f t="shared" si="15"/>
        <v>33</v>
      </c>
      <c r="S89" s="651">
        <f t="shared" si="16"/>
        <v>0</v>
      </c>
      <c r="T89" s="652">
        <f t="shared" si="17"/>
        <v>414</v>
      </c>
      <c r="U89" s="653">
        <f t="shared" si="18"/>
        <v>0</v>
      </c>
    </row>
    <row r="90" spans="2:21">
      <c r="B90" s="1822"/>
      <c r="C90" s="572" t="s">
        <v>26</v>
      </c>
      <c r="D90" s="648">
        <f t="shared" si="19"/>
        <v>80</v>
      </c>
      <c r="E90" s="649">
        <f t="shared" si="5"/>
        <v>0</v>
      </c>
      <c r="F90" s="650">
        <f t="shared" si="6"/>
        <v>53</v>
      </c>
      <c r="G90" s="651">
        <f t="shared" si="5"/>
        <v>0</v>
      </c>
      <c r="H90" s="650">
        <f>H89+H74-I74</f>
        <v>58</v>
      </c>
      <c r="I90" s="651">
        <f>(H74+I74)/2/H90</f>
        <v>0</v>
      </c>
      <c r="J90" s="648">
        <f>J89+J74-K74</f>
        <v>63</v>
      </c>
      <c r="K90" s="649">
        <f>(J74+K74)/2/J90</f>
        <v>0</v>
      </c>
      <c r="L90" s="650">
        <f>L89+L74-M74</f>
        <v>42</v>
      </c>
      <c r="M90" s="651">
        <f t="shared" ref="M90:M95" si="20">(L74+M74)/2/L90</f>
        <v>0</v>
      </c>
      <c r="N90" s="650">
        <f>N89+N74-O74</f>
        <v>45</v>
      </c>
      <c r="O90" s="651">
        <f t="shared" ref="O90:O95" si="21">(N74+O74)/2/N90</f>
        <v>0</v>
      </c>
      <c r="P90" s="650">
        <f>P89+P74-Q74</f>
        <v>40</v>
      </c>
      <c r="Q90" s="651">
        <f t="shared" ref="Q90:Q95" si="22">(P74+Q74)/2/P90</f>
        <v>0</v>
      </c>
      <c r="R90" s="650">
        <f>R89+R74-S74</f>
        <v>33</v>
      </c>
      <c r="S90" s="651">
        <f t="shared" ref="S90:S95" si="23">(R74+S74)/2/R90</f>
        <v>0</v>
      </c>
      <c r="T90" s="652">
        <f>T89+T74-U74</f>
        <v>414</v>
      </c>
      <c r="U90" s="653">
        <f t="shared" ref="U90:U95" si="24">(T74+U74)/2/T90</f>
        <v>0</v>
      </c>
    </row>
    <row r="91" spans="2:21">
      <c r="B91" s="1822"/>
      <c r="C91" s="572" t="s">
        <v>22</v>
      </c>
      <c r="D91" s="648">
        <f t="shared" si="19"/>
        <v>80</v>
      </c>
      <c r="E91" s="649">
        <f t="shared" si="5"/>
        <v>0</v>
      </c>
      <c r="F91" s="650">
        <f t="shared" si="6"/>
        <v>53</v>
      </c>
      <c r="G91" s="651">
        <f t="shared" si="5"/>
        <v>0</v>
      </c>
      <c r="H91" s="650">
        <f t="shared" si="7"/>
        <v>58</v>
      </c>
      <c r="I91" s="651">
        <f t="shared" si="3"/>
        <v>0</v>
      </c>
      <c r="J91" s="648">
        <f t="shared" si="8"/>
        <v>63</v>
      </c>
      <c r="K91" s="649">
        <f t="shared" si="4"/>
        <v>0</v>
      </c>
      <c r="L91" s="650">
        <f t="shared" si="9"/>
        <v>42</v>
      </c>
      <c r="M91" s="651">
        <f t="shared" si="20"/>
        <v>0</v>
      </c>
      <c r="N91" s="650">
        <f t="shared" si="11"/>
        <v>45</v>
      </c>
      <c r="O91" s="651">
        <f t="shared" si="21"/>
        <v>0</v>
      </c>
      <c r="P91" s="650">
        <f t="shared" si="13"/>
        <v>40</v>
      </c>
      <c r="Q91" s="651">
        <f t="shared" si="22"/>
        <v>0</v>
      </c>
      <c r="R91" s="650">
        <f t="shared" si="15"/>
        <v>33</v>
      </c>
      <c r="S91" s="651">
        <f t="shared" si="23"/>
        <v>0</v>
      </c>
      <c r="T91" s="652">
        <f t="shared" si="17"/>
        <v>414</v>
      </c>
      <c r="U91" s="653">
        <f t="shared" si="24"/>
        <v>0</v>
      </c>
    </row>
    <row r="92" spans="2:21">
      <c r="B92" s="1822"/>
      <c r="C92" s="572" t="s">
        <v>23</v>
      </c>
      <c r="D92" s="648">
        <f t="shared" si="19"/>
        <v>80</v>
      </c>
      <c r="E92" s="649">
        <f t="shared" si="5"/>
        <v>0</v>
      </c>
      <c r="F92" s="650">
        <f t="shared" si="6"/>
        <v>53</v>
      </c>
      <c r="G92" s="651">
        <f t="shared" si="5"/>
        <v>0</v>
      </c>
      <c r="H92" s="650">
        <f t="shared" si="7"/>
        <v>58</v>
      </c>
      <c r="I92" s="651">
        <f t="shared" si="3"/>
        <v>0</v>
      </c>
      <c r="J92" s="648">
        <f t="shared" si="8"/>
        <v>63</v>
      </c>
      <c r="K92" s="649">
        <f t="shared" si="4"/>
        <v>0</v>
      </c>
      <c r="L92" s="650">
        <f t="shared" si="9"/>
        <v>42</v>
      </c>
      <c r="M92" s="651">
        <f t="shared" si="20"/>
        <v>0</v>
      </c>
      <c r="N92" s="650">
        <f t="shared" si="11"/>
        <v>45</v>
      </c>
      <c r="O92" s="651">
        <f t="shared" si="21"/>
        <v>0</v>
      </c>
      <c r="P92" s="650">
        <f t="shared" si="13"/>
        <v>40</v>
      </c>
      <c r="Q92" s="651">
        <f t="shared" si="22"/>
        <v>0</v>
      </c>
      <c r="R92" s="650">
        <f t="shared" si="15"/>
        <v>33</v>
      </c>
      <c r="S92" s="651">
        <f t="shared" si="23"/>
        <v>0</v>
      </c>
      <c r="T92" s="652">
        <f t="shared" si="17"/>
        <v>414</v>
      </c>
      <c r="U92" s="653">
        <f t="shared" si="24"/>
        <v>0</v>
      </c>
    </row>
    <row r="93" spans="2:21">
      <c r="B93" s="1822"/>
      <c r="C93" s="572" t="s">
        <v>24</v>
      </c>
      <c r="D93" s="648">
        <f t="shared" si="19"/>
        <v>80</v>
      </c>
      <c r="E93" s="649">
        <f>(D77+E77)/2/D93</f>
        <v>0</v>
      </c>
      <c r="F93" s="650">
        <f t="shared" si="6"/>
        <v>53</v>
      </c>
      <c r="G93" s="651">
        <f>(F77+G77)/2/F93</f>
        <v>0</v>
      </c>
      <c r="H93" s="650">
        <f t="shared" si="7"/>
        <v>58</v>
      </c>
      <c r="I93" s="651">
        <f t="shared" si="3"/>
        <v>0</v>
      </c>
      <c r="J93" s="648">
        <f t="shared" si="8"/>
        <v>63</v>
      </c>
      <c r="K93" s="649">
        <f t="shared" si="4"/>
        <v>0</v>
      </c>
      <c r="L93" s="650">
        <f t="shared" si="9"/>
        <v>42</v>
      </c>
      <c r="M93" s="651">
        <f t="shared" si="20"/>
        <v>0</v>
      </c>
      <c r="N93" s="650">
        <f t="shared" si="11"/>
        <v>45</v>
      </c>
      <c r="O93" s="651">
        <f t="shared" si="21"/>
        <v>0</v>
      </c>
      <c r="P93" s="650">
        <f t="shared" si="13"/>
        <v>40</v>
      </c>
      <c r="Q93" s="651">
        <f t="shared" si="22"/>
        <v>0</v>
      </c>
      <c r="R93" s="650">
        <f t="shared" si="15"/>
        <v>33</v>
      </c>
      <c r="S93" s="651">
        <f t="shared" si="23"/>
        <v>0</v>
      </c>
      <c r="T93" s="652">
        <f t="shared" si="17"/>
        <v>414</v>
      </c>
      <c r="U93" s="653">
        <f t="shared" si="24"/>
        <v>0</v>
      </c>
    </row>
    <row r="94" spans="2:21">
      <c r="B94" s="1822"/>
      <c r="C94" s="572" t="s">
        <v>27</v>
      </c>
      <c r="D94" s="648">
        <f t="shared" si="19"/>
        <v>80</v>
      </c>
      <c r="E94" s="649">
        <f>(D78+E78)/2/D94</f>
        <v>0</v>
      </c>
      <c r="F94" s="650">
        <f t="shared" si="6"/>
        <v>53</v>
      </c>
      <c r="G94" s="651">
        <f>(F78+G78)/2/F94</f>
        <v>0</v>
      </c>
      <c r="H94" s="650">
        <f t="shared" si="7"/>
        <v>58</v>
      </c>
      <c r="I94" s="651">
        <f t="shared" si="3"/>
        <v>0</v>
      </c>
      <c r="J94" s="648">
        <f t="shared" si="8"/>
        <v>63</v>
      </c>
      <c r="K94" s="649">
        <f t="shared" si="4"/>
        <v>0</v>
      </c>
      <c r="L94" s="650">
        <f t="shared" si="9"/>
        <v>42</v>
      </c>
      <c r="M94" s="651">
        <f t="shared" si="20"/>
        <v>0</v>
      </c>
      <c r="N94" s="650">
        <f t="shared" si="11"/>
        <v>45</v>
      </c>
      <c r="O94" s="651">
        <f t="shared" si="21"/>
        <v>0</v>
      </c>
      <c r="P94" s="650">
        <f t="shared" si="13"/>
        <v>40</v>
      </c>
      <c r="Q94" s="651">
        <f t="shared" si="22"/>
        <v>0</v>
      </c>
      <c r="R94" s="650">
        <f t="shared" si="15"/>
        <v>33</v>
      </c>
      <c r="S94" s="651">
        <f t="shared" si="23"/>
        <v>0</v>
      </c>
      <c r="T94" s="652">
        <f t="shared" si="17"/>
        <v>414</v>
      </c>
      <c r="U94" s="653">
        <f t="shared" si="24"/>
        <v>0</v>
      </c>
    </row>
    <row r="95" spans="2:21" ht="20" thickBot="1">
      <c r="B95" s="1823"/>
      <c r="C95" s="633"/>
      <c r="D95" s="654">
        <f>D94</f>
        <v>80</v>
      </c>
      <c r="E95" s="655">
        <f>(D79+E79)/2/D95</f>
        <v>0.625</v>
      </c>
      <c r="F95" s="656">
        <f>F94</f>
        <v>53</v>
      </c>
      <c r="G95" s="655">
        <f>(F79+G79)/2/F95</f>
        <v>0.25471698113207547</v>
      </c>
      <c r="H95" s="656">
        <f>H94</f>
        <v>58</v>
      </c>
      <c r="I95" s="655">
        <f t="shared" si="3"/>
        <v>0.15517241379310345</v>
      </c>
      <c r="J95" s="654">
        <f>J94</f>
        <v>63</v>
      </c>
      <c r="K95" s="655">
        <f t="shared" si="4"/>
        <v>0.34126984126984128</v>
      </c>
      <c r="L95" s="656">
        <f>L94</f>
        <v>42</v>
      </c>
      <c r="M95" s="655">
        <f t="shared" si="20"/>
        <v>0.25</v>
      </c>
      <c r="N95" s="656">
        <f>N94</f>
        <v>45</v>
      </c>
      <c r="O95" s="655">
        <f t="shared" si="21"/>
        <v>8.8888888888888892E-2</v>
      </c>
      <c r="P95" s="656">
        <f>P94</f>
        <v>40</v>
      </c>
      <c r="Q95" s="655">
        <f t="shared" si="22"/>
        <v>0.5</v>
      </c>
      <c r="R95" s="656">
        <f>R91</f>
        <v>33</v>
      </c>
      <c r="S95" s="655">
        <f t="shared" si="23"/>
        <v>0.45454545454545453</v>
      </c>
      <c r="T95" s="656">
        <f>T94</f>
        <v>414</v>
      </c>
      <c r="U95" s="657">
        <f t="shared" si="24"/>
        <v>0.34661835748792269</v>
      </c>
    </row>
    <row r="96" spans="2:21" ht="20" thickBot="1"/>
    <row r="97" spans="2:21" s="647" customFormat="1" ht="16" customHeight="1">
      <c r="B97" s="1821" t="s">
        <v>237</v>
      </c>
      <c r="C97" s="1825" t="s">
        <v>61</v>
      </c>
      <c r="D97" s="1825" t="s">
        <v>28</v>
      </c>
      <c r="E97" s="1825"/>
      <c r="F97" s="1825" t="s">
        <v>29</v>
      </c>
      <c r="G97" s="1825"/>
      <c r="H97" s="1826" t="s">
        <v>30</v>
      </c>
      <c r="I97" s="1826"/>
      <c r="J97" s="1826" t="s">
        <v>31</v>
      </c>
      <c r="K97" s="1826"/>
      <c r="L97" s="1825" t="s">
        <v>32</v>
      </c>
      <c r="M97" s="1825"/>
      <c r="N97" s="1825" t="s">
        <v>253</v>
      </c>
      <c r="O97" s="1825"/>
      <c r="P97" s="1826" t="s">
        <v>34</v>
      </c>
      <c r="Q97" s="1826"/>
      <c r="R97" s="1826" t="s">
        <v>308</v>
      </c>
      <c r="S97" s="1826"/>
      <c r="T97" s="1826" t="s">
        <v>37</v>
      </c>
      <c r="U97" s="1828"/>
    </row>
    <row r="98" spans="2:21" ht="20">
      <c r="B98" s="1822"/>
      <c r="C98" s="1817"/>
      <c r="D98" s="617" t="s">
        <v>62</v>
      </c>
      <c r="E98" s="617" t="s">
        <v>63</v>
      </c>
      <c r="F98" s="617" t="s">
        <v>62</v>
      </c>
      <c r="G98" s="617" t="s">
        <v>63</v>
      </c>
      <c r="H98" s="617" t="s">
        <v>62</v>
      </c>
      <c r="I98" s="617" t="s">
        <v>63</v>
      </c>
      <c r="J98" s="617" t="s">
        <v>62</v>
      </c>
      <c r="K98" s="617" t="s">
        <v>63</v>
      </c>
      <c r="L98" s="617" t="s">
        <v>62</v>
      </c>
      <c r="M98" s="617" t="s">
        <v>63</v>
      </c>
      <c r="N98" s="617" t="s">
        <v>62</v>
      </c>
      <c r="O98" s="617" t="s">
        <v>63</v>
      </c>
      <c r="P98" s="617" t="s">
        <v>62</v>
      </c>
      <c r="Q98" s="617" t="s">
        <v>63</v>
      </c>
      <c r="R98" s="617" t="s">
        <v>62</v>
      </c>
      <c r="S98" s="617" t="s">
        <v>63</v>
      </c>
      <c r="T98" s="617" t="s">
        <v>62</v>
      </c>
      <c r="U98" s="619" t="s">
        <v>63</v>
      </c>
    </row>
    <row r="99" spans="2:21">
      <c r="B99" s="1822"/>
      <c r="C99" s="572" t="s">
        <v>10</v>
      </c>
      <c r="D99" s="1463">
        <v>157.07</v>
      </c>
      <c r="E99" s="1464">
        <v>2165.98</v>
      </c>
      <c r="F99" s="1465">
        <v>25.56</v>
      </c>
      <c r="G99" s="1466">
        <v>347.34</v>
      </c>
      <c r="H99" s="1465">
        <v>182.85</v>
      </c>
      <c r="I99" s="1466">
        <v>2558.61</v>
      </c>
      <c r="J99" s="1465">
        <v>140.5</v>
      </c>
      <c r="K99" s="1466">
        <v>1947.01</v>
      </c>
      <c r="L99" s="1465">
        <v>137.32</v>
      </c>
      <c r="M99" s="1466">
        <v>1978.64</v>
      </c>
      <c r="N99" s="1593">
        <v>71.94</v>
      </c>
      <c r="O99" s="1466">
        <v>1016.47</v>
      </c>
      <c r="P99" s="1465">
        <v>316.64</v>
      </c>
      <c r="Q99" s="1466">
        <v>4552.68</v>
      </c>
      <c r="R99" s="1465">
        <v>18.68</v>
      </c>
      <c r="S99" s="1466">
        <v>246.99</v>
      </c>
      <c r="T99" s="658">
        <f t="shared" ref="T99:T110" si="25">D99+F99+H99+J99+L99+N99+P99+R99</f>
        <v>1050.5600000000002</v>
      </c>
      <c r="U99" s="659">
        <f t="shared" ref="U99:U104" si="26">E99+G99+I99+K99+M99+O99+Q99+S99</f>
        <v>14813.72</v>
      </c>
    </row>
    <row r="100" spans="2:21">
      <c r="B100" s="1822"/>
      <c r="C100" s="572" t="s">
        <v>25</v>
      </c>
      <c r="D100" s="1463">
        <v>74.600000000000023</v>
      </c>
      <c r="E100" s="1464">
        <v>1032.57</v>
      </c>
      <c r="F100" s="1465">
        <v>12.849999999999998</v>
      </c>
      <c r="G100" s="1466">
        <v>179.52</v>
      </c>
      <c r="H100" s="1465">
        <v>36.299999999999997</v>
      </c>
      <c r="I100" s="1466">
        <v>485.51</v>
      </c>
      <c r="J100" s="1465">
        <v>52.540000000000006</v>
      </c>
      <c r="K100" s="1466">
        <v>699.73</v>
      </c>
      <c r="L100" s="1465">
        <v>18.819999999999997</v>
      </c>
      <c r="M100" s="1466">
        <v>248.85</v>
      </c>
      <c r="N100" s="1465">
        <v>15.790000000000001</v>
      </c>
      <c r="O100" s="1466">
        <v>217.7</v>
      </c>
      <c r="P100" s="1465">
        <v>129.69999999999999</v>
      </c>
      <c r="Q100" s="1466">
        <v>1808.41</v>
      </c>
      <c r="R100" s="1465">
        <v>16.62</v>
      </c>
      <c r="S100" s="1466">
        <v>219.73000000000002</v>
      </c>
      <c r="T100" s="658">
        <f t="shared" si="25"/>
        <v>357.22</v>
      </c>
      <c r="U100" s="659">
        <f t="shared" si="26"/>
        <v>4892.0200000000004</v>
      </c>
    </row>
    <row r="101" spans="2:21">
      <c r="B101" s="1822"/>
      <c r="C101" s="572" t="s">
        <v>17</v>
      </c>
      <c r="D101" s="1463">
        <v>89.100000000000009</v>
      </c>
      <c r="E101" s="1464">
        <v>1222.8700000000001</v>
      </c>
      <c r="F101" s="1465">
        <v>6.65</v>
      </c>
      <c r="G101" s="1466">
        <v>88.89</v>
      </c>
      <c r="H101" s="1465">
        <v>74.220000000000013</v>
      </c>
      <c r="I101" s="1466">
        <v>1004.92</v>
      </c>
      <c r="J101" s="1465">
        <v>68.84</v>
      </c>
      <c r="K101" s="1466">
        <v>915.94</v>
      </c>
      <c r="L101" s="1465">
        <v>38.71</v>
      </c>
      <c r="M101" s="1466">
        <v>553.92000000000007</v>
      </c>
      <c r="N101" s="1465">
        <v>82.16</v>
      </c>
      <c r="O101" s="1466">
        <v>1137.7399999999998</v>
      </c>
      <c r="P101" s="1465">
        <v>121.85000000000001</v>
      </c>
      <c r="Q101" s="1466">
        <v>1683</v>
      </c>
      <c r="R101" s="1465">
        <v>4.0100000000000007</v>
      </c>
      <c r="S101" s="1466">
        <v>55.68</v>
      </c>
      <c r="T101" s="658">
        <f t="shared" si="25"/>
        <v>485.54000000000008</v>
      </c>
      <c r="U101" s="659">
        <f t="shared" si="26"/>
        <v>6662.9600000000009</v>
      </c>
    </row>
    <row r="102" spans="2:21">
      <c r="B102" s="1822"/>
      <c r="C102" s="572" t="s">
        <v>18</v>
      </c>
      <c r="D102" s="1463"/>
      <c r="E102" s="1464"/>
      <c r="F102" s="1465"/>
      <c r="G102" s="1466"/>
      <c r="H102" s="1465"/>
      <c r="I102" s="1466"/>
      <c r="J102" s="1465"/>
      <c r="K102" s="1466"/>
      <c r="L102" s="1465"/>
      <c r="M102" s="1466"/>
      <c r="N102" s="1465"/>
      <c r="O102" s="1466"/>
      <c r="P102" s="1465"/>
      <c r="Q102" s="1466"/>
      <c r="R102" s="1465"/>
      <c r="S102" s="1466"/>
      <c r="T102" s="658">
        <f t="shared" si="25"/>
        <v>0</v>
      </c>
      <c r="U102" s="659">
        <f t="shared" si="26"/>
        <v>0</v>
      </c>
    </row>
    <row r="103" spans="2:21">
      <c r="B103" s="1822"/>
      <c r="C103" s="572" t="s">
        <v>19</v>
      </c>
      <c r="D103" s="1463">
        <v>111.06</v>
      </c>
      <c r="E103" s="1464">
        <v>1619.31</v>
      </c>
      <c r="F103" s="1465">
        <v>79.319999999999993</v>
      </c>
      <c r="G103" s="1466">
        <v>1077.1500000000001</v>
      </c>
      <c r="H103" s="1465">
        <v>89.2</v>
      </c>
      <c r="I103" s="1466">
        <v>1203.55</v>
      </c>
      <c r="J103" s="1465">
        <v>109.62</v>
      </c>
      <c r="K103" s="1466">
        <v>1507.89</v>
      </c>
      <c r="L103" s="1465">
        <v>138.13999999999999</v>
      </c>
      <c r="M103" s="1466">
        <v>1966.29</v>
      </c>
      <c r="N103" s="1465">
        <v>71.36</v>
      </c>
      <c r="O103" s="1466">
        <v>973.33</v>
      </c>
      <c r="P103" s="1465">
        <v>45.75</v>
      </c>
      <c r="Q103" s="1466">
        <v>618.16</v>
      </c>
      <c r="R103" s="1465">
        <v>15.75</v>
      </c>
      <c r="S103" s="1466">
        <v>215.13</v>
      </c>
      <c r="T103" s="658">
        <f t="shared" si="25"/>
        <v>660.19999999999993</v>
      </c>
      <c r="U103" s="659">
        <f t="shared" si="26"/>
        <v>9180.81</v>
      </c>
    </row>
    <row r="104" spans="2:21">
      <c r="B104" s="1822"/>
      <c r="C104" s="581" t="s">
        <v>20</v>
      </c>
      <c r="D104" s="1467"/>
      <c r="E104" s="1468"/>
      <c r="F104" s="1469"/>
      <c r="G104" s="1470"/>
      <c r="H104" s="1469"/>
      <c r="I104" s="1470"/>
      <c r="J104" s="1469"/>
      <c r="K104" s="1470"/>
      <c r="L104" s="1469"/>
      <c r="M104" s="1470"/>
      <c r="N104" s="1469"/>
      <c r="O104" s="1470"/>
      <c r="P104" s="1469"/>
      <c r="Q104" s="1470"/>
      <c r="R104" s="1469"/>
      <c r="S104" s="1470"/>
      <c r="T104" s="660">
        <f t="shared" si="25"/>
        <v>0</v>
      </c>
      <c r="U104" s="661">
        <f t="shared" si="26"/>
        <v>0</v>
      </c>
    </row>
    <row r="105" spans="2:21">
      <c r="B105" s="1822"/>
      <c r="C105" s="572" t="s">
        <v>21</v>
      </c>
      <c r="D105" s="1463"/>
      <c r="E105" s="1464"/>
      <c r="F105" s="1465"/>
      <c r="G105" s="1466"/>
      <c r="H105" s="1465"/>
      <c r="I105" s="1466"/>
      <c r="J105" s="1465"/>
      <c r="K105" s="1466"/>
      <c r="L105" s="1465"/>
      <c r="M105" s="1466"/>
      <c r="N105" s="1465"/>
      <c r="O105" s="1466"/>
      <c r="P105" s="1465"/>
      <c r="Q105" s="1466"/>
      <c r="R105" s="1465"/>
      <c r="S105" s="1466"/>
      <c r="T105" s="662">
        <f t="shared" si="25"/>
        <v>0</v>
      </c>
      <c r="U105" s="659">
        <f t="shared" ref="U105:U110" si="27">E105+G105+I105+K105+M105+O105+Q105+S105</f>
        <v>0</v>
      </c>
    </row>
    <row r="106" spans="2:21">
      <c r="B106" s="1822"/>
      <c r="C106" s="572" t="s">
        <v>26</v>
      </c>
      <c r="D106" s="1463"/>
      <c r="E106" s="1464"/>
      <c r="F106" s="1465"/>
      <c r="G106" s="1466"/>
      <c r="H106" s="1465"/>
      <c r="I106" s="1466"/>
      <c r="J106" s="1465"/>
      <c r="K106" s="1466"/>
      <c r="L106" s="1465"/>
      <c r="M106" s="1466"/>
      <c r="N106" s="1465"/>
      <c r="O106" s="1466"/>
      <c r="P106" s="1465"/>
      <c r="Q106" s="1466"/>
      <c r="R106" s="1465"/>
      <c r="S106" s="1466"/>
      <c r="T106" s="662">
        <f t="shared" si="25"/>
        <v>0</v>
      </c>
      <c r="U106" s="659">
        <f t="shared" si="27"/>
        <v>0</v>
      </c>
    </row>
    <row r="107" spans="2:21">
      <c r="B107" s="1822"/>
      <c r="C107" s="572" t="s">
        <v>22</v>
      </c>
      <c r="D107" s="1463"/>
      <c r="E107" s="1464"/>
      <c r="F107" s="1465"/>
      <c r="G107" s="1466"/>
      <c r="H107" s="1465"/>
      <c r="I107" s="1466"/>
      <c r="J107" s="1465"/>
      <c r="K107" s="1466"/>
      <c r="L107" s="1465"/>
      <c r="M107" s="1466"/>
      <c r="N107" s="1465"/>
      <c r="O107" s="1466"/>
      <c r="P107" s="1465"/>
      <c r="Q107" s="1466"/>
      <c r="R107" s="1465"/>
      <c r="S107" s="1466"/>
      <c r="T107" s="662">
        <f t="shared" si="25"/>
        <v>0</v>
      </c>
      <c r="U107" s="659">
        <f t="shared" si="27"/>
        <v>0</v>
      </c>
    </row>
    <row r="108" spans="2:21">
      <c r="B108" s="1822"/>
      <c r="C108" s="572" t="s">
        <v>23</v>
      </c>
      <c r="D108" s="1463"/>
      <c r="E108" s="1464"/>
      <c r="F108" s="1465"/>
      <c r="G108" s="1466"/>
      <c r="H108" s="1465"/>
      <c r="I108" s="1466"/>
      <c r="J108" s="1463"/>
      <c r="K108" s="1464"/>
      <c r="L108" s="1465"/>
      <c r="M108" s="1466"/>
      <c r="N108" s="1465"/>
      <c r="O108" s="1466"/>
      <c r="P108" s="1465"/>
      <c r="Q108" s="1466"/>
      <c r="R108" s="1465"/>
      <c r="S108" s="1466"/>
      <c r="T108" s="662">
        <f t="shared" si="25"/>
        <v>0</v>
      </c>
      <c r="U108" s="659">
        <f t="shared" si="27"/>
        <v>0</v>
      </c>
    </row>
    <row r="109" spans="2:21">
      <c r="B109" s="1822"/>
      <c r="C109" s="572" t="s">
        <v>24</v>
      </c>
      <c r="D109" s="1463"/>
      <c r="E109" s="1464"/>
      <c r="F109" s="1465"/>
      <c r="G109" s="1466"/>
      <c r="H109" s="1465"/>
      <c r="I109" s="1466"/>
      <c r="J109" s="1465"/>
      <c r="K109" s="1466"/>
      <c r="L109" s="1465"/>
      <c r="M109" s="1466"/>
      <c r="N109" s="1465"/>
      <c r="O109" s="1466"/>
      <c r="P109" s="1465"/>
      <c r="Q109" s="1466"/>
      <c r="R109" s="1465"/>
      <c r="S109" s="1466"/>
      <c r="T109" s="662">
        <f t="shared" si="25"/>
        <v>0</v>
      </c>
      <c r="U109" s="659">
        <f t="shared" si="27"/>
        <v>0</v>
      </c>
    </row>
    <row r="110" spans="2:21">
      <c r="B110" s="1822"/>
      <c r="C110" s="572" t="s">
        <v>27</v>
      </c>
      <c r="D110" s="1463"/>
      <c r="E110" s="1464"/>
      <c r="F110" s="1465"/>
      <c r="G110" s="1466"/>
      <c r="H110" s="1465"/>
      <c r="I110" s="1466"/>
      <c r="J110" s="1465"/>
      <c r="K110" s="1466"/>
      <c r="L110" s="1465"/>
      <c r="M110" s="1466"/>
      <c r="N110" s="1465"/>
      <c r="O110" s="1466"/>
      <c r="P110" s="1465"/>
      <c r="Q110" s="1466"/>
      <c r="R110" s="1465"/>
      <c r="S110" s="1466"/>
      <c r="T110" s="662">
        <f t="shared" si="25"/>
        <v>0</v>
      </c>
      <c r="U110" s="659">
        <f t="shared" si="27"/>
        <v>0</v>
      </c>
    </row>
    <row r="111" spans="2:21" ht="21" thickBot="1">
      <c r="B111" s="1822"/>
      <c r="C111" s="588" t="s">
        <v>45</v>
      </c>
      <c r="D111" s="611">
        <f>SUM(D99:D110)</f>
        <v>431.83000000000004</v>
      </c>
      <c r="E111" s="663">
        <f t="shared" ref="E111:U111" si="28">SUM(E99:E110)</f>
        <v>6040.73</v>
      </c>
      <c r="F111" s="664">
        <f t="shared" si="28"/>
        <v>124.38</v>
      </c>
      <c r="G111" s="665">
        <f t="shared" si="28"/>
        <v>1692.9</v>
      </c>
      <c r="H111" s="664">
        <f t="shared" si="28"/>
        <v>382.57</v>
      </c>
      <c r="I111" s="665">
        <f t="shared" si="28"/>
        <v>5252.59</v>
      </c>
      <c r="J111" s="664">
        <f t="shared" si="28"/>
        <v>371.5</v>
      </c>
      <c r="K111" s="665">
        <f t="shared" si="28"/>
        <v>5070.57</v>
      </c>
      <c r="L111" s="664">
        <f t="shared" si="28"/>
        <v>332.99</v>
      </c>
      <c r="M111" s="665">
        <f t="shared" si="28"/>
        <v>4747.7000000000007</v>
      </c>
      <c r="N111" s="664">
        <f t="shared" si="28"/>
        <v>241.25</v>
      </c>
      <c r="O111" s="665">
        <f t="shared" si="28"/>
        <v>3345.24</v>
      </c>
      <c r="P111" s="664">
        <f t="shared" si="28"/>
        <v>613.93999999999994</v>
      </c>
      <c r="Q111" s="665">
        <f t="shared" si="28"/>
        <v>8662.25</v>
      </c>
      <c r="R111" s="664">
        <f t="shared" si="28"/>
        <v>55.059999999999995</v>
      </c>
      <c r="S111" s="665">
        <f t="shared" si="28"/>
        <v>737.53</v>
      </c>
      <c r="T111" s="664">
        <f t="shared" si="28"/>
        <v>2553.52</v>
      </c>
      <c r="U111" s="666">
        <f t="shared" si="28"/>
        <v>35549.509999999995</v>
      </c>
    </row>
    <row r="112" spans="2:21" ht="20" thickBot="1">
      <c r="B112" s="1822"/>
      <c r="U112" s="646"/>
    </row>
    <row r="113" spans="2:21" s="647" customFormat="1" ht="16" customHeight="1">
      <c r="B113" s="1822"/>
      <c r="C113" s="1816" t="s">
        <v>64</v>
      </c>
      <c r="D113" s="1816" t="s">
        <v>28</v>
      </c>
      <c r="E113" s="1816"/>
      <c r="F113" s="1816" t="s">
        <v>29</v>
      </c>
      <c r="G113" s="1816"/>
      <c r="H113" s="1824" t="s">
        <v>30</v>
      </c>
      <c r="I113" s="1824"/>
      <c r="J113" s="1824" t="s">
        <v>31</v>
      </c>
      <c r="K113" s="1824"/>
      <c r="L113" s="1816" t="s">
        <v>32</v>
      </c>
      <c r="M113" s="1816"/>
      <c r="N113" s="1816" t="s">
        <v>253</v>
      </c>
      <c r="O113" s="1816"/>
      <c r="P113" s="1824" t="s">
        <v>34</v>
      </c>
      <c r="Q113" s="1824"/>
      <c r="R113" s="1824" t="s">
        <v>308</v>
      </c>
      <c r="S113" s="1824"/>
      <c r="T113" s="1824" t="s">
        <v>37</v>
      </c>
      <c r="U113" s="1827"/>
    </row>
    <row r="114" spans="2:21" ht="20">
      <c r="B114" s="1822"/>
      <c r="C114" s="1817"/>
      <c r="D114" s="617" t="s">
        <v>62</v>
      </c>
      <c r="E114" s="617" t="s">
        <v>63</v>
      </c>
      <c r="F114" s="617" t="s">
        <v>62</v>
      </c>
      <c r="G114" s="617" t="s">
        <v>63</v>
      </c>
      <c r="H114" s="617" t="s">
        <v>62</v>
      </c>
      <c r="I114" s="617" t="s">
        <v>63</v>
      </c>
      <c r="J114" s="617" t="s">
        <v>62</v>
      </c>
      <c r="K114" s="617" t="s">
        <v>63</v>
      </c>
      <c r="L114" s="617" t="s">
        <v>62</v>
      </c>
      <c r="M114" s="617" t="s">
        <v>63</v>
      </c>
      <c r="N114" s="617" t="s">
        <v>62</v>
      </c>
      <c r="O114" s="617" t="s">
        <v>63</v>
      </c>
      <c r="P114" s="617" t="s">
        <v>62</v>
      </c>
      <c r="Q114" s="617" t="s">
        <v>63</v>
      </c>
      <c r="R114" s="617" t="s">
        <v>62</v>
      </c>
      <c r="S114" s="617" t="s">
        <v>63</v>
      </c>
      <c r="T114" s="617" t="s">
        <v>62</v>
      </c>
      <c r="U114" s="619" t="s">
        <v>63</v>
      </c>
    </row>
    <row r="115" spans="2:21">
      <c r="B115" s="1822"/>
      <c r="C115" s="572" t="s">
        <v>10</v>
      </c>
      <c r="D115" s="1463">
        <v>114.32</v>
      </c>
      <c r="E115" s="1464">
        <v>2146.4499999999998</v>
      </c>
      <c r="F115" s="1465">
        <v>94.25</v>
      </c>
      <c r="G115" s="1466">
        <v>1636.35</v>
      </c>
      <c r="H115" s="1465">
        <v>74.849999999999994</v>
      </c>
      <c r="I115" s="1466">
        <v>1349.34</v>
      </c>
      <c r="J115" s="1465">
        <v>88.38</v>
      </c>
      <c r="K115" s="1466">
        <v>1578.76</v>
      </c>
      <c r="L115" s="1465">
        <v>56.36</v>
      </c>
      <c r="M115" s="1466">
        <v>1019.57</v>
      </c>
      <c r="N115" s="1465">
        <v>44.67</v>
      </c>
      <c r="O115" s="1466">
        <v>803.07</v>
      </c>
      <c r="P115" s="1465">
        <v>34.630000000000003</v>
      </c>
      <c r="Q115" s="1466">
        <v>637.99</v>
      </c>
      <c r="R115" s="1465">
        <v>85.05</v>
      </c>
      <c r="S115" s="1466">
        <v>1352.78</v>
      </c>
      <c r="T115" s="658">
        <f t="shared" ref="T115:T126" si="29">D115+F115+H115+J115+L115+N115+P115+R115</f>
        <v>592.51</v>
      </c>
      <c r="U115" s="659">
        <f t="shared" ref="U115:U121" si="30">E115+G115+I115+K115+M115+O115+Q115+S115</f>
        <v>10524.31</v>
      </c>
    </row>
    <row r="116" spans="2:21">
      <c r="B116" s="1822"/>
      <c r="C116" s="572" t="s">
        <v>25</v>
      </c>
      <c r="D116" s="1463">
        <v>62.32</v>
      </c>
      <c r="E116" s="1464">
        <v>1161.42</v>
      </c>
      <c r="F116" s="1465">
        <v>49.63</v>
      </c>
      <c r="G116" s="1466">
        <v>898.93</v>
      </c>
      <c r="H116" s="1465">
        <v>57.839999999999989</v>
      </c>
      <c r="I116" s="1466">
        <v>973.28</v>
      </c>
      <c r="J116" s="1465">
        <v>56.62</v>
      </c>
      <c r="K116" s="1466">
        <v>1011.8499999999999</v>
      </c>
      <c r="L116" s="1465">
        <v>47.11</v>
      </c>
      <c r="M116" s="1466">
        <v>792.61</v>
      </c>
      <c r="N116" s="1465">
        <v>34.93</v>
      </c>
      <c r="O116" s="1466">
        <v>664.02</v>
      </c>
      <c r="P116" s="1465">
        <v>65.3</v>
      </c>
      <c r="Q116" s="1466">
        <v>1221.48</v>
      </c>
      <c r="R116" s="1465">
        <v>19.68</v>
      </c>
      <c r="S116" s="1466">
        <v>280.69</v>
      </c>
      <c r="T116" s="658">
        <f t="shared" si="29"/>
        <v>393.43</v>
      </c>
      <c r="U116" s="659">
        <f t="shared" si="30"/>
        <v>7004.28</v>
      </c>
    </row>
    <row r="117" spans="2:21">
      <c r="B117" s="1822"/>
      <c r="C117" s="572" t="s">
        <v>17</v>
      </c>
      <c r="D117" s="1463">
        <v>54.129999999999995</v>
      </c>
      <c r="E117" s="1464">
        <v>873.46999999999991</v>
      </c>
      <c r="F117" s="1465">
        <v>80.770000000000024</v>
      </c>
      <c r="G117" s="1466">
        <v>1501.84</v>
      </c>
      <c r="H117" s="1465">
        <v>31.24</v>
      </c>
      <c r="I117" s="1466">
        <v>566.06999999999994</v>
      </c>
      <c r="J117" s="1465">
        <v>32.86</v>
      </c>
      <c r="K117" s="1466">
        <v>568.89</v>
      </c>
      <c r="L117" s="1465">
        <v>41.150000000000006</v>
      </c>
      <c r="M117" s="1466">
        <v>701.77</v>
      </c>
      <c r="N117" s="1465">
        <v>54.8</v>
      </c>
      <c r="O117" s="1466">
        <v>1033.6199999999999</v>
      </c>
      <c r="P117" s="1465">
        <v>25.29</v>
      </c>
      <c r="Q117" s="1466">
        <v>455.78999999999996</v>
      </c>
      <c r="R117" s="1465">
        <v>53.949999999999996</v>
      </c>
      <c r="S117" s="1466">
        <v>749.18999999999994</v>
      </c>
      <c r="T117" s="658">
        <f t="shared" si="29"/>
        <v>374.19000000000005</v>
      </c>
      <c r="U117" s="659">
        <f t="shared" si="30"/>
        <v>6450.6399999999994</v>
      </c>
    </row>
    <row r="118" spans="2:21">
      <c r="B118" s="1822"/>
      <c r="C118" s="572" t="s">
        <v>18</v>
      </c>
      <c r="D118" s="1463"/>
      <c r="E118" s="1464"/>
      <c r="F118" s="1465"/>
      <c r="G118" s="1471"/>
      <c r="H118" s="1465"/>
      <c r="I118" s="1466"/>
      <c r="J118" s="1465"/>
      <c r="K118" s="1466"/>
      <c r="L118" s="1465"/>
      <c r="M118" s="1466"/>
      <c r="N118" s="1465"/>
      <c r="O118" s="1466"/>
      <c r="P118" s="1465"/>
      <c r="Q118" s="1466"/>
      <c r="R118" s="1465"/>
      <c r="S118" s="1466"/>
      <c r="T118" s="658">
        <f t="shared" si="29"/>
        <v>0</v>
      </c>
      <c r="U118" s="659">
        <f>E118+G118+I118+K118+M118+O118+Q118+S118</f>
        <v>0</v>
      </c>
    </row>
    <row r="119" spans="2:21">
      <c r="B119" s="1822"/>
      <c r="C119" s="572" t="s">
        <v>19</v>
      </c>
      <c r="D119" s="1463">
        <v>103.66</v>
      </c>
      <c r="E119" s="1464">
        <v>1785.65</v>
      </c>
      <c r="F119" s="1465">
        <v>162.62</v>
      </c>
      <c r="G119" s="1471">
        <v>2918.97</v>
      </c>
      <c r="H119" s="1465">
        <v>59.48</v>
      </c>
      <c r="I119" s="1466">
        <v>1014.63</v>
      </c>
      <c r="J119" s="1465">
        <v>100.18</v>
      </c>
      <c r="K119" s="1466">
        <v>1819.86</v>
      </c>
      <c r="L119" s="1465">
        <v>59.61</v>
      </c>
      <c r="M119" s="1466">
        <v>983.81</v>
      </c>
      <c r="N119" s="1465">
        <v>93.12</v>
      </c>
      <c r="O119" s="1466">
        <v>1725.7</v>
      </c>
      <c r="P119" s="1465">
        <v>68.78</v>
      </c>
      <c r="Q119" s="1466">
        <v>1243.53</v>
      </c>
      <c r="R119" s="1465">
        <v>82.38</v>
      </c>
      <c r="S119" s="1466">
        <v>1307.53</v>
      </c>
      <c r="T119" s="658">
        <f t="shared" si="29"/>
        <v>729.83</v>
      </c>
      <c r="U119" s="659">
        <f t="shared" si="30"/>
        <v>12799.680000000002</v>
      </c>
    </row>
    <row r="120" spans="2:21">
      <c r="B120" s="1822"/>
      <c r="C120" s="581" t="s">
        <v>20</v>
      </c>
      <c r="D120" s="1467"/>
      <c r="E120" s="1468"/>
      <c r="F120" s="1469"/>
      <c r="G120" s="1470"/>
      <c r="H120" s="1469"/>
      <c r="I120" s="1470"/>
      <c r="J120" s="1469"/>
      <c r="K120" s="1470"/>
      <c r="L120" s="1469"/>
      <c r="M120" s="1470"/>
      <c r="N120" s="1469"/>
      <c r="O120" s="1470"/>
      <c r="P120" s="1469"/>
      <c r="Q120" s="1470"/>
      <c r="R120" s="1469"/>
      <c r="S120" s="1470"/>
      <c r="T120" s="660">
        <f t="shared" si="29"/>
        <v>0</v>
      </c>
      <c r="U120" s="661">
        <f t="shared" si="30"/>
        <v>0</v>
      </c>
    </row>
    <row r="121" spans="2:21">
      <c r="B121" s="1822"/>
      <c r="C121" s="572" t="s">
        <v>21</v>
      </c>
      <c r="D121" s="1463"/>
      <c r="E121" s="1464"/>
      <c r="F121" s="1465"/>
      <c r="G121" s="1466"/>
      <c r="H121" s="1465"/>
      <c r="I121" s="1466"/>
      <c r="J121" s="1465"/>
      <c r="K121" s="1466"/>
      <c r="L121" s="1465"/>
      <c r="M121" s="1466"/>
      <c r="N121" s="1465"/>
      <c r="O121" s="1466"/>
      <c r="P121" s="1465"/>
      <c r="Q121" s="1466"/>
      <c r="R121" s="1465"/>
      <c r="S121" s="1466"/>
      <c r="T121" s="662">
        <f t="shared" si="29"/>
        <v>0</v>
      </c>
      <c r="U121" s="659">
        <f t="shared" si="30"/>
        <v>0</v>
      </c>
    </row>
    <row r="122" spans="2:21">
      <c r="B122" s="1822"/>
      <c r="C122" s="572" t="s">
        <v>26</v>
      </c>
      <c r="D122" s="1463"/>
      <c r="E122" s="1464"/>
      <c r="F122" s="1465"/>
      <c r="G122" s="1466"/>
      <c r="H122" s="1465"/>
      <c r="I122" s="1466"/>
      <c r="J122" s="1465"/>
      <c r="K122" s="1466"/>
      <c r="L122" s="1465"/>
      <c r="M122" s="1466"/>
      <c r="N122" s="1465"/>
      <c r="O122" s="1466"/>
      <c r="P122" s="1465"/>
      <c r="Q122" s="1466"/>
      <c r="R122" s="1465"/>
      <c r="S122" s="1466"/>
      <c r="T122" s="662">
        <f t="shared" si="29"/>
        <v>0</v>
      </c>
      <c r="U122" s="659">
        <f>E122+G122+I122+K122+M122+O122+Q122+S122</f>
        <v>0</v>
      </c>
    </row>
    <row r="123" spans="2:21">
      <c r="B123" s="1822"/>
      <c r="C123" s="572" t="s">
        <v>22</v>
      </c>
      <c r="D123" s="1463"/>
      <c r="E123" s="1464"/>
      <c r="F123" s="1465"/>
      <c r="G123" s="1466"/>
      <c r="H123" s="1465"/>
      <c r="I123" s="1466"/>
      <c r="J123" s="1465"/>
      <c r="K123" s="1466"/>
      <c r="L123" s="1465"/>
      <c r="M123" s="1466"/>
      <c r="N123" s="1465"/>
      <c r="O123" s="1466"/>
      <c r="P123" s="1465"/>
      <c r="Q123" s="1466"/>
      <c r="R123" s="1465"/>
      <c r="S123" s="1466"/>
      <c r="T123" s="662">
        <f t="shared" si="29"/>
        <v>0</v>
      </c>
      <c r="U123" s="659">
        <f>E123+G123+I123+K123+M123+O123+Q123+S123</f>
        <v>0</v>
      </c>
    </row>
    <row r="124" spans="2:21">
      <c r="B124" s="1822"/>
      <c r="C124" s="572" t="s">
        <v>23</v>
      </c>
      <c r="D124" s="1463"/>
      <c r="E124" s="1464"/>
      <c r="F124" s="1465"/>
      <c r="G124" s="1466"/>
      <c r="H124" s="1465"/>
      <c r="I124" s="1466"/>
      <c r="J124" s="1463"/>
      <c r="K124" s="1464"/>
      <c r="L124" s="1465"/>
      <c r="M124" s="1466"/>
      <c r="N124" s="1465"/>
      <c r="O124" s="1466"/>
      <c r="P124" s="1465"/>
      <c r="Q124" s="1466"/>
      <c r="R124" s="1465"/>
      <c r="S124" s="1466"/>
      <c r="T124" s="662">
        <f t="shared" si="29"/>
        <v>0</v>
      </c>
      <c r="U124" s="659">
        <f>E124+G124+I124+K124+M124+O124+Q124+S124</f>
        <v>0</v>
      </c>
    </row>
    <row r="125" spans="2:21">
      <c r="B125" s="1822"/>
      <c r="C125" s="572" t="s">
        <v>24</v>
      </c>
      <c r="D125" s="1463"/>
      <c r="E125" s="1464"/>
      <c r="F125" s="1465"/>
      <c r="G125" s="1466"/>
      <c r="H125" s="1465"/>
      <c r="I125" s="1466"/>
      <c r="J125" s="1465"/>
      <c r="K125" s="1466"/>
      <c r="L125" s="1465"/>
      <c r="M125" s="1466"/>
      <c r="N125" s="1465"/>
      <c r="O125" s="1466"/>
      <c r="P125" s="1465"/>
      <c r="Q125" s="1466"/>
      <c r="R125" s="1465"/>
      <c r="S125" s="1466"/>
      <c r="T125" s="662">
        <f t="shared" si="29"/>
        <v>0</v>
      </c>
      <c r="U125" s="659">
        <f>E125+G125+I125+K125+M125+O125+Q125+S125</f>
        <v>0</v>
      </c>
    </row>
    <row r="126" spans="2:21">
      <c r="B126" s="1822"/>
      <c r="C126" s="572" t="s">
        <v>27</v>
      </c>
      <c r="D126" s="1463"/>
      <c r="E126" s="1464"/>
      <c r="F126" s="1465"/>
      <c r="G126" s="1466"/>
      <c r="H126" s="1465"/>
      <c r="I126" s="1466"/>
      <c r="J126" s="1465"/>
      <c r="K126" s="1466"/>
      <c r="L126" s="1465"/>
      <c r="M126" s="1466"/>
      <c r="N126" s="1465"/>
      <c r="O126" s="1466"/>
      <c r="P126" s="1465"/>
      <c r="Q126" s="1466"/>
      <c r="R126" s="1465"/>
      <c r="S126" s="1466"/>
      <c r="T126" s="662">
        <f t="shared" si="29"/>
        <v>0</v>
      </c>
      <c r="U126" s="659">
        <f>E126+G126+I126+K126+M126+O126+Q126+S126</f>
        <v>0</v>
      </c>
    </row>
    <row r="127" spans="2:21" ht="21" thickBot="1">
      <c r="B127" s="1823"/>
      <c r="C127" s="633" t="s">
        <v>45</v>
      </c>
      <c r="D127" s="667">
        <f t="shared" ref="D127:U127" si="31">SUM(D115:D126)</f>
        <v>334.42999999999995</v>
      </c>
      <c r="E127" s="668">
        <f t="shared" si="31"/>
        <v>5966.99</v>
      </c>
      <c r="F127" s="669">
        <f t="shared" si="31"/>
        <v>387.27000000000004</v>
      </c>
      <c r="G127" s="670">
        <f t="shared" si="31"/>
        <v>6956.09</v>
      </c>
      <c r="H127" s="669">
        <f t="shared" si="31"/>
        <v>223.41</v>
      </c>
      <c r="I127" s="670">
        <f t="shared" si="31"/>
        <v>3903.3199999999997</v>
      </c>
      <c r="J127" s="669">
        <f t="shared" si="31"/>
        <v>278.04000000000002</v>
      </c>
      <c r="K127" s="670">
        <f t="shared" si="31"/>
        <v>4979.3599999999997</v>
      </c>
      <c r="L127" s="669">
        <f t="shared" si="31"/>
        <v>204.23000000000002</v>
      </c>
      <c r="M127" s="670">
        <f t="shared" si="31"/>
        <v>3497.7599999999998</v>
      </c>
      <c r="N127" s="669">
        <f t="shared" si="31"/>
        <v>227.51999999999998</v>
      </c>
      <c r="O127" s="670">
        <f t="shared" si="31"/>
        <v>4226.41</v>
      </c>
      <c r="P127" s="669">
        <f t="shared" si="31"/>
        <v>194</v>
      </c>
      <c r="Q127" s="670">
        <f t="shared" si="31"/>
        <v>3558.79</v>
      </c>
      <c r="R127" s="669">
        <f t="shared" si="31"/>
        <v>241.05999999999997</v>
      </c>
      <c r="S127" s="670">
        <f t="shared" si="31"/>
        <v>3690.1899999999996</v>
      </c>
      <c r="T127" s="669">
        <f t="shared" si="31"/>
        <v>2089.96</v>
      </c>
      <c r="U127" s="671">
        <f t="shared" si="31"/>
        <v>36778.910000000003</v>
      </c>
    </row>
  </sheetData>
  <mergeCells count="53">
    <mergeCell ref="C65:C66"/>
    <mergeCell ref="L65:M65"/>
    <mergeCell ref="N65:O65"/>
    <mergeCell ref="P65:Q65"/>
    <mergeCell ref="R65:S65"/>
    <mergeCell ref="T65:U65"/>
    <mergeCell ref="H81:I81"/>
    <mergeCell ref="J81:K81"/>
    <mergeCell ref="D65:E65"/>
    <mergeCell ref="F65:G65"/>
    <mergeCell ref="H65:I65"/>
    <mergeCell ref="J65:K65"/>
    <mergeCell ref="R97:S97"/>
    <mergeCell ref="T97:U97"/>
    <mergeCell ref="N97:O97"/>
    <mergeCell ref="T81:U81"/>
    <mergeCell ref="N81:O81"/>
    <mergeCell ref="P81:Q81"/>
    <mergeCell ref="R81:S81"/>
    <mergeCell ref="R113:S113"/>
    <mergeCell ref="T113:U113"/>
    <mergeCell ref="D113:E113"/>
    <mergeCell ref="F113:G113"/>
    <mergeCell ref="H113:I113"/>
    <mergeCell ref="J113:K113"/>
    <mergeCell ref="L113:M113"/>
    <mergeCell ref="N113:O113"/>
    <mergeCell ref="B4:B63"/>
    <mergeCell ref="B65:B95"/>
    <mergeCell ref="B97:B127"/>
    <mergeCell ref="C113:C114"/>
    <mergeCell ref="P113:Q113"/>
    <mergeCell ref="C97:C98"/>
    <mergeCell ref="F97:G97"/>
    <mergeCell ref="H97:I97"/>
    <mergeCell ref="J97:K97"/>
    <mergeCell ref="L97:M97"/>
    <mergeCell ref="D97:E97"/>
    <mergeCell ref="P97:Q97"/>
    <mergeCell ref="L81:M81"/>
    <mergeCell ref="C81:C82"/>
    <mergeCell ref="D81:E81"/>
    <mergeCell ref="F81:G81"/>
    <mergeCell ref="D34:E34"/>
    <mergeCell ref="C34:C35"/>
    <mergeCell ref="F34:G34"/>
    <mergeCell ref="H34:I34"/>
    <mergeCell ref="J34:K34"/>
    <mergeCell ref="L34:M34"/>
    <mergeCell ref="N34:O34"/>
    <mergeCell ref="P34:Q34"/>
    <mergeCell ref="R34:S34"/>
    <mergeCell ref="T34:U34"/>
  </mergeCells>
  <conditionalFormatting sqref="E5:E17">
    <cfRule type="cellIs" dxfId="60" priority="222" operator="lessThan">
      <formula>0</formula>
    </cfRule>
    <cfRule type="cellIs" dxfId="59" priority="223" operator="greaterThan">
      <formula>0</formula>
    </cfRule>
  </conditionalFormatting>
  <conditionalFormatting sqref="E20:E33 E49">
    <cfRule type="cellIs" dxfId="58" priority="138" operator="greaterThan">
      <formula>0</formula>
    </cfRule>
    <cfRule type="cellIs" dxfId="57" priority="137" operator="lessThan">
      <formula>0</formula>
    </cfRule>
  </conditionalFormatting>
  <conditionalFormatting sqref="E51:E63">
    <cfRule type="iconSet" priority="44">
      <iconSet iconSet="3Arrows">
        <cfvo type="percent" val="0"/>
        <cfvo type="num" val="0"/>
        <cfvo type="num" val="0"/>
      </iconSet>
    </cfRule>
  </conditionalFormatting>
  <conditionalFormatting sqref="G5:G17">
    <cfRule type="cellIs" dxfId="56" priority="221" operator="greaterThan">
      <formula>0</formula>
    </cfRule>
    <cfRule type="cellIs" dxfId="55" priority="220" operator="lessThan">
      <formula>0</formula>
    </cfRule>
  </conditionalFormatting>
  <conditionalFormatting sqref="G20:G33 G36:G49">
    <cfRule type="cellIs" dxfId="54" priority="136" operator="greaterThan">
      <formula>0</formula>
    </cfRule>
    <cfRule type="cellIs" dxfId="53" priority="135" operator="lessThan">
      <formula>0</formula>
    </cfRule>
  </conditionalFormatting>
  <conditionalFormatting sqref="G51:G62">
    <cfRule type="iconSet" priority="17">
      <iconSet iconSet="3Arrows">
        <cfvo type="percent" val="0"/>
        <cfvo type="num" val="0"/>
        <cfvo type="num" val="0"/>
      </iconSet>
    </cfRule>
  </conditionalFormatting>
  <conditionalFormatting sqref="G63">
    <cfRule type="iconSet" priority="9">
      <iconSet iconSet="3Arrows">
        <cfvo type="percent" val="0"/>
        <cfvo type="num" val="0"/>
        <cfvo type="num" val="0"/>
      </iconSet>
    </cfRule>
  </conditionalFormatting>
  <conditionalFormatting sqref="I5:I17">
    <cfRule type="cellIs" dxfId="52" priority="171" operator="greaterThan">
      <formula>0</formula>
    </cfRule>
    <cfRule type="cellIs" dxfId="51" priority="170" operator="lessThan">
      <formula>0</formula>
    </cfRule>
  </conditionalFormatting>
  <conditionalFormatting sqref="I20:I33 I36:I49">
    <cfRule type="cellIs" dxfId="50" priority="133" operator="lessThan">
      <formula>0</formula>
    </cfRule>
    <cfRule type="cellIs" dxfId="49" priority="134" operator="greaterThan">
      <formula>0</formula>
    </cfRule>
  </conditionalFormatting>
  <conditionalFormatting sqref="I51:I62">
    <cfRule type="iconSet" priority="16">
      <iconSet iconSet="3Arrows">
        <cfvo type="percent" val="0"/>
        <cfvo type="num" val="0"/>
        <cfvo type="num" val="0"/>
      </iconSet>
    </cfRule>
  </conditionalFormatting>
  <conditionalFormatting sqref="I63">
    <cfRule type="iconSet" priority="8">
      <iconSet iconSet="3Arrows">
        <cfvo type="percent" val="0"/>
        <cfvo type="num" val="0"/>
        <cfvo type="num" val="0"/>
      </iconSet>
    </cfRule>
  </conditionalFormatting>
  <conditionalFormatting sqref="K5:K17">
    <cfRule type="cellIs" dxfId="48" priority="169" operator="greaterThan">
      <formula>0</formula>
    </cfRule>
    <cfRule type="cellIs" dxfId="47" priority="168" operator="lessThan">
      <formula>0</formula>
    </cfRule>
  </conditionalFormatting>
  <conditionalFormatting sqref="K20:K33 K36:K49">
    <cfRule type="cellIs" dxfId="46" priority="131" operator="lessThan">
      <formula>0</formula>
    </cfRule>
    <cfRule type="cellIs" dxfId="45" priority="132" operator="greaterThan">
      <formula>0</formula>
    </cfRule>
  </conditionalFormatting>
  <conditionalFormatting sqref="K51:K62">
    <cfRule type="iconSet" priority="15">
      <iconSet iconSet="3Arrows">
        <cfvo type="percent" val="0"/>
        <cfvo type="num" val="0"/>
        <cfvo type="num" val="0"/>
      </iconSet>
    </cfRule>
  </conditionalFormatting>
  <conditionalFormatting sqref="K63">
    <cfRule type="iconSet" priority="7">
      <iconSet iconSet="3Arrows">
        <cfvo type="percent" val="0"/>
        <cfvo type="num" val="0"/>
        <cfvo type="num" val="0"/>
      </iconSet>
    </cfRule>
  </conditionalFormatting>
  <conditionalFormatting sqref="M5:M17">
    <cfRule type="cellIs" dxfId="44" priority="167" operator="greaterThan">
      <formula>0</formula>
    </cfRule>
    <cfRule type="cellIs" dxfId="43" priority="166" operator="lessThan">
      <formula>0</formula>
    </cfRule>
  </conditionalFormatting>
  <conditionalFormatting sqref="M20:M33 M36:M49">
    <cfRule type="cellIs" dxfId="42" priority="130" operator="greaterThan">
      <formula>0</formula>
    </cfRule>
    <cfRule type="cellIs" dxfId="41" priority="129" operator="lessThan">
      <formula>0</formula>
    </cfRule>
  </conditionalFormatting>
  <conditionalFormatting sqref="M51:M62">
    <cfRule type="iconSet" priority="14">
      <iconSet iconSet="3Arrows">
        <cfvo type="percent" val="0"/>
        <cfvo type="num" val="0"/>
        <cfvo type="num" val="0"/>
      </iconSet>
    </cfRule>
  </conditionalFormatting>
  <conditionalFormatting sqref="M63">
    <cfRule type="iconSet" priority="6">
      <iconSet iconSet="3Arrows">
        <cfvo type="percent" val="0"/>
        <cfvo type="num" val="0"/>
        <cfvo type="num" val="0"/>
      </iconSet>
    </cfRule>
  </conditionalFormatting>
  <conditionalFormatting sqref="O5:O17">
    <cfRule type="cellIs" dxfId="40" priority="165" operator="greaterThan">
      <formula>0</formula>
    </cfRule>
    <cfRule type="cellIs" dxfId="39" priority="164" operator="lessThan">
      <formula>0</formula>
    </cfRule>
  </conditionalFormatting>
  <conditionalFormatting sqref="O20:O33 O36:O49">
    <cfRule type="cellIs" dxfId="38" priority="128" operator="greaterThan">
      <formula>0</formula>
    </cfRule>
    <cfRule type="cellIs" dxfId="37" priority="127" operator="lessThan">
      <formula>0</formula>
    </cfRule>
  </conditionalFormatting>
  <conditionalFormatting sqref="O51:O62">
    <cfRule type="iconSet" priority="13">
      <iconSet iconSet="3Arrows">
        <cfvo type="percent" val="0"/>
        <cfvo type="num" val="0"/>
        <cfvo type="num" val="0"/>
      </iconSet>
    </cfRule>
  </conditionalFormatting>
  <conditionalFormatting sqref="O63">
    <cfRule type="iconSet" priority="5">
      <iconSet iconSet="3Arrows">
        <cfvo type="percent" val="0"/>
        <cfvo type="num" val="0"/>
        <cfvo type="num" val="0"/>
      </iconSet>
    </cfRule>
  </conditionalFormatting>
  <conditionalFormatting sqref="Q5:Q17">
    <cfRule type="cellIs" dxfId="36" priority="162" operator="lessThan">
      <formula>0</formula>
    </cfRule>
    <cfRule type="cellIs" dxfId="35" priority="163" operator="greaterThan">
      <formula>0</formula>
    </cfRule>
  </conditionalFormatting>
  <conditionalFormatting sqref="Q20:Q33 Q36:Q49">
    <cfRule type="cellIs" dxfId="34" priority="125" operator="lessThan">
      <formula>0</formula>
    </cfRule>
    <cfRule type="cellIs" dxfId="33" priority="126" operator="greaterThan">
      <formula>0</formula>
    </cfRule>
  </conditionalFormatting>
  <conditionalFormatting sqref="Q51:Q62">
    <cfRule type="iconSet" priority="12">
      <iconSet iconSet="3Arrows">
        <cfvo type="percent" val="0"/>
        <cfvo type="num" val="0"/>
        <cfvo type="num" val="0"/>
      </iconSet>
    </cfRule>
  </conditionalFormatting>
  <conditionalFormatting sqref="Q63">
    <cfRule type="iconSet" priority="4">
      <iconSet iconSet="3Arrows">
        <cfvo type="percent" val="0"/>
        <cfvo type="num" val="0"/>
        <cfvo type="num" val="0"/>
      </iconSet>
    </cfRule>
  </conditionalFormatting>
  <conditionalFormatting sqref="S5:S17">
    <cfRule type="cellIs" dxfId="32" priority="160" operator="lessThan">
      <formula>0</formula>
    </cfRule>
    <cfRule type="cellIs" dxfId="31" priority="161" operator="greaterThan">
      <formula>0</formula>
    </cfRule>
  </conditionalFormatting>
  <conditionalFormatting sqref="S20:S33 S36:S49">
    <cfRule type="cellIs" dxfId="30" priority="123" operator="lessThan">
      <formula>0</formula>
    </cfRule>
    <cfRule type="cellIs" dxfId="29" priority="124" operator="greaterThan">
      <formula>0</formula>
    </cfRule>
  </conditionalFormatting>
  <conditionalFormatting sqref="S51">
    <cfRule type="iconSet" priority="1">
      <iconSet iconSet="3Arrows">
        <cfvo type="percent" val="0"/>
        <cfvo type="num" val="0"/>
        <cfvo type="num" val="0"/>
      </iconSet>
    </cfRule>
  </conditionalFormatting>
  <conditionalFormatting sqref="S52:S62">
    <cfRule type="iconSet" priority="11">
      <iconSet iconSet="3Arrows">
        <cfvo type="percent" val="0"/>
        <cfvo type="num" val="0"/>
        <cfvo type="num" val="0"/>
      </iconSet>
    </cfRule>
  </conditionalFormatting>
  <conditionalFormatting sqref="S63">
    <cfRule type="iconSet" priority="3">
      <iconSet iconSet="3Arrows">
        <cfvo type="percent" val="0"/>
        <cfvo type="num" val="0"/>
        <cfvo type="num" val="0"/>
      </iconSet>
    </cfRule>
  </conditionalFormatting>
  <conditionalFormatting sqref="U5:U17">
    <cfRule type="cellIs" dxfId="28" priority="158" operator="lessThan">
      <formula>0</formula>
    </cfRule>
    <cfRule type="cellIs" dxfId="27" priority="159" operator="greaterThan">
      <formula>0</formula>
    </cfRule>
  </conditionalFormatting>
  <conditionalFormatting sqref="U20:U33 U36:U49">
    <cfRule type="cellIs" dxfId="26" priority="121" operator="lessThan">
      <formula>0</formula>
    </cfRule>
    <cfRule type="cellIs" dxfId="25" priority="122" operator="greaterThan">
      <formula>0</formula>
    </cfRule>
  </conditionalFormatting>
  <conditionalFormatting sqref="U51:U62">
    <cfRule type="iconSet" priority="10">
      <iconSet iconSet="3Arrows">
        <cfvo type="percent" val="0"/>
        <cfvo type="num" val="0"/>
        <cfvo type="num" val="0"/>
      </iconSet>
    </cfRule>
  </conditionalFormatting>
  <conditionalFormatting sqref="U63">
    <cfRule type="iconSet" priority="2">
      <iconSet iconSet="3Arrows">
        <cfvo type="percent" val="0"/>
        <cfvo type="num" val="0"/>
        <cfvo type="num" val="0"/>
      </iconSet>
    </cfRule>
  </conditionalFormatting>
  <printOptions verticalCentered="1"/>
  <pageMargins left="0.2" right="0.2" top="0.25" bottom="0.25" header="0.3" footer="0.3"/>
  <pageSetup paperSize="9" scale="40" orientation="portrait" horizontalDpi="0" verticalDpi="0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53BE7-1E4D-ED40-8390-828A25489F10}">
  <sheetPr codeName="Feuil23">
    <tabColor rgb="FFB294D3"/>
    <pageSetUpPr fitToPage="1"/>
  </sheetPr>
  <dimension ref="B1:Y111"/>
  <sheetViews>
    <sheetView showGridLines="0" tabSelected="1" view="pageBreakPreview" topLeftCell="A74" zoomScale="75" zoomScaleNormal="100" zoomScaleSheetLayoutView="100" workbookViewId="0">
      <selection activeCell="Q105" sqref="Q105"/>
    </sheetView>
  </sheetViews>
  <sheetFormatPr baseColWidth="10" defaultColWidth="10.83203125" defaultRowHeight="19"/>
  <cols>
    <col min="1" max="1" width="3" style="211" customWidth="1"/>
    <col min="2" max="2" width="3.5" style="211" customWidth="1"/>
    <col min="3" max="3" width="14" style="211" bestFit="1" customWidth="1"/>
    <col min="4" max="4" width="15.33203125" style="211" bestFit="1" customWidth="1"/>
    <col min="5" max="5" width="8.6640625" style="211" bestFit="1" customWidth="1"/>
    <col min="6" max="6" width="14.6640625" style="211" customWidth="1"/>
    <col min="7" max="7" width="8" style="211" bestFit="1" customWidth="1"/>
    <col min="8" max="8" width="14.5" style="211" customWidth="1"/>
    <col min="9" max="9" width="8" style="211" bestFit="1" customWidth="1"/>
    <col min="10" max="10" width="14.6640625" style="211" customWidth="1"/>
    <col min="11" max="11" width="8" style="211" bestFit="1" customWidth="1"/>
    <col min="12" max="12" width="14.5" style="211" customWidth="1"/>
    <col min="13" max="13" width="8" style="211" bestFit="1" customWidth="1"/>
    <col min="14" max="14" width="14.5" style="211" customWidth="1"/>
    <col min="15" max="15" width="8" style="211" bestFit="1" customWidth="1"/>
    <col min="16" max="16" width="14.6640625" style="211" customWidth="1"/>
    <col min="17" max="17" width="8" style="211" bestFit="1" customWidth="1"/>
    <col min="18" max="18" width="14.5" style="211" customWidth="1"/>
    <col min="19" max="19" width="8" style="211" bestFit="1" customWidth="1"/>
    <col min="20" max="20" width="16.5" style="211" bestFit="1" customWidth="1"/>
    <col min="21" max="21" width="8" style="211" bestFit="1" customWidth="1"/>
    <col min="22" max="22" width="2.83203125" style="211" customWidth="1"/>
    <col min="23" max="23" width="10.83203125" style="211"/>
    <col min="24" max="24" width="12.6640625" style="211" bestFit="1" customWidth="1"/>
    <col min="25" max="25" width="7.1640625" style="211" bestFit="1" customWidth="1"/>
    <col min="26" max="16384" width="10.83203125" style="211"/>
  </cols>
  <sheetData>
    <row r="1" spans="2:25" ht="20" thickBot="1"/>
    <row r="2" spans="2:25" ht="30" customHeight="1" thickBot="1">
      <c r="B2" s="672"/>
      <c r="C2" s="1855" t="s">
        <v>157</v>
      </c>
      <c r="D2" s="1856"/>
      <c r="E2" s="1856"/>
      <c r="F2" s="1856"/>
      <c r="G2" s="1856"/>
      <c r="H2" s="1856"/>
      <c r="I2" s="1856"/>
      <c r="J2" s="1856"/>
      <c r="K2" s="1856"/>
      <c r="L2" s="1856"/>
      <c r="M2" s="1856"/>
      <c r="N2" s="1856"/>
      <c r="O2" s="1856"/>
      <c r="P2" s="1856"/>
      <c r="Q2" s="1856"/>
      <c r="R2" s="1856"/>
      <c r="S2" s="1856"/>
      <c r="T2" s="1856"/>
      <c r="U2" s="1857"/>
    </row>
    <row r="3" spans="2:25" ht="20" thickBot="1"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3"/>
      <c r="P3" s="673"/>
      <c r="Q3" s="673"/>
      <c r="R3" s="673"/>
      <c r="S3" s="673"/>
      <c r="T3" s="673"/>
      <c r="U3" s="673"/>
    </row>
    <row r="4" spans="2:25" ht="32" customHeight="1">
      <c r="B4" s="1847" t="s">
        <v>238</v>
      </c>
      <c r="C4" s="674" t="s">
        <v>325</v>
      </c>
      <c r="D4" s="1871" t="s">
        <v>28</v>
      </c>
      <c r="E4" s="1872"/>
      <c r="F4" s="1883" t="s">
        <v>29</v>
      </c>
      <c r="G4" s="1884"/>
      <c r="H4" s="1888" t="s">
        <v>30</v>
      </c>
      <c r="I4" s="1889"/>
      <c r="J4" s="1890" t="s">
        <v>31</v>
      </c>
      <c r="K4" s="1891"/>
      <c r="L4" s="1871" t="s">
        <v>32</v>
      </c>
      <c r="M4" s="1872"/>
      <c r="N4" s="1893" t="s">
        <v>253</v>
      </c>
      <c r="O4" s="1884"/>
      <c r="P4" s="1888" t="s">
        <v>34</v>
      </c>
      <c r="Q4" s="1889"/>
      <c r="R4" s="1890" t="s">
        <v>308</v>
      </c>
      <c r="S4" s="1891"/>
      <c r="T4" s="1888" t="s">
        <v>37</v>
      </c>
      <c r="U4" s="1897"/>
      <c r="X4" s="211" t="str">
        <f>D4</f>
        <v>CHAMBERY</v>
      </c>
      <c r="Y4" s="237">
        <f>E17</f>
        <v>0</v>
      </c>
    </row>
    <row r="5" spans="2:25">
      <c r="B5" s="1848"/>
      <c r="C5" s="684" t="s">
        <v>10</v>
      </c>
      <c r="D5" s="1873">
        <f>+'[1]NORMAC 26'!$C$13</f>
        <v>0.76064957954347789</v>
      </c>
      <c r="E5" s="1874"/>
      <c r="F5" s="1879">
        <f>+'[1]TGM 26'!$C$13</f>
        <v>0.76555956485733379</v>
      </c>
      <c r="G5" s="1903"/>
      <c r="H5" s="1907">
        <f>+'[1]FLORJER 26'!$C$13</f>
        <v>0.76983649504735641</v>
      </c>
      <c r="I5" s="1892"/>
      <c r="J5" s="1873">
        <f>+'[1]BASARCHE 26'!$C$13</f>
        <v>0.7632566465363172</v>
      </c>
      <c r="K5" s="1874"/>
      <c r="L5" s="1907">
        <f>+'[1]CAMAIEU 26'!$C$13</f>
        <v>0.75875109816702635</v>
      </c>
      <c r="M5" s="1892"/>
      <c r="N5" s="1873">
        <f>+'[1]GLENANS 26'!$C$13</f>
        <v>0.75951612233661059</v>
      </c>
      <c r="O5" s="1874"/>
      <c r="P5" s="1907">
        <f>+'[1]JARV 26'!$C$13</f>
        <v>0.75910505348415114</v>
      </c>
      <c r="Q5" s="1892"/>
      <c r="R5" s="1873">
        <f>+'[1]THENALAC 26'!$C$13</f>
        <v>0.75508034042014849</v>
      </c>
      <c r="S5" s="1892"/>
      <c r="T5" s="1914">
        <f>+'[1]FRANCHISE 26'!$C$13</f>
        <v>0.76191117030422129</v>
      </c>
      <c r="U5" s="1898"/>
      <c r="X5" s="211" t="str">
        <f>F4</f>
        <v>AIX LES BAINS</v>
      </c>
      <c r="Y5" s="237">
        <f>G17</f>
        <v>0</v>
      </c>
    </row>
    <row r="6" spans="2:25">
      <c r="B6" s="1848"/>
      <c r="C6" s="684" t="s">
        <v>25</v>
      </c>
      <c r="D6" s="1873">
        <f>+'[1]NORMAC 26'!$F$13</f>
        <v>0.76633657378250808</v>
      </c>
      <c r="E6" s="1874"/>
      <c r="F6" s="1879">
        <f>+'[1]TGM 26'!$F$13</f>
        <v>0.77302160261900776</v>
      </c>
      <c r="G6" s="1903"/>
      <c r="H6" s="1907">
        <f>+'[1]FLORJER 26'!$F$13</f>
        <v>0.77175715625523922</v>
      </c>
      <c r="I6" s="1892"/>
      <c r="J6" s="1873">
        <f>+'[1]BASARCHE 26'!$F$13</f>
        <v>0.76937238225204052</v>
      </c>
      <c r="K6" s="1874"/>
      <c r="L6" s="1907">
        <f>+'[1]CAMAIEU 26'!$F$13</f>
        <v>0.76008127054655961</v>
      </c>
      <c r="M6" s="1892"/>
      <c r="N6" s="1873">
        <f>+'[1]GLENANS 26'!$F$13</f>
        <v>0.76511408199804731</v>
      </c>
      <c r="O6" s="1874"/>
      <c r="P6" s="1907">
        <f>+'[1]JARV 26'!$F$13</f>
        <v>0.76456058850750885</v>
      </c>
      <c r="Q6" s="1892"/>
      <c r="R6" s="1873">
        <f>+'[1]THENALAC 26'!$F$13</f>
        <v>0.76007866088202358</v>
      </c>
      <c r="S6" s="1894"/>
      <c r="T6" s="1914">
        <f>+'[1]FRANCHISE 26'!$F$13</f>
        <v>0.7670341437788879</v>
      </c>
      <c r="U6" s="1898"/>
      <c r="X6" s="211" t="str">
        <f>H4</f>
        <v>BELLEY</v>
      </c>
      <c r="Y6" s="237">
        <f>I17</f>
        <v>0</v>
      </c>
    </row>
    <row r="7" spans="2:25">
      <c r="B7" s="1848"/>
      <c r="C7" s="684" t="s">
        <v>17</v>
      </c>
      <c r="D7" s="1873">
        <f>+'[1]NORMAC 26'!$I$13</f>
        <v>0.76461719498969083</v>
      </c>
      <c r="E7" s="1874"/>
      <c r="F7" s="1879">
        <f>+'[1]TGM 26'!$I$13</f>
        <v>0.76619103841711811</v>
      </c>
      <c r="G7" s="1904"/>
      <c r="H7" s="1907">
        <f>+'[1]FLORJER 26'!$I$13</f>
        <v>0.77067378841608924</v>
      </c>
      <c r="I7" s="1892"/>
      <c r="J7" s="1873">
        <f>+'[1]BASARCHE 26'!$I$13</f>
        <v>0.7718486343659624</v>
      </c>
      <c r="K7" s="1874"/>
      <c r="L7" s="1907">
        <f>+'[1]CAMAIEU 26'!$I$13</f>
        <v>0.76351471050279784</v>
      </c>
      <c r="M7" s="1892"/>
      <c r="N7" s="1873">
        <f>+'[1]GLENANS 26'!$I$13</f>
        <v>0.76756282116246866</v>
      </c>
      <c r="O7" s="1874"/>
      <c r="P7" s="1907">
        <f>+'[1]JARV 26'!$I$13</f>
        <v>0.76181151700443961</v>
      </c>
      <c r="Q7" s="1892"/>
      <c r="R7" s="1873">
        <f>+'[1]THENALAC 26'!$I$13</f>
        <v>0.76494504001665364</v>
      </c>
      <c r="S7" s="1894"/>
      <c r="T7" s="1914">
        <f>+'[1]FRANCHISE 26'!$I$13</f>
        <v>0.76667406763830959</v>
      </c>
      <c r="U7" s="1898"/>
      <c r="X7" s="211" t="str">
        <f>J4</f>
        <v>ST ALBAN</v>
      </c>
      <c r="Y7" s="237">
        <f>K17</f>
        <v>0</v>
      </c>
    </row>
    <row r="8" spans="2:25">
      <c r="B8" s="1848"/>
      <c r="C8" s="684" t="s">
        <v>18</v>
      </c>
      <c r="D8" s="1873">
        <f>+'[1]NORMAC 26'!$L$13</f>
        <v>0.76712762185051164</v>
      </c>
      <c r="E8" s="1874"/>
      <c r="F8" s="1879">
        <f>+'[1]TGM 26'!$L$13</f>
        <v>0.76908033086698269</v>
      </c>
      <c r="G8" s="1903"/>
      <c r="H8" s="1907">
        <f>+'[1]FLORJER 26'!$L$13</f>
        <v>0.77523130554025199</v>
      </c>
      <c r="I8" s="1894"/>
      <c r="J8" s="1873">
        <f>+'[1]BASARCHE 26'!$L$13</f>
        <v>0.77033133115776498</v>
      </c>
      <c r="K8" s="1874"/>
      <c r="L8" s="1907">
        <f>+'[1]CAMAIEU 26'!$L$13</f>
        <v>0.76864396890545206</v>
      </c>
      <c r="M8" s="1892"/>
      <c r="N8" s="1873">
        <f>+'[1]GLENANS 26'!$L$13</f>
        <v>0.76718827986832061</v>
      </c>
      <c r="O8" s="1874"/>
      <c r="P8" s="1907">
        <f>+'[1]JARV 26'!$L$13</f>
        <v>0.75885936668808829</v>
      </c>
      <c r="Q8" s="1892"/>
      <c r="R8" s="1873">
        <f>+'[1]THENALAC 26'!$L$13</f>
        <v>0.76477962474972261</v>
      </c>
      <c r="S8" s="1894"/>
      <c r="T8" s="1914">
        <f>+'[1]FRANCHISE 26'!$L$13</f>
        <v>0.76812624756452297</v>
      </c>
      <c r="U8" s="1898"/>
      <c r="X8" s="211" t="str">
        <f>L4</f>
        <v>LES ABRETS</v>
      </c>
      <c r="Y8" s="237">
        <f>M17</f>
        <v>0</v>
      </c>
    </row>
    <row r="9" spans="2:25">
      <c r="B9" s="1848"/>
      <c r="C9" s="684" t="s">
        <v>19</v>
      </c>
      <c r="D9" s="1873">
        <f>+'[1]NORMAC 26'!$O$13</f>
        <v>0.75676422625011341</v>
      </c>
      <c r="E9" s="1874"/>
      <c r="F9" s="1879">
        <f>+'[1]TGM 26'!$O$13</f>
        <v>0.76025736488670181</v>
      </c>
      <c r="G9" s="1903"/>
      <c r="H9" s="1907">
        <f>+'[1]FLORJER 26'!$O$13</f>
        <v>0.76766211379277105</v>
      </c>
      <c r="I9" s="1895"/>
      <c r="J9" s="1873">
        <f>+'[1]BASARCHE 26'!$O$13</f>
        <v>0.75781474492457734</v>
      </c>
      <c r="K9" s="1874"/>
      <c r="L9" s="1907">
        <f>+'[1]CAMAIEU 26'!$O$13</f>
        <v>0.75680706547120502</v>
      </c>
      <c r="M9" s="1892"/>
      <c r="N9" s="1873">
        <f>+'[1]GLENANS 26'!$O$13</f>
        <v>0.75576877622597871</v>
      </c>
      <c r="O9" s="1874"/>
      <c r="P9" s="1907">
        <f>+'[1]JARV 26'!$O$13</f>
        <v>0.7629545753473479</v>
      </c>
      <c r="Q9" s="1892"/>
      <c r="R9" s="1873">
        <f>+'[1]THENALAC 26'!$O$13</f>
        <v>0.76088935152421222</v>
      </c>
      <c r="S9" s="1895"/>
      <c r="T9" s="1914">
        <f>+'[1]FRANCHISE 26'!$O$13</f>
        <v>0.75965814038621182</v>
      </c>
      <c r="U9" s="1898"/>
      <c r="X9" s="211" t="str">
        <f>N4</f>
        <v>PDB</v>
      </c>
      <c r="Y9" s="237">
        <f>O17</f>
        <v>0</v>
      </c>
    </row>
    <row r="10" spans="2:25">
      <c r="B10" s="1848"/>
      <c r="C10" s="697" t="s">
        <v>20</v>
      </c>
      <c r="D10" s="1875"/>
      <c r="E10" s="1876"/>
      <c r="F10" s="1880"/>
      <c r="G10" s="1876"/>
      <c r="H10" s="1908"/>
      <c r="I10" s="1909"/>
      <c r="J10" s="1875"/>
      <c r="K10" s="1876"/>
      <c r="L10" s="1908"/>
      <c r="M10" s="1909"/>
      <c r="N10" s="1875"/>
      <c r="O10" s="1876"/>
      <c r="P10" s="1908"/>
      <c r="Q10" s="1909"/>
      <c r="R10" s="1875"/>
      <c r="S10" s="1896"/>
      <c r="T10" s="1915"/>
      <c r="U10" s="1899"/>
      <c r="X10" s="211" t="str">
        <f>P4</f>
        <v>FRANCIN</v>
      </c>
      <c r="Y10" s="237">
        <f>Q17</f>
        <v>0</v>
      </c>
    </row>
    <row r="11" spans="2:25">
      <c r="B11" s="1848"/>
      <c r="C11" s="684" t="s">
        <v>21</v>
      </c>
      <c r="D11" s="1873"/>
      <c r="E11" s="1877"/>
      <c r="F11" s="1879"/>
      <c r="G11" s="1905"/>
      <c r="H11" s="1907"/>
      <c r="I11" s="1910"/>
      <c r="J11" s="1873"/>
      <c r="K11" s="1905"/>
      <c r="L11" s="1907"/>
      <c r="M11" s="1910"/>
      <c r="N11" s="1873"/>
      <c r="O11" s="1905"/>
      <c r="P11" s="1907"/>
      <c r="Q11" s="1910"/>
      <c r="R11" s="1873"/>
      <c r="S11" s="1886"/>
      <c r="T11" s="1916"/>
      <c r="U11" s="1900"/>
      <c r="X11" s="211" t="str">
        <f>R4</f>
        <v>VIVIERS</v>
      </c>
      <c r="Y11" s="237">
        <f>S17</f>
        <v>0</v>
      </c>
    </row>
    <row r="12" spans="2:25">
      <c r="B12" s="1848"/>
      <c r="C12" s="684" t="s">
        <v>26</v>
      </c>
      <c r="D12" s="1873"/>
      <c r="E12" s="1877"/>
      <c r="F12" s="1879"/>
      <c r="G12" s="1905"/>
      <c r="H12" s="1907"/>
      <c r="I12" s="1910"/>
      <c r="J12" s="1873"/>
      <c r="K12" s="1905"/>
      <c r="L12" s="1907"/>
      <c r="M12" s="1910"/>
      <c r="N12" s="1873"/>
      <c r="O12" s="1905"/>
      <c r="P12" s="1907"/>
      <c r="Q12" s="1910"/>
      <c r="R12" s="1873"/>
      <c r="S12" s="1886"/>
      <c r="T12" s="1916"/>
      <c r="U12" s="1900"/>
    </row>
    <row r="13" spans="2:25">
      <c r="B13" s="1848"/>
      <c r="C13" s="684" t="s">
        <v>22</v>
      </c>
      <c r="D13" s="1873"/>
      <c r="E13" s="1877"/>
      <c r="F13" s="1879"/>
      <c r="G13" s="1905"/>
      <c r="H13" s="1907"/>
      <c r="I13" s="1910"/>
      <c r="J13" s="1873"/>
      <c r="K13" s="1905"/>
      <c r="L13" s="1907"/>
      <c r="M13" s="1910"/>
      <c r="N13" s="1873"/>
      <c r="O13" s="1905"/>
      <c r="P13" s="1907"/>
      <c r="Q13" s="1910"/>
      <c r="R13" s="1873"/>
      <c r="S13" s="1886"/>
      <c r="T13" s="1916"/>
      <c r="U13" s="1900"/>
    </row>
    <row r="14" spans="2:25">
      <c r="B14" s="1848"/>
      <c r="C14" s="684" t="s">
        <v>23</v>
      </c>
      <c r="D14" s="1873"/>
      <c r="E14" s="1877"/>
      <c r="F14" s="1879"/>
      <c r="G14" s="1905"/>
      <c r="H14" s="1907"/>
      <c r="I14" s="1910"/>
      <c r="J14" s="1873"/>
      <c r="K14" s="1905"/>
      <c r="L14" s="1907"/>
      <c r="M14" s="1910"/>
      <c r="N14" s="1873"/>
      <c r="O14" s="1905"/>
      <c r="P14" s="1907"/>
      <c r="Q14" s="1910"/>
      <c r="R14" s="1873"/>
      <c r="S14" s="1886"/>
      <c r="T14" s="1916"/>
      <c r="U14" s="1900"/>
    </row>
    <row r="15" spans="2:25">
      <c r="B15" s="1848"/>
      <c r="C15" s="684" t="s">
        <v>24</v>
      </c>
      <c r="D15" s="1873"/>
      <c r="E15" s="1877"/>
      <c r="F15" s="1879"/>
      <c r="G15" s="1905"/>
      <c r="H15" s="1907"/>
      <c r="I15" s="1910"/>
      <c r="J15" s="1873"/>
      <c r="K15" s="1905"/>
      <c r="L15" s="1907"/>
      <c r="M15" s="1910"/>
      <c r="N15" s="1873"/>
      <c r="O15" s="1905"/>
      <c r="P15" s="1907"/>
      <c r="Q15" s="1910"/>
      <c r="R15" s="1873"/>
      <c r="S15" s="1886"/>
      <c r="T15" s="1916"/>
      <c r="U15" s="1900"/>
    </row>
    <row r="16" spans="2:25">
      <c r="B16" s="1848"/>
      <c r="C16" s="684" t="s">
        <v>27</v>
      </c>
      <c r="D16" s="1873"/>
      <c r="E16" s="1878"/>
      <c r="F16" s="1879"/>
      <c r="G16" s="1906"/>
      <c r="H16" s="1907"/>
      <c r="I16" s="1887"/>
      <c r="J16" s="1873"/>
      <c r="K16" s="1906"/>
      <c r="L16" s="1907"/>
      <c r="M16" s="1887"/>
      <c r="N16" s="1873"/>
      <c r="O16" s="1906"/>
      <c r="P16" s="1907"/>
      <c r="Q16" s="1887"/>
      <c r="R16" s="1873"/>
      <c r="S16" s="1885"/>
      <c r="T16" s="1914"/>
      <c r="U16" s="1901"/>
    </row>
    <row r="17" spans="2:25" s="229" customFormat="1" ht="20" thickBot="1">
      <c r="B17" s="1848"/>
      <c r="C17" s="701"/>
      <c r="D17" s="1881">
        <f>+'[1]NORMAC 26'!$AM$13</f>
        <v>0.76310489770459122</v>
      </c>
      <c r="E17" s="1882"/>
      <c r="F17" s="1913">
        <f>+'[1]TGM 26'!$AM$13</f>
        <v>0.76663501327507755</v>
      </c>
      <c r="G17" s="1882"/>
      <c r="H17" s="1911">
        <f>+'[1]FLORJER 26'!$AM$13</f>
        <v>0.77097864705595864</v>
      </c>
      <c r="I17" s="1912"/>
      <c r="J17" s="1881">
        <f>+'[1]BASARCHE 26'!$AM$13</f>
        <v>0.76649315603143753</v>
      </c>
      <c r="K17" s="1882"/>
      <c r="L17" s="1911">
        <f>+'[1]CAMAIEU 26'!$AM$13</f>
        <v>0.76158544246315418</v>
      </c>
      <c r="M17" s="1912"/>
      <c r="N17" s="1881">
        <f>+'[1]GLENANS 26'!$AM$13</f>
        <v>0.76295058507118751</v>
      </c>
      <c r="O17" s="1882"/>
      <c r="P17" s="1911">
        <f>+'[1]JARV 26'!$AM$13</f>
        <v>0.76145754678510302</v>
      </c>
      <c r="Q17" s="1912"/>
      <c r="R17" s="1881">
        <f>+'[1]THENALAC 26'!$AM$13</f>
        <v>0.76108674515732933</v>
      </c>
      <c r="S17" s="1882"/>
      <c r="T17" s="1881">
        <f>+'[1]FRANCHISE 26'!$AM$13</f>
        <v>0.76462305421025023</v>
      </c>
      <c r="U17" s="1902"/>
    </row>
    <row r="18" spans="2:25" ht="20" thickBot="1">
      <c r="B18" s="1848"/>
      <c r="U18" s="702"/>
    </row>
    <row r="19" spans="2:25" ht="32" customHeight="1">
      <c r="B19" s="1848"/>
      <c r="C19" s="703" t="s">
        <v>326</v>
      </c>
      <c r="D19" s="704" t="s">
        <v>28</v>
      </c>
      <c r="E19" s="705">
        <v>0.39579999999999999</v>
      </c>
      <c r="F19" s="706" t="s">
        <v>29</v>
      </c>
      <c r="G19" s="707">
        <v>0.379</v>
      </c>
      <c r="H19" s="708" t="s">
        <v>30</v>
      </c>
      <c r="I19" s="709">
        <v>0.39850000000000002</v>
      </c>
      <c r="J19" s="710" t="s">
        <v>31</v>
      </c>
      <c r="K19" s="711">
        <v>0.37640000000000001</v>
      </c>
      <c r="L19" s="704" t="s">
        <v>32</v>
      </c>
      <c r="M19" s="705">
        <v>0.36780000000000002</v>
      </c>
      <c r="N19" s="706" t="s">
        <v>253</v>
      </c>
      <c r="O19" s="707">
        <v>0.36870000000000003</v>
      </c>
      <c r="P19" s="708" t="s">
        <v>34</v>
      </c>
      <c r="Q19" s="709">
        <v>0.36709999999999998</v>
      </c>
      <c r="R19" s="710" t="str">
        <f>R4</f>
        <v>VIVIERS</v>
      </c>
      <c r="S19" s="711">
        <v>0.32969999999999999</v>
      </c>
      <c r="T19" s="708" t="s">
        <v>37</v>
      </c>
      <c r="U19" s="712">
        <v>0.37669999999999998</v>
      </c>
      <c r="X19" s="211" t="str">
        <f>D19</f>
        <v>CHAMBERY</v>
      </c>
      <c r="Y19" s="237">
        <f>E32</f>
        <v>0</v>
      </c>
    </row>
    <row r="20" spans="2:25">
      <c r="B20" s="1848"/>
      <c r="C20" s="684" t="s">
        <v>10</v>
      </c>
      <c r="D20" s="685"/>
      <c r="E20" s="693"/>
      <c r="F20" s="686"/>
      <c r="G20" s="688"/>
      <c r="H20" s="685"/>
      <c r="I20" s="694"/>
      <c r="J20" s="686"/>
      <c r="K20" s="687"/>
      <c r="L20" s="685"/>
      <c r="M20" s="694"/>
      <c r="N20" s="686"/>
      <c r="O20" s="687"/>
      <c r="P20" s="685"/>
      <c r="Q20" s="694"/>
      <c r="R20" s="686"/>
      <c r="S20" s="687"/>
      <c r="T20" s="1114"/>
      <c r="U20" s="690"/>
      <c r="X20" s="211" t="str">
        <f>F19</f>
        <v>AIX LES BAINS</v>
      </c>
      <c r="Y20" s="237">
        <f>G32</f>
        <v>0</v>
      </c>
    </row>
    <row r="21" spans="2:25">
      <c r="B21" s="1848"/>
      <c r="C21" s="684" t="s">
        <v>25</v>
      </c>
      <c r="D21" s="685"/>
      <c r="E21" s="694"/>
      <c r="F21" s="686"/>
      <c r="G21" s="713"/>
      <c r="H21" s="685"/>
      <c r="I21" s="693"/>
      <c r="J21" s="686"/>
      <c r="K21" s="687"/>
      <c r="L21" s="685"/>
      <c r="M21" s="693"/>
      <c r="N21" s="686"/>
      <c r="O21" s="695"/>
      <c r="P21" s="685"/>
      <c r="Q21" s="693"/>
      <c r="R21" s="686"/>
      <c r="S21" s="687"/>
      <c r="T21" s="1114"/>
      <c r="U21" s="690"/>
      <c r="X21" s="211" t="str">
        <f>H19</f>
        <v>BELLEY</v>
      </c>
      <c r="Y21" s="237">
        <f>I32</f>
        <v>0</v>
      </c>
    </row>
    <row r="22" spans="2:25">
      <c r="B22" s="1848"/>
      <c r="C22" s="684" t="s">
        <v>17</v>
      </c>
      <c r="D22" s="685"/>
      <c r="E22" s="694"/>
      <c r="F22" s="686"/>
      <c r="G22" s="713"/>
      <c r="H22" s="685"/>
      <c r="I22" s="694"/>
      <c r="J22" s="686"/>
      <c r="K22" s="695"/>
      <c r="L22" s="685"/>
      <c r="M22" s="693"/>
      <c r="N22" s="686"/>
      <c r="O22" s="695"/>
      <c r="P22" s="685"/>
      <c r="Q22" s="693"/>
      <c r="R22" s="686"/>
      <c r="S22" s="695"/>
      <c r="T22" s="1114"/>
      <c r="U22" s="696"/>
      <c r="X22" s="211" t="str">
        <f>J19</f>
        <v>ST ALBAN</v>
      </c>
      <c r="Y22" s="237">
        <f>K32</f>
        <v>0</v>
      </c>
    </row>
    <row r="23" spans="2:25">
      <c r="B23" s="1848"/>
      <c r="C23" s="684" t="s">
        <v>18</v>
      </c>
      <c r="D23" s="685"/>
      <c r="E23" s="694"/>
      <c r="F23" s="686"/>
      <c r="G23" s="713"/>
      <c r="H23" s="685"/>
      <c r="I23" s="693"/>
      <c r="J23" s="686"/>
      <c r="K23" s="695"/>
      <c r="L23" s="685"/>
      <c r="M23" s="693"/>
      <c r="N23" s="686"/>
      <c r="O23" s="695"/>
      <c r="P23" s="685"/>
      <c r="Q23" s="693"/>
      <c r="R23" s="686"/>
      <c r="S23" s="695"/>
      <c r="T23" s="1114"/>
      <c r="U23" s="696"/>
      <c r="X23" s="211" t="str">
        <f>L19</f>
        <v>LES ABRETS</v>
      </c>
      <c r="Y23" s="237">
        <f>M32</f>
        <v>0</v>
      </c>
    </row>
    <row r="24" spans="2:25">
      <c r="B24" s="1848"/>
      <c r="C24" s="684" t="s">
        <v>19</v>
      </c>
      <c r="D24" s="685"/>
      <c r="E24" s="694"/>
      <c r="F24" s="686"/>
      <c r="G24" s="713"/>
      <c r="H24" s="685"/>
      <c r="I24" s="1057"/>
      <c r="J24" s="686"/>
      <c r="K24" s="695"/>
      <c r="L24" s="685"/>
      <c r="M24" s="1057"/>
      <c r="N24" s="686"/>
      <c r="O24" s="695"/>
      <c r="P24" s="685"/>
      <c r="Q24" s="693"/>
      <c r="R24" s="686"/>
      <c r="S24" s="695"/>
      <c r="T24" s="1114"/>
      <c r="U24" s="696"/>
      <c r="X24" s="211" t="str">
        <f>N19</f>
        <v>PDB</v>
      </c>
      <c r="Y24" s="237">
        <f>O32</f>
        <v>0</v>
      </c>
    </row>
    <row r="25" spans="2:25">
      <c r="B25" s="1848"/>
      <c r="C25" s="697" t="s">
        <v>20</v>
      </c>
      <c r="D25" s="1111"/>
      <c r="E25" s="1115"/>
      <c r="F25" s="1113"/>
      <c r="G25" s="1131"/>
      <c r="H25" s="1113"/>
      <c r="I25" s="1132"/>
      <c r="J25" s="1113"/>
      <c r="K25" s="1131"/>
      <c r="L25" s="1113"/>
      <c r="M25" s="1131"/>
      <c r="N25" s="1113"/>
      <c r="O25" s="1131"/>
      <c r="P25" s="1113"/>
      <c r="Q25" s="1131"/>
      <c r="R25" s="1113"/>
      <c r="S25" s="1131"/>
      <c r="T25" s="1112"/>
      <c r="U25" s="1125"/>
      <c r="X25" s="211" t="str">
        <f>P19</f>
        <v>FRANCIN</v>
      </c>
      <c r="Y25" s="237">
        <f>Q32</f>
        <v>0</v>
      </c>
    </row>
    <row r="26" spans="2:25">
      <c r="B26" s="1848"/>
      <c r="C26" s="684" t="s">
        <v>21</v>
      </c>
      <c r="D26" s="1167"/>
      <c r="E26" s="698"/>
      <c r="F26" s="1168"/>
      <c r="G26" s="1170"/>
      <c r="H26" s="1168"/>
      <c r="I26" s="1170"/>
      <c r="J26" s="1168"/>
      <c r="K26" s="1170"/>
      <c r="L26" s="1168"/>
      <c r="M26" s="1170"/>
      <c r="N26" s="1168"/>
      <c r="O26" s="1169"/>
      <c r="P26" s="1168"/>
      <c r="Q26" s="1170"/>
      <c r="R26" s="1168"/>
      <c r="S26" s="1170"/>
      <c r="T26" s="1171"/>
      <c r="U26" s="1172"/>
      <c r="X26" s="211" t="str">
        <f>R19</f>
        <v>VIVIERS</v>
      </c>
      <c r="Y26" s="237">
        <f>S32</f>
        <v>0</v>
      </c>
    </row>
    <row r="27" spans="2:25">
      <c r="B27" s="1848"/>
      <c r="C27" s="684" t="s">
        <v>26</v>
      </c>
      <c r="D27" s="685"/>
      <c r="E27" s="693"/>
      <c r="F27" s="686"/>
      <c r="G27" s="713"/>
      <c r="H27" s="686"/>
      <c r="I27" s="713"/>
      <c r="J27" s="686"/>
      <c r="K27" s="688"/>
      <c r="L27" s="686"/>
      <c r="M27" s="688"/>
      <c r="N27" s="686"/>
      <c r="O27" s="713"/>
      <c r="P27" s="686"/>
      <c r="Q27" s="713"/>
      <c r="R27" s="686"/>
      <c r="S27" s="688"/>
      <c r="T27" s="1226"/>
      <c r="U27" s="714"/>
    </row>
    <row r="28" spans="2:25">
      <c r="B28" s="1848"/>
      <c r="C28" s="684" t="s">
        <v>22</v>
      </c>
      <c r="D28" s="685"/>
      <c r="E28" s="1057"/>
      <c r="F28" s="686"/>
      <c r="G28" s="1053"/>
      <c r="H28" s="686"/>
      <c r="I28" s="713"/>
      <c r="J28" s="686"/>
      <c r="K28" s="1053"/>
      <c r="L28" s="686"/>
      <c r="M28" s="688"/>
      <c r="N28" s="686"/>
      <c r="O28" s="713"/>
      <c r="P28" s="686"/>
      <c r="Q28" s="713"/>
      <c r="R28" s="686"/>
      <c r="S28" s="713"/>
      <c r="T28" s="1226"/>
      <c r="U28" s="714"/>
    </row>
    <row r="29" spans="2:25">
      <c r="B29" s="1848"/>
      <c r="C29" s="684" t="s">
        <v>23</v>
      </c>
      <c r="D29" s="685"/>
      <c r="E29" s="1057"/>
      <c r="F29" s="686"/>
      <c r="G29" s="1053"/>
      <c r="H29" s="686"/>
      <c r="I29" s="713"/>
      <c r="J29" s="686"/>
      <c r="K29" s="1053"/>
      <c r="L29" s="686"/>
      <c r="M29" s="688"/>
      <c r="N29" s="686"/>
      <c r="O29" s="713"/>
      <c r="P29" s="686"/>
      <c r="Q29" s="713"/>
      <c r="R29" s="686"/>
      <c r="S29" s="713"/>
      <c r="T29" s="1226"/>
      <c r="U29" s="714"/>
    </row>
    <row r="30" spans="2:25">
      <c r="B30" s="1848"/>
      <c r="C30" s="684" t="s">
        <v>24</v>
      </c>
      <c r="D30" s="685"/>
      <c r="E30" s="724"/>
      <c r="F30" s="686"/>
      <c r="G30" s="750"/>
      <c r="H30" s="686"/>
      <c r="I30" s="750"/>
      <c r="J30" s="686"/>
      <c r="K30" s="750"/>
      <c r="L30" s="686"/>
      <c r="M30" s="750"/>
      <c r="N30" s="686"/>
      <c r="O30" s="750"/>
      <c r="P30" s="686"/>
      <c r="Q30" s="750"/>
      <c r="R30" s="686"/>
      <c r="S30" s="750"/>
      <c r="T30" s="1226"/>
      <c r="U30" s="754"/>
    </row>
    <row r="31" spans="2:25">
      <c r="B31" s="1848"/>
      <c r="C31" s="684" t="s">
        <v>27</v>
      </c>
      <c r="D31" s="691"/>
      <c r="E31" s="691"/>
      <c r="F31" s="692"/>
      <c r="G31" s="699"/>
      <c r="H31" s="691"/>
      <c r="I31" s="691"/>
      <c r="J31" s="692"/>
      <c r="K31" s="699"/>
      <c r="L31" s="691"/>
      <c r="M31" s="691"/>
      <c r="N31" s="692"/>
      <c r="O31" s="699"/>
      <c r="P31" s="691"/>
      <c r="Q31" s="691"/>
      <c r="R31" s="692"/>
      <c r="S31" s="687"/>
      <c r="T31" s="689"/>
      <c r="U31" s="700"/>
    </row>
    <row r="32" spans="2:25" s="229" customFormat="1" ht="20" thickBot="1">
      <c r="B32" s="1849"/>
      <c r="C32" s="715"/>
      <c r="D32" s="1122"/>
      <c r="E32" s="1123"/>
      <c r="F32" s="1122"/>
      <c r="G32" s="1126"/>
      <c r="H32" s="1122"/>
      <c r="I32" s="1123"/>
      <c r="J32" s="1122"/>
      <c r="K32" s="1123"/>
      <c r="L32" s="1122"/>
      <c r="M32" s="1126"/>
      <c r="N32" s="1122"/>
      <c r="O32" s="1126"/>
      <c r="P32" s="1122"/>
      <c r="Q32" s="1126"/>
      <c r="R32" s="1122"/>
      <c r="S32" s="1126"/>
      <c r="T32" s="1122"/>
      <c r="U32" s="1124"/>
    </row>
    <row r="33" spans="2:22" ht="20" thickBot="1"/>
    <row r="34" spans="2:22" ht="32" customHeight="1">
      <c r="B34" s="1847" t="s">
        <v>239</v>
      </c>
      <c r="C34" s="674" t="s">
        <v>327</v>
      </c>
      <c r="D34" s="675" t="s">
        <v>28</v>
      </c>
      <c r="E34" s="676">
        <v>5.4999999999999997E-3</v>
      </c>
      <c r="F34" s="677" t="s">
        <v>29</v>
      </c>
      <c r="G34" s="678">
        <v>6.0000000000000001E-3</v>
      </c>
      <c r="H34" s="679" t="s">
        <v>30</v>
      </c>
      <c r="I34" s="680">
        <v>5.0000000000000001E-3</v>
      </c>
      <c r="J34" s="681" t="s">
        <v>31</v>
      </c>
      <c r="K34" s="682">
        <v>6.0000000000000001E-3</v>
      </c>
      <c r="L34" s="675" t="s">
        <v>32</v>
      </c>
      <c r="M34" s="716">
        <v>6.0000000000000001E-3</v>
      </c>
      <c r="N34" s="677" t="s">
        <v>253</v>
      </c>
      <c r="O34" s="678">
        <v>6.0000000000000001E-3</v>
      </c>
      <c r="P34" s="679" t="s">
        <v>34</v>
      </c>
      <c r="Q34" s="680">
        <v>5.0000000000000001E-3</v>
      </c>
      <c r="R34" s="681" t="str">
        <f>R19</f>
        <v>VIVIERS</v>
      </c>
      <c r="S34" s="682">
        <v>8.5000000000000006E-3</v>
      </c>
      <c r="T34" s="679" t="s">
        <v>37</v>
      </c>
      <c r="U34" s="683">
        <v>5.8999999999999999E-3</v>
      </c>
    </row>
    <row r="35" spans="2:22">
      <c r="B35" s="1848"/>
      <c r="C35" s="684" t="s">
        <v>10</v>
      </c>
      <c r="D35" s="717">
        <f>CHAMNORD!$Q377</f>
        <v>3793.3300000000004</v>
      </c>
      <c r="E35" s="718">
        <f>IF(D35=0,"",D35/'INDICES CA 💵'!D21)</f>
        <v>5.8390274162588842E-3</v>
      </c>
      <c r="F35" s="719">
        <f>AIX!$Q377</f>
        <v>1739.2300000000002</v>
      </c>
      <c r="G35" s="720">
        <f>IF(F35=0,"",F35/'INDICES CA 💵'!F21)</f>
        <v>4.6159416726167472E-3</v>
      </c>
      <c r="H35" s="719">
        <f>BELLEY!$Q377</f>
        <v>1330.0500000000002</v>
      </c>
      <c r="I35" s="720">
        <f>IF(H35=0,"",H35/'INDICES CA 💵'!H21)</f>
        <v>3.6842858567051155E-3</v>
      </c>
      <c r="J35" s="719">
        <f>STALBAN!$Q377</f>
        <v>2873.4700000000007</v>
      </c>
      <c r="K35" s="720">
        <f>IF(J35=0,"",J35/'INDICES CA 💵'!J21)</f>
        <v>5.9191669219615158E-3</v>
      </c>
      <c r="L35" s="719">
        <f>ABRETS!$Q377</f>
        <v>1544.3000000000004</v>
      </c>
      <c r="M35" s="720">
        <f>IF(L35=0,"",L35/'INDICES CA 💵'!L21)</f>
        <v>5.6285636392529202E-3</v>
      </c>
      <c r="N35" s="719">
        <f>PONT!$Q377</f>
        <v>1334</v>
      </c>
      <c r="O35" s="720">
        <f>IF(N35=0,"",N35/'INDICES CA 💵'!N21)</f>
        <v>4.6740596695923333E-3</v>
      </c>
      <c r="P35" s="719">
        <f>FRANCIN!$Q377</f>
        <v>898.93000000000006</v>
      </c>
      <c r="Q35" s="720">
        <f>IF(P35=0,"",P35/'INDICES CA 💵'!P21)</f>
        <v>3.1318341096810516E-3</v>
      </c>
      <c r="R35" s="719">
        <f>VIVIERS!$Q377</f>
        <v>1600.1499999999999</v>
      </c>
      <c r="S35" s="720">
        <f>IF(R35=0,"",R35/'INDICES CA 💵'!R21)</f>
        <v>6.3818707410240724E-3</v>
      </c>
      <c r="T35" s="721">
        <f>FRANCHISE!$Q377</f>
        <v>15113.46</v>
      </c>
      <c r="U35" s="722">
        <f>IF(T35=0,"",T35/'INDICES CA 💵'!T21)</f>
        <v>5.0879642279297926E-3</v>
      </c>
    </row>
    <row r="36" spans="2:22">
      <c r="B36" s="1848"/>
      <c r="C36" s="684" t="s">
        <v>25</v>
      </c>
      <c r="D36" s="723">
        <f>CHAMNORD!$Q378</f>
        <v>3215.85</v>
      </c>
      <c r="E36" s="724">
        <f>IF(D36=0,"",D36/'INDICES CA 💵'!D22)</f>
        <v>5.3638592525733957E-3</v>
      </c>
      <c r="F36" s="725">
        <f>AIX!$Q378</f>
        <v>1815.7000000000005</v>
      </c>
      <c r="G36" s="726">
        <f>IF(F36=0,"",F36/'INDICES CA 💵'!F22)</f>
        <v>4.832621668110707E-3</v>
      </c>
      <c r="H36" s="725">
        <f>BELLEY!$Q378</f>
        <v>1168.53</v>
      </c>
      <c r="I36" s="726">
        <f>IF(H36=0,"",H36/'INDICES CA 💵'!H22)</f>
        <v>3.4693267579823861E-3</v>
      </c>
      <c r="J36" s="725">
        <f>STALBAN!$Q378</f>
        <v>2818.5800000000004</v>
      </c>
      <c r="K36" s="726">
        <f>IF(J36=0,"",J36/'INDICES CA 💵'!J22)</f>
        <v>6.4880590874721615E-3</v>
      </c>
      <c r="L36" s="725">
        <f>ABRETS!$Q378</f>
        <v>1151.98</v>
      </c>
      <c r="M36" s="726">
        <f>IF(L36=0,"",L36/'INDICES CA 💵'!L22)</f>
        <v>4.6083819442060874E-3</v>
      </c>
      <c r="N36" s="725">
        <f>PONT!$Q378</f>
        <v>1236</v>
      </c>
      <c r="O36" s="726">
        <f>IF(N36=0,"",N36/'INDICES CA 💵'!N22)</f>
        <v>4.658472880225235E-3</v>
      </c>
      <c r="P36" s="725">
        <f>FRANCIN!$Q378</f>
        <v>877.82999999999993</v>
      </c>
      <c r="Q36" s="726">
        <f>IF(P36=0,"",P36/'INDICES CA 💵'!P22)</f>
        <v>3.2120587791790909E-3</v>
      </c>
      <c r="R36" s="725">
        <f>VIVIERS!$Q378</f>
        <v>1327.7799999999997</v>
      </c>
      <c r="S36" s="726">
        <f>IF(R36=0,"",R36/'INDICES CA 💵'!R22)</f>
        <v>6.0980132384635087E-3</v>
      </c>
      <c r="T36" s="727">
        <f>FRANCHISE!$Q378</f>
        <v>13612.25</v>
      </c>
      <c r="U36" s="728">
        <f>IF(T36=0,"",T36/'INDICES CA 💵'!T22)</f>
        <v>4.944819127853964E-3</v>
      </c>
    </row>
    <row r="37" spans="2:22" s="229" customFormat="1">
      <c r="B37" s="1848"/>
      <c r="C37" s="729" t="s">
        <v>17</v>
      </c>
      <c r="D37" s="723">
        <f>CHAMNORD!$Q379</f>
        <v>3116.0399999999995</v>
      </c>
      <c r="E37" s="724">
        <f>IF(D37=0,"",D37/'INDICES CA 💵'!D23)</f>
        <v>5.1901436173920545E-3</v>
      </c>
      <c r="F37" s="725">
        <f>AIX!$Q379</f>
        <v>2224.0500000000002</v>
      </c>
      <c r="G37" s="726">
        <f>IF(F37=0,"",F37/'INDICES CA 💵'!F23)</f>
        <v>5.8911903070483461E-3</v>
      </c>
      <c r="H37" s="725">
        <f>BELLEY!$Q379</f>
        <v>1727.9500000000003</v>
      </c>
      <c r="I37" s="726">
        <f>IF(H37=0,"",H37/'INDICES CA 💵'!H23)</f>
        <v>4.9435560027263608E-3</v>
      </c>
      <c r="J37" s="725">
        <f>STALBAN!$Q379</f>
        <v>3202.5200000000004</v>
      </c>
      <c r="K37" s="726">
        <f>IF(J37=0,"",J37/'INDICES CA 💵'!J23)</f>
        <v>6.9143097509812602E-3</v>
      </c>
      <c r="L37" s="725">
        <f>ABRETS!$Q379</f>
        <v>1154.3899999999999</v>
      </c>
      <c r="M37" s="726">
        <f>IF(L37=0,"",L37/'INDICES CA 💵'!L23)</f>
        <v>4.1498637190779614E-3</v>
      </c>
      <c r="N37" s="725">
        <f>PONT!$Q379</f>
        <v>1229</v>
      </c>
      <c r="O37" s="726">
        <f>IF(N37=0,"",N37/'INDICES CA 💵'!N23)</f>
        <v>4.2440043510540947E-3</v>
      </c>
      <c r="P37" s="725">
        <f>FRANCIN!$Q379</f>
        <v>1535.69</v>
      </c>
      <c r="Q37" s="726">
        <f>IF(P37=0,"",P37/'INDICES CA 💵'!P23)</f>
        <v>5.5349822019446554E-3</v>
      </c>
      <c r="R37" s="725">
        <f>VIVIERS!$Q379</f>
        <v>1274.7499999999998</v>
      </c>
      <c r="S37" s="726">
        <f>IF(R37=0,"",R37/'INDICES CA 💵'!R23)</f>
        <v>5.4167281568179675E-3</v>
      </c>
      <c r="T37" s="727">
        <f>FRANCHISE!$Q379</f>
        <v>15464.39</v>
      </c>
      <c r="U37" s="728">
        <f>IF(T37=0,"",T37/'INDICES CA 💵'!T23)</f>
        <v>5.3861230387957136E-3</v>
      </c>
    </row>
    <row r="38" spans="2:22">
      <c r="B38" s="1848"/>
      <c r="C38" s="684" t="s">
        <v>18</v>
      </c>
      <c r="D38" s="723">
        <f>CHAMNORD!$Q380</f>
        <v>3822</v>
      </c>
      <c r="E38" s="724">
        <f>IF(D38=0,"",D38/'INDICES CA 💵'!D24)</f>
        <v>6.7021117543992715E-3</v>
      </c>
      <c r="F38" s="725">
        <f>AIX!$Q380</f>
        <v>2034.88</v>
      </c>
      <c r="G38" s="726">
        <f>IF(F38=0,"",F38/'INDICES CA 💵'!F24)</f>
        <v>4.440101398258383E-3</v>
      </c>
      <c r="H38" s="725">
        <f>BELLEY!$Q380</f>
        <v>513.62</v>
      </c>
      <c r="I38" s="726">
        <f>IF(H38=0,"",H38/'INDICES CA 💵'!H24)</f>
        <v>1.4832826319363327E-3</v>
      </c>
      <c r="J38" s="725">
        <f>STALBAN!$Q380</f>
        <v>2825.6</v>
      </c>
      <c r="K38" s="726">
        <f>IF(J38=0,"",J38/'INDICES CA 💵'!J24)</f>
        <v>6.4635699054208804E-3</v>
      </c>
      <c r="L38" s="725">
        <f>ABRETS!$Q380</f>
        <v>1215.82</v>
      </c>
      <c r="M38" s="726">
        <f>IF(L38=0,"",L38/'INDICES CA 💵'!L24)</f>
        <v>4.3271263687675301E-3</v>
      </c>
      <c r="N38" s="725">
        <f>PONT!$Q380</f>
        <v>1371</v>
      </c>
      <c r="O38" s="726">
        <f>IF(N38=0,"",N38/'INDICES CA 💵'!N24)</f>
        <v>4.9067327101198228E-3</v>
      </c>
      <c r="P38" s="725">
        <f>FRANCIN!$Q380</f>
        <v>1083.1700000000003</v>
      </c>
      <c r="Q38" s="726">
        <f>IF(P38=0,"",P38/'INDICES CA 💵'!P24)</f>
        <v>4.1979138673662771E-3</v>
      </c>
      <c r="R38" s="725">
        <f>VIVIERS!$Q380</f>
        <v>1131.26</v>
      </c>
      <c r="S38" s="726">
        <f>IF(R38=0,"",R38/'INDICES CA 💵'!R24)</f>
        <v>4.824859675128277E-3</v>
      </c>
      <c r="T38" s="727">
        <f>FRANCHISE!$Q380</f>
        <v>13997.35</v>
      </c>
      <c r="U38" s="728">
        <f>IF(T38=0,"",T38/'INDICES CA 💵'!T24)</f>
        <v>4.8858533912519439E-3</v>
      </c>
    </row>
    <row r="39" spans="2:22" s="229" customFormat="1">
      <c r="B39" s="1848"/>
      <c r="C39" s="729" t="s">
        <v>19</v>
      </c>
      <c r="D39" s="723">
        <f>CHAMNORD!$Q381</f>
        <v>4892.2900000000009</v>
      </c>
      <c r="E39" s="724">
        <f>IF(D39=0,"",D39/'INDICES CA 💵'!D25)</f>
        <v>8.7519472017665439E-3</v>
      </c>
      <c r="F39" s="725">
        <f>AIX!$Q381</f>
        <v>2377.7900000000004</v>
      </c>
      <c r="G39" s="726">
        <f>IF(F39=0,"",F39/'INDICES CA 💵'!F25)</f>
        <v>5.1450953055124709E-3</v>
      </c>
      <c r="H39" s="725">
        <f>BELLEY!$Q381</f>
        <v>1094.17</v>
      </c>
      <c r="I39" s="726">
        <f>IF(H39=0,"",H39/'INDICES CA 💵'!H25)</f>
        <v>2.984470237098687E-3</v>
      </c>
      <c r="J39" s="725">
        <f>STALBAN!$Q381</f>
        <v>3032.2299999999996</v>
      </c>
      <c r="K39" s="726">
        <f>IF(J39=0,"",J39/'INDICES CA 💵'!J25)</f>
        <v>6.8542506241144616E-3</v>
      </c>
      <c r="L39" s="725">
        <f>ABRETS!$Q381</f>
        <v>1379.2500000000002</v>
      </c>
      <c r="M39" s="726">
        <f>IF(L39=0,"",L39/'INDICES CA 💵'!L25)</f>
        <v>4.8249706688659969E-3</v>
      </c>
      <c r="N39" s="725">
        <f>PONT!$Q381</f>
        <v>1485</v>
      </c>
      <c r="O39" s="726">
        <f>IF(N39=0,"",N39/'INDICES CA 💵'!N25)</f>
        <v>5.0481700808387101E-3</v>
      </c>
      <c r="P39" s="725">
        <f>FRANCIN!$Q381</f>
        <v>866.28</v>
      </c>
      <c r="Q39" s="726">
        <f>IF(P39=0,"",P39/'INDICES CA 💵'!P25)</f>
        <v>3.2470892563094332E-3</v>
      </c>
      <c r="R39" s="725">
        <f>VIVIERS!$Q381</f>
        <v>1180.8800000000001</v>
      </c>
      <c r="S39" s="726">
        <f>IF(R39=0,"",R39/'INDICES CA 💵'!R25)</f>
        <v>4.8223334706810313E-3</v>
      </c>
      <c r="T39" s="727">
        <f>FRANCHISE!$Q381</f>
        <v>16307.89</v>
      </c>
      <c r="U39" s="728">
        <f>IF(T39=0,"",T39/'INDICES CA 💵'!T25)</f>
        <v>5.5813845209845376E-3</v>
      </c>
    </row>
    <row r="40" spans="2:22" s="229" customFormat="1">
      <c r="B40" s="1848"/>
      <c r="C40" s="730" t="s">
        <v>20</v>
      </c>
      <c r="D40" s="731">
        <f>CHAMNORD!$Q382</f>
        <v>-549.47</v>
      </c>
      <c r="E40" s="732">
        <f>IF(D40=0,"",D40/'INDICES CA 💵'!D26)</f>
        <v>-4.2045167162576766E-3</v>
      </c>
      <c r="F40" s="733">
        <f>AIX!$Q382</f>
        <v>581.11</v>
      </c>
      <c r="G40" s="734">
        <f>IF(F40=0,"",F40/'INDICES CA 💵'!F26)</f>
        <v>5.8890110269859217E-3</v>
      </c>
      <c r="H40" s="733">
        <f>BELLEY!$Q382</f>
        <v>548.40716523736853</v>
      </c>
      <c r="I40" s="734">
        <f>IF(H40=0,"",H40/'INDICES CA 💵'!H26)</f>
        <v>6.4295407655856705E-3</v>
      </c>
      <c r="J40" s="733">
        <f>STALBAN!$Q382</f>
        <v>556.45999999999992</v>
      </c>
      <c r="K40" s="734">
        <f>IF(J40=0,"",J40/'INDICES CA 💵'!J26)</f>
        <v>5.2386629632195881E-3</v>
      </c>
      <c r="L40" s="733">
        <f>ABRETS!$Q382</f>
        <v>360.01</v>
      </c>
      <c r="M40" s="734">
        <f>IF(L40=0,"",L40/'INDICES CA 💵'!L26)</f>
        <v>5.3304561514790644E-3</v>
      </c>
      <c r="N40" s="733">
        <f>PONT!$Q382</f>
        <v>264</v>
      </c>
      <c r="O40" s="734">
        <f>IF(N40=0,"",N40/'INDICES CA 💵'!N26)</f>
        <v>3.939592908732764E-3</v>
      </c>
      <c r="P40" s="733">
        <f>FRANCIN!$Q382</f>
        <v>249.07</v>
      </c>
      <c r="Q40" s="734">
        <f>IF(P40=0,"",P40/'INDICES CA 💵'!P26)</f>
        <v>3.764442365430669E-3</v>
      </c>
      <c r="R40" s="733">
        <f>VIVIERS!$Q382</f>
        <v>331.88</v>
      </c>
      <c r="S40" s="734">
        <f>IF(R40=0,"",R40/'INDICES CA 💵'!R26)</f>
        <v>5.7896501542662304E-3</v>
      </c>
      <c r="T40" s="735" t="e">
        <f>FRANCHISE!$Q382</f>
        <v>#VALUE!</v>
      </c>
      <c r="U40" s="736" t="e">
        <f>IF(T40=0,"",T40/'INDICES CA 💵'!T26)</f>
        <v>#VALUE!</v>
      </c>
    </row>
    <row r="41" spans="2:22">
      <c r="B41" s="1848"/>
      <c r="C41" s="684" t="s">
        <v>21</v>
      </c>
      <c r="D41" s="723">
        <f>CHAMNORD!$Q383</f>
        <v>0</v>
      </c>
      <c r="E41" s="724" t="str">
        <f>IF(D41=0,"",D41/'INDICES CA 💵'!D27)</f>
        <v/>
      </c>
      <c r="F41" s="725">
        <f>AIX!$Q383</f>
        <v>0</v>
      </c>
      <c r="G41" s="726" t="str">
        <f>IF(F41=0,"",F41/'INDICES CA 💵'!F27)</f>
        <v/>
      </c>
      <c r="H41" s="725">
        <f>BELLEY!$Q383</f>
        <v>0</v>
      </c>
      <c r="I41" s="726" t="str">
        <f>IF(H41=0,"",H41/'INDICES CA 💵'!H27)</f>
        <v/>
      </c>
      <c r="J41" s="725">
        <f>STALBAN!$Q383</f>
        <v>0</v>
      </c>
      <c r="K41" s="726" t="str">
        <f>IF(J41=0,"",J41/'INDICES CA 💵'!J27)</f>
        <v/>
      </c>
      <c r="L41" s="725">
        <f>ABRETS!$Q383</f>
        <v>0</v>
      </c>
      <c r="M41" s="726" t="str">
        <f>IF(L41=0,"",L41/'INDICES CA 💵'!L27)</f>
        <v/>
      </c>
      <c r="N41" s="725">
        <f>PONT!$Q383</f>
        <v>0</v>
      </c>
      <c r="O41" s="726" t="str">
        <f>IF(N41=0,"",N41/'INDICES CA 💵'!N27)</f>
        <v/>
      </c>
      <c r="P41" s="725">
        <f>FRANCIN!$Q383</f>
        <v>0</v>
      </c>
      <c r="Q41" s="726" t="str">
        <f>IF(P41=0,"",P41/'INDICES CA 💵'!P27)</f>
        <v/>
      </c>
      <c r="R41" s="725">
        <f>VIVIERS!$Q383</f>
        <v>0</v>
      </c>
      <c r="S41" s="726" t="str">
        <f>IF(R41=0,"",R41/'INDICES CA 💵'!R27)</f>
        <v/>
      </c>
      <c r="T41" s="727">
        <f>FRANCHISE!$Q383</f>
        <v>0</v>
      </c>
      <c r="U41" s="728" t="str">
        <f>IF(T41=0,"",T41/'INDICES CA 💵'!T27)</f>
        <v/>
      </c>
    </row>
    <row r="42" spans="2:22">
      <c r="B42" s="1848"/>
      <c r="C42" s="684" t="s">
        <v>26</v>
      </c>
      <c r="D42" s="723">
        <f>CHAMNORD!$Q384</f>
        <v>0</v>
      </c>
      <c r="E42" s="724" t="str">
        <f>IF(D42=0,"",D42/'INDICES CA 💵'!D28)</f>
        <v/>
      </c>
      <c r="F42" s="725">
        <f>AIX!$Q384</f>
        <v>0</v>
      </c>
      <c r="G42" s="726" t="str">
        <f>IF(F42=0,"",F42/'INDICES CA 💵'!F28)</f>
        <v/>
      </c>
      <c r="H42" s="725">
        <f>BELLEY!$Q384</f>
        <v>0</v>
      </c>
      <c r="I42" s="726" t="str">
        <f>IF(H42=0,"",H42/'INDICES CA 💵'!H28)</f>
        <v/>
      </c>
      <c r="J42" s="725">
        <f>STALBAN!$Q384</f>
        <v>0</v>
      </c>
      <c r="K42" s="726" t="str">
        <f>IF(J42=0,"",J42/'INDICES CA 💵'!J28)</f>
        <v/>
      </c>
      <c r="L42" s="725">
        <f>ABRETS!$Q384</f>
        <v>0</v>
      </c>
      <c r="M42" s="726" t="str">
        <f>IF(L42=0,"",L42/'INDICES CA 💵'!L28)</f>
        <v/>
      </c>
      <c r="N42" s="725">
        <f>PONT!$Q384</f>
        <v>0</v>
      </c>
      <c r="O42" s="726" t="str">
        <f>IF(N42=0,"",N42/'INDICES CA 💵'!N28)</f>
        <v/>
      </c>
      <c r="P42" s="725">
        <f>FRANCIN!$Q384</f>
        <v>0</v>
      </c>
      <c r="Q42" s="726" t="str">
        <f>IF(P42=0,"",P42/'INDICES CA 💵'!P28)</f>
        <v/>
      </c>
      <c r="R42" s="725">
        <f>VIVIERS!$Q384</f>
        <v>0</v>
      </c>
      <c r="S42" s="726" t="str">
        <f>IF(R42=0,"",R42/'INDICES CA 💵'!R28)</f>
        <v/>
      </c>
      <c r="T42" s="727">
        <f>FRANCHISE!$Q384</f>
        <v>0</v>
      </c>
      <c r="U42" s="728" t="str">
        <f>IF(T42=0,"",T42/'INDICES CA 💵'!T28)</f>
        <v/>
      </c>
    </row>
    <row r="43" spans="2:22">
      <c r="B43" s="1848"/>
      <c r="C43" s="684" t="s">
        <v>22</v>
      </c>
      <c r="D43" s="723">
        <f>CHAMNORD!$Q385</f>
        <v>0</v>
      </c>
      <c r="E43" s="724" t="str">
        <f>IF(D43=0,"",D43/'INDICES CA 💵'!D29)</f>
        <v/>
      </c>
      <c r="F43" s="725">
        <f>AIX!$Q385</f>
        <v>0</v>
      </c>
      <c r="G43" s="726" t="str">
        <f>IF(F43=0,"",F43/'INDICES CA 💵'!F29)</f>
        <v/>
      </c>
      <c r="H43" s="725">
        <f>BELLEY!$Q385</f>
        <v>0</v>
      </c>
      <c r="I43" s="726" t="str">
        <f>IF(H43=0,"",H43/'INDICES CA 💵'!H29)</f>
        <v/>
      </c>
      <c r="J43" s="725">
        <f>STALBAN!$Q385</f>
        <v>0</v>
      </c>
      <c r="K43" s="726" t="str">
        <f>IF(J43=0,"",J43/'INDICES CA 💵'!J29)</f>
        <v/>
      </c>
      <c r="L43" s="725">
        <f>ABRETS!$Q385</f>
        <v>0</v>
      </c>
      <c r="M43" s="726" t="str">
        <f>IF(L43=0,"",L43/'INDICES CA 💵'!L29)</f>
        <v/>
      </c>
      <c r="N43" s="725">
        <f>PONT!$Q385</f>
        <v>0</v>
      </c>
      <c r="O43" s="726" t="str">
        <f>IF(N43=0,"",N43/'INDICES CA 💵'!N29)</f>
        <v/>
      </c>
      <c r="P43" s="725">
        <f>FRANCIN!$Q385</f>
        <v>0</v>
      </c>
      <c r="Q43" s="726" t="str">
        <f>IF(P43=0,"",P43/'INDICES CA 💵'!P29)</f>
        <v/>
      </c>
      <c r="R43" s="725">
        <f>VIVIERS!$Q385</f>
        <v>0</v>
      </c>
      <c r="S43" s="726" t="str">
        <f>IF(R43=0,"",R43/'INDICES CA 💵'!R29)</f>
        <v/>
      </c>
      <c r="T43" s="727">
        <f>FRANCHISE!$Q385</f>
        <v>0</v>
      </c>
      <c r="U43" s="728" t="str">
        <f>IF(T43=0,"",T43/'INDICES CA 💵'!T29)</f>
        <v/>
      </c>
    </row>
    <row r="44" spans="2:22">
      <c r="B44" s="1848"/>
      <c r="C44" s="684" t="s">
        <v>23</v>
      </c>
      <c r="D44" s="723">
        <f>CHAMNORD!$Q386</f>
        <v>0</v>
      </c>
      <c r="E44" s="737" t="str">
        <f>IF(D44=0,"",D44/'INDICES CA 💵'!D30)</f>
        <v/>
      </c>
      <c r="F44" s="725">
        <f>AIX!$Q386</f>
        <v>0</v>
      </c>
      <c r="G44" s="738" t="str">
        <f>IF(F44=0,"",F44/'INDICES CA 💵'!F30)</f>
        <v/>
      </c>
      <c r="H44" s="725">
        <f>BELLEY!$Q386</f>
        <v>0</v>
      </c>
      <c r="I44" s="738" t="str">
        <f>IF(H44=0,"",H44/'INDICES CA 💵'!H30)</f>
        <v/>
      </c>
      <c r="J44" s="725">
        <f>STALBAN!$Q386</f>
        <v>0</v>
      </c>
      <c r="K44" s="738" t="str">
        <f>IF(J44=0,"",J44/'INDICES CA 💵'!J30)</f>
        <v/>
      </c>
      <c r="L44" s="725">
        <f>ABRETS!$Q386</f>
        <v>0</v>
      </c>
      <c r="M44" s="726" t="str">
        <f>IF(L44=0,"",L44/'INDICES CA 💵'!L30)</f>
        <v/>
      </c>
      <c r="N44" s="725">
        <f>PONT!$Q386</f>
        <v>0</v>
      </c>
      <c r="O44" s="726" t="str">
        <f>IF(N44=0,"",N44/'INDICES CA 💵'!N30)</f>
        <v/>
      </c>
      <c r="P44" s="725">
        <f>FRANCIN!$Q386</f>
        <v>0</v>
      </c>
      <c r="Q44" s="738" t="str">
        <f>IF(P44=0,"",P44/'INDICES CA 💵'!P30)</f>
        <v/>
      </c>
      <c r="R44" s="725">
        <f>VIVIERS!$Q386</f>
        <v>0</v>
      </c>
      <c r="S44" s="726" t="str">
        <f>IF(R44=0,"",R44/'INDICES CA 💵'!R30)</f>
        <v/>
      </c>
      <c r="T44" s="727">
        <f>FRANCHISE!$Q386</f>
        <v>0</v>
      </c>
      <c r="U44" s="739" t="str">
        <f>IF(T44=0,"",T44/'INDICES CA 💵'!T30)</f>
        <v/>
      </c>
    </row>
    <row r="45" spans="2:22">
      <c r="B45" s="1848"/>
      <c r="C45" s="684" t="s">
        <v>24</v>
      </c>
      <c r="D45" s="723">
        <f>CHAMNORD!$Q387</f>
        <v>0</v>
      </c>
      <c r="E45" s="724" t="str">
        <f>IF(D45=0,"",D45/'INDICES CA 💵'!D31)</f>
        <v/>
      </c>
      <c r="F45" s="725">
        <f>AIX!$Q387</f>
        <v>0</v>
      </c>
      <c r="G45" s="726" t="str">
        <f>IF(F45=0,"",F45/'INDICES CA 💵'!F31)</f>
        <v/>
      </c>
      <c r="H45" s="725">
        <f>BELLEY!$Q387</f>
        <v>0</v>
      </c>
      <c r="I45" s="726" t="str">
        <f>IF(H45=0,"",H45/'INDICES CA 💵'!H31)</f>
        <v/>
      </c>
      <c r="J45" s="725">
        <f>STALBAN!$Q387</f>
        <v>0</v>
      </c>
      <c r="K45" s="726" t="str">
        <f>IF(J45=0,"",J45/'INDICES CA 💵'!J31)</f>
        <v/>
      </c>
      <c r="L45" s="725">
        <f>ABRETS!$Q387</f>
        <v>0</v>
      </c>
      <c r="M45" s="726" t="str">
        <f>IF(L45=0,"",L45/'INDICES CA 💵'!L31)</f>
        <v/>
      </c>
      <c r="N45" s="725">
        <f>PONT!$Q387</f>
        <v>0</v>
      </c>
      <c r="O45" s="726" t="str">
        <f>IF(N45=0,"",N45/'INDICES CA 💵'!N31)</f>
        <v/>
      </c>
      <c r="P45" s="725">
        <f>FRANCIN!$Q387</f>
        <v>0</v>
      </c>
      <c r="Q45" s="726" t="str">
        <f>IF(P45=0,"",P45/'INDICES CA 💵'!P31)</f>
        <v/>
      </c>
      <c r="R45" s="725">
        <f>VIVIERS!$Q387</f>
        <v>0</v>
      </c>
      <c r="S45" s="726" t="str">
        <f>IF(R45=0,"",R45/'INDICES CA 💵'!R31)</f>
        <v/>
      </c>
      <c r="T45" s="727">
        <f>FRANCHISE!$Q387</f>
        <v>0</v>
      </c>
      <c r="U45" s="728" t="str">
        <f>IF(T45=0,"",T45/'INDICES CA 💵'!T31)</f>
        <v/>
      </c>
      <c r="V45" s="229"/>
    </row>
    <row r="46" spans="2:22">
      <c r="B46" s="1848"/>
      <c r="C46" s="684" t="s">
        <v>27</v>
      </c>
      <c r="D46" s="723">
        <f>CHAMNORD!$Q388</f>
        <v>0</v>
      </c>
      <c r="E46" s="724" t="str">
        <f>IF(D46=0,"",D46/'INDICES CA 💵'!D32)</f>
        <v/>
      </c>
      <c r="F46" s="725">
        <f>AIX!$Q388</f>
        <v>0</v>
      </c>
      <c r="G46" s="726" t="str">
        <f>IF(F46=0,"",F46/'INDICES CA 💵'!F32)</f>
        <v/>
      </c>
      <c r="H46" s="725">
        <f>BELLEY!$Q388</f>
        <v>0</v>
      </c>
      <c r="I46" s="726" t="str">
        <f>IF(H46=0,"",H46/'INDICES CA 💵'!H32)</f>
        <v/>
      </c>
      <c r="J46" s="725">
        <f>STALBAN!$Q388</f>
        <v>0</v>
      </c>
      <c r="K46" s="726" t="str">
        <f>IF(J46=0,"",J46/'INDICES CA 💵'!J32)</f>
        <v/>
      </c>
      <c r="L46" s="725">
        <f>ABRETS!$Q388</f>
        <v>0</v>
      </c>
      <c r="M46" s="726" t="str">
        <f>IF(L46=0,"",L46/'INDICES CA 💵'!L32)</f>
        <v/>
      </c>
      <c r="N46" s="725">
        <f>PONT!$Q388</f>
        <v>0</v>
      </c>
      <c r="O46" s="726" t="str">
        <f>IF(N46=0,"",N46/'INDICES CA 💵'!N32)</f>
        <v/>
      </c>
      <c r="P46" s="725">
        <f>FRANCIN!$Q388</f>
        <v>0</v>
      </c>
      <c r="Q46" s="726" t="str">
        <f>IF(P46=0,"",P46/'INDICES CA 💵'!P32)</f>
        <v/>
      </c>
      <c r="R46" s="725">
        <f>VIVIERS!$Q388</f>
        <v>0</v>
      </c>
      <c r="S46" s="726" t="str">
        <f>IF(R46=0,"",R46/'INDICES CA 💵'!R32)</f>
        <v/>
      </c>
      <c r="T46" s="727">
        <f>FRANCHISE!$Q388</f>
        <v>0</v>
      </c>
      <c r="U46" s="728" t="str">
        <f>IF(T46=0,"",T46/'INDICES CA 💵'!T32)</f>
        <v/>
      </c>
    </row>
    <row r="47" spans="2:22" ht="21" thickBot="1">
      <c r="B47" s="1848"/>
      <c r="C47" s="740" t="s">
        <v>45</v>
      </c>
      <c r="D47" s="1842">
        <f>SUM(D35:D46)</f>
        <v>18290.04</v>
      </c>
      <c r="E47" s="1842"/>
      <c r="F47" s="1843">
        <f>SUM(F35:F46)</f>
        <v>10772.760000000002</v>
      </c>
      <c r="G47" s="1844"/>
      <c r="H47" s="1843">
        <f>SUM(H35:H46)</f>
        <v>6382.7271652373693</v>
      </c>
      <c r="I47" s="1844"/>
      <c r="J47" s="1843">
        <f>SUM(J35:J46)</f>
        <v>15308.86</v>
      </c>
      <c r="K47" s="1844"/>
      <c r="L47" s="1843">
        <f>SUM(L35:L46)</f>
        <v>6805.7500000000009</v>
      </c>
      <c r="M47" s="1844"/>
      <c r="N47" s="1843">
        <f>SUM(N35:N46)</f>
        <v>6919</v>
      </c>
      <c r="O47" s="1844"/>
      <c r="P47" s="1843">
        <f>SUM(P35:P46)</f>
        <v>5510.9699999999993</v>
      </c>
      <c r="Q47" s="1844"/>
      <c r="R47" s="1843">
        <f>SUM(R35:R46)</f>
        <v>6846.7</v>
      </c>
      <c r="S47" s="1844"/>
      <c r="T47" s="1843" t="e">
        <f>SUM(T35:T46)</f>
        <v>#VALUE!</v>
      </c>
      <c r="U47" s="1845"/>
    </row>
    <row r="48" spans="2:22" ht="21" thickBot="1">
      <c r="B48" s="1848"/>
      <c r="C48" s="740" t="s">
        <v>54</v>
      </c>
      <c r="D48" s="1835">
        <f>D47/CHAMNORD!$M389</f>
        <v>5.8819573433796738E-3</v>
      </c>
      <c r="E48" s="1835"/>
      <c r="F48" s="1832">
        <f>F47/AIX!$M389</f>
        <v>5.0125766456119965E-3</v>
      </c>
      <c r="G48" s="1833"/>
      <c r="H48" s="1832">
        <f>H47/BELLEY!$M389</f>
        <v>3.4584452132757249E-3</v>
      </c>
      <c r="I48" s="1833"/>
      <c r="J48" s="1832">
        <f>J47/STALBAN!$M389</f>
        <v>6.4626614305501448E-3</v>
      </c>
      <c r="K48" s="1833"/>
      <c r="L48" s="1853">
        <f>L47/ABRETS!$M389</f>
        <v>4.7364446166868078E-3</v>
      </c>
      <c r="M48" s="1854"/>
      <c r="N48" s="1832">
        <f>N47/PONT!$M389</f>
        <v>4.6721493575203775E-3</v>
      </c>
      <c r="O48" s="1833"/>
      <c r="P48" s="1832">
        <f>P47/FRANCIN!$M389</f>
        <v>3.857197336339822E-3</v>
      </c>
      <c r="Q48" s="1833"/>
      <c r="R48" s="1832">
        <f>R47/VIVIERS!$M389</f>
        <v>5.5194207235461003E-3</v>
      </c>
      <c r="S48" s="1833"/>
      <c r="T48" s="1832" t="e">
        <f>T47/FRANCHISE!$M389</f>
        <v>#VALUE!</v>
      </c>
      <c r="U48" s="1834"/>
    </row>
    <row r="49" spans="2:21" ht="20" thickBot="1">
      <c r="B49" s="1848"/>
      <c r="U49" s="702"/>
    </row>
    <row r="50" spans="2:21" ht="32" customHeight="1">
      <c r="B50" s="1848"/>
      <c r="C50" s="703" t="s">
        <v>136</v>
      </c>
      <c r="D50" s="1846" t="s">
        <v>28</v>
      </c>
      <c r="E50" s="1846"/>
      <c r="F50" s="1836" t="s">
        <v>29</v>
      </c>
      <c r="G50" s="1837"/>
      <c r="H50" s="1838" t="s">
        <v>30</v>
      </c>
      <c r="I50" s="1838"/>
      <c r="J50" s="1839" t="s">
        <v>31</v>
      </c>
      <c r="K50" s="1840"/>
      <c r="L50" s="1846" t="s">
        <v>32</v>
      </c>
      <c r="M50" s="1846"/>
      <c r="N50" s="1836" t="s">
        <v>33</v>
      </c>
      <c r="O50" s="1837"/>
      <c r="P50" s="1838" t="s">
        <v>34</v>
      </c>
      <c r="Q50" s="1838"/>
      <c r="R50" s="1839" t="str">
        <f>R34</f>
        <v>VIVIERS</v>
      </c>
      <c r="S50" s="1840"/>
      <c r="T50" s="1838" t="s">
        <v>37</v>
      </c>
      <c r="U50" s="1841"/>
    </row>
    <row r="51" spans="2:21">
      <c r="B51" s="1848"/>
      <c r="C51" s="684" t="s">
        <v>10</v>
      </c>
      <c r="D51" s="717">
        <f>CHAMNORD!$R377</f>
        <v>1528.0800000000004</v>
      </c>
      <c r="E51" s="742">
        <f>IF(D51="","",D51/'INDICES CA 💵'!D21)</f>
        <v>2.3521552341180117E-3</v>
      </c>
      <c r="F51" s="719">
        <f>AIX!$R377</f>
        <v>1404.8600000000001</v>
      </c>
      <c r="G51" s="720">
        <f>IF(F51="","",F51/'INDICES CA 💵'!F21)</f>
        <v>3.7285188377571472E-3</v>
      </c>
      <c r="H51" s="719">
        <f>BELLEY!$R377</f>
        <v>1008.1999999999999</v>
      </c>
      <c r="I51" s="720">
        <f>IF(H51="","",H51/'INDICES CA 💵'!H21)</f>
        <v>2.792749897169352E-3</v>
      </c>
      <c r="J51" s="719">
        <f>STALBAN!$R377</f>
        <v>1589.11</v>
      </c>
      <c r="K51" s="720">
        <f>IF(J51="","",J51/'INDICES CA 💵'!J21)</f>
        <v>3.2734663481290079E-3</v>
      </c>
      <c r="L51" s="719">
        <f>ABRETS!$R377</f>
        <v>993.5</v>
      </c>
      <c r="M51" s="720">
        <f>IF(L51="","",L51/'INDICES CA 💵'!L21)</f>
        <v>3.6210438228309102E-3</v>
      </c>
      <c r="N51" s="719">
        <f>PONT!$R377</f>
        <v>899</v>
      </c>
      <c r="O51" s="720">
        <f>IF(N51="","",N51/'INDICES CA 💵'!N21)</f>
        <v>3.1499097773339639E-3</v>
      </c>
      <c r="P51" s="719">
        <f>FRANCIN!$R377</f>
        <v>533.21999999999991</v>
      </c>
      <c r="Q51" s="720">
        <f>IF(P51="","",P51/'INDICES CA 💵'!P21)</f>
        <v>1.8577159333475687E-3</v>
      </c>
      <c r="R51" s="719">
        <f>VIVIERS!$R377</f>
        <v>633.5</v>
      </c>
      <c r="S51" s="720">
        <f>IF(R51="","",R51/'INDICES CA 💵'!R21)</f>
        <v>2.5265850791730462E-3</v>
      </c>
      <c r="T51" s="721">
        <f>FRANCHISE!$R377</f>
        <v>8589.4700000000012</v>
      </c>
      <c r="U51" s="722">
        <f>IF(T51="","",T51/'INDICES CA 💵'!T21)</f>
        <v>2.8916552594095675E-3</v>
      </c>
    </row>
    <row r="52" spans="2:21" s="229" customFormat="1">
      <c r="B52" s="1848"/>
      <c r="C52" s="729" t="s">
        <v>25</v>
      </c>
      <c r="D52" s="723">
        <f>CHAMNORD!$R378</f>
        <v>1440.77</v>
      </c>
      <c r="E52" s="743">
        <f>IF(D52="","",D52/'INDICES CA 💵'!D22)</f>
        <v>2.4031243669108233E-3</v>
      </c>
      <c r="F52" s="725">
        <f>AIX!$R378</f>
        <v>3985.25</v>
      </c>
      <c r="G52" s="726">
        <f>IF(F52="","",F52/'INDICES CA 💵'!F22)</f>
        <v>1.0607041638397416E-2</v>
      </c>
      <c r="H52" s="725">
        <f>BELLEY!$R378</f>
        <v>823.18</v>
      </c>
      <c r="I52" s="726">
        <f>IF(H52="","",H52/'INDICES CA 💵'!H22)</f>
        <v>2.4439940785738841E-3</v>
      </c>
      <c r="J52" s="725">
        <f>STALBAN!$R378</f>
        <v>1419.04</v>
      </c>
      <c r="K52" s="726">
        <f>IF(J52="","",J52/'INDICES CA 💵'!J22)</f>
        <v>3.2664729642183279E-3</v>
      </c>
      <c r="L52" s="725">
        <f>ABRETS!$R378</f>
        <v>865.41000000000008</v>
      </c>
      <c r="M52" s="726">
        <f>IF(L52="","",L52/'INDICES CA 💵'!L22)</f>
        <v>3.4619870295798452E-3</v>
      </c>
      <c r="N52" s="725">
        <f>PONT!$R378</f>
        <v>888</v>
      </c>
      <c r="O52" s="726">
        <f>IF(N52="","",N52/'INDICES CA 💵'!N22)</f>
        <v>3.3468640110356058E-3</v>
      </c>
      <c r="P52" s="725">
        <f>FRANCIN!$R378</f>
        <v>469.21</v>
      </c>
      <c r="Q52" s="726">
        <f>IF(P52="","",P52/'INDICES CA 💵'!P22)</f>
        <v>1.7168815143918769E-3</v>
      </c>
      <c r="R52" s="725">
        <f>VIVIERS!$R378</f>
        <v>641.86000000000013</v>
      </c>
      <c r="S52" s="726">
        <f>IF(R52="","",R52/'INDICES CA 💵'!R22)</f>
        <v>2.9478307982046645E-3</v>
      </c>
      <c r="T52" s="727">
        <f>FRANCHISE!$R378</f>
        <v>10532.720000000001</v>
      </c>
      <c r="U52" s="728">
        <f>IF(T52="","",T52/'INDICES CA 💵'!T22)</f>
        <v>3.826141550759794E-3</v>
      </c>
    </row>
    <row r="53" spans="2:21" s="229" customFormat="1">
      <c r="B53" s="1848"/>
      <c r="C53" s="729" t="s">
        <v>17</v>
      </c>
      <c r="D53" s="723">
        <f>CHAMNORD!$R379</f>
        <v>1413.72</v>
      </c>
      <c r="E53" s="743">
        <f>IF(D53="","",D53/'INDICES CA 💵'!D23)</f>
        <v>2.3547226077904955E-3</v>
      </c>
      <c r="F53" s="725">
        <f>AIX!$R379</f>
        <v>1249.21</v>
      </c>
      <c r="G53" s="726">
        <f>IF(F53="","",F53/'INDICES CA 💵'!F23)</f>
        <v>3.3089785946664257E-3</v>
      </c>
      <c r="H53" s="725">
        <f>BELLEY!$R379</f>
        <v>1175.3400000000001</v>
      </c>
      <c r="I53" s="726">
        <f>IF(H53="","",H53/'INDICES CA 💵'!H23)</f>
        <v>3.3625736347952201E-3</v>
      </c>
      <c r="J53" s="725">
        <f>STALBAN!$R379</f>
        <v>1558.53</v>
      </c>
      <c r="K53" s="726">
        <f>IF(J53="","",J53/'INDICES CA 💵'!J23)</f>
        <v>3.3648998839029337E-3</v>
      </c>
      <c r="L53" s="725">
        <f>ABRETS!$R379</f>
        <v>1125.2500000000002</v>
      </c>
      <c r="M53" s="726">
        <f>IF(L53="","",L53/'INDICES CA 💵'!L23)</f>
        <v>4.045109668216528E-3</v>
      </c>
      <c r="N53" s="725">
        <f>PONT!$R379</f>
        <v>984</v>
      </c>
      <c r="O53" s="726">
        <f>IF(N53="","",N53/'INDICES CA 💵'!N23)</f>
        <v>3.3979660548716264E-3</v>
      </c>
      <c r="P53" s="725">
        <f>FRANCIN!$R379</f>
        <v>663.78</v>
      </c>
      <c r="Q53" s="726">
        <f>IF(P53="","",P53/'INDICES CA 💵'!P23)</f>
        <v>2.3924167546880053E-3</v>
      </c>
      <c r="R53" s="725">
        <f>VIVIERS!$R379</f>
        <v>680.94999999999993</v>
      </c>
      <c r="S53" s="726">
        <f>IF(R53="","",R53/'INDICES CA 💵'!R23)</f>
        <v>2.8935250350148618E-3</v>
      </c>
      <c r="T53" s="727">
        <f>FRANCHISE!$R379</f>
        <v>8850.7800000000007</v>
      </c>
      <c r="U53" s="728">
        <f>IF(T53="","",T53/'INDICES CA 💵'!T23)</f>
        <v>3.0826557057415348E-3</v>
      </c>
    </row>
    <row r="54" spans="2:21" s="229" customFormat="1">
      <c r="B54" s="1848"/>
      <c r="C54" s="729" t="s">
        <v>18</v>
      </c>
      <c r="D54" s="723">
        <f>CHAMNORD!$R380</f>
        <v>1263.3200000000002</v>
      </c>
      <c r="E54" s="743">
        <f>IF(D54="","",D54/'INDICES CA 💵'!D24)</f>
        <v>2.2153092154808189E-3</v>
      </c>
      <c r="F54" s="725">
        <f>AIX!$R380</f>
        <v>1185.1600000000001</v>
      </c>
      <c r="G54" s="726">
        <f>IF(F54="","",F54/'INDICES CA 💵'!F24)</f>
        <v>2.5860151818092002E-3</v>
      </c>
      <c r="H54" s="725">
        <f>BELLEY!$R380</f>
        <v>938.28</v>
      </c>
      <c r="I54" s="726">
        <f>IF(H54="","",H54/'INDICES CA 💵'!H24)</f>
        <v>2.7096577779160123E-3</v>
      </c>
      <c r="J54" s="725">
        <f>STALBAN!$R380</f>
        <v>1282.08</v>
      </c>
      <c r="K54" s="726">
        <f>IF(J54="","",J54/'INDICES CA 💵'!J24)</f>
        <v>2.9327624944585225E-3</v>
      </c>
      <c r="L54" s="725">
        <f>ABRETS!$R380</f>
        <v>1006.13</v>
      </c>
      <c r="M54" s="726">
        <f>IF(L54="","",L54/'INDICES CA 💵'!L24)</f>
        <v>3.5808356939415996E-3</v>
      </c>
      <c r="N54" s="725">
        <f>PONT!$R380</f>
        <v>934</v>
      </c>
      <c r="O54" s="726">
        <f>IF(N54="","",N54/'INDICES CA 💵'!N24)</f>
        <v>3.3427340271713455E-3</v>
      </c>
      <c r="P54" s="725">
        <f>FRANCIN!$R380</f>
        <v>522.66999999999996</v>
      </c>
      <c r="Q54" s="726">
        <f>IF(P54="","",P54/'INDICES CA 💵'!P24)</f>
        <v>2.0256503051749321E-3</v>
      </c>
      <c r="R54" s="725">
        <f>VIVIERS!$R380</f>
        <v>482.2</v>
      </c>
      <c r="S54" s="726">
        <f>IF(R54="","",R54/'INDICES CA 💵'!R24)</f>
        <v>2.0565982491618684E-3</v>
      </c>
      <c r="T54" s="727">
        <f>FRANCHISE!$R380</f>
        <v>7613.84</v>
      </c>
      <c r="U54" s="728">
        <f>IF(T54="","",T54/'INDICES CA 💵'!T24)</f>
        <v>2.6576534832986028E-3</v>
      </c>
    </row>
    <row r="55" spans="2:21">
      <c r="B55" s="1848"/>
      <c r="C55" s="684" t="s">
        <v>19</v>
      </c>
      <c r="D55" s="723">
        <f>CHAMNORD!$R381</f>
        <v>1352.75</v>
      </c>
      <c r="E55" s="743">
        <f>IF(D55="","",D55/'INDICES CA 💵'!D25)</f>
        <v>2.4199703159848845E-3</v>
      </c>
      <c r="F55" s="725">
        <f>AIX!$R381</f>
        <v>1384.12</v>
      </c>
      <c r="G55" s="726">
        <f>IF(F55="","",F55/'INDICES CA 💵'!F25)</f>
        <v>2.9949782420928338E-3</v>
      </c>
      <c r="H55" s="725">
        <f>BELLEY!$R381</f>
        <v>1018.34</v>
      </c>
      <c r="I55" s="726">
        <f>IF(H55="","",H55/'INDICES CA 💵'!H25)</f>
        <v>2.7776354873987378E-3</v>
      </c>
      <c r="J55" s="725">
        <f>STALBAN!$R381</f>
        <v>1684.97</v>
      </c>
      <c r="K55" s="726">
        <f>IF(J55="","",J55/'INDICES CA 💵'!J25)</f>
        <v>3.8088161762511903E-3</v>
      </c>
      <c r="L55" s="725">
        <f>ABRETS!$R381</f>
        <v>1004.14</v>
      </c>
      <c r="M55" s="726">
        <f>IF(L55="","",L55/'INDICES CA 💵'!L25)</f>
        <v>3.5127395667464935E-3</v>
      </c>
      <c r="N55" s="725">
        <f>PONT!$R381</f>
        <v>917</v>
      </c>
      <c r="O55" s="726">
        <f>IF(N55="","",N55/'INDICES CA 💵'!N25)</f>
        <v>3.1172875179320521E-3</v>
      </c>
      <c r="P55" s="725">
        <f>FRANCIN!$R381</f>
        <v>601.79999999999995</v>
      </c>
      <c r="Q55" s="726">
        <f>IF(P55="","",P55/'INDICES CA 💵'!P25)</f>
        <v>2.255735229310404E-3</v>
      </c>
      <c r="R55" s="725">
        <f>VIVIERS!$R381</f>
        <v>700.26</v>
      </c>
      <c r="S55" s="726">
        <f>IF(R55="","",R55/'INDICES CA 💵'!R25)</f>
        <v>2.8596362341466522E-3</v>
      </c>
      <c r="T55" s="727">
        <f>FRANCHISE!$R381</f>
        <v>8663.380000000001</v>
      </c>
      <c r="U55" s="728">
        <f>IF(T55="","",T55/'INDICES CA 💵'!T25)</f>
        <v>2.9650466756525233E-3</v>
      </c>
    </row>
    <row r="56" spans="2:21" s="229" customFormat="1">
      <c r="B56" s="1848"/>
      <c r="C56" s="730" t="s">
        <v>20</v>
      </c>
      <c r="D56" s="731">
        <f>CHAMNORD!$R382</f>
        <v>181.44</v>
      </c>
      <c r="E56" s="1050">
        <f>IF(D56="","",D56/'INDICES CA 💵'!D26)</f>
        <v>1.3883697253677049E-3</v>
      </c>
      <c r="F56" s="733">
        <f>AIX!$R382</f>
        <v>166.06</v>
      </c>
      <c r="G56" s="734">
        <f>IF(F56="","",F56/'INDICES CA 💵'!F26)</f>
        <v>1.6828641240751014E-3</v>
      </c>
      <c r="H56" s="733">
        <f>BELLEY!$R382</f>
        <v>281.53000000000003</v>
      </c>
      <c r="I56" s="734">
        <f>IF(H56="","",H56/'INDICES CA 💵'!H26)</f>
        <v>3.3006655027052025E-3</v>
      </c>
      <c r="J56" s="733">
        <f>STALBAN!$R382</f>
        <v>247.00000000000003</v>
      </c>
      <c r="K56" s="734">
        <f>IF(J56="","",J56/'INDICES CA 💵'!J26)</f>
        <v>2.3253239260957459E-3</v>
      </c>
      <c r="L56" s="733">
        <f>ABRETS!$R382</f>
        <v>216.82</v>
      </c>
      <c r="M56" s="734">
        <f>IF(L56="","",L56/'INDICES CA 💵'!L26)</f>
        <v>3.210326109729426E-3</v>
      </c>
      <c r="N56" s="733">
        <f>PONT!$R382</f>
        <v>229</v>
      </c>
      <c r="O56" s="734">
        <f>IF(N56="","",N56/'INDICES CA 💵'!N26)</f>
        <v>3.4172983943174355E-3</v>
      </c>
      <c r="P56" s="733">
        <f>FRANCIN!$R382</f>
        <v>106.27000000000001</v>
      </c>
      <c r="Q56" s="734">
        <f>IF(P56="","",P56/'INDICES CA 💵'!P26)</f>
        <v>1.6061640911162213E-3</v>
      </c>
      <c r="R56" s="733">
        <f>VIVIERS!$R382</f>
        <v>114.85999999999999</v>
      </c>
      <c r="S56" s="734">
        <f>IF(R56="","",R56/'INDICES CA 💵'!R26)</f>
        <v>2.0037339300922594E-3</v>
      </c>
      <c r="T56" s="735">
        <f>FRANCHISE!$R382</f>
        <v>1542.9799999999998</v>
      </c>
      <c r="U56" s="736">
        <f>IF(T56="","",T56/'INDICES CA 💵'!T26)</f>
        <v>2.272709597504541E-3</v>
      </c>
    </row>
    <row r="57" spans="2:21" s="229" customFormat="1">
      <c r="B57" s="1848"/>
      <c r="C57" s="729" t="s">
        <v>21</v>
      </c>
      <c r="D57" s="1116">
        <f>CHAMNORD!$R383</f>
        <v>0</v>
      </c>
      <c r="E57" s="1117" t="e">
        <f>IF(D57="","",D57/'INDICES CA 💵'!D27)</f>
        <v>#DIV/0!</v>
      </c>
      <c r="F57" s="1118">
        <f>AIX!$R383</f>
        <v>0</v>
      </c>
      <c r="G57" s="1119" t="e">
        <f>IF(F57="","",F57/'INDICES CA 💵'!F27)</f>
        <v>#DIV/0!</v>
      </c>
      <c r="H57" s="1118">
        <f>BELLEY!$R383</f>
        <v>0</v>
      </c>
      <c r="I57" s="1119" t="e">
        <f>IF(H57="","",H57/'INDICES CA 💵'!H27)</f>
        <v>#DIV/0!</v>
      </c>
      <c r="J57" s="1118">
        <f>STALBAN!$R383</f>
        <v>0</v>
      </c>
      <c r="K57" s="1119" t="e">
        <f>IF(J57="","",J57/'INDICES CA 💵'!J27)</f>
        <v>#DIV/0!</v>
      </c>
      <c r="L57" s="1118">
        <f>ABRETS!$R383</f>
        <v>0</v>
      </c>
      <c r="M57" s="1119" t="e">
        <f>IF(L57="","",L57/'INDICES CA 💵'!L27)</f>
        <v>#DIV/0!</v>
      </c>
      <c r="N57" s="1118">
        <f>PONT!$R383</f>
        <v>0</v>
      </c>
      <c r="O57" s="1119" t="e">
        <f>IF(N57="","",N57/'INDICES CA 💵'!N27)</f>
        <v>#DIV/0!</v>
      </c>
      <c r="P57" s="1118">
        <f>FRANCIN!$R383</f>
        <v>0</v>
      </c>
      <c r="Q57" s="1119" t="e">
        <f>IF(P57="","",P57/'INDICES CA 💵'!P27)</f>
        <v>#DIV/0!</v>
      </c>
      <c r="R57" s="1118">
        <f>VIVIERS!$R383</f>
        <v>0</v>
      </c>
      <c r="S57" s="1119" t="e">
        <f>IF(R57="","",R57/'INDICES CA 💵'!R27)</f>
        <v>#DIV/0!</v>
      </c>
      <c r="T57" s="1120">
        <f>FRANCHISE!$R383</f>
        <v>0</v>
      </c>
      <c r="U57" s="1121" t="e">
        <f>IF(T57="","",T57/'INDICES CA 💵'!T27)</f>
        <v>#DIV/0!</v>
      </c>
    </row>
    <row r="58" spans="2:21">
      <c r="B58" s="1848"/>
      <c r="C58" s="684" t="s">
        <v>26</v>
      </c>
      <c r="D58" s="723">
        <f>CHAMNORD!$R384</f>
        <v>0</v>
      </c>
      <c r="E58" s="743" t="e">
        <f>IF(D58="","",D58/'INDICES CA 💵'!D28)</f>
        <v>#DIV/0!</v>
      </c>
      <c r="F58" s="725">
        <f>AIX!$R384</f>
        <v>0</v>
      </c>
      <c r="G58" s="726" t="e">
        <f>IF(F58="","",F58/'INDICES CA 💵'!F28)</f>
        <v>#DIV/0!</v>
      </c>
      <c r="H58" s="725">
        <f>BELLEY!$R384</f>
        <v>0</v>
      </c>
      <c r="I58" s="726" t="e">
        <f>IF(H58="","",H58/'INDICES CA 💵'!H28)</f>
        <v>#DIV/0!</v>
      </c>
      <c r="J58" s="725">
        <f>STALBAN!$R384</f>
        <v>0</v>
      </c>
      <c r="K58" s="726" t="e">
        <f>IF(J58="","",J58/'INDICES CA 💵'!J28)</f>
        <v>#DIV/0!</v>
      </c>
      <c r="L58" s="725">
        <f>ABRETS!$R384</f>
        <v>0</v>
      </c>
      <c r="M58" s="726" t="e">
        <f>IF(L58="","",L58/'INDICES CA 💵'!L28)</f>
        <v>#DIV/0!</v>
      </c>
      <c r="N58" s="725">
        <f>PONT!$R384</f>
        <v>0</v>
      </c>
      <c r="O58" s="726" t="e">
        <f>IF(N58="","",N58/'INDICES CA 💵'!N28)</f>
        <v>#DIV/0!</v>
      </c>
      <c r="P58" s="725">
        <f>FRANCIN!$R384</f>
        <v>0</v>
      </c>
      <c r="Q58" s="726" t="e">
        <f>IF(P58="","",P58/'INDICES CA 💵'!P28)</f>
        <v>#DIV/0!</v>
      </c>
      <c r="R58" s="725">
        <f>VIVIERS!$R384</f>
        <v>0</v>
      </c>
      <c r="S58" s="726" t="e">
        <f>IF(R58="","",R58/'INDICES CA 💵'!R28)</f>
        <v>#DIV/0!</v>
      </c>
      <c r="T58" s="727">
        <f>FRANCHISE!$R384</f>
        <v>0</v>
      </c>
      <c r="U58" s="728" t="e">
        <f>IF(T58="","",T58/'INDICES CA 💵'!T28)</f>
        <v>#DIV/0!</v>
      </c>
    </row>
    <row r="59" spans="2:21">
      <c r="B59" s="1848"/>
      <c r="C59" s="684" t="s">
        <v>22</v>
      </c>
      <c r="D59" s="723">
        <f>CHAMNORD!$R385</f>
        <v>0</v>
      </c>
      <c r="E59" s="743" t="e">
        <f>IF(D59="","",D59/'INDICES CA 💵'!D29)</f>
        <v>#DIV/0!</v>
      </c>
      <c r="F59" s="725">
        <f>AIX!$R385</f>
        <v>0</v>
      </c>
      <c r="G59" s="726" t="e">
        <f>IF(F59="","",F59/'INDICES CA 💵'!F29)</f>
        <v>#DIV/0!</v>
      </c>
      <c r="H59" s="725">
        <f>BELLEY!$R385</f>
        <v>0</v>
      </c>
      <c r="I59" s="726" t="e">
        <f>IF(H59="","",H59/'INDICES CA 💵'!H29)</f>
        <v>#DIV/0!</v>
      </c>
      <c r="J59" s="725">
        <f>STALBAN!$R385</f>
        <v>0</v>
      </c>
      <c r="K59" s="726" t="e">
        <f>IF(J59="","",J59/'INDICES CA 💵'!J29)</f>
        <v>#DIV/0!</v>
      </c>
      <c r="L59" s="725">
        <f>ABRETS!$R385</f>
        <v>0</v>
      </c>
      <c r="M59" s="726" t="e">
        <f>IF(L59="","",L59/'INDICES CA 💵'!L29)</f>
        <v>#DIV/0!</v>
      </c>
      <c r="N59" s="725">
        <f>PONT!$R385</f>
        <v>0</v>
      </c>
      <c r="O59" s="726" t="e">
        <f>IF(N59="","",N59/'INDICES CA 💵'!N29)</f>
        <v>#DIV/0!</v>
      </c>
      <c r="P59" s="725">
        <f>FRANCIN!$R385</f>
        <v>0</v>
      </c>
      <c r="Q59" s="726" t="e">
        <f>IF(P59="","",P59/'INDICES CA 💵'!P29)</f>
        <v>#DIV/0!</v>
      </c>
      <c r="R59" s="725">
        <f>VIVIERS!$R385</f>
        <v>0</v>
      </c>
      <c r="S59" s="726" t="e">
        <f>IF(R59="","",R59/'INDICES CA 💵'!R29)</f>
        <v>#DIV/0!</v>
      </c>
      <c r="T59" s="727">
        <f>FRANCHISE!$R385</f>
        <v>0</v>
      </c>
      <c r="U59" s="728" t="e">
        <f>IF(T59="","",T59/'INDICES CA 💵'!T29)</f>
        <v>#DIV/0!</v>
      </c>
    </row>
    <row r="60" spans="2:21">
      <c r="B60" s="1848"/>
      <c r="C60" s="684" t="s">
        <v>23</v>
      </c>
      <c r="D60" s="723">
        <f>CHAMNORD!$R386</f>
        <v>0</v>
      </c>
      <c r="E60" s="743" t="e">
        <f>IF(D60="","",D60/'INDICES CA 💵'!D30)</f>
        <v>#DIV/0!</v>
      </c>
      <c r="F60" s="725">
        <f>AIX!$R386</f>
        <v>0</v>
      </c>
      <c r="G60" s="726" t="e">
        <f>IF(F60="","",F60/'INDICES CA 💵'!F30)</f>
        <v>#DIV/0!</v>
      </c>
      <c r="H60" s="725">
        <f>BELLEY!$R386</f>
        <v>0</v>
      </c>
      <c r="I60" s="726" t="e">
        <f>IF(H60="","",H60/'INDICES CA 💵'!H30)</f>
        <v>#DIV/0!</v>
      </c>
      <c r="J60" s="725">
        <f>STALBAN!$R386</f>
        <v>0</v>
      </c>
      <c r="K60" s="726" t="e">
        <f>IF(J60="","",J60/'INDICES CA 💵'!J30)</f>
        <v>#DIV/0!</v>
      </c>
      <c r="L60" s="725">
        <f>ABRETS!$R386</f>
        <v>0</v>
      </c>
      <c r="M60" s="726" t="e">
        <f>IF(L60="","",L60/'INDICES CA 💵'!L30)</f>
        <v>#DIV/0!</v>
      </c>
      <c r="N60" s="725">
        <f>PONT!$R386</f>
        <v>0</v>
      </c>
      <c r="O60" s="726" t="e">
        <f>IF(N60="","",N60/'INDICES CA 💵'!N30)</f>
        <v>#DIV/0!</v>
      </c>
      <c r="P60" s="725">
        <f>FRANCIN!$R386</f>
        <v>0</v>
      </c>
      <c r="Q60" s="726" t="e">
        <f>IF(P60="","",P60/'INDICES CA 💵'!P30)</f>
        <v>#DIV/0!</v>
      </c>
      <c r="R60" s="725">
        <f>VIVIERS!$R386</f>
        <v>0</v>
      </c>
      <c r="S60" s="726" t="e">
        <f>IF(R60="","",R60/'INDICES CA 💵'!R30)</f>
        <v>#DIV/0!</v>
      </c>
      <c r="T60" s="727">
        <f>FRANCHISE!$R386</f>
        <v>0</v>
      </c>
      <c r="U60" s="728" t="e">
        <f>IF(T60="","",T60/'INDICES CA 💵'!T30)</f>
        <v>#DIV/0!</v>
      </c>
    </row>
    <row r="61" spans="2:21">
      <c r="B61" s="1848"/>
      <c r="C61" s="684" t="s">
        <v>24</v>
      </c>
      <c r="D61" s="723">
        <f>CHAMNORD!$R387</f>
        <v>0</v>
      </c>
      <c r="E61" s="743" t="e">
        <f>IF(D61="","",D61/'INDICES CA 💵'!D31)</f>
        <v>#DIV/0!</v>
      </c>
      <c r="F61" s="725">
        <f>AIX!$R387</f>
        <v>0</v>
      </c>
      <c r="G61" s="726" t="e">
        <f>IF(F61="","",F61/'INDICES CA 💵'!F31)</f>
        <v>#DIV/0!</v>
      </c>
      <c r="H61" s="725">
        <f>BELLEY!$R387</f>
        <v>0</v>
      </c>
      <c r="I61" s="726" t="e">
        <f>IF(H61="","",H61/'INDICES CA 💵'!H31)</f>
        <v>#DIV/0!</v>
      </c>
      <c r="J61" s="725">
        <f>STALBAN!$R387</f>
        <v>0</v>
      </c>
      <c r="K61" s="726" t="e">
        <f>IF(J61="","",J61/'INDICES CA 💵'!J31)</f>
        <v>#DIV/0!</v>
      </c>
      <c r="L61" s="725">
        <f>ABRETS!$R387</f>
        <v>0</v>
      </c>
      <c r="M61" s="726" t="e">
        <f>IF(L61="","",L61/'INDICES CA 💵'!L31)</f>
        <v>#DIV/0!</v>
      </c>
      <c r="N61" s="725">
        <f>PONT!$R387</f>
        <v>0</v>
      </c>
      <c r="O61" s="726" t="e">
        <f>IF(N61="","",N61/'INDICES CA 💵'!N31)</f>
        <v>#DIV/0!</v>
      </c>
      <c r="P61" s="725">
        <f>FRANCIN!$R387</f>
        <v>0</v>
      </c>
      <c r="Q61" s="726" t="e">
        <f>IF(P61="","",P61/'INDICES CA 💵'!P31)</f>
        <v>#DIV/0!</v>
      </c>
      <c r="R61" s="725">
        <f>VIVIERS!$R387</f>
        <v>0</v>
      </c>
      <c r="S61" s="726" t="e">
        <f>IF(R61="","",R61/'INDICES CA 💵'!R31)</f>
        <v>#DIV/0!</v>
      </c>
      <c r="T61" s="727">
        <f>FRANCHISE!$R387</f>
        <v>0</v>
      </c>
      <c r="U61" s="728" t="e">
        <f>IF(T61="","",T61/'INDICES CA 💵'!T31)</f>
        <v>#DIV/0!</v>
      </c>
    </row>
    <row r="62" spans="2:21">
      <c r="B62" s="1848"/>
      <c r="C62" s="684" t="s">
        <v>27</v>
      </c>
      <c r="D62" s="723">
        <f>CHAMNORD!$R388</f>
        <v>0</v>
      </c>
      <c r="E62" s="743" t="e">
        <f>IF(D62="","",D62/'INDICES CA 💵'!D32)</f>
        <v>#DIV/0!</v>
      </c>
      <c r="F62" s="725">
        <f>AIX!$R388</f>
        <v>0</v>
      </c>
      <c r="G62" s="726" t="e">
        <f>IF(F62="","",F62/'INDICES CA 💵'!F32)</f>
        <v>#DIV/0!</v>
      </c>
      <c r="H62" s="725">
        <f>BELLEY!$R388</f>
        <v>0</v>
      </c>
      <c r="I62" s="726" t="e">
        <f>IF(H62="","",H62/'INDICES CA 💵'!H32)</f>
        <v>#DIV/0!</v>
      </c>
      <c r="J62" s="725">
        <f>STALBAN!$R388</f>
        <v>0</v>
      </c>
      <c r="K62" s="726" t="e">
        <f>IF(J62="","",J62/'INDICES CA 💵'!J32)</f>
        <v>#DIV/0!</v>
      </c>
      <c r="L62" s="725">
        <f>ABRETS!$R388</f>
        <v>0</v>
      </c>
      <c r="M62" s="726" t="e">
        <f>IF(L62="","",L62/'INDICES CA 💵'!L32)</f>
        <v>#DIV/0!</v>
      </c>
      <c r="N62" s="725">
        <f>PONT!$R388</f>
        <v>0</v>
      </c>
      <c r="O62" s="726" t="e">
        <f>IF(N62="","",N62/'INDICES CA 💵'!N32)</f>
        <v>#DIV/0!</v>
      </c>
      <c r="P62" s="725">
        <f>FRANCIN!$R388</f>
        <v>0</v>
      </c>
      <c r="Q62" s="726" t="e">
        <f>IF(P62="","",P62/'INDICES CA 💵'!P32)</f>
        <v>#DIV/0!</v>
      </c>
      <c r="R62" s="725">
        <f>VIVIERS!$R388</f>
        <v>0</v>
      </c>
      <c r="S62" s="726" t="e">
        <f>IF(R62="","",R62/'INDICES CA 💵'!R32)</f>
        <v>#DIV/0!</v>
      </c>
      <c r="T62" s="727">
        <f>FRANCHISE!$R388</f>
        <v>0</v>
      </c>
      <c r="U62" s="728" t="e">
        <f>IF(T62="","",T62/'INDICES CA 💵'!T32)</f>
        <v>#DIV/0!</v>
      </c>
    </row>
    <row r="63" spans="2:21" ht="21" thickBot="1">
      <c r="B63" s="1848"/>
      <c r="C63" s="740" t="s">
        <v>45</v>
      </c>
      <c r="D63" s="1842">
        <f>SUM(D51:D62)</f>
        <v>7180.0800000000008</v>
      </c>
      <c r="E63" s="1842"/>
      <c r="F63" s="1843">
        <f>SUM(F51:F62)</f>
        <v>9374.66</v>
      </c>
      <c r="G63" s="1844"/>
      <c r="H63" s="1843">
        <f>SUM(H51:H62)</f>
        <v>5244.87</v>
      </c>
      <c r="I63" s="1844"/>
      <c r="J63" s="1843">
        <f>SUM(J51:J62)</f>
        <v>7780.73</v>
      </c>
      <c r="K63" s="1844"/>
      <c r="L63" s="1843">
        <f>SUM(L51:L62)</f>
        <v>5211.25</v>
      </c>
      <c r="M63" s="1844"/>
      <c r="N63" s="1843">
        <f>SUM(N51:N62)</f>
        <v>4851</v>
      </c>
      <c r="O63" s="1844"/>
      <c r="P63" s="1843">
        <f>SUM(P51:P62)</f>
        <v>2896.9499999999994</v>
      </c>
      <c r="Q63" s="1844"/>
      <c r="R63" s="1843">
        <f>SUM(R51:R62)</f>
        <v>3253.6299999999997</v>
      </c>
      <c r="S63" s="1844"/>
      <c r="T63" s="1843">
        <f>SUM(T51:T62)</f>
        <v>45793.170000000006</v>
      </c>
      <c r="U63" s="1845"/>
    </row>
    <row r="64" spans="2:21" ht="21" thickBot="1">
      <c r="B64" s="1848"/>
      <c r="C64" s="740" t="s">
        <v>54</v>
      </c>
      <c r="D64" s="1835">
        <f>D63/CHAMNORD!$M389</f>
        <v>2.3090668080580213E-3</v>
      </c>
      <c r="E64" s="1835"/>
      <c r="F64" s="1832">
        <f>F63/AIX!$M389</f>
        <v>4.3620392338224326E-3</v>
      </c>
      <c r="G64" s="1833"/>
      <c r="H64" s="1832">
        <f>H63/BELLEY!$M389</f>
        <v>2.8419036371389174E-3</v>
      </c>
      <c r="I64" s="1833"/>
      <c r="J64" s="1832">
        <f>J63/STALBAN!$M389</f>
        <v>3.2846484762761186E-3</v>
      </c>
      <c r="K64" s="1833"/>
      <c r="L64" s="1832">
        <f>L63/ABRETS!$M389</f>
        <v>3.6267563470167323E-3</v>
      </c>
      <c r="M64" s="1833"/>
      <c r="N64" s="1832">
        <f>N63/PONT!$M389</f>
        <v>3.2757040805508533E-3</v>
      </c>
      <c r="O64" s="1833"/>
      <c r="P64" s="1832">
        <f>P63/FRANCIN!$M389</f>
        <v>2.0276118040035867E-3</v>
      </c>
      <c r="Q64" s="1833"/>
      <c r="R64" s="1832">
        <f>R63/VIVIERS!$M389</f>
        <v>2.6228917359824877E-3</v>
      </c>
      <c r="S64" s="1833"/>
      <c r="T64" s="1832">
        <f>T63/FRANCHISE!$M389</f>
        <v>3.0407062293249737E-3</v>
      </c>
      <c r="U64" s="1834"/>
    </row>
    <row r="65" spans="2:21" ht="20" thickBot="1">
      <c r="B65" s="1848"/>
      <c r="U65" s="702"/>
    </row>
    <row r="66" spans="2:21" ht="32" customHeight="1">
      <c r="B66" s="1848"/>
      <c r="C66" s="703" t="s">
        <v>298</v>
      </c>
      <c r="D66" s="1846" t="s">
        <v>28</v>
      </c>
      <c r="E66" s="1846"/>
      <c r="F66" s="1836" t="s">
        <v>29</v>
      </c>
      <c r="G66" s="1837"/>
      <c r="H66" s="1838" t="s">
        <v>30</v>
      </c>
      <c r="I66" s="1838"/>
      <c r="J66" s="1839" t="s">
        <v>31</v>
      </c>
      <c r="K66" s="1840"/>
      <c r="L66" s="1846" t="s">
        <v>32</v>
      </c>
      <c r="M66" s="1846"/>
      <c r="N66" s="1836" t="s">
        <v>33</v>
      </c>
      <c r="O66" s="1837"/>
      <c r="P66" s="1838" t="s">
        <v>34</v>
      </c>
      <c r="Q66" s="1838"/>
      <c r="R66" s="1839" t="str">
        <f>R50</f>
        <v>VIVIERS</v>
      </c>
      <c r="S66" s="1840"/>
      <c r="T66" s="1838" t="s">
        <v>37</v>
      </c>
      <c r="U66" s="1841"/>
    </row>
    <row r="67" spans="2:21">
      <c r="B67" s="1848"/>
      <c r="C67" s="684" t="s">
        <v>10</v>
      </c>
      <c r="D67" s="744">
        <f>CHAMNORD!$S377</f>
        <v>-169.3</v>
      </c>
      <c r="E67" s="743">
        <f>IF(D67="","",D67/'INDICES CA 💵'!D21)</f>
        <v>-2.6060146140004405E-4</v>
      </c>
      <c r="F67" s="745">
        <f>AIX!$S377</f>
        <v>-24.1</v>
      </c>
      <c r="G67" s="726">
        <f>IF(F67="","",F67/'INDICES CA 💵'!F21)</f>
        <v>-6.3961749918103764E-5</v>
      </c>
      <c r="H67" s="745">
        <f>BELLEY!$S377</f>
        <v>-71.150000000000006</v>
      </c>
      <c r="I67" s="726">
        <f>IF(H67="","",H67/'INDICES CA 💵'!H21)</f>
        <v>-1.970880333104537E-4</v>
      </c>
      <c r="J67" s="745">
        <f>STALBAN!$S377</f>
        <v>33.96</v>
      </c>
      <c r="K67" s="726">
        <f>IF(J67="","",J67/'INDICES CA 💵'!J21)</f>
        <v>6.9955457572138576E-5</v>
      </c>
      <c r="L67" s="745">
        <f>ABRETS!$S377</f>
        <v>-131.02000000000001</v>
      </c>
      <c r="M67" s="726">
        <f>IF(L67="","",L67/'INDICES CA 💵'!L21)</f>
        <v>-4.7753312699275885E-4</v>
      </c>
      <c r="N67" s="745">
        <f>PONT!$S377</f>
        <v>32</v>
      </c>
      <c r="O67" s="726">
        <f>IF(N67="","",N67/'INDICES CA 💵'!N21)</f>
        <v>1.1212137138452375E-4</v>
      </c>
      <c r="P67" s="745">
        <f>FRANCIN!$S377</f>
        <v>-6.2899999999999974</v>
      </c>
      <c r="Q67" s="726">
        <f>IF(P67="","",P67/'INDICES CA 💵'!P21)</f>
        <v>-2.1914094033900086E-5</v>
      </c>
      <c r="R67" s="745">
        <f>VIVIERS!$S377</f>
        <v>-331.15</v>
      </c>
      <c r="S67" s="726">
        <f>IF(R67="","",R67/'INDICES CA 💵'!R21)</f>
        <v>-1.3207239920570706E-3</v>
      </c>
      <c r="T67" s="746">
        <f>FRANCHISE!$S377</f>
        <v>-667.05</v>
      </c>
      <c r="U67" s="728">
        <f>IF(T67="","",T67/'INDICES CA 💵'!T21)</f>
        <v>-2.2456317337264716E-4</v>
      </c>
    </row>
    <row r="68" spans="2:21" s="229" customFormat="1">
      <c r="B68" s="1848"/>
      <c r="C68" s="729" t="s">
        <v>25</v>
      </c>
      <c r="D68" s="744">
        <f>CHAMNORD!$S378</f>
        <v>-30168.03</v>
      </c>
      <c r="E68" s="743">
        <f>IF(D68="","",D68/'INDICES CA 💵'!D22)</f>
        <v>-5.0318599078754224E-2</v>
      </c>
      <c r="F68" s="745">
        <f>AIX!$S378</f>
        <v>8.4700000000000006</v>
      </c>
      <c r="G68" s="726">
        <f>IF(F68="","",F68/'INDICES CA 💵'!F22)</f>
        <v>2.2543539972956811E-5</v>
      </c>
      <c r="H68" s="745">
        <f>BELLEY!$S378</f>
        <v>-62.099999999999994</v>
      </c>
      <c r="I68" s="726">
        <f>IF(H68="","",H68/'INDICES CA 💵'!H22)</f>
        <v>-1.843728373860373E-4</v>
      </c>
      <c r="J68" s="745">
        <f>STALBAN!$S378</f>
        <v>78.05</v>
      </c>
      <c r="K68" s="726">
        <f>IF(J68="","",J68/'INDICES CA 💵'!J22)</f>
        <v>1.7966245832199269E-4</v>
      </c>
      <c r="L68" s="745">
        <f>ABRETS!$S378</f>
        <v>-7859.04</v>
      </c>
      <c r="M68" s="726">
        <f>IF(L68="","",L68/'INDICES CA 💵'!L22)</f>
        <v>-3.143931147658241E-2</v>
      </c>
      <c r="N68" s="745">
        <f>PONT!$S378</f>
        <v>1</v>
      </c>
      <c r="O68" s="726">
        <f>IF(N68="","",N68/'INDICES CA 💵'!N22)</f>
        <v>3.7689910034184748E-6</v>
      </c>
      <c r="P68" s="745">
        <f>FRANCIN!$S378</f>
        <v>-65.38000000000001</v>
      </c>
      <c r="Q68" s="726">
        <f>IF(P68="","",P68/'INDICES CA 💵'!P22)</f>
        <v>-2.3923128963777613E-4</v>
      </c>
      <c r="R68" s="745">
        <f>VIVIERS!$S378</f>
        <v>-30.859999999999996</v>
      </c>
      <c r="S68" s="726">
        <f>IF(R68="","",R68/'INDICES CA 💵'!R22)</f>
        <v>-1.417288169267378E-4</v>
      </c>
      <c r="T68" s="746">
        <f>FRANCHISE!$S378</f>
        <v>-38097.889999999992</v>
      </c>
      <c r="U68" s="728">
        <f>IF(T68="","",T68/'INDICES CA 💵'!T22)</f>
        <v>-1.3839532421376055E-2</v>
      </c>
    </row>
    <row r="69" spans="2:21" s="229" customFormat="1">
      <c r="B69" s="1848"/>
      <c r="C69" s="729" t="s">
        <v>17</v>
      </c>
      <c r="D69" s="744">
        <f>CHAMNORD!$S379</f>
        <v>-18289.38</v>
      </c>
      <c r="E69" s="743">
        <f>IF(D69="","",D69/'INDICES CA 💵'!D23)</f>
        <v>-3.0463186888826172E-2</v>
      </c>
      <c r="F69" s="745">
        <f>AIX!$S379</f>
        <v>48.690000000000005</v>
      </c>
      <c r="G69" s="726">
        <f>IF(F69="","",F69/'INDICES CA 💵'!F23)</f>
        <v>1.2897284505752299E-4</v>
      </c>
      <c r="H69" s="745">
        <f>BELLEY!$S379</f>
        <v>-553.63999999999987</v>
      </c>
      <c r="I69" s="726">
        <f>IF(H69="","",H69/'INDICES CA 💵'!H23)</f>
        <v>-1.5839291329896243E-3</v>
      </c>
      <c r="J69" s="745">
        <f>STALBAN!$S379</f>
        <v>6.6599999999999948</v>
      </c>
      <c r="K69" s="726">
        <f>IF(J69="","",J69/'INDICES CA 💵'!J23)</f>
        <v>1.4379083640862556E-5</v>
      </c>
      <c r="L69" s="745">
        <f>ABRETS!$S379</f>
        <v>-121.71</v>
      </c>
      <c r="M69" s="726">
        <f>IF(L69="","",L69/'INDICES CA 💵'!L23)</f>
        <v>-4.3752970248267807E-4</v>
      </c>
      <c r="N69" s="745">
        <f>PONT!$S379</f>
        <v>19</v>
      </c>
      <c r="O69" s="726">
        <f>IF(N69="","",N69/'INDICES CA 💵'!N23)</f>
        <v>6.561113317333425E-5</v>
      </c>
      <c r="P69" s="745">
        <f>FRANCIN!$S379</f>
        <v>-60.960000000000008</v>
      </c>
      <c r="Q69" s="726">
        <f>IF(P69="","",P69/'INDICES CA 💵'!P23)</f>
        <v>-2.1971394944978885E-4</v>
      </c>
      <c r="R69" s="745">
        <f>VIVIERS!$S379</f>
        <v>-16.490000000000006</v>
      </c>
      <c r="S69" s="726">
        <f>IF(R69="","",R69/'INDICES CA 💵'!R23)</f>
        <v>-7.007009006152448E-5</v>
      </c>
      <c r="T69" s="746">
        <f>FRANCHISE!$S379</f>
        <v>-18967.830000000002</v>
      </c>
      <c r="U69" s="728">
        <f>IF(T69="","",T69/'INDICES CA 💵'!T23)</f>
        <v>-6.6063430991432906E-3</v>
      </c>
    </row>
    <row r="70" spans="2:21">
      <c r="B70" s="1848"/>
      <c r="C70" s="684" t="s">
        <v>18</v>
      </c>
      <c r="D70" s="744">
        <f>CHAMNORD!$S380</f>
        <v>-25775</v>
      </c>
      <c r="E70" s="743">
        <f>IF(D70="","",D70/'INDICES CA 💵'!D24)</f>
        <v>-4.5198045648781063E-2</v>
      </c>
      <c r="F70" s="745">
        <f>AIX!$S380</f>
        <v>49.109999999999985</v>
      </c>
      <c r="G70" s="726">
        <f>IF(F70="","",F70/'INDICES CA 💵'!F24)</f>
        <v>1.0715785681144299E-4</v>
      </c>
      <c r="H70" s="745">
        <f>BELLEY!$S380</f>
        <v>-241.06</v>
      </c>
      <c r="I70" s="726">
        <f>IF(H70="","",H70/'INDICES CA 💵'!H24)</f>
        <v>-6.9615690832633534E-4</v>
      </c>
      <c r="J70" s="745">
        <f>STALBAN!$S380</f>
        <v>18.509999999999998</v>
      </c>
      <c r="K70" s="726">
        <f>IF(J70="","",J70/'INDICES CA 💵'!J24)</f>
        <v>4.2341689888639753E-5</v>
      </c>
      <c r="L70" s="745">
        <f>ABRETS!$S380</f>
        <v>-24.72999999999999</v>
      </c>
      <c r="M70" s="726">
        <f>IF(L70="","",L70/'INDICES CA 💵'!L24)</f>
        <v>-8.8014537595714E-5</v>
      </c>
      <c r="N70" s="745">
        <f>PONT!$S380</f>
        <v>-10</v>
      </c>
      <c r="O70" s="726">
        <f>IF(N70="","",N70/'INDICES CA 💵'!N24)</f>
        <v>-3.5789443545731752E-5</v>
      </c>
      <c r="P70" s="745">
        <f>FRANCIN!$S380</f>
        <v>-5.57</v>
      </c>
      <c r="Q70" s="726">
        <f>IF(P70="","",P70/'INDICES CA 💵'!P24)</f>
        <v>-2.158699026120568E-5</v>
      </c>
      <c r="R70" s="745">
        <f>VIVIERS!$S380</f>
        <v>-101.19000000000001</v>
      </c>
      <c r="S70" s="726">
        <f>IF(R70="","",R70/'INDICES CA 💵'!R24)</f>
        <v>-4.3157855004705414E-4</v>
      </c>
      <c r="T70" s="746">
        <f>FRANCHISE!$S380</f>
        <v>-26089.93</v>
      </c>
      <c r="U70" s="728">
        <f>IF(T70="","",T70/'INDICES CA 💵'!T24)</f>
        <v>-9.106836148844305E-3</v>
      </c>
    </row>
    <row r="71" spans="2:21">
      <c r="B71" s="1848"/>
      <c r="C71" s="684" t="s">
        <v>19</v>
      </c>
      <c r="D71" s="744">
        <f>CHAMNORD!$S381</f>
        <v>-995.72</v>
      </c>
      <c r="E71" s="743">
        <f>IF(D71="","",D71/'INDICES CA 💵'!D25)</f>
        <v>-1.781269889508386E-3</v>
      </c>
      <c r="F71" s="745">
        <f>AIX!$S381</f>
        <v>-11.670000000000002</v>
      </c>
      <c r="G71" s="726">
        <f>IF(F71="","",F71/'INDICES CA 💵'!F25)</f>
        <v>-2.5251709450931551E-5</v>
      </c>
      <c r="H71" s="745">
        <f>BELLEY!$S381</f>
        <v>-16.080000000000013</v>
      </c>
      <c r="I71" s="726">
        <f>IF(H71="","",H71/'INDICES CA 💵'!H25)</f>
        <v>-4.3859986485232573E-5</v>
      </c>
      <c r="J71" s="745">
        <f>STALBAN!$S381</f>
        <v>-157.91999999999999</v>
      </c>
      <c r="K71" s="726">
        <f>IF(J71="","",J71/'INDICES CA 💵'!J25)</f>
        <v>-3.5697267639992874E-4</v>
      </c>
      <c r="L71" s="745">
        <f>ABRETS!$S381</f>
        <v>-4311.6500000000005</v>
      </c>
      <c r="M71" s="726">
        <f>IF(L71="","",L71/'INDICES CA 💵'!L25)</f>
        <v>-1.5083258861276835E-2</v>
      </c>
      <c r="N71" s="745">
        <f>PONT!$S381</f>
        <v>40</v>
      </c>
      <c r="O71" s="726">
        <f>IF(N71="","",N71/'INDICES CA 💵'!N25)</f>
        <v>1.3597764527511678E-4</v>
      </c>
      <c r="P71" s="745">
        <f>FRANCIN!$S381</f>
        <v>53.110000000000007</v>
      </c>
      <c r="Q71" s="726">
        <f>IF(P71="","",P71/'INDICES CA 💵'!P25)</f>
        <v>1.9907294454748353E-4</v>
      </c>
      <c r="R71" s="745">
        <f>VIVIERS!$S381</f>
        <v>14.780000000000005</v>
      </c>
      <c r="S71" s="726">
        <f>IF(R71="","",R71/'INDICES CA 💵'!R25)</f>
        <v>6.0356758262199093E-5</v>
      </c>
      <c r="T71" s="746">
        <f>FRANCHISE!$S381</f>
        <v>-5385.1500000000015</v>
      </c>
      <c r="U71" s="728">
        <f>IF(T71="","",T71/'INDICES CA 💵'!T25)</f>
        <v>-1.843070615093669E-3</v>
      </c>
    </row>
    <row r="72" spans="2:21" s="229" customFormat="1">
      <c r="B72" s="1848"/>
      <c r="C72" s="729" t="s">
        <v>20</v>
      </c>
      <c r="D72" s="744">
        <f>CHAMNORD!$S382</f>
        <v>-46.52</v>
      </c>
      <c r="E72" s="743">
        <f>IF(D72="","",D72/'INDICES CA 💵'!D26)</f>
        <v>-3.5596869281363336E-4</v>
      </c>
      <c r="F72" s="745">
        <f>AIX!$S382</f>
        <v>33.190000000000005</v>
      </c>
      <c r="G72" s="726">
        <f>IF(F72="","",F72/'INDICES CA 💵'!F26)</f>
        <v>3.3634987521409505E-4</v>
      </c>
      <c r="H72" s="745">
        <f>BELLEY!$S382</f>
        <v>26.860000000000007</v>
      </c>
      <c r="I72" s="726">
        <f>IF(H72="","",H72/'INDICES CA 💵'!H26)</f>
        <v>3.149073825264155E-4</v>
      </c>
      <c r="J72" s="745">
        <f>STALBAN!$S382</f>
        <v>45.88</v>
      </c>
      <c r="K72" s="726">
        <f>IF(J72="","",J72/'INDICES CA 💵'!J26)</f>
        <v>4.3192656570555793E-4</v>
      </c>
      <c r="L72" s="745">
        <f>ABRETS!$S382</f>
        <v>-100.03</v>
      </c>
      <c r="M72" s="726">
        <f>IF(L72="","",L72/'INDICES CA 💵'!L26)</f>
        <v>-1.4810853277199268E-3</v>
      </c>
      <c r="N72" s="745">
        <f>PONT!$S382</f>
        <v>10</v>
      </c>
      <c r="O72" s="726">
        <f>IF(N72="","",N72/'INDICES CA 💵'!N26)</f>
        <v>1.492270041186653E-4</v>
      </c>
      <c r="P72" s="745">
        <f>FRANCIN!$S382</f>
        <v>40.809999999999995</v>
      </c>
      <c r="Q72" s="726">
        <f>IF(P72="","",P72/'INDICES CA 💵'!P26)</f>
        <v>6.1680207545358973E-4</v>
      </c>
      <c r="R72" s="745">
        <f>VIVIERS!$S382</f>
        <v>1.2400000000000002</v>
      </c>
      <c r="S72" s="726">
        <f>IF(R72="","",R72/'INDICES CA 💵'!R26)</f>
        <v>2.1631813279770179E-5</v>
      </c>
      <c r="T72" s="746">
        <f>FRANCHISE!$S382</f>
        <v>11.430000000000005</v>
      </c>
      <c r="U72" s="728">
        <f>IF(T72="","",T72/'INDICES CA 💵'!T26)</f>
        <v>1.6835649651633152E-5</v>
      </c>
    </row>
    <row r="73" spans="2:21" s="229" customFormat="1">
      <c r="B73" s="1848"/>
      <c r="C73" s="1127" t="s">
        <v>21</v>
      </c>
      <c r="D73" s="1128">
        <f>CHAMNORD!$S383</f>
        <v>0</v>
      </c>
      <c r="E73" s="1117" t="e">
        <f>IF(D73="","",D73/'INDICES CA 💵'!D27)</f>
        <v>#DIV/0!</v>
      </c>
      <c r="F73" s="1129">
        <f>AIX!$S383</f>
        <v>0</v>
      </c>
      <c r="G73" s="1119" t="e">
        <f>IF(F73="","",F73/'INDICES CA 💵'!F27)</f>
        <v>#DIV/0!</v>
      </c>
      <c r="H73" s="1129">
        <f>BELLEY!$S383</f>
        <v>0</v>
      </c>
      <c r="I73" s="1119" t="e">
        <f>IF(H73="","",H73/'INDICES CA 💵'!H27)</f>
        <v>#DIV/0!</v>
      </c>
      <c r="J73" s="1129">
        <f>STALBAN!$S383</f>
        <v>0</v>
      </c>
      <c r="K73" s="1119" t="e">
        <f>IF(J73="","",J73/'INDICES CA 💵'!J27)</f>
        <v>#DIV/0!</v>
      </c>
      <c r="L73" s="1129">
        <f>ABRETS!$S383</f>
        <v>0</v>
      </c>
      <c r="M73" s="1119" t="e">
        <f>IF(L73="","",L73/'INDICES CA 💵'!L27)</f>
        <v>#DIV/0!</v>
      </c>
      <c r="N73" s="1129">
        <f>PONT!$S383</f>
        <v>0</v>
      </c>
      <c r="O73" s="1119" t="e">
        <f>IF(N73="","",N73/'INDICES CA 💵'!N27)</f>
        <v>#DIV/0!</v>
      </c>
      <c r="P73" s="1129">
        <f>FRANCIN!$S383</f>
        <v>0</v>
      </c>
      <c r="Q73" s="1119" t="e">
        <f>IF(P73="","",P73/'INDICES CA 💵'!P27)</f>
        <v>#DIV/0!</v>
      </c>
      <c r="R73" s="1129">
        <f>VIVIERS!$S383</f>
        <v>0</v>
      </c>
      <c r="S73" s="1119" t="e">
        <f>IF(R73="","",R73/'INDICES CA 💵'!R27)</f>
        <v>#DIV/0!</v>
      </c>
      <c r="T73" s="1130">
        <f>FRANCHISE!$S383</f>
        <v>0</v>
      </c>
      <c r="U73" s="1121" t="e">
        <f>IF(T73="","",T73/'INDICES CA 💵'!T27)</f>
        <v>#DIV/0!</v>
      </c>
    </row>
    <row r="74" spans="2:21">
      <c r="B74" s="1848"/>
      <c r="C74" s="684" t="s">
        <v>26</v>
      </c>
      <c r="D74" s="744">
        <f>CHAMNORD!$S384</f>
        <v>0</v>
      </c>
      <c r="E74" s="743" t="e">
        <f>IF(D74="","",D74/'INDICES CA 💵'!D28)</f>
        <v>#DIV/0!</v>
      </c>
      <c r="F74" s="745">
        <f>AIX!$S384</f>
        <v>0</v>
      </c>
      <c r="G74" s="726" t="e">
        <f>IF(F74="","",F74/'INDICES CA 💵'!F28)</f>
        <v>#DIV/0!</v>
      </c>
      <c r="H74" s="745">
        <f>BELLEY!$S384</f>
        <v>0</v>
      </c>
      <c r="I74" s="726" t="e">
        <f>IF(H74="","",H74/'INDICES CA 💵'!H28)</f>
        <v>#DIV/0!</v>
      </c>
      <c r="J74" s="745">
        <f>STALBAN!$S384</f>
        <v>0</v>
      </c>
      <c r="K74" s="726" t="e">
        <f>IF(J74="","",J74/'INDICES CA 💵'!J28)</f>
        <v>#DIV/0!</v>
      </c>
      <c r="L74" s="745">
        <f>ABRETS!$S384</f>
        <v>0</v>
      </c>
      <c r="M74" s="726" t="e">
        <f>IF(L74="","",L74/'INDICES CA 💵'!L28)</f>
        <v>#DIV/0!</v>
      </c>
      <c r="N74" s="745">
        <f>PONT!$S384</f>
        <v>0</v>
      </c>
      <c r="O74" s="726" t="e">
        <f>IF(N74="","",N74/'INDICES CA 💵'!N28)</f>
        <v>#DIV/0!</v>
      </c>
      <c r="P74" s="745">
        <f>FRANCIN!$S384</f>
        <v>0</v>
      </c>
      <c r="Q74" s="726" t="e">
        <f>IF(P74="","",P74/'INDICES CA 💵'!P28)</f>
        <v>#DIV/0!</v>
      </c>
      <c r="R74" s="745">
        <f>VIVIERS!$S384</f>
        <v>0</v>
      </c>
      <c r="S74" s="726" t="e">
        <f>IF(R74="","",R74/'INDICES CA 💵'!R28)</f>
        <v>#DIV/0!</v>
      </c>
      <c r="T74" s="746">
        <f>FRANCHISE!$S384</f>
        <v>0</v>
      </c>
      <c r="U74" s="728" t="e">
        <f>IF(T74="","",T74/'INDICES CA 💵'!T28)</f>
        <v>#DIV/0!</v>
      </c>
    </row>
    <row r="75" spans="2:21">
      <c r="B75" s="1848"/>
      <c r="C75" s="684" t="s">
        <v>22</v>
      </c>
      <c r="D75" s="744">
        <f>CHAMNORD!$S385</f>
        <v>0</v>
      </c>
      <c r="E75" s="743" t="e">
        <f>IF(D75="","",D75/'INDICES CA 💵'!D29)</f>
        <v>#DIV/0!</v>
      </c>
      <c r="F75" s="745">
        <f>AIX!$S385</f>
        <v>0</v>
      </c>
      <c r="G75" s="726" t="e">
        <f>IF(F75="","",F75/'INDICES CA 💵'!F29)</f>
        <v>#DIV/0!</v>
      </c>
      <c r="H75" s="745">
        <f>BELLEY!$S385</f>
        <v>0</v>
      </c>
      <c r="I75" s="726" t="e">
        <f>IF(H75="","",H75/'INDICES CA 💵'!H29)</f>
        <v>#DIV/0!</v>
      </c>
      <c r="J75" s="745">
        <f>STALBAN!$S385</f>
        <v>0</v>
      </c>
      <c r="K75" s="726" t="e">
        <f>IF(J75="","",J75/'INDICES CA 💵'!J29)</f>
        <v>#DIV/0!</v>
      </c>
      <c r="L75" s="745">
        <f>ABRETS!$S385</f>
        <v>0</v>
      </c>
      <c r="M75" s="726" t="e">
        <f>IF(L75="","",L75/'INDICES CA 💵'!L29)</f>
        <v>#DIV/0!</v>
      </c>
      <c r="N75" s="745">
        <f>PONT!$S385</f>
        <v>0</v>
      </c>
      <c r="O75" s="726" t="e">
        <f>IF(N75="","",N75/'INDICES CA 💵'!N29)</f>
        <v>#DIV/0!</v>
      </c>
      <c r="P75" s="745">
        <f>FRANCIN!$S385</f>
        <v>0</v>
      </c>
      <c r="Q75" s="726" t="e">
        <f>IF(P75="","",P75/'INDICES CA 💵'!P29)</f>
        <v>#DIV/0!</v>
      </c>
      <c r="R75" s="745">
        <f>VIVIERS!$S385</f>
        <v>0</v>
      </c>
      <c r="S75" s="726" t="e">
        <f>IF(R75="","",R75/'INDICES CA 💵'!R29)</f>
        <v>#DIV/0!</v>
      </c>
      <c r="T75" s="746">
        <f>FRANCHISE!$S385</f>
        <v>0</v>
      </c>
      <c r="U75" s="728" t="e">
        <f>IF(T75="","",T75/'INDICES CA 💵'!T29)</f>
        <v>#DIV/0!</v>
      </c>
    </row>
    <row r="76" spans="2:21">
      <c r="B76" s="1848"/>
      <c r="C76" s="684" t="s">
        <v>23</v>
      </c>
      <c r="D76" s="744">
        <f>CHAMNORD!$S386</f>
        <v>0</v>
      </c>
      <c r="E76" s="743" t="e">
        <f>IF(D76="","",D76/'INDICES CA 💵'!D30)</f>
        <v>#DIV/0!</v>
      </c>
      <c r="F76" s="745">
        <f>AIX!$S386</f>
        <v>0</v>
      </c>
      <c r="G76" s="726" t="e">
        <f>IF(F76="","",F76/'INDICES CA 💵'!F30)</f>
        <v>#DIV/0!</v>
      </c>
      <c r="H76" s="745">
        <f>BELLEY!$S386</f>
        <v>0</v>
      </c>
      <c r="I76" s="726" t="e">
        <f>IF(H76="","",H76/'INDICES CA 💵'!H30)</f>
        <v>#DIV/0!</v>
      </c>
      <c r="J76" s="745">
        <f>STALBAN!$S386</f>
        <v>0</v>
      </c>
      <c r="K76" s="726" t="e">
        <f>IF(J76="","",J76/'INDICES CA 💵'!J30)</f>
        <v>#DIV/0!</v>
      </c>
      <c r="L76" s="745">
        <f>ABRETS!$S386</f>
        <v>0</v>
      </c>
      <c r="M76" s="726" t="e">
        <f>IF(L76="","",L76/'INDICES CA 💵'!L30)</f>
        <v>#DIV/0!</v>
      </c>
      <c r="N76" s="745">
        <f>PONT!$S386</f>
        <v>0</v>
      </c>
      <c r="O76" s="726" t="e">
        <f>IF(N76="","",N76/'INDICES CA 💵'!N30)</f>
        <v>#DIV/0!</v>
      </c>
      <c r="P76" s="745">
        <f>FRANCIN!$S386</f>
        <v>0</v>
      </c>
      <c r="Q76" s="726" t="e">
        <f>IF(P76="","",P76/'INDICES CA 💵'!P30)</f>
        <v>#DIV/0!</v>
      </c>
      <c r="R76" s="745">
        <f>VIVIERS!$S386</f>
        <v>0</v>
      </c>
      <c r="S76" s="726" t="e">
        <f>IF(R76="","",R76/'INDICES CA 💵'!R30)</f>
        <v>#DIV/0!</v>
      </c>
      <c r="T76" s="746">
        <f>FRANCHISE!$S386</f>
        <v>0</v>
      </c>
      <c r="U76" s="728" t="e">
        <f>IF(T76="","",T76/'INDICES CA 💵'!T30)</f>
        <v>#DIV/0!</v>
      </c>
    </row>
    <row r="77" spans="2:21">
      <c r="B77" s="1848"/>
      <c r="C77" s="684" t="s">
        <v>24</v>
      </c>
      <c r="D77" s="744">
        <f>CHAMNORD!$S387</f>
        <v>0</v>
      </c>
      <c r="E77" s="743" t="e">
        <f>IF(D77="","",D77/'INDICES CA 💵'!D31)</f>
        <v>#DIV/0!</v>
      </c>
      <c r="F77" s="745">
        <f>AIX!$S387</f>
        <v>0</v>
      </c>
      <c r="G77" s="726" t="e">
        <f>IF(F77="","",F77/'INDICES CA 💵'!F31)</f>
        <v>#DIV/0!</v>
      </c>
      <c r="H77" s="745">
        <f>BELLEY!$S387</f>
        <v>0</v>
      </c>
      <c r="I77" s="726" t="e">
        <f>IF(H77="","",H77/'INDICES CA 💵'!H31)</f>
        <v>#DIV/0!</v>
      </c>
      <c r="J77" s="745">
        <f>STALBAN!$S387</f>
        <v>0</v>
      </c>
      <c r="K77" s="726" t="e">
        <f>IF(J77="","",J77/'INDICES CA 💵'!J31)</f>
        <v>#DIV/0!</v>
      </c>
      <c r="L77" s="745">
        <f>ABRETS!$S387</f>
        <v>0</v>
      </c>
      <c r="M77" s="726" t="e">
        <f>IF(L77="","",L77/'INDICES CA 💵'!L31)</f>
        <v>#DIV/0!</v>
      </c>
      <c r="N77" s="745">
        <f>PONT!$S387</f>
        <v>0</v>
      </c>
      <c r="O77" s="726" t="e">
        <f>IF(N77="","",N77/'INDICES CA 💵'!N31)</f>
        <v>#DIV/0!</v>
      </c>
      <c r="P77" s="745">
        <f>FRANCIN!$S387</f>
        <v>0</v>
      </c>
      <c r="Q77" s="726" t="e">
        <f>IF(P77="","",P77/'INDICES CA 💵'!P31)</f>
        <v>#DIV/0!</v>
      </c>
      <c r="R77" s="745">
        <f>VIVIERS!$S387</f>
        <v>0</v>
      </c>
      <c r="S77" s="726" t="e">
        <f>IF(R77="","",R77/'INDICES CA 💵'!R31)</f>
        <v>#DIV/0!</v>
      </c>
      <c r="T77" s="746">
        <f>FRANCHISE!$S387</f>
        <v>0</v>
      </c>
      <c r="U77" s="728" t="e">
        <f>IF(T77="","",T77/'INDICES CA 💵'!T31)</f>
        <v>#DIV/0!</v>
      </c>
    </row>
    <row r="78" spans="2:21">
      <c r="B78" s="1848"/>
      <c r="C78" s="684" t="s">
        <v>27</v>
      </c>
      <c r="D78" s="744">
        <f>CHAMNORD!$S388</f>
        <v>0</v>
      </c>
      <c r="E78" s="743" t="e">
        <f>IF(D78="","",D78/'INDICES CA 💵'!D32)</f>
        <v>#DIV/0!</v>
      </c>
      <c r="F78" s="745">
        <f>AIX!$S388</f>
        <v>0</v>
      </c>
      <c r="G78" s="726" t="e">
        <f>IF(F78="","",F78/'INDICES CA 💵'!F32)</f>
        <v>#DIV/0!</v>
      </c>
      <c r="H78" s="745">
        <f>BELLEY!$S388</f>
        <v>0</v>
      </c>
      <c r="I78" s="726" t="e">
        <f>IF(H78="","",H78/'INDICES CA 💵'!H32)</f>
        <v>#DIV/0!</v>
      </c>
      <c r="J78" s="745">
        <f>STALBAN!$S388</f>
        <v>0</v>
      </c>
      <c r="K78" s="726" t="e">
        <f>IF(J78="","",J78/'INDICES CA 💵'!J32)</f>
        <v>#DIV/0!</v>
      </c>
      <c r="L78" s="745">
        <f>ABRETS!$S388</f>
        <v>0</v>
      </c>
      <c r="M78" s="726" t="e">
        <f>IF(L78="","",L78/'INDICES CA 💵'!L32)</f>
        <v>#DIV/0!</v>
      </c>
      <c r="N78" s="745">
        <f>PONT!$S388</f>
        <v>0</v>
      </c>
      <c r="O78" s="726" t="e">
        <f>IF(N78="","",N78/'INDICES CA 💵'!N32)</f>
        <v>#DIV/0!</v>
      </c>
      <c r="P78" s="745">
        <f>FRANCIN!$S388</f>
        <v>0</v>
      </c>
      <c r="Q78" s="726" t="e">
        <f>IF(P78="","",P78/'INDICES CA 💵'!P32)</f>
        <v>#DIV/0!</v>
      </c>
      <c r="R78" s="745">
        <f>VIVIERS!$S388</f>
        <v>0</v>
      </c>
      <c r="S78" s="726" t="e">
        <f>IF(R78="","",R78/'INDICES CA 💵'!R32)</f>
        <v>#DIV/0!</v>
      </c>
      <c r="T78" s="746">
        <f>FRANCHISE!$S388</f>
        <v>0</v>
      </c>
      <c r="U78" s="728" t="e">
        <f>IF(T78="","",T78/'INDICES CA 💵'!T32)</f>
        <v>#DIV/0!</v>
      </c>
    </row>
    <row r="79" spans="2:21" ht="21" thickBot="1">
      <c r="B79" s="1848"/>
      <c r="C79" s="740" t="s">
        <v>45</v>
      </c>
      <c r="D79" s="1842">
        <f>SUM(D67:D78)</f>
        <v>-75443.95</v>
      </c>
      <c r="E79" s="1842"/>
      <c r="F79" s="1843">
        <f>SUM(F67:F78)</f>
        <v>103.69</v>
      </c>
      <c r="G79" s="1844"/>
      <c r="H79" s="1843">
        <f>SUM(H67:H78)</f>
        <v>-917.16999999999985</v>
      </c>
      <c r="I79" s="1844"/>
      <c r="J79" s="1843">
        <f>SUM(J67:J78)</f>
        <v>25.139999999999993</v>
      </c>
      <c r="K79" s="1844"/>
      <c r="L79" s="1843">
        <f>SUM(L67:L78)</f>
        <v>-12548.180000000002</v>
      </c>
      <c r="M79" s="1844"/>
      <c r="N79" s="1843">
        <f>SUM(N67:N78)</f>
        <v>92</v>
      </c>
      <c r="O79" s="1844"/>
      <c r="P79" s="1843">
        <f>SUM(P67:P78)</f>
        <v>-44.27999999999998</v>
      </c>
      <c r="Q79" s="1844"/>
      <c r="R79" s="1843">
        <f>SUM(R67:R78)</f>
        <v>-463.66999999999996</v>
      </c>
      <c r="S79" s="1844"/>
      <c r="T79" s="1843">
        <f>SUM(T67:T78)</f>
        <v>-89196.420000000013</v>
      </c>
      <c r="U79" s="1845"/>
    </row>
    <row r="80" spans="2:21" ht="21" thickBot="1">
      <c r="B80" s="1848"/>
      <c r="C80" s="740" t="s">
        <v>54</v>
      </c>
      <c r="D80" s="1835">
        <f>D79/CHAMNORD!$M389</f>
        <v>-2.426228131354928E-2</v>
      </c>
      <c r="E80" s="1835"/>
      <c r="F80" s="1832">
        <f>F79/AIX!$M389</f>
        <v>4.8247066896831249E-5</v>
      </c>
      <c r="G80" s="1833"/>
      <c r="H80" s="1832">
        <f>H79/BELLEY!$M389</f>
        <v>-4.9696346313153627E-4</v>
      </c>
      <c r="I80" s="1833"/>
      <c r="J80" s="1832">
        <f>J79/STALBAN!$M389</f>
        <v>1.0612893994982682E-5</v>
      </c>
      <c r="K80" s="1833"/>
      <c r="L80" s="1832">
        <f>L79/ABRETS!$M389</f>
        <v>-8.732874350397395E-3</v>
      </c>
      <c r="M80" s="1833"/>
      <c r="N80" s="1832">
        <f>N79/PONT!$M389</f>
        <v>6.2124257969630687E-5</v>
      </c>
      <c r="O80" s="1833"/>
      <c r="P80" s="1832">
        <f>P79/FRANCIN!$M389</f>
        <v>-3.0992129888772261E-5</v>
      </c>
      <c r="Q80" s="1833"/>
      <c r="R80" s="1832">
        <f>R79/VIVIERS!$M389</f>
        <v>-3.7378442269803266E-4</v>
      </c>
      <c r="S80" s="1833"/>
      <c r="T80" s="1832">
        <f>T79/FRANCHISE!M389</f>
        <v>-5.9227196965723639E-3</v>
      </c>
      <c r="U80" s="1834"/>
    </row>
    <row r="81" spans="2:21" ht="20" thickBot="1">
      <c r="B81" s="1848"/>
      <c r="U81" s="702"/>
    </row>
    <row r="82" spans="2:21" ht="32" customHeight="1">
      <c r="B82" s="1848"/>
      <c r="C82" s="703" t="s">
        <v>161</v>
      </c>
      <c r="D82" s="704" t="s">
        <v>28</v>
      </c>
      <c r="E82" s="703" t="s">
        <v>328</v>
      </c>
      <c r="F82" s="706" t="s">
        <v>29</v>
      </c>
      <c r="G82" s="703" t="s">
        <v>328</v>
      </c>
      <c r="H82" s="708" t="s">
        <v>30</v>
      </c>
      <c r="I82" s="703" t="s">
        <v>328</v>
      </c>
      <c r="J82" s="710" t="s">
        <v>31</v>
      </c>
      <c r="K82" s="703" t="s">
        <v>328</v>
      </c>
      <c r="L82" s="704" t="s">
        <v>32</v>
      </c>
      <c r="M82" s="703" t="s">
        <v>328</v>
      </c>
      <c r="N82" s="706" t="s">
        <v>33</v>
      </c>
      <c r="O82" s="703" t="s">
        <v>328</v>
      </c>
      <c r="P82" s="708" t="s">
        <v>34</v>
      </c>
      <c r="Q82" s="703" t="s">
        <v>328</v>
      </c>
      <c r="R82" s="710" t="str">
        <f>R66</f>
        <v>VIVIERS</v>
      </c>
      <c r="S82" s="703" t="s">
        <v>328</v>
      </c>
      <c r="T82" s="708" t="s">
        <v>37</v>
      </c>
      <c r="U82" s="741" t="s">
        <v>230</v>
      </c>
    </row>
    <row r="83" spans="2:21">
      <c r="B83" s="1848"/>
      <c r="C83" s="684" t="s">
        <v>10</v>
      </c>
      <c r="D83" s="691">
        <f>CHAMNORD!$T377</f>
        <v>192.51</v>
      </c>
      <c r="E83" s="747">
        <f>IF(D83=0,"",D83/'INDICES CA 💵'!D21)</f>
        <v>2.963283362913318E-4</v>
      </c>
      <c r="F83" s="692">
        <f>AIX!$T377</f>
        <v>208.76999999999998</v>
      </c>
      <c r="G83" s="747">
        <f>IF(F83=0,"",F83/'INDICES CA 💵'!F21)</f>
        <v>5.5407861122002159E-4</v>
      </c>
      <c r="H83" s="691">
        <f>BELLEY!$T377</f>
        <v>36.85</v>
      </c>
      <c r="I83" s="747">
        <f>IF(H83=0,"",H83/'INDICES CA 💵'!H21)</f>
        <v>1.0207581205186534E-4</v>
      </c>
      <c r="J83" s="692">
        <f>STALBAN!$T377</f>
        <v>108.39</v>
      </c>
      <c r="K83" s="747">
        <f>IF(J83=0,"",J83/'INDICES CA 💵'!J21)</f>
        <v>2.2327656202132212E-4</v>
      </c>
      <c r="L83" s="691">
        <f>ABRETS!$T377</f>
        <v>33.900000000000006</v>
      </c>
      <c r="M83" s="747">
        <f>IF(L83=0,"",L83/'INDICES CA 💵'!L21)</f>
        <v>1.2355650286257461E-4</v>
      </c>
      <c r="N83" s="692">
        <f>PONT!$T377</f>
        <v>51.28</v>
      </c>
      <c r="O83" s="747">
        <f>IF(N83=0,"",N83/'INDICES CA 💵'!N21)</f>
        <v>1.7967449764369931E-4</v>
      </c>
      <c r="P83" s="691">
        <f>FRANCIN!$T377</f>
        <v>26.23</v>
      </c>
      <c r="Q83" s="747">
        <f>IF(P83=0,"",P83/'INDICES CA 💵'!P21)</f>
        <v>9.1384210891764627E-5</v>
      </c>
      <c r="R83" s="692">
        <f>VIVIERS!$T377</f>
        <v>170.43</v>
      </c>
      <c r="S83" s="747">
        <f>IF(R83=0,"",R83/'INDICES CA 💵'!R21)</f>
        <v>6.7972516976079294E-4</v>
      </c>
      <c r="T83" s="689">
        <f>FRANCHISE!$T377</f>
        <v>828.3599999999999</v>
      </c>
      <c r="U83" s="748">
        <f>IF(T83=0,"",T83/'INDICES CA 💵'!T21)</f>
        <v>2.7886837612617647E-4</v>
      </c>
    </row>
    <row r="84" spans="2:21">
      <c r="B84" s="1848"/>
      <c r="C84" s="684" t="s">
        <v>25</v>
      </c>
      <c r="D84" s="749">
        <f>CHAMNORD!$T378</f>
        <v>249.14999999999998</v>
      </c>
      <c r="E84" s="750">
        <f>IF(D84=0,"",D84/'INDICES CA 💵'!D22)</f>
        <v>4.1556836692590183E-4</v>
      </c>
      <c r="F84" s="751">
        <f>AIX!$T378</f>
        <v>167.19</v>
      </c>
      <c r="G84" s="750">
        <f>IF(F84=0,"",F84/'INDICES CA 💵'!F22)</f>
        <v>4.4498871878142251E-4</v>
      </c>
      <c r="H84" s="749">
        <f>BELLEY!$T378</f>
        <v>86.210000000000008</v>
      </c>
      <c r="I84" s="750">
        <f>IF(H84=0,"",H84/'INDICES CA 💵'!H22)</f>
        <v>2.55954626586961E-4</v>
      </c>
      <c r="J84" s="751">
        <f>STALBAN!$T378</f>
        <v>16.600000000000001</v>
      </c>
      <c r="K84" s="750">
        <f>IF(J84=0,"",J84/'INDICES CA 💵'!J22)</f>
        <v>3.8211362051826762E-5</v>
      </c>
      <c r="L84" s="749">
        <f>ABRETS!$T378</f>
        <v>41.650000000000006</v>
      </c>
      <c r="M84" s="750">
        <f>IF(L84=0,"",L84/'INDICES CA 💵'!L22)</f>
        <v>1.6661670165817424E-4</v>
      </c>
      <c r="N84" s="751">
        <f>PONT!$T378</f>
        <v>42.480000000000004</v>
      </c>
      <c r="O84" s="750">
        <f>IF(N84=0,"",N84/'INDICES CA 💵'!N22)</f>
        <v>1.6010673782521683E-4</v>
      </c>
      <c r="P84" s="749">
        <f>FRANCIN!$T378</f>
        <v>25.099999999999998</v>
      </c>
      <c r="Q84" s="750">
        <f>IF(P84=0,"",P84/'INDICES CA 💵'!P22)</f>
        <v>9.1843153409424576E-5</v>
      </c>
      <c r="R84" s="751">
        <f>VIVIERS!$T378</f>
        <v>18.049999999999997</v>
      </c>
      <c r="S84" s="750">
        <f>IF(R84=0,"",R84/'INDICES CA 💵'!R22)</f>
        <v>8.2897120723513193E-5</v>
      </c>
      <c r="T84" s="752">
        <f>FRANCHISE!$T378</f>
        <v>646.42999999999995</v>
      </c>
      <c r="U84" s="753">
        <f>IF(T84=0,"",T84/'INDICES CA 💵'!T22)</f>
        <v>2.3482373809022297E-4</v>
      </c>
    </row>
    <row r="85" spans="2:21">
      <c r="B85" s="1848"/>
      <c r="C85" s="684" t="s">
        <v>17</v>
      </c>
      <c r="D85" s="749">
        <f>CHAMNORD!$T379</f>
        <v>249.28</v>
      </c>
      <c r="E85" s="750">
        <f>IF(D85=0,"",D85/'INDICES CA 💵'!D23)</f>
        <v>4.1520615940215515E-4</v>
      </c>
      <c r="F85" s="751">
        <f>AIX!$T379</f>
        <v>165.38</v>
      </c>
      <c r="G85" s="750">
        <f>IF(F85=0,"",F85/'INDICES CA 💵'!F23)</f>
        <v>4.3806796294132568E-4</v>
      </c>
      <c r="H85" s="749">
        <f>BELLEY!$T379</f>
        <v>44.75</v>
      </c>
      <c r="I85" s="750">
        <f>IF(H85=0,"",H85/'INDICES CA 💵'!H23)</f>
        <v>1.2802692851182304E-4</v>
      </c>
      <c r="J85" s="751">
        <f>STALBAN!$T379</f>
        <v>85.009999999999991</v>
      </c>
      <c r="K85" s="750">
        <f>IF(J85=0,"",J85/'INDICES CA 💵'!J23)</f>
        <v>1.8353842346992893E-4</v>
      </c>
      <c r="L85" s="749">
        <f>ABRETS!$T379</f>
        <v>23.05</v>
      </c>
      <c r="M85" s="750">
        <f>IF(L85=0,"",L85/'INDICES CA 💵'!L23)</f>
        <v>8.2861388893482296E-5</v>
      </c>
      <c r="N85" s="751">
        <f>PONT!$T379</f>
        <v>59.260000000000005</v>
      </c>
      <c r="O85" s="750">
        <f>IF(N85=0,"",N85/'INDICES CA 💵'!N23)</f>
        <v>2.0463767115009413E-4</v>
      </c>
      <c r="P85" s="749">
        <f>FRANCIN!$T379</f>
        <v>41.66</v>
      </c>
      <c r="Q85" s="750">
        <f>IF(P85=0,"",P85/'INDICES CA 💵'!P23)</f>
        <v>1.5015228238317259E-4</v>
      </c>
      <c r="R85" s="751">
        <f>VIVIERS!$T379</f>
        <v>203.17</v>
      </c>
      <c r="S85" s="750">
        <f>IF(R85=0,"",R85/'INDICES CA 💵'!R23)</f>
        <v>8.6331959962400982E-4</v>
      </c>
      <c r="T85" s="752">
        <f>FRANCHISE!$T379</f>
        <v>871.55999999999983</v>
      </c>
      <c r="U85" s="754">
        <f>IF(T85=0,"",T85/'INDICES CA 💵'!T23)</f>
        <v>3.0355735956560795E-4</v>
      </c>
    </row>
    <row r="86" spans="2:21">
      <c r="B86" s="1848"/>
      <c r="C86" s="684" t="s">
        <v>18</v>
      </c>
      <c r="D86" s="749">
        <f>CHAMNORD!$T380</f>
        <v>196.4</v>
      </c>
      <c r="E86" s="750">
        <f>IF(D86=0,"",D86/'INDICES CA 💵'!D24)</f>
        <v>3.4439946325589145E-4</v>
      </c>
      <c r="F86" s="751">
        <f>AIX!$T380</f>
        <v>262.81000000000006</v>
      </c>
      <c r="G86" s="750">
        <f>IF(F86=0,"",F86/'INDICES CA 💵'!F24)</f>
        <v>5.7345054670363156E-4</v>
      </c>
      <c r="H86" s="749">
        <f>BELLEY!$T380</f>
        <v>172.19</v>
      </c>
      <c r="I86" s="750">
        <f>IF(H86=0,"",H86/'INDICES CA 💵'!H24)</f>
        <v>4.9726731122837339E-4</v>
      </c>
      <c r="J86" s="751">
        <f>STALBAN!$T380</f>
        <v>141.15</v>
      </c>
      <c r="K86" s="750">
        <f>IF(J86=0,"",J86/'INDICES CA 💵'!J24)</f>
        <v>3.2288111981531616E-4</v>
      </c>
      <c r="L86" s="749">
        <f>ABRETS!$T380</f>
        <v>43.74</v>
      </c>
      <c r="M86" s="750">
        <f>IF(L86=0,"",L86/'INDICES CA 💵'!L24)</f>
        <v>1.5567148703746591E-4</v>
      </c>
      <c r="N86" s="751">
        <f>PONT!$T380</f>
        <v>25.990000000000002</v>
      </c>
      <c r="O86" s="750">
        <f>IF(N86=0,"",N86/'INDICES CA 💵'!N24)</f>
        <v>9.3016763775356822E-5</v>
      </c>
      <c r="P86" s="749">
        <f>FRANCIN!$T380</f>
        <v>38.799999999999997</v>
      </c>
      <c r="Q86" s="750">
        <f>IF(P86=0,"",P86/'INDICES CA 💵'!P24)</f>
        <v>1.5037257129888335E-4</v>
      </c>
      <c r="R86" s="751">
        <f>VIVIERS!$T380</f>
        <v>106.11999999999999</v>
      </c>
      <c r="S86" s="750">
        <f>IF(R86=0,"",R86/'INDICES CA 💵'!R24)</f>
        <v>4.5260515595408018E-4</v>
      </c>
      <c r="T86" s="752">
        <f>FRANCHISE!$T380</f>
        <v>987.2</v>
      </c>
      <c r="U86" s="754">
        <f>IF(T86=0,"",T86/'INDICES CA 💵'!T24)</f>
        <v>3.4458768751541676E-4</v>
      </c>
    </row>
    <row r="87" spans="2:21">
      <c r="B87" s="1848"/>
      <c r="C87" s="684" t="s">
        <v>19</v>
      </c>
      <c r="D87" s="749">
        <f>CHAMNORD!$T381</f>
        <v>377.19</v>
      </c>
      <c r="E87" s="750">
        <f>IF(D87=0,"",D87/'INDICES CA 💵'!D25)</f>
        <v>6.7476518461381525E-4</v>
      </c>
      <c r="F87" s="751">
        <f>AIX!$T381</f>
        <v>334.01</v>
      </c>
      <c r="G87" s="750">
        <f>IF(F87=0,"",F87/'INDICES CA 💵'!F25)</f>
        <v>7.2273551617014955E-4</v>
      </c>
      <c r="H87" s="749">
        <f>BELLEY!$T381</f>
        <v>34.64</v>
      </c>
      <c r="I87" s="750">
        <f>IF(H87=0,"",H87/'INDICES CA 💵'!H25)</f>
        <v>9.4484448498038254E-5</v>
      </c>
      <c r="J87" s="751">
        <f>STALBAN!$T381</f>
        <v>116.53</v>
      </c>
      <c r="K87" s="750">
        <f>IF(J87=0,"",J87/'INDICES CA 💵'!J25)</f>
        <v>2.6341201862261715E-4</v>
      </c>
      <c r="L87" s="749">
        <f>ABRETS!$T381</f>
        <v>45.349999999999994</v>
      </c>
      <c r="M87" s="750">
        <f>IF(L87=0,"",L87/'INDICES CA 💵'!L25)</f>
        <v>1.5864594513907769E-4</v>
      </c>
      <c r="N87" s="751">
        <f>PONT!$T381</f>
        <v>2</v>
      </c>
      <c r="O87" s="750">
        <f>IF(N87=0,"",N87/'INDICES CA 💵'!N25)</f>
        <v>6.7988822637558388E-6</v>
      </c>
      <c r="P87" s="749">
        <f>FRANCIN!$T381</f>
        <v>79.69</v>
      </c>
      <c r="Q87" s="750">
        <f>IF(P87=0,"",P87/'INDICES CA 💵'!P25)</f>
        <v>2.9870312466558009E-4</v>
      </c>
      <c r="R87" s="751">
        <f>VIVIERS!$T381</f>
        <v>93.28</v>
      </c>
      <c r="S87" s="750">
        <f>IF(R87=0,"",R87/'INDICES CA 💵'!R25)</f>
        <v>3.8092546757090187E-4</v>
      </c>
      <c r="T87" s="752">
        <f>FRANCHISE!$T381</f>
        <v>1082.69</v>
      </c>
      <c r="U87" s="754">
        <f>IF(T87=0,"",T87/'INDICES CA 💵'!T25)</f>
        <v>3.705512612008512E-4</v>
      </c>
    </row>
    <row r="88" spans="2:21" s="229" customFormat="1">
      <c r="B88" s="1848"/>
      <c r="C88" s="730" t="s">
        <v>20</v>
      </c>
      <c r="D88" s="755">
        <f>CHAMNORD!$T382</f>
        <v>45.39</v>
      </c>
      <c r="E88" s="756">
        <f>IF(D88=0,"",D88/'INDICES CA 💵'!D26)</f>
        <v>3.4732198982826351E-4</v>
      </c>
      <c r="F88" s="757">
        <f>AIX!$T382</f>
        <v>66.72999999999999</v>
      </c>
      <c r="G88" s="756">
        <f>IF(F88=0,"",F88/'INDICES CA 💵'!F26)</f>
        <v>6.7624667589745566E-4</v>
      </c>
      <c r="H88" s="755">
        <f>BELLEY!$T382</f>
        <v>0.72</v>
      </c>
      <c r="I88" s="756">
        <f>IF(H88=0,"",H88/'INDICES CA 💵'!H26)</f>
        <v>8.4412999039098685E-6</v>
      </c>
      <c r="J88" s="757">
        <f>STALBAN!$T382</f>
        <v>0</v>
      </c>
      <c r="K88" s="756" t="str">
        <f>IF(J88=0,"",J88/'INDICES CA 💵'!J26)</f>
        <v/>
      </c>
      <c r="L88" s="755">
        <f>ABRETS!$T382</f>
        <v>28.799999999999997</v>
      </c>
      <c r="M88" s="756">
        <f>IF(L88=0,"",L88/'INDICES CA 💵'!L26)</f>
        <v>4.2642464698924208E-4</v>
      </c>
      <c r="N88" s="757">
        <f>PONT!$T382</f>
        <v>9.1999999999999993</v>
      </c>
      <c r="O88" s="756">
        <f>IF(N88=0,"",N88/'INDICES CA 💵'!N26)</f>
        <v>1.3728884378917208E-4</v>
      </c>
      <c r="P88" s="755">
        <f>FRANCIN!$T382</f>
        <v>0</v>
      </c>
      <c r="Q88" s="756" t="str">
        <f>IF(P88=0,"",P88/'INDICES CA 💵'!P26)</f>
        <v/>
      </c>
      <c r="R88" s="757">
        <f>VIVIERS!$T382</f>
        <v>0</v>
      </c>
      <c r="S88" s="756" t="str">
        <f>IF(R88=0,"",R88/'INDICES CA 💵'!R26)</f>
        <v/>
      </c>
      <c r="T88" s="758">
        <f>FRANCHISE!$T382</f>
        <v>150.83999999999997</v>
      </c>
      <c r="U88" s="759">
        <f>IF(T88=0,"",T88/'INDICES CA 💵'!T26)</f>
        <v>2.2217754973336335E-4</v>
      </c>
    </row>
    <row r="89" spans="2:21">
      <c r="B89" s="1848"/>
      <c r="C89" s="684" t="s">
        <v>21</v>
      </c>
      <c r="D89" s="749">
        <f>CHAMNORD!$T383</f>
        <v>0</v>
      </c>
      <c r="E89" s="750" t="str">
        <f>IF(D89=0,"",D89/'INDICES CA 💵'!D27)</f>
        <v/>
      </c>
      <c r="F89" s="751">
        <f>AIX!$T383</f>
        <v>0</v>
      </c>
      <c r="G89" s="750" t="str">
        <f>IF(F89=0,"",F89/'INDICES CA 💵'!F27)</f>
        <v/>
      </c>
      <c r="H89" s="749">
        <f>BELLEY!$T383</f>
        <v>0</v>
      </c>
      <c r="I89" s="750" t="str">
        <f>IF(H89=0,"",H89/'INDICES CA 💵'!H27)</f>
        <v/>
      </c>
      <c r="J89" s="751">
        <f>STALBAN!$T383</f>
        <v>0</v>
      </c>
      <c r="K89" s="750" t="str">
        <f>IF(J89=0,"",J89/'INDICES CA 💵'!J27)</f>
        <v/>
      </c>
      <c r="L89" s="749">
        <f>ABRETS!$T383</f>
        <v>0</v>
      </c>
      <c r="M89" s="750" t="str">
        <f>IF(L89=0,"",L89/'INDICES CA 💵'!L27)</f>
        <v/>
      </c>
      <c r="N89" s="751">
        <f>PONT!$T383</f>
        <v>0</v>
      </c>
      <c r="O89" s="750" t="str">
        <f>IF(N89=0,"",N89/'INDICES CA 💵'!N27)</f>
        <v/>
      </c>
      <c r="P89" s="749">
        <f>FRANCIN!$T383</f>
        <v>0</v>
      </c>
      <c r="Q89" s="750" t="str">
        <f>IF(P89=0,"",P89/'INDICES CA 💵'!P27)</f>
        <v/>
      </c>
      <c r="R89" s="751">
        <f>VIVIERS!$T383</f>
        <v>0</v>
      </c>
      <c r="S89" s="750" t="str">
        <f>IF(R89=0,"",R89/'INDICES CA 💵'!R27)</f>
        <v/>
      </c>
      <c r="T89" s="752">
        <f>FRANCHISE!$T383</f>
        <v>0</v>
      </c>
      <c r="U89" s="754" t="str">
        <f>IF(T89=0,"",T89/'INDICES CA 💵'!T27)</f>
        <v/>
      </c>
    </row>
    <row r="90" spans="2:21">
      <c r="B90" s="1848"/>
      <c r="C90" s="684" t="s">
        <v>26</v>
      </c>
      <c r="D90" s="749">
        <f>CHAMNORD!$T384</f>
        <v>0</v>
      </c>
      <c r="E90" s="750" t="str">
        <f>IF(D90=0,"",D90/'INDICES CA 💵'!D28)</f>
        <v/>
      </c>
      <c r="F90" s="751">
        <f>AIX!$T384</f>
        <v>0</v>
      </c>
      <c r="G90" s="750" t="str">
        <f>IF(F90=0,"",F90/'INDICES CA 💵'!F28)</f>
        <v/>
      </c>
      <c r="H90" s="749">
        <f>BELLEY!$T384</f>
        <v>0</v>
      </c>
      <c r="I90" s="750" t="str">
        <f>IF(H90=0,"",H90/'INDICES CA 💵'!H28)</f>
        <v/>
      </c>
      <c r="J90" s="751">
        <f>STALBAN!$T384</f>
        <v>0</v>
      </c>
      <c r="K90" s="750" t="str">
        <f>IF(J90=0,"",J90/'INDICES CA 💵'!J28)</f>
        <v/>
      </c>
      <c r="L90" s="749">
        <f>ABRETS!$T384</f>
        <v>0</v>
      </c>
      <c r="M90" s="750" t="str">
        <f>IF(L90=0,"",L90/'INDICES CA 💵'!L28)</f>
        <v/>
      </c>
      <c r="N90" s="751">
        <f>PONT!$T384</f>
        <v>0</v>
      </c>
      <c r="O90" s="750" t="str">
        <f>IF(N90=0,"",N90/'INDICES CA 💵'!N28)</f>
        <v/>
      </c>
      <c r="P90" s="749">
        <f>FRANCIN!$T384</f>
        <v>0</v>
      </c>
      <c r="Q90" s="750" t="str">
        <f>IF(P90=0,"",P90/'INDICES CA 💵'!P28)</f>
        <v/>
      </c>
      <c r="R90" s="751">
        <f>VIVIERS!$T384</f>
        <v>0</v>
      </c>
      <c r="S90" s="750" t="str">
        <f>IF(R90=0,"",R90/'INDICES CA 💵'!R28)</f>
        <v/>
      </c>
      <c r="T90" s="752">
        <f>FRANCHISE!$T384</f>
        <v>0</v>
      </c>
      <c r="U90" s="754" t="str">
        <f>IF(T90=0,"",T90/'INDICES CA 💵'!T28)</f>
        <v/>
      </c>
    </row>
    <row r="91" spans="2:21">
      <c r="B91" s="1848"/>
      <c r="C91" s="684" t="s">
        <v>22</v>
      </c>
      <c r="D91" s="749">
        <f>CHAMNORD!$T385</f>
        <v>0</v>
      </c>
      <c r="E91" s="750" t="str">
        <f>IF(D91=0,"",D91/'INDICES CA 💵'!D29)</f>
        <v/>
      </c>
      <c r="F91" s="751">
        <f>AIX!$T385</f>
        <v>0</v>
      </c>
      <c r="G91" s="750" t="str">
        <f>IF(F91=0,"",F91/'INDICES CA 💵'!F29)</f>
        <v/>
      </c>
      <c r="H91" s="749">
        <f>BELLEY!$T385</f>
        <v>0</v>
      </c>
      <c r="I91" s="750" t="str">
        <f>IF(H91=0,"",H91/'INDICES CA 💵'!H29)</f>
        <v/>
      </c>
      <c r="J91" s="751">
        <f>STALBAN!$T385</f>
        <v>0</v>
      </c>
      <c r="K91" s="750" t="str">
        <f>IF(J91=0,"",J91/'INDICES CA 💵'!J29)</f>
        <v/>
      </c>
      <c r="L91" s="749">
        <f>ABRETS!$T385</f>
        <v>0</v>
      </c>
      <c r="M91" s="750" t="str">
        <f>IF(L91=0,"",L91/'INDICES CA 💵'!L29)</f>
        <v/>
      </c>
      <c r="N91" s="751">
        <f>PONT!$T385</f>
        <v>0</v>
      </c>
      <c r="O91" s="750" t="str">
        <f>IF(N91=0,"",N91/'INDICES CA 💵'!N29)</f>
        <v/>
      </c>
      <c r="P91" s="749">
        <f>FRANCIN!$T385</f>
        <v>0</v>
      </c>
      <c r="Q91" s="750" t="str">
        <f>IF(P91=0,"",P91/'INDICES CA 💵'!P29)</f>
        <v/>
      </c>
      <c r="R91" s="751">
        <f>VIVIERS!$T385</f>
        <v>0</v>
      </c>
      <c r="S91" s="750" t="str">
        <f>IF(R91=0,"",R91/'INDICES CA 💵'!R29)</f>
        <v/>
      </c>
      <c r="T91" s="752">
        <f>FRANCHISE!$T385</f>
        <v>0</v>
      </c>
      <c r="U91" s="754" t="str">
        <f>IF(T91=0,"",T91/'INDICES CA 💵'!T29)</f>
        <v/>
      </c>
    </row>
    <row r="92" spans="2:21">
      <c r="B92" s="1848"/>
      <c r="C92" s="684" t="s">
        <v>23</v>
      </c>
      <c r="D92" s="749">
        <f>CHAMNORD!$T386</f>
        <v>0</v>
      </c>
      <c r="E92" s="750" t="str">
        <f>IF(D92=0,"",D92/'INDICES CA 💵'!D30)</f>
        <v/>
      </c>
      <c r="F92" s="751">
        <f>AIX!$T386</f>
        <v>0</v>
      </c>
      <c r="G92" s="750" t="str">
        <f>IF(F92=0,"",F92/'INDICES CA 💵'!F30)</f>
        <v/>
      </c>
      <c r="H92" s="749">
        <f>BELLEY!$T386</f>
        <v>0</v>
      </c>
      <c r="I92" s="750" t="str">
        <f>IF(H92=0,"",H92/'INDICES CA 💵'!H30)</f>
        <v/>
      </c>
      <c r="J92" s="751">
        <f>STALBAN!$T386</f>
        <v>0</v>
      </c>
      <c r="K92" s="750" t="str">
        <f>IF(J92=0,"",J92/'INDICES CA 💵'!J30)</f>
        <v/>
      </c>
      <c r="L92" s="749">
        <f>ABRETS!$T386</f>
        <v>0</v>
      </c>
      <c r="M92" s="750" t="str">
        <f>IF(L92=0,"",L92/'INDICES CA 💵'!L30)</f>
        <v/>
      </c>
      <c r="N92" s="751">
        <f>PONT!$T386</f>
        <v>0</v>
      </c>
      <c r="O92" s="750" t="str">
        <f>IF(N92=0,"",N92/'INDICES CA 💵'!N30)</f>
        <v/>
      </c>
      <c r="P92" s="749">
        <f>FRANCIN!$T386</f>
        <v>0</v>
      </c>
      <c r="Q92" s="750" t="str">
        <f>IF(P92=0,"",P92/'INDICES CA 💵'!P30)</f>
        <v/>
      </c>
      <c r="R92" s="751">
        <f>VIVIERS!$T386</f>
        <v>0</v>
      </c>
      <c r="S92" s="750" t="str">
        <f>IF(R92=0,"",R92/'INDICES CA 💵'!R30)</f>
        <v/>
      </c>
      <c r="T92" s="752">
        <f>FRANCHISE!$T386</f>
        <v>0</v>
      </c>
      <c r="U92" s="754" t="str">
        <f>IF(T92=0,"",T92/'INDICES CA 💵'!T30)</f>
        <v/>
      </c>
    </row>
    <row r="93" spans="2:21">
      <c r="B93" s="1848"/>
      <c r="C93" s="684" t="s">
        <v>24</v>
      </c>
      <c r="D93" s="749">
        <f>CHAMNORD!$T387</f>
        <v>0</v>
      </c>
      <c r="E93" s="750" t="str">
        <f>IF(D93=0,"",D93/'INDICES CA 💵'!D31)</f>
        <v/>
      </c>
      <c r="F93" s="751">
        <f>AIX!$T387</f>
        <v>0</v>
      </c>
      <c r="G93" s="750" t="str">
        <f>IF(F93=0,"",F93/'INDICES CA 💵'!F31)</f>
        <v/>
      </c>
      <c r="H93" s="749">
        <f>BELLEY!$T387</f>
        <v>0</v>
      </c>
      <c r="I93" s="750" t="str">
        <f>IF(H93=0,"",H93/'INDICES CA 💵'!H31)</f>
        <v/>
      </c>
      <c r="J93" s="751">
        <f>STALBAN!$T387</f>
        <v>0</v>
      </c>
      <c r="K93" s="750" t="str">
        <f>IF(J93=0,"",J93/'INDICES CA 💵'!J31)</f>
        <v/>
      </c>
      <c r="L93" s="749">
        <f>ABRETS!$T387</f>
        <v>0</v>
      </c>
      <c r="M93" s="750" t="str">
        <f>IF(L93=0,"",L93/'INDICES CA 💵'!L31)</f>
        <v/>
      </c>
      <c r="N93" s="751">
        <f>PONT!$T387</f>
        <v>0</v>
      </c>
      <c r="O93" s="750" t="str">
        <f>IF(N93=0,"",N93/'INDICES CA 💵'!N31)</f>
        <v/>
      </c>
      <c r="P93" s="749">
        <f>FRANCIN!$T387</f>
        <v>0</v>
      </c>
      <c r="Q93" s="750" t="str">
        <f>IF(P93=0,"",P93/'INDICES CA 💵'!P31)</f>
        <v/>
      </c>
      <c r="R93" s="751">
        <f>VIVIERS!$T387</f>
        <v>0</v>
      </c>
      <c r="S93" s="750" t="str">
        <f>IF(R93=0,"",R93/'INDICES CA 💵'!R31)</f>
        <v/>
      </c>
      <c r="T93" s="752">
        <f>FRANCHISE!$T387</f>
        <v>0</v>
      </c>
      <c r="U93" s="754" t="str">
        <f>IF(T93=0,"",T93/'INDICES CA 💵'!T31)</f>
        <v/>
      </c>
    </row>
    <row r="94" spans="2:21">
      <c r="B94" s="1848"/>
      <c r="C94" s="684" t="s">
        <v>27</v>
      </c>
      <c r="D94" s="749">
        <f>CHAMNORD!$T388</f>
        <v>0</v>
      </c>
      <c r="E94" s="750" t="str">
        <f>IF(D94=0,"",D94/'INDICES CA 💵'!D32)</f>
        <v/>
      </c>
      <c r="F94" s="751">
        <f>AIX!$T388</f>
        <v>0</v>
      </c>
      <c r="G94" s="750" t="str">
        <f>IF(F94=0,"",F94/'INDICES CA 💵'!F32)</f>
        <v/>
      </c>
      <c r="H94" s="749">
        <f>BELLEY!$T388</f>
        <v>0</v>
      </c>
      <c r="I94" s="750" t="str">
        <f>IF(H94=0,"",H94/'INDICES CA 💵'!H32)</f>
        <v/>
      </c>
      <c r="J94" s="751">
        <f>STALBAN!$T388</f>
        <v>0</v>
      </c>
      <c r="K94" s="750" t="str">
        <f>IF(J94=0,"",J94/'INDICES CA 💵'!J32)</f>
        <v/>
      </c>
      <c r="L94" s="749">
        <f>ABRETS!$T388</f>
        <v>0</v>
      </c>
      <c r="M94" s="750" t="str">
        <f>IF(L94=0,"",L94/'INDICES CA 💵'!L32)</f>
        <v/>
      </c>
      <c r="N94" s="751">
        <f>PONT!$T388</f>
        <v>0</v>
      </c>
      <c r="O94" s="750" t="str">
        <f>IF(N94=0,"",N94/'INDICES CA 💵'!N32)</f>
        <v/>
      </c>
      <c r="P94" s="749">
        <f>FRANCIN!$T388</f>
        <v>0</v>
      </c>
      <c r="Q94" s="750" t="str">
        <f>IF(P94=0,"",P94/'INDICES CA 💵'!P32)</f>
        <v/>
      </c>
      <c r="R94" s="751">
        <f>VIVIERS!$T388</f>
        <v>0</v>
      </c>
      <c r="S94" s="750" t="str">
        <f>IF(R94=0,"",R94/'INDICES CA 💵'!R32)</f>
        <v/>
      </c>
      <c r="T94" s="752">
        <f>FRANCHISE!$T388</f>
        <v>0</v>
      </c>
      <c r="U94" s="754" t="str">
        <f>IF(T94=0,"",T94/'INDICES CA 💵'!T32)</f>
        <v/>
      </c>
    </row>
    <row r="95" spans="2:21" ht="20" thickBot="1">
      <c r="B95" s="1849"/>
      <c r="C95" s="760"/>
      <c r="D95" s="761">
        <f>SUM(D83:D94)</f>
        <v>1309.92</v>
      </c>
      <c r="E95" s="762">
        <f>IF(D95=0,"",D95/'INDICES CA 💵'!D33)</f>
        <v>4.2126171201593339E-4</v>
      </c>
      <c r="F95" s="763">
        <f>SUM(F83:F94)</f>
        <v>1204.8899999999999</v>
      </c>
      <c r="G95" s="762">
        <f>IF(F95=0,"",F95/'INDICES CA 💵'!F33)</f>
        <v>5.6063659401410938E-4</v>
      </c>
      <c r="H95" s="761">
        <f>SUM(H83:H94)</f>
        <v>375.36</v>
      </c>
      <c r="I95" s="762">
        <f>IF(H95=0,"",H95/'INDICES CA 💵'!H33)</f>
        <v>2.0338672821947236E-4</v>
      </c>
      <c r="J95" s="763">
        <f>SUM(J83:J94)</f>
        <v>467.67999999999995</v>
      </c>
      <c r="K95" s="762">
        <f>IF(J95=0,"",J95/'INDICES CA 💵'!J33)</f>
        <v>1.9743191183665479E-4</v>
      </c>
      <c r="L95" s="761">
        <f>SUM(L83:L94)</f>
        <v>216.49</v>
      </c>
      <c r="M95" s="762">
        <f>IF(L95=0,"",L95/'INDICES CA 💵'!L33)</f>
        <v>1.5066567168446195E-4</v>
      </c>
      <c r="N95" s="763">
        <f>SUM(N83:N94)</f>
        <v>190.21</v>
      </c>
      <c r="O95" s="762">
        <f>IF(N95=0,"",N95/'INDICES CA 💵'!N33)</f>
        <v>1.2844190335221145E-4</v>
      </c>
      <c r="P95" s="761">
        <f>SUM(P83:P94)</f>
        <v>211.48</v>
      </c>
      <c r="Q95" s="762">
        <f>IF(P95=0,"",P95/'INDICES CA 💵'!P33)</f>
        <v>1.4801751646064949E-4</v>
      </c>
      <c r="R95" s="763">
        <f>SUM(R83:R94)</f>
        <v>591.04999999999995</v>
      </c>
      <c r="S95" s="762">
        <f>IF(R95=0,"",R95/'INDICES CA 💵'!R33)</f>
        <v>4.7647094492995497E-4</v>
      </c>
      <c r="T95" s="761">
        <f>SUM(T83:T94)</f>
        <v>4567.08</v>
      </c>
      <c r="U95" s="764">
        <f>IF(T95=0,"",T95/'INDICES CA 💵'!T33)</f>
        <v>3.0325807551269103E-4</v>
      </c>
    </row>
    <row r="96" spans="2:21" ht="20" thickBot="1"/>
    <row r="97" spans="2:25" ht="40">
      <c r="B97" s="1850" t="s">
        <v>240</v>
      </c>
      <c r="C97" s="674" t="s">
        <v>158</v>
      </c>
      <c r="D97" s="675" t="s">
        <v>28</v>
      </c>
      <c r="E97" s="676">
        <v>5.0000000000000001E-3</v>
      </c>
      <c r="F97" s="677" t="s">
        <v>29</v>
      </c>
      <c r="G97" s="676">
        <v>5.0000000000000001E-3</v>
      </c>
      <c r="H97" s="679" t="s">
        <v>30</v>
      </c>
      <c r="I97" s="676">
        <v>5.0000000000000001E-3</v>
      </c>
      <c r="J97" s="681" t="s">
        <v>31</v>
      </c>
      <c r="K97" s="676">
        <v>5.0000000000000001E-3</v>
      </c>
      <c r="L97" s="675" t="s">
        <v>32</v>
      </c>
      <c r="M97" s="676">
        <v>5.0000000000000001E-3</v>
      </c>
      <c r="N97" s="677" t="s">
        <v>253</v>
      </c>
      <c r="O97" s="676">
        <v>5.0000000000000001E-3</v>
      </c>
      <c r="P97" s="679" t="s">
        <v>34</v>
      </c>
      <c r="Q97" s="676">
        <v>5.0000000000000001E-3</v>
      </c>
      <c r="R97" s="681" t="str">
        <f>R82</f>
        <v>VIVIERS</v>
      </c>
      <c r="S97" s="676">
        <v>5.0000000000000001E-3</v>
      </c>
      <c r="T97" s="679" t="s">
        <v>37</v>
      </c>
      <c r="U97" s="683">
        <v>5.0000000000000001E-3</v>
      </c>
      <c r="X97" s="211" t="str">
        <f>D97</f>
        <v>CHAMBERY</v>
      </c>
      <c r="Y97" s="237">
        <f>E110</f>
        <v>1.1044347453356819E-2</v>
      </c>
    </row>
    <row r="98" spans="2:25" s="229" customFormat="1">
      <c r="B98" s="1851"/>
      <c r="C98" s="729" t="s">
        <v>10</v>
      </c>
      <c r="D98" s="1435">
        <v>6980</v>
      </c>
      <c r="E98" s="1401">
        <f>IFERROR(D98/'INDICES CA 💵'!D21,"")</f>
        <v>1.074423036368758E-2</v>
      </c>
      <c r="F98" s="1438">
        <v>3684</v>
      </c>
      <c r="G98" s="750">
        <f>IFERROR(F98/'INDICES CA 💵'!F21,"")</f>
        <v>9.777389489555777E-3</v>
      </c>
      <c r="H98" s="1435">
        <v>555</v>
      </c>
      <c r="I98" s="750">
        <f>IFERROR(H98/'INDICES CA 💵'!H21,"")</f>
        <v>1.537369760889695E-3</v>
      </c>
      <c r="J98" s="1438">
        <v>4464</v>
      </c>
      <c r="K98" s="1401">
        <f>IFERROR(J98/'INDICES CA 💵'!J21,"")</f>
        <v>9.1955583805072606E-3</v>
      </c>
      <c r="L98" s="1443">
        <v>1739</v>
      </c>
      <c r="M98" s="750">
        <f>IFERROR(L98/'INDICES CA 💵'!L21,"")</f>
        <v>6.3381934654282365E-3</v>
      </c>
      <c r="N98" s="1438">
        <v>1893</v>
      </c>
      <c r="O98" s="750">
        <f>IFERROR(N98/'INDICES CA 💵'!N21,"")</f>
        <v>6.6326798759657329E-3</v>
      </c>
      <c r="P98" s="1434">
        <v>3159</v>
      </c>
      <c r="Q98" s="750">
        <f>IFERROR(P98/'INDICES CA 💵'!P21,"")</f>
        <v>1.1005822424974627E-2</v>
      </c>
      <c r="R98" s="1446">
        <v>2548</v>
      </c>
      <c r="S98" s="750">
        <f>IFERROR(R98/'INDICES CA 💵'!R21,"")</f>
        <v>1.016217645103855E-2</v>
      </c>
      <c r="T98" s="1449">
        <f t="shared" ref="T98:T109" si="0">D98+F98+H98+J98+L98+N98+P98+R98</f>
        <v>25022</v>
      </c>
      <c r="U98" s="754">
        <f>IFERROR(T98/'INDICES CA 💵'!T21,"")</f>
        <v>8.4236859667646772E-3</v>
      </c>
      <c r="X98" s="229" t="str">
        <f>F97</f>
        <v>AIX LES BAINS</v>
      </c>
      <c r="Y98" s="242">
        <f>G110</f>
        <v>8.5850700343333489E-3</v>
      </c>
    </row>
    <row r="99" spans="2:25">
      <c r="B99" s="1851"/>
      <c r="C99" s="684" t="s">
        <v>25</v>
      </c>
      <c r="D99" s="1435">
        <v>8242</v>
      </c>
      <c r="E99" s="1401">
        <f>IFERROR(D99/'INDICES CA 💵'!D22,"")</f>
        <v>1.3747198395357348E-2</v>
      </c>
      <c r="F99" s="1438">
        <v>1865</v>
      </c>
      <c r="G99" s="750">
        <f>IFERROR(F99/'INDICES CA 💵'!F22,"")</f>
        <v>4.9638373139981639E-3</v>
      </c>
      <c r="H99" s="1435">
        <v>865</v>
      </c>
      <c r="I99" s="750">
        <f>IFERROR(H99/'INDICES CA 💵'!H22,"")</f>
        <v>2.568156269547863E-3</v>
      </c>
      <c r="J99" s="1438">
        <v>1665</v>
      </c>
      <c r="K99" s="1401">
        <f>IFERROR(J99/'INDICES CA 💵'!J22,"")</f>
        <v>3.8326456515838285E-3</v>
      </c>
      <c r="L99" s="1443">
        <v>1611</v>
      </c>
      <c r="M99" s="750">
        <f>IFERROR(L99/'INDICES CA 💵'!L22,"")</f>
        <v>6.4446460113161746E-3</v>
      </c>
      <c r="N99" s="1438">
        <v>1261</v>
      </c>
      <c r="O99" s="750">
        <f>IFERROR(N99/'INDICES CA 💵'!N22,"")</f>
        <v>4.7526976553106965E-3</v>
      </c>
      <c r="P99" s="1434">
        <v>1987</v>
      </c>
      <c r="Q99" s="750">
        <f>IFERROR(P99/'INDICES CA 💵'!P22,"")</f>
        <v>7.2706113874313411E-3</v>
      </c>
      <c r="R99" s="1446">
        <v>1605</v>
      </c>
      <c r="S99" s="750">
        <f>IFERROR(R99/'INDICES CA 💵'!R22,"")</f>
        <v>7.3711844189051903E-3</v>
      </c>
      <c r="T99" s="1449">
        <f t="shared" si="0"/>
        <v>19101</v>
      </c>
      <c r="U99" s="754">
        <f>IFERROR(T99/'INDICES CA 💵'!T22,"")</f>
        <v>6.9386758369217845E-3</v>
      </c>
      <c r="X99" s="211" t="str">
        <f>H97</f>
        <v>BELLEY</v>
      </c>
      <c r="Y99" s="237">
        <f>I110</f>
        <v>2.8959122470483575E-3</v>
      </c>
    </row>
    <row r="100" spans="2:25" s="229" customFormat="1">
      <c r="B100" s="1851"/>
      <c r="C100" s="729" t="s">
        <v>17</v>
      </c>
      <c r="D100" s="1435">
        <v>8018</v>
      </c>
      <c r="E100" s="1401">
        <f>IFERROR(D100/'INDICES CA 💵'!D23,"")</f>
        <v>1.3354954212477855E-2</v>
      </c>
      <c r="F100" s="1438">
        <v>3098</v>
      </c>
      <c r="G100" s="750">
        <f>IFERROR(F100/'INDICES CA 💵'!F23,"")</f>
        <v>8.2061588414090395E-3</v>
      </c>
      <c r="H100" s="1435">
        <v>1117</v>
      </c>
      <c r="I100" s="750">
        <f>IFERROR(H100/'INDICES CA 💵'!H23,"")</f>
        <v>3.195666573133102E-3</v>
      </c>
      <c r="J100" s="1438">
        <v>1257</v>
      </c>
      <c r="K100" s="1401">
        <f>IFERROR(J100/'INDICES CA 💵'!J23,"")</f>
        <v>2.7138901105952322E-3</v>
      </c>
      <c r="L100" s="1443">
        <v>1941</v>
      </c>
      <c r="M100" s="750">
        <f>IFERROR(L100/'INDICES CA 💵'!L23,"")</f>
        <v>6.9776119671257752E-3</v>
      </c>
      <c r="N100" s="1438">
        <v>1660</v>
      </c>
      <c r="O100" s="750">
        <f>IFERROR(N100/'INDICES CA 💵'!N23,"")</f>
        <v>5.7323411088281507E-3</v>
      </c>
      <c r="P100" s="1434">
        <v>1958</v>
      </c>
      <c r="Q100" s="750">
        <f>IFERROR(P100/'INDICES CA 💵'!P23,"")</f>
        <v>7.0570851873800276E-3</v>
      </c>
      <c r="R100" s="1446">
        <v>2082</v>
      </c>
      <c r="S100" s="750">
        <f>IFERROR(R100/'INDICES CA 💵'!R23,"")</f>
        <v>8.8469331417885943E-3</v>
      </c>
      <c r="T100" s="1449">
        <f t="shared" si="0"/>
        <v>21131</v>
      </c>
      <c r="U100" s="754">
        <f>IFERROR(T100/'INDICES CA 💵'!T23,"")</f>
        <v>7.3597578651852565E-3</v>
      </c>
      <c r="X100" s="229" t="str">
        <f>J97</f>
        <v>ST ALBAN</v>
      </c>
      <c r="Y100" s="242">
        <f>K110</f>
        <v>5.8543836452211607E-3</v>
      </c>
    </row>
    <row r="101" spans="2:25" s="229" customFormat="1">
      <c r="B101" s="1851"/>
      <c r="C101" s="729" t="s">
        <v>18</v>
      </c>
      <c r="D101" s="1435">
        <v>4010</v>
      </c>
      <c r="E101" s="1401">
        <f>IFERROR(D101/'INDICES CA 💵'!D24,"")</f>
        <v>7.0317813017114284E-3</v>
      </c>
      <c r="F101" s="1438">
        <v>4493</v>
      </c>
      <c r="G101" s="750">
        <f>IFERROR(F101/'INDICES CA 💵'!F24,"")</f>
        <v>9.8037110701244858E-3</v>
      </c>
      <c r="H101" s="1435">
        <v>1391</v>
      </c>
      <c r="I101" s="750">
        <f>IFERROR(H101/'INDICES CA 💵'!H24,"")</f>
        <v>4.017067366970598E-3</v>
      </c>
      <c r="J101" s="1438">
        <v>1874</v>
      </c>
      <c r="K101" s="1401">
        <f>IFERROR(J101/'INDICES CA 💵'!J24,"")</f>
        <v>4.286781569492755E-3</v>
      </c>
      <c r="L101" s="1443">
        <v>695</v>
      </c>
      <c r="M101" s="750">
        <f>IFERROR(L101/'INDICES CA 💵'!L24,"")</f>
        <v>2.4735181410845634E-3</v>
      </c>
      <c r="N101" s="1438">
        <v>1585</v>
      </c>
      <c r="O101" s="750">
        <f>IFERROR(N101/'INDICES CA 💵'!N24,"")</f>
        <v>5.6726268019984824E-3</v>
      </c>
      <c r="P101" s="1434">
        <v>1713</v>
      </c>
      <c r="Q101" s="750">
        <f>IFERROR(P101/'INDICES CA 💵'!P24,"")</f>
        <v>6.6388715112110112E-3</v>
      </c>
      <c r="R101" s="1446">
        <v>1131</v>
      </c>
      <c r="S101" s="750">
        <f>IFERROR(R101/'INDICES CA 💵'!R24,"")</f>
        <v>4.8237507669060004E-3</v>
      </c>
      <c r="T101" s="1449">
        <f t="shared" si="0"/>
        <v>16892</v>
      </c>
      <c r="U101" s="754">
        <f>IFERROR(T101/'INDICES CA 💵'!T24,"")</f>
        <v>5.8962471814327597E-3</v>
      </c>
      <c r="X101" s="229" t="str">
        <f>L97</f>
        <v>LES ABRETS</v>
      </c>
      <c r="Y101" s="242">
        <f>M110</f>
        <v>5.6606890209217105E-3</v>
      </c>
    </row>
    <row r="102" spans="2:25" s="229" customFormat="1">
      <c r="B102" s="1851"/>
      <c r="C102" s="729" t="s">
        <v>19</v>
      </c>
      <c r="D102" s="1435">
        <v>5782</v>
      </c>
      <c r="E102" s="1401">
        <f>IFERROR(D102/'INDICES CA 💵'!D25,"")</f>
        <v>1.0343572993549882E-2</v>
      </c>
      <c r="F102" s="1438">
        <v>4702</v>
      </c>
      <c r="G102" s="750">
        <f>IFERROR(F102/'INDICES CA 💵'!F25,"")</f>
        <v>1.0174253456579274E-2</v>
      </c>
      <c r="H102" s="1435">
        <v>1159</v>
      </c>
      <c r="I102" s="750">
        <f>IFERROR(H102/'INDICES CA 💵'!H25,"")</f>
        <v>3.1613012647005293E-3</v>
      </c>
      <c r="J102" s="1438">
        <v>4089</v>
      </c>
      <c r="K102" s="1401">
        <f>IFERROR(J102/'INDICES CA 💵'!J25,"")</f>
        <v>9.2430425139267275E-3</v>
      </c>
      <c r="L102" s="1443">
        <v>1735</v>
      </c>
      <c r="M102" s="750">
        <f>IFERROR(L102/'INDICES CA 💵'!L25,"")</f>
        <v>6.0694755196537995E-3</v>
      </c>
      <c r="N102" s="1438">
        <v>2377</v>
      </c>
      <c r="O102" s="750">
        <f>IFERROR(N102/'INDICES CA 💵'!N25,"")</f>
        <v>8.0804715704738145E-3</v>
      </c>
      <c r="P102" s="1443">
        <v>2818</v>
      </c>
      <c r="Q102" s="750">
        <f>IFERROR(P102/'INDICES CA 💵'!P25,"")</f>
        <v>1.0562748215680822E-2</v>
      </c>
      <c r="R102" s="1446">
        <v>1410</v>
      </c>
      <c r="S102" s="750">
        <f>IFERROR(R102/'INDICES CA 💵'!R25,"")</f>
        <v>5.7579857340798847E-3</v>
      </c>
      <c r="T102" s="1449">
        <f t="shared" si="0"/>
        <v>24072</v>
      </c>
      <c r="U102" s="754">
        <f>IFERROR(T102/'INDICES CA 💵'!T25,"")</f>
        <v>8.2386555335570572E-3</v>
      </c>
      <c r="X102" s="229" t="str">
        <f>N97</f>
        <v>PDB</v>
      </c>
      <c r="Y102" s="242">
        <f>O110</f>
        <v>6.1741634025153759E-3</v>
      </c>
    </row>
    <row r="103" spans="2:25" s="229" customFormat="1">
      <c r="B103" s="1851"/>
      <c r="C103" s="730" t="s">
        <v>20</v>
      </c>
      <c r="D103" s="1436"/>
      <c r="E103" s="1403"/>
      <c r="F103" s="1439"/>
      <c r="G103" s="1403"/>
      <c r="H103" s="1441"/>
      <c r="I103" s="756"/>
      <c r="J103" s="1439"/>
      <c r="K103" s="1403"/>
      <c r="L103" s="1441"/>
      <c r="M103" s="756"/>
      <c r="N103" s="1439"/>
      <c r="O103" s="1403"/>
      <c r="P103" s="1444"/>
      <c r="Q103" s="756"/>
      <c r="R103" s="1447"/>
      <c r="S103" s="1404"/>
      <c r="T103" s="1622">
        <f t="shared" si="0"/>
        <v>0</v>
      </c>
      <c r="U103" s="759"/>
      <c r="X103" s="229" t="str">
        <f>P97</f>
        <v>FRANCIN</v>
      </c>
      <c r="Y103" s="242">
        <f>Q110</f>
        <v>8.5070277453355662E-3</v>
      </c>
    </row>
    <row r="104" spans="2:25" s="1175" customFormat="1">
      <c r="B104" s="1851"/>
      <c r="C104" s="1174" t="s">
        <v>21</v>
      </c>
      <c r="D104" s="1437"/>
      <c r="E104" s="1405"/>
      <c r="F104" s="1440"/>
      <c r="G104" s="1405"/>
      <c r="H104" s="1442"/>
      <c r="I104" s="1405"/>
      <c r="J104" s="1440"/>
      <c r="K104" s="1405"/>
      <c r="L104" s="1442"/>
      <c r="M104" s="1405"/>
      <c r="N104" s="1440"/>
      <c r="O104" s="1405"/>
      <c r="P104" s="1445"/>
      <c r="Q104" s="1405"/>
      <c r="R104" s="1448"/>
      <c r="S104" s="1406"/>
      <c r="T104" s="1623">
        <f t="shared" si="0"/>
        <v>0</v>
      </c>
      <c r="U104" s="1173"/>
      <c r="X104" s="1175" t="str">
        <f>R97</f>
        <v>VIVIERS</v>
      </c>
      <c r="Y104" s="1175">
        <f>S110</f>
        <v>7.3924061025436444E-3</v>
      </c>
    </row>
    <row r="105" spans="2:25">
      <c r="B105" s="1851"/>
      <c r="C105" s="684" t="s">
        <v>26</v>
      </c>
      <c r="D105" s="1435"/>
      <c r="E105" s="1401"/>
      <c r="F105" s="1438"/>
      <c r="G105" s="1401"/>
      <c r="H105" s="1443"/>
      <c r="I105" s="750"/>
      <c r="J105" s="1438"/>
      <c r="K105" s="1401"/>
      <c r="L105" s="1443"/>
      <c r="M105" s="750"/>
      <c r="N105" s="1438"/>
      <c r="O105" s="1401"/>
      <c r="P105" s="1443"/>
      <c r="Q105" s="750"/>
      <c r="R105" s="1446"/>
      <c r="S105" s="1402"/>
      <c r="T105" s="1449">
        <f t="shared" si="0"/>
        <v>0</v>
      </c>
      <c r="U105" s="754"/>
    </row>
    <row r="106" spans="2:25">
      <c r="B106" s="1851"/>
      <c r="C106" s="684" t="s">
        <v>22</v>
      </c>
      <c r="D106" s="1435"/>
      <c r="E106" s="1401"/>
      <c r="F106" s="1438"/>
      <c r="G106" s="1401"/>
      <c r="H106" s="1443"/>
      <c r="I106" s="750"/>
      <c r="J106" s="1438"/>
      <c r="K106" s="750"/>
      <c r="L106" s="1435"/>
      <c r="M106" s="750"/>
      <c r="N106" s="1438"/>
      <c r="O106" s="750"/>
      <c r="P106" s="1435"/>
      <c r="Q106" s="750"/>
      <c r="R106" s="1446"/>
      <c r="S106" s="1402"/>
      <c r="T106" s="1449">
        <f t="shared" si="0"/>
        <v>0</v>
      </c>
      <c r="U106" s="754"/>
    </row>
    <row r="107" spans="2:25">
      <c r="B107" s="1851"/>
      <c r="C107" s="684" t="s">
        <v>23</v>
      </c>
      <c r="D107" s="1435"/>
      <c r="E107" s="1401"/>
      <c r="F107" s="1438"/>
      <c r="G107" s="750"/>
      <c r="H107" s="1435"/>
      <c r="I107" s="750"/>
      <c r="J107" s="1438"/>
      <c r="K107" s="750"/>
      <c r="L107" s="1435"/>
      <c r="M107" s="750"/>
      <c r="N107" s="1438"/>
      <c r="O107" s="750"/>
      <c r="P107" s="1435"/>
      <c r="Q107" s="750"/>
      <c r="R107" s="1446"/>
      <c r="S107" s="750"/>
      <c r="T107" s="1449">
        <f t="shared" si="0"/>
        <v>0</v>
      </c>
      <c r="U107" s="754"/>
    </row>
    <row r="108" spans="2:25">
      <c r="B108" s="1851"/>
      <c r="C108" s="684" t="s">
        <v>24</v>
      </c>
      <c r="D108" s="1435"/>
      <c r="E108" s="1401"/>
      <c r="F108" s="1438"/>
      <c r="G108" s="750"/>
      <c r="H108" s="1435"/>
      <c r="I108" s="750"/>
      <c r="J108" s="1438"/>
      <c r="K108" s="750"/>
      <c r="L108" s="1435"/>
      <c r="M108" s="750"/>
      <c r="N108" s="1438"/>
      <c r="O108" s="750"/>
      <c r="P108" s="1435"/>
      <c r="Q108" s="750"/>
      <c r="R108" s="1446"/>
      <c r="S108" s="750"/>
      <c r="T108" s="1449">
        <f t="shared" si="0"/>
        <v>0</v>
      </c>
      <c r="U108" s="754"/>
    </row>
    <row r="109" spans="2:25">
      <c r="B109" s="1851"/>
      <c r="C109" s="684" t="s">
        <v>27</v>
      </c>
      <c r="D109" s="1435"/>
      <c r="E109" s="1401"/>
      <c r="F109" s="1438"/>
      <c r="G109" s="750"/>
      <c r="H109" s="1435"/>
      <c r="I109" s="750"/>
      <c r="J109" s="1438"/>
      <c r="K109" s="750"/>
      <c r="L109" s="1435"/>
      <c r="M109" s="750"/>
      <c r="N109" s="1438"/>
      <c r="O109" s="750"/>
      <c r="P109" s="1435"/>
      <c r="Q109" s="750"/>
      <c r="R109" s="1446"/>
      <c r="S109" s="750"/>
      <c r="T109" s="1449">
        <f t="shared" si="0"/>
        <v>0</v>
      </c>
      <c r="U109" s="754"/>
    </row>
    <row r="110" spans="2:25" ht="20" thickBot="1">
      <c r="B110" s="1852"/>
      <c r="C110" s="760"/>
      <c r="D110" s="1407">
        <f>SUM(D98:D109)</f>
        <v>33032</v>
      </c>
      <c r="E110" s="1408">
        <f>AVERAGE(E98:E109)</f>
        <v>1.1044347453356819E-2</v>
      </c>
      <c r="F110" s="1407">
        <f>SUM(F98:F109)</f>
        <v>17842</v>
      </c>
      <c r="G110" s="1408">
        <f>AVERAGE(G98:G109)</f>
        <v>8.5850700343333489E-3</v>
      </c>
      <c r="H110" s="1407">
        <f>SUM(H98:H109)</f>
        <v>5087</v>
      </c>
      <c r="I110" s="1408">
        <f>AVERAGE(I98:I109)</f>
        <v>2.8959122470483575E-3</v>
      </c>
      <c r="J110" s="1407">
        <f>SUM(J98:J109)</f>
        <v>13349</v>
      </c>
      <c r="K110" s="1408">
        <f>AVERAGE(K98:K109)</f>
        <v>5.8543836452211607E-3</v>
      </c>
      <c r="L110" s="1407">
        <f>SUM(L98:L109)</f>
        <v>7721</v>
      </c>
      <c r="M110" s="1408">
        <f>AVERAGE(M98:M109)</f>
        <v>5.6606890209217105E-3</v>
      </c>
      <c r="N110" s="1407">
        <f>SUM(N98:N109)</f>
        <v>8776</v>
      </c>
      <c r="O110" s="1408">
        <f>AVERAGE(O98:O109)</f>
        <v>6.1741634025153759E-3</v>
      </c>
      <c r="P110" s="1407">
        <f>SUM(P98:P109)</f>
        <v>11635</v>
      </c>
      <c r="Q110" s="1408">
        <f>AVERAGE(Q98:Q109)</f>
        <v>8.5070277453355662E-3</v>
      </c>
      <c r="R110" s="1407">
        <f>SUM(R98:R109)</f>
        <v>8776</v>
      </c>
      <c r="S110" s="1408">
        <f>AVERAGE(S98:S109)</f>
        <v>7.3924061025436444E-3</v>
      </c>
      <c r="T110" s="1407">
        <f>SUM(T98:T109)</f>
        <v>106218</v>
      </c>
      <c r="U110" s="764">
        <f>AVERAGE(U98:U109)</f>
        <v>7.3714044767723072E-3</v>
      </c>
    </row>
    <row r="111" spans="2:25">
      <c r="D111" s="404"/>
    </row>
  </sheetData>
  <mergeCells count="76">
    <mergeCell ref="R50:S50"/>
    <mergeCell ref="T50:U50"/>
    <mergeCell ref="D48:E48"/>
    <mergeCell ref="D50:E50"/>
    <mergeCell ref="F50:G50"/>
    <mergeCell ref="H50:I50"/>
    <mergeCell ref="J50:K50"/>
    <mergeCell ref="L50:M50"/>
    <mergeCell ref="J48:K48"/>
    <mergeCell ref="T48:U48"/>
    <mergeCell ref="R47:S47"/>
    <mergeCell ref="P48:Q48"/>
    <mergeCell ref="R48:S48"/>
    <mergeCell ref="C2:U2"/>
    <mergeCell ref="T47:U47"/>
    <mergeCell ref="F48:G48"/>
    <mergeCell ref="H48:I48"/>
    <mergeCell ref="R64:S64"/>
    <mergeCell ref="T64:U64"/>
    <mergeCell ref="D63:E63"/>
    <mergeCell ref="F63:G63"/>
    <mergeCell ref="H63:I63"/>
    <mergeCell ref="D64:E64"/>
    <mergeCell ref="F64:G64"/>
    <mergeCell ref="H64:I64"/>
    <mergeCell ref="J64:K64"/>
    <mergeCell ref="L64:M64"/>
    <mergeCell ref="R63:S63"/>
    <mergeCell ref="T63:U63"/>
    <mergeCell ref="J63:K63"/>
    <mergeCell ref="L63:M63"/>
    <mergeCell ref="N63:O63"/>
    <mergeCell ref="P63:Q63"/>
    <mergeCell ref="N64:O64"/>
    <mergeCell ref="P64:Q64"/>
    <mergeCell ref="N47:O47"/>
    <mergeCell ref="P47:Q47"/>
    <mergeCell ref="N50:O50"/>
    <mergeCell ref="P50:Q50"/>
    <mergeCell ref="N48:O48"/>
    <mergeCell ref="J66:K66"/>
    <mergeCell ref="L66:M66"/>
    <mergeCell ref="B4:B32"/>
    <mergeCell ref="B34:B95"/>
    <mergeCell ref="B97:B110"/>
    <mergeCell ref="L48:M48"/>
    <mergeCell ref="D47:E47"/>
    <mergeCell ref="F47:G47"/>
    <mergeCell ref="H47:I47"/>
    <mergeCell ref="J47:K47"/>
    <mergeCell ref="L47:M47"/>
    <mergeCell ref="N66:O66"/>
    <mergeCell ref="P66:Q66"/>
    <mergeCell ref="R66:S66"/>
    <mergeCell ref="T66:U66"/>
    <mergeCell ref="D79:E79"/>
    <mergeCell ref="F79:G79"/>
    <mergeCell ref="H79:I79"/>
    <mergeCell ref="J79:K79"/>
    <mergeCell ref="L79:M79"/>
    <mergeCell ref="N79:O79"/>
    <mergeCell ref="P79:Q79"/>
    <mergeCell ref="R79:S79"/>
    <mergeCell ref="T79:U79"/>
    <mergeCell ref="D66:E66"/>
    <mergeCell ref="F66:G66"/>
    <mergeCell ref="H66:I66"/>
    <mergeCell ref="N80:O80"/>
    <mergeCell ref="P80:Q80"/>
    <mergeCell ref="R80:S80"/>
    <mergeCell ref="T80:U80"/>
    <mergeCell ref="D80:E80"/>
    <mergeCell ref="F80:G80"/>
    <mergeCell ref="H80:I80"/>
    <mergeCell ref="J80:K80"/>
    <mergeCell ref="L80:M80"/>
  </mergeCells>
  <conditionalFormatting sqref="D67:D78 F67:F78 H67:H78 J67:J78 L67:L78 N67:N78 P67:P78 R67:R78 T67:T78">
    <cfRule type="cellIs" dxfId="24" priority="3" operator="lessThan">
      <formula>0</formula>
    </cfRule>
    <cfRule type="cellIs" dxfId="23" priority="4" operator="greaterThan">
      <formula>0</formula>
    </cfRule>
  </conditionalFormatting>
  <conditionalFormatting sqref="D48:U48">
    <cfRule type="cellIs" dxfId="22" priority="62" stopIfTrue="1" operator="greaterThan">
      <formula>$U$34</formula>
    </cfRule>
    <cfRule type="cellIs" dxfId="21" priority="61" stopIfTrue="1" operator="lessThan">
      <formula>$U$34</formula>
    </cfRule>
  </conditionalFormatting>
  <conditionalFormatting sqref="E35:E46">
    <cfRule type="cellIs" dxfId="20" priority="1" stopIfTrue="1" operator="lessThan">
      <formula>$E$34</formula>
    </cfRule>
    <cfRule type="cellIs" dxfId="19" priority="2" operator="greaterThan">
      <formula>$E$34</formula>
    </cfRule>
  </conditionalFormatting>
  <conditionalFormatting sqref="E83:E94 G83:G94 I83:I94 K83:K94 M83:M94 O83:O94 Q83:Q94 S83:S94 U83:U94">
    <cfRule type="cellIs" dxfId="18" priority="11" stopIfTrue="1" operator="between">
      <formula>0.00051</formula>
      <formula>0.0009</formula>
    </cfRule>
    <cfRule type="cellIs" dxfId="17" priority="12" operator="between">
      <formula>0</formula>
      <formula>0.0005</formula>
    </cfRule>
    <cfRule type="cellIs" dxfId="16" priority="10" operator="greaterThanOrEqual">
      <formula>0.0009</formula>
    </cfRule>
  </conditionalFormatting>
  <conditionalFormatting sqref="G35:G46">
    <cfRule type="cellIs" dxfId="15" priority="59" stopIfTrue="1" operator="lessThan">
      <formula>$G$34</formula>
    </cfRule>
    <cfRule type="cellIs" dxfId="14" priority="60" stopIfTrue="1" operator="greaterThan">
      <formula>$G$34</formula>
    </cfRule>
  </conditionalFormatting>
  <conditionalFormatting sqref="I35:I46">
    <cfRule type="cellIs" dxfId="13" priority="57" stopIfTrue="1" operator="lessThan">
      <formula>$I$34</formula>
    </cfRule>
    <cfRule type="cellIs" dxfId="12" priority="58" stopIfTrue="1" operator="greaterThan">
      <formula>$I$34</formula>
    </cfRule>
  </conditionalFormatting>
  <conditionalFormatting sqref="K35:K46">
    <cfRule type="cellIs" dxfId="11" priority="55" stopIfTrue="1" operator="lessThan">
      <formula>$K$34</formula>
    </cfRule>
    <cfRule type="cellIs" dxfId="10" priority="56" stopIfTrue="1" operator="greaterThan">
      <formula>$K$34</formula>
    </cfRule>
  </conditionalFormatting>
  <conditionalFormatting sqref="M35:M46">
    <cfRule type="cellIs" dxfId="9" priority="53" stopIfTrue="1" operator="lessThan">
      <formula>$M$34</formula>
    </cfRule>
    <cfRule type="cellIs" dxfId="8" priority="54" stopIfTrue="1" operator="greaterThan">
      <formula>$M$34</formula>
    </cfRule>
  </conditionalFormatting>
  <conditionalFormatting sqref="O35:O46">
    <cfRule type="cellIs" dxfId="7" priority="51" stopIfTrue="1" operator="lessThan">
      <formula>$O$34</formula>
    </cfRule>
    <cfRule type="cellIs" dxfId="6" priority="52" stopIfTrue="1" operator="greaterThan">
      <formula>$O$34</formula>
    </cfRule>
  </conditionalFormatting>
  <conditionalFormatting sqref="Q35:Q46">
    <cfRule type="cellIs" dxfId="5" priority="49" stopIfTrue="1" operator="lessThan">
      <formula>$Q$34</formula>
    </cfRule>
    <cfRule type="cellIs" dxfId="4" priority="50" stopIfTrue="1" operator="greaterThan">
      <formula>$Q$34</formula>
    </cfRule>
  </conditionalFormatting>
  <conditionalFormatting sqref="S35:S46">
    <cfRule type="cellIs" dxfId="3" priority="47" stopIfTrue="1" operator="lessThan">
      <formula>$S$34</formula>
    </cfRule>
    <cfRule type="cellIs" dxfId="2" priority="48" stopIfTrue="1" operator="greaterThan">
      <formula>$S$34</formula>
    </cfRule>
  </conditionalFormatting>
  <conditionalFormatting sqref="U35:U46">
    <cfRule type="cellIs" dxfId="1" priority="45" stopIfTrue="1" operator="lessThan">
      <formula>$U$34</formula>
    </cfRule>
    <cfRule type="cellIs" dxfId="0" priority="46" stopIfTrue="1" operator="greaterThan">
      <formula>$U$34</formula>
    </cfRule>
  </conditionalFormatting>
  <printOptions horizontalCentered="1" verticalCentered="1"/>
  <pageMargins left="0" right="0" top="0" bottom="0" header="0.3" footer="0.3"/>
  <pageSetup paperSize="9" scale="40" orientation="portrait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72526-1E46-C84A-B30B-23954F3FBFE5}">
  <sheetPr codeName="Feuil27">
    <tabColor theme="5" tint="0.79998168889431442"/>
  </sheetPr>
  <dimension ref="B1:AQ36"/>
  <sheetViews>
    <sheetView showGridLines="0" topLeftCell="A9" zoomScale="110" workbookViewId="0">
      <selection activeCell="P8" sqref="P8"/>
    </sheetView>
  </sheetViews>
  <sheetFormatPr baseColWidth="10" defaultColWidth="10.83203125" defaultRowHeight="15"/>
  <cols>
    <col min="1" max="1" width="3" style="49" customWidth="1"/>
    <col min="2" max="2" width="5.33203125" style="49" bestFit="1" customWidth="1"/>
    <col min="3" max="3" width="20.6640625" style="49" customWidth="1"/>
    <col min="4" max="4" width="7.33203125" style="49" customWidth="1"/>
    <col min="5" max="5" width="9.6640625" style="49" customWidth="1"/>
    <col min="6" max="6" width="9" style="49" bestFit="1" customWidth="1"/>
    <col min="7" max="15" width="8.33203125" style="49" customWidth="1"/>
    <col min="16" max="39" width="5.83203125" style="49" customWidth="1"/>
    <col min="40" max="40" width="4.1640625" style="49" bestFit="1" customWidth="1"/>
    <col min="41" max="41" width="5.33203125" style="49" bestFit="1" customWidth="1"/>
    <col min="42" max="42" width="9.83203125" style="49" customWidth="1"/>
    <col min="43" max="43" width="19.6640625" style="49" bestFit="1" customWidth="1"/>
    <col min="44" max="16384" width="10.83203125" style="49"/>
  </cols>
  <sheetData>
    <row r="1" spans="2:43" ht="16" thickBot="1"/>
    <row r="2" spans="2:43">
      <c r="B2" s="1867" t="s">
        <v>81</v>
      </c>
      <c r="C2" s="1868"/>
      <c r="D2" s="1860" t="s">
        <v>10</v>
      </c>
      <c r="E2" s="1860"/>
      <c r="F2" s="1860"/>
      <c r="G2" s="1860" t="s">
        <v>25</v>
      </c>
      <c r="H2" s="1860"/>
      <c r="I2" s="1860"/>
      <c r="J2" s="1860" t="s">
        <v>17</v>
      </c>
      <c r="K2" s="1860"/>
      <c r="L2" s="1860"/>
      <c r="M2" s="1860" t="s">
        <v>18</v>
      </c>
      <c r="N2" s="1860"/>
      <c r="O2" s="1860"/>
      <c r="P2" s="1860" t="s">
        <v>19</v>
      </c>
      <c r="Q2" s="1860"/>
      <c r="R2" s="1860"/>
      <c r="S2" s="1860" t="s">
        <v>20</v>
      </c>
      <c r="T2" s="1860"/>
      <c r="U2" s="1860"/>
      <c r="V2" s="1860" t="s">
        <v>21</v>
      </c>
      <c r="W2" s="1860"/>
      <c r="X2" s="1860"/>
      <c r="Y2" s="1860" t="s">
        <v>26</v>
      </c>
      <c r="Z2" s="1860"/>
      <c r="AA2" s="1860"/>
      <c r="AB2" s="1860" t="s">
        <v>22</v>
      </c>
      <c r="AC2" s="1860"/>
      <c r="AD2" s="1860"/>
      <c r="AE2" s="1860" t="s">
        <v>23</v>
      </c>
      <c r="AF2" s="1860"/>
      <c r="AG2" s="1860"/>
      <c r="AH2" s="1860" t="s">
        <v>24</v>
      </c>
      <c r="AI2" s="1860"/>
      <c r="AJ2" s="1860"/>
      <c r="AK2" s="1860" t="s">
        <v>27</v>
      </c>
      <c r="AL2" s="1860"/>
      <c r="AM2" s="1861"/>
      <c r="AN2" s="1860" t="s">
        <v>45</v>
      </c>
      <c r="AO2" s="1860"/>
      <c r="AP2" s="1861"/>
    </row>
    <row r="3" spans="2:43" ht="16">
      <c r="B3" s="1869"/>
      <c r="C3" s="1870"/>
      <c r="D3" s="52" t="s">
        <v>76</v>
      </c>
      <c r="E3" s="50" t="s">
        <v>67</v>
      </c>
      <c r="F3" s="51" t="s">
        <v>36</v>
      </c>
      <c r="G3" s="52" t="s">
        <v>76</v>
      </c>
      <c r="H3" s="50" t="s">
        <v>67</v>
      </c>
      <c r="I3" s="51" t="s">
        <v>36</v>
      </c>
      <c r="J3" s="52" t="s">
        <v>76</v>
      </c>
      <c r="K3" s="50" t="s">
        <v>67</v>
      </c>
      <c r="L3" s="51" t="s">
        <v>36</v>
      </c>
      <c r="M3" s="52" t="s">
        <v>76</v>
      </c>
      <c r="N3" s="50" t="s">
        <v>67</v>
      </c>
      <c r="O3" s="51" t="s">
        <v>36</v>
      </c>
      <c r="P3" s="52" t="s">
        <v>76</v>
      </c>
      <c r="Q3" s="50" t="s">
        <v>67</v>
      </c>
      <c r="R3" s="51" t="s">
        <v>36</v>
      </c>
      <c r="S3" s="52" t="s">
        <v>76</v>
      </c>
      <c r="T3" s="50" t="s">
        <v>67</v>
      </c>
      <c r="U3" s="51" t="s">
        <v>36</v>
      </c>
      <c r="V3" s="52" t="s">
        <v>76</v>
      </c>
      <c r="W3" s="50" t="s">
        <v>67</v>
      </c>
      <c r="X3" s="51" t="s">
        <v>36</v>
      </c>
      <c r="Y3" s="52" t="s">
        <v>76</v>
      </c>
      <c r="Z3" s="50" t="s">
        <v>67</v>
      </c>
      <c r="AA3" s="51" t="s">
        <v>36</v>
      </c>
      <c r="AB3" s="52" t="s">
        <v>76</v>
      </c>
      <c r="AC3" s="50" t="s">
        <v>67</v>
      </c>
      <c r="AD3" s="51" t="s">
        <v>36</v>
      </c>
      <c r="AE3" s="52" t="s">
        <v>76</v>
      </c>
      <c r="AF3" s="50" t="s">
        <v>67</v>
      </c>
      <c r="AG3" s="51" t="s">
        <v>36</v>
      </c>
      <c r="AH3" s="52" t="s">
        <v>76</v>
      </c>
      <c r="AI3" s="50" t="s">
        <v>67</v>
      </c>
      <c r="AJ3" s="51" t="s">
        <v>36</v>
      </c>
      <c r="AK3" s="52" t="s">
        <v>76</v>
      </c>
      <c r="AL3" s="50" t="s">
        <v>67</v>
      </c>
      <c r="AM3" s="107" t="s">
        <v>36</v>
      </c>
      <c r="AN3" s="52" t="s">
        <v>76</v>
      </c>
      <c r="AO3" s="50" t="s">
        <v>67</v>
      </c>
      <c r="AP3" s="107" t="s">
        <v>36</v>
      </c>
    </row>
    <row r="4" spans="2:43" ht="16">
      <c r="B4" s="56" t="s">
        <v>68</v>
      </c>
      <c r="C4" s="58" t="s">
        <v>69</v>
      </c>
      <c r="D4" s="53">
        <v>11</v>
      </c>
      <c r="E4" s="53">
        <v>2</v>
      </c>
      <c r="F4" s="54">
        <f>IF(D4="","",D4/(D4+E4))</f>
        <v>0.84615384615384615</v>
      </c>
      <c r="G4" s="53"/>
      <c r="H4" s="53"/>
      <c r="I4" s="54" t="str">
        <f>IF(G4="","",G4/(G4+H4))</f>
        <v/>
      </c>
      <c r="J4" s="53">
        <v>11</v>
      </c>
      <c r="K4" s="53">
        <v>1</v>
      </c>
      <c r="L4" s="54">
        <f>IF(J4="","",J4/(J4+K4))</f>
        <v>0.91666666666666663</v>
      </c>
      <c r="M4" s="53">
        <v>9</v>
      </c>
      <c r="N4" s="53">
        <v>1</v>
      </c>
      <c r="O4" s="54">
        <f>IF(M4="","",M4/(M4+N4))</f>
        <v>0.9</v>
      </c>
      <c r="P4" s="53"/>
      <c r="Q4" s="53"/>
      <c r="R4" s="54" t="str">
        <f>IF(P4="","",P4/(P4+Q4))</f>
        <v/>
      </c>
      <c r="S4" s="53"/>
      <c r="T4" s="53"/>
      <c r="U4" s="54" t="str">
        <f>IF(S4="","",S4/(S4+T4))</f>
        <v/>
      </c>
      <c r="V4" s="53"/>
      <c r="W4" s="53"/>
      <c r="X4" s="54" t="str">
        <f>IF(V4="","",V4/(V4+W4))</f>
        <v/>
      </c>
      <c r="Y4" s="53"/>
      <c r="Z4" s="53"/>
      <c r="AA4" s="54" t="str">
        <f>IF(Y4="","",Y4/(Y4+Z4))</f>
        <v/>
      </c>
      <c r="AB4" s="53"/>
      <c r="AC4" s="53"/>
      <c r="AD4" s="54" t="str">
        <f>IF(AB4="","",AB4/(AB4+AC4))</f>
        <v/>
      </c>
      <c r="AE4" s="53"/>
      <c r="AF4" s="53"/>
      <c r="AG4" s="54" t="str">
        <f>IF(AE4="","",AE4/(AE4+AF4))</f>
        <v/>
      </c>
      <c r="AH4" s="53"/>
      <c r="AI4" s="53"/>
      <c r="AJ4" s="54" t="str">
        <f>IF(AH4="","",AH4/(AH4+AI4))</f>
        <v/>
      </c>
      <c r="AK4" s="53"/>
      <c r="AL4" s="53"/>
      <c r="AM4" s="108" t="str">
        <f>IF(AK4="","",AK4/(AK4+AL4))</f>
        <v/>
      </c>
      <c r="AN4" s="53">
        <f>D4+G4+J4+M4+P4+S4+V4+Y4+AB4+AE4+AH4+AK4</f>
        <v>31</v>
      </c>
      <c r="AO4" s="53">
        <f>E4+H4+K4+N4+Q4+T4+W4+Z4+AC4+AF4+AI4+AL4</f>
        <v>4</v>
      </c>
      <c r="AP4" s="1391">
        <f>IF(AN4="","",AN4/(AN4+AO4))</f>
        <v>0.88571428571428568</v>
      </c>
      <c r="AQ4" s="58" t="s">
        <v>69</v>
      </c>
    </row>
    <row r="5" spans="2:43" ht="16">
      <c r="B5" s="56" t="s">
        <v>70</v>
      </c>
      <c r="C5" s="58" t="s">
        <v>29</v>
      </c>
      <c r="D5" s="53">
        <v>10</v>
      </c>
      <c r="E5" s="53"/>
      <c r="F5" s="54">
        <f t="shared" ref="F5:F12" si="0">IF(D5="","",D5/(D5+E5))</f>
        <v>1</v>
      </c>
      <c r="G5" s="53">
        <v>9</v>
      </c>
      <c r="H5" s="53">
        <v>1</v>
      </c>
      <c r="I5" s="54">
        <f t="shared" ref="I5:I11" si="1">IF(G5="","",G5/(G5+H5))</f>
        <v>0.9</v>
      </c>
      <c r="J5" s="53"/>
      <c r="K5" s="53"/>
      <c r="L5" s="54" t="str">
        <f t="shared" ref="L5:L11" si="2">IF(J5="","",J5/(J5+K5))</f>
        <v/>
      </c>
      <c r="M5" s="53">
        <v>6</v>
      </c>
      <c r="N5" s="53">
        <v>1</v>
      </c>
      <c r="O5" s="54">
        <f t="shared" ref="O5:O11" si="3">IF(M5="","",M5/(M5+N5))</f>
        <v>0.8571428571428571</v>
      </c>
      <c r="P5" s="53">
        <v>8</v>
      </c>
      <c r="Q5" s="53"/>
      <c r="R5" s="54">
        <f t="shared" ref="R5:R11" si="4">IF(P5="","",P5/(P5+Q5))</f>
        <v>1</v>
      </c>
      <c r="S5" s="53"/>
      <c r="T5" s="53"/>
      <c r="U5" s="54" t="str">
        <f t="shared" ref="U5:U11" si="5">IF(S5="","",S5/(S5+T5))</f>
        <v/>
      </c>
      <c r="V5" s="53"/>
      <c r="W5" s="53"/>
      <c r="X5" s="54" t="str">
        <f t="shared" ref="X5:X11" si="6">IF(V5="","",V5/(V5+W5))</f>
        <v/>
      </c>
      <c r="Y5" s="53"/>
      <c r="Z5" s="53"/>
      <c r="AA5" s="54" t="str">
        <f t="shared" ref="AA5:AA10" si="7">IF(Y5="","",Y5/(Y5+Z5))</f>
        <v/>
      </c>
      <c r="AB5" s="53"/>
      <c r="AC5" s="53"/>
      <c r="AD5" s="54" t="str">
        <f t="shared" ref="AD5:AD11" si="8">IF(AB5="","",AB5/(AB5+AC5))</f>
        <v/>
      </c>
      <c r="AE5" s="53"/>
      <c r="AF5" s="53"/>
      <c r="AG5" s="54" t="str">
        <f t="shared" ref="AG5:AG11" si="9">IF(AE5="","",AE5/(AE5+AF5))</f>
        <v/>
      </c>
      <c r="AH5" s="53"/>
      <c r="AI5" s="53"/>
      <c r="AJ5" s="54" t="str">
        <f>IF(AH5="","",AH5/(AH5+AI5))</f>
        <v/>
      </c>
      <c r="AK5" s="53"/>
      <c r="AL5" s="53"/>
      <c r="AM5" s="108" t="str">
        <f t="shared" ref="AM5:AM11" si="10">IF(AK5="","",AK5/(AK5+AL5))</f>
        <v/>
      </c>
      <c r="AN5" s="53">
        <f t="shared" ref="AN5:AN11" si="11">D5+G5+J5+M5+P5+S5+V5+Y5+AB5+AE5+AH5+AK5</f>
        <v>33</v>
      </c>
      <c r="AO5" s="53">
        <f t="shared" ref="AO5:AO11" si="12">E5+H5+K5+N5+Q5+T5+W5+Z5+AC5+AF5+AI5+AL5</f>
        <v>2</v>
      </c>
      <c r="AP5" s="1391">
        <f t="shared" ref="AP5:AP11" si="13">IF(AN5="","",AN5/(AN5+AO5))</f>
        <v>0.94285714285714284</v>
      </c>
      <c r="AQ5" s="58" t="s">
        <v>29</v>
      </c>
    </row>
    <row r="6" spans="2:43" ht="16">
      <c r="B6" s="56" t="s">
        <v>71</v>
      </c>
      <c r="C6" s="58" t="s">
        <v>30</v>
      </c>
      <c r="D6" s="53">
        <v>6</v>
      </c>
      <c r="E6" s="53"/>
      <c r="F6" s="54">
        <f t="shared" si="0"/>
        <v>1</v>
      </c>
      <c r="G6" s="53">
        <v>13</v>
      </c>
      <c r="H6" s="53">
        <v>2</v>
      </c>
      <c r="I6" s="54">
        <f>IF(G6="","",G6/(G6+H6))</f>
        <v>0.8666666666666667</v>
      </c>
      <c r="J6" s="53"/>
      <c r="K6" s="53"/>
      <c r="L6" s="54" t="str">
        <f t="shared" si="2"/>
        <v/>
      </c>
      <c r="M6" s="53">
        <v>5</v>
      </c>
      <c r="N6" s="53">
        <v>1</v>
      </c>
      <c r="O6" s="54">
        <f t="shared" si="3"/>
        <v>0.83333333333333337</v>
      </c>
      <c r="P6" s="53"/>
      <c r="Q6" s="53"/>
      <c r="R6" s="54" t="str">
        <f t="shared" si="4"/>
        <v/>
      </c>
      <c r="S6" s="53"/>
      <c r="T6" s="53"/>
      <c r="U6" s="54" t="str">
        <f t="shared" si="5"/>
        <v/>
      </c>
      <c r="V6" s="53"/>
      <c r="W6" s="53"/>
      <c r="X6" s="54" t="str">
        <f t="shared" si="6"/>
        <v/>
      </c>
      <c r="Y6" s="53"/>
      <c r="Z6" s="53"/>
      <c r="AA6" s="54" t="str">
        <f t="shared" si="7"/>
        <v/>
      </c>
      <c r="AB6" s="53"/>
      <c r="AC6" s="53"/>
      <c r="AD6" s="54" t="str">
        <f t="shared" si="8"/>
        <v/>
      </c>
      <c r="AE6" s="53"/>
      <c r="AF6" s="53"/>
      <c r="AG6" s="54" t="str">
        <f t="shared" si="9"/>
        <v/>
      </c>
      <c r="AH6" s="53"/>
      <c r="AI6" s="53"/>
      <c r="AJ6" s="54" t="str">
        <f t="shared" ref="AJ6:AJ11" si="14">IF(AH6="","",AH6/(AH6+AI6))</f>
        <v/>
      </c>
      <c r="AK6" s="53"/>
      <c r="AL6" s="53"/>
      <c r="AM6" s="108" t="str">
        <f t="shared" si="10"/>
        <v/>
      </c>
      <c r="AN6" s="53">
        <f t="shared" si="11"/>
        <v>24</v>
      </c>
      <c r="AO6" s="53">
        <f t="shared" si="12"/>
        <v>3</v>
      </c>
      <c r="AP6" s="1391">
        <f t="shared" si="13"/>
        <v>0.88888888888888884</v>
      </c>
      <c r="AQ6" s="58" t="s">
        <v>30</v>
      </c>
    </row>
    <row r="7" spans="2:43" ht="16">
      <c r="B7" s="56" t="s">
        <v>72</v>
      </c>
      <c r="C7" s="58" t="s">
        <v>31</v>
      </c>
      <c r="D7" s="53">
        <v>9</v>
      </c>
      <c r="E7" s="53"/>
      <c r="F7" s="54">
        <f t="shared" si="0"/>
        <v>1</v>
      </c>
      <c r="G7" s="53"/>
      <c r="H7" s="53"/>
      <c r="I7" s="54" t="str">
        <f t="shared" si="1"/>
        <v/>
      </c>
      <c r="J7" s="53">
        <v>9</v>
      </c>
      <c r="K7" s="53"/>
      <c r="L7" s="54">
        <f t="shared" si="2"/>
        <v>1</v>
      </c>
      <c r="M7" s="53">
        <v>3</v>
      </c>
      <c r="N7" s="53"/>
      <c r="O7" s="54">
        <f t="shared" si="3"/>
        <v>1</v>
      </c>
      <c r="P7" s="53">
        <v>8</v>
      </c>
      <c r="Q7" s="53"/>
      <c r="R7" s="54">
        <f t="shared" si="4"/>
        <v>1</v>
      </c>
      <c r="S7" s="53"/>
      <c r="T7" s="53"/>
      <c r="U7" s="54" t="str">
        <f t="shared" si="5"/>
        <v/>
      </c>
      <c r="V7" s="53"/>
      <c r="W7" s="53"/>
      <c r="X7" s="54" t="str">
        <f t="shared" si="6"/>
        <v/>
      </c>
      <c r="Y7" s="53"/>
      <c r="Z7" s="53"/>
      <c r="AA7" s="54" t="str">
        <f t="shared" si="7"/>
        <v/>
      </c>
      <c r="AB7" s="53"/>
      <c r="AC7" s="53"/>
      <c r="AD7" s="54" t="str">
        <f t="shared" si="8"/>
        <v/>
      </c>
      <c r="AE7" s="53"/>
      <c r="AF7" s="53"/>
      <c r="AG7" s="54" t="str">
        <f t="shared" si="9"/>
        <v/>
      </c>
      <c r="AH7" s="53"/>
      <c r="AI7" s="53"/>
      <c r="AJ7" s="54" t="str">
        <f>IF(AH7="","",AH7/(AH7+AI7))</f>
        <v/>
      </c>
      <c r="AK7" s="53"/>
      <c r="AL7" s="53"/>
      <c r="AM7" s="108" t="str">
        <f t="shared" si="10"/>
        <v/>
      </c>
      <c r="AN7" s="53">
        <f t="shared" si="11"/>
        <v>29</v>
      </c>
      <c r="AO7" s="53">
        <f t="shared" si="12"/>
        <v>0</v>
      </c>
      <c r="AP7" s="1391">
        <f t="shared" si="13"/>
        <v>1</v>
      </c>
      <c r="AQ7" s="58" t="s">
        <v>31</v>
      </c>
    </row>
    <row r="8" spans="2:43" ht="16">
      <c r="B8" s="56" t="s">
        <v>73</v>
      </c>
      <c r="C8" s="58" t="s">
        <v>32</v>
      </c>
      <c r="D8" s="53">
        <v>8</v>
      </c>
      <c r="E8" s="53"/>
      <c r="F8" s="54">
        <f>IF(D8="","",D8/(D8+E8))</f>
        <v>1</v>
      </c>
      <c r="G8" s="53">
        <v>8</v>
      </c>
      <c r="H8" s="53">
        <v>1</v>
      </c>
      <c r="I8" s="54">
        <f>IF(G8="","",G8/(G8+H8))</f>
        <v>0.88888888888888884</v>
      </c>
      <c r="J8" s="53"/>
      <c r="K8" s="53"/>
      <c r="L8" s="54" t="str">
        <f t="shared" si="2"/>
        <v/>
      </c>
      <c r="M8" s="53">
        <v>2</v>
      </c>
      <c r="N8" s="53"/>
      <c r="O8" s="54">
        <f t="shared" si="3"/>
        <v>1</v>
      </c>
      <c r="P8" s="53">
        <v>5</v>
      </c>
      <c r="Q8" s="53">
        <v>1</v>
      </c>
      <c r="R8" s="54">
        <f t="shared" si="4"/>
        <v>0.83333333333333337</v>
      </c>
      <c r="S8" s="53"/>
      <c r="T8" s="53"/>
      <c r="U8" s="54" t="str">
        <f t="shared" si="5"/>
        <v/>
      </c>
      <c r="V8" s="53"/>
      <c r="W8" s="53"/>
      <c r="X8" s="54" t="str">
        <f t="shared" si="6"/>
        <v/>
      </c>
      <c r="Y8" s="53"/>
      <c r="Z8" s="53"/>
      <c r="AA8" s="54" t="str">
        <f t="shared" si="7"/>
        <v/>
      </c>
      <c r="AB8" s="53"/>
      <c r="AC8" s="53"/>
      <c r="AD8" s="54" t="str">
        <f t="shared" si="8"/>
        <v/>
      </c>
      <c r="AE8" s="53"/>
      <c r="AF8" s="53"/>
      <c r="AG8" s="54" t="str">
        <f t="shared" si="9"/>
        <v/>
      </c>
      <c r="AH8" s="53"/>
      <c r="AI8" s="53"/>
      <c r="AJ8" s="54" t="str">
        <f t="shared" si="14"/>
        <v/>
      </c>
      <c r="AK8" s="53"/>
      <c r="AL8" s="53"/>
      <c r="AM8" s="108" t="str">
        <f t="shared" si="10"/>
        <v/>
      </c>
      <c r="AN8" s="53">
        <f t="shared" si="11"/>
        <v>23</v>
      </c>
      <c r="AO8" s="53">
        <f t="shared" si="12"/>
        <v>2</v>
      </c>
      <c r="AP8" s="1391">
        <f t="shared" si="13"/>
        <v>0.92</v>
      </c>
      <c r="AQ8" s="58" t="s">
        <v>32</v>
      </c>
    </row>
    <row r="9" spans="2:43" ht="16">
      <c r="B9" s="56" t="s">
        <v>74</v>
      </c>
      <c r="C9" s="58" t="s">
        <v>33</v>
      </c>
      <c r="D9" s="53">
        <v>10</v>
      </c>
      <c r="E9" s="53"/>
      <c r="F9" s="54">
        <f t="shared" si="0"/>
        <v>1</v>
      </c>
      <c r="G9" s="53">
        <v>9</v>
      </c>
      <c r="H9" s="53"/>
      <c r="I9" s="54">
        <f t="shared" si="1"/>
        <v>1</v>
      </c>
      <c r="J9" s="53"/>
      <c r="K9" s="53"/>
      <c r="L9" s="54" t="str">
        <f t="shared" si="2"/>
        <v/>
      </c>
      <c r="M9" s="53">
        <v>6</v>
      </c>
      <c r="N9" s="53"/>
      <c r="O9" s="54">
        <f t="shared" si="3"/>
        <v>1</v>
      </c>
      <c r="P9" s="996"/>
      <c r="Q9" s="53"/>
      <c r="R9" s="54" t="str">
        <f t="shared" si="4"/>
        <v/>
      </c>
      <c r="S9" s="53"/>
      <c r="T9" s="53"/>
      <c r="U9" s="54" t="str">
        <f t="shared" si="5"/>
        <v/>
      </c>
      <c r="V9" s="53"/>
      <c r="W9" s="53"/>
      <c r="X9" s="54" t="str">
        <f t="shared" si="6"/>
        <v/>
      </c>
      <c r="Y9" s="53"/>
      <c r="Z9" s="53"/>
      <c r="AA9" s="54" t="str">
        <f t="shared" si="7"/>
        <v/>
      </c>
      <c r="AB9" s="53"/>
      <c r="AC9" s="53"/>
      <c r="AD9" s="54" t="str">
        <f t="shared" si="8"/>
        <v/>
      </c>
      <c r="AE9" s="53"/>
      <c r="AF9" s="53"/>
      <c r="AG9" s="54" t="str">
        <f t="shared" si="9"/>
        <v/>
      </c>
      <c r="AH9" s="53"/>
      <c r="AI9" s="53"/>
      <c r="AJ9" s="54" t="str">
        <f t="shared" si="14"/>
        <v/>
      </c>
      <c r="AK9" s="53"/>
      <c r="AL9" s="53"/>
      <c r="AM9" s="108" t="str">
        <f t="shared" si="10"/>
        <v/>
      </c>
      <c r="AN9" s="53">
        <f t="shared" si="11"/>
        <v>25</v>
      </c>
      <c r="AO9" s="53">
        <f t="shared" si="12"/>
        <v>0</v>
      </c>
      <c r="AP9" s="1391">
        <f t="shared" si="13"/>
        <v>1</v>
      </c>
      <c r="AQ9" s="58" t="s">
        <v>33</v>
      </c>
    </row>
    <row r="10" spans="2:43" ht="16">
      <c r="B10" s="56" t="s">
        <v>75</v>
      </c>
      <c r="C10" s="58" t="s">
        <v>34</v>
      </c>
      <c r="D10" s="53">
        <v>13</v>
      </c>
      <c r="E10" s="53"/>
      <c r="F10" s="54">
        <f t="shared" si="0"/>
        <v>1</v>
      </c>
      <c r="G10" s="53"/>
      <c r="H10" s="53"/>
      <c r="I10" s="54" t="str">
        <f>IF(G10="","",G10/(G10+H10))</f>
        <v/>
      </c>
      <c r="J10" s="53">
        <v>11</v>
      </c>
      <c r="K10" s="53">
        <v>2</v>
      </c>
      <c r="L10" s="54">
        <f t="shared" si="2"/>
        <v>0.84615384615384615</v>
      </c>
      <c r="M10" s="53">
        <v>4</v>
      </c>
      <c r="N10" s="53"/>
      <c r="O10" s="54">
        <f t="shared" si="3"/>
        <v>1</v>
      </c>
      <c r="P10" s="53"/>
      <c r="Q10" s="53"/>
      <c r="R10" s="54" t="str">
        <f t="shared" si="4"/>
        <v/>
      </c>
      <c r="S10" s="53"/>
      <c r="T10" s="53"/>
      <c r="U10" s="54" t="str">
        <f t="shared" si="5"/>
        <v/>
      </c>
      <c r="V10" s="53"/>
      <c r="W10" s="53"/>
      <c r="X10" s="54" t="str">
        <f t="shared" si="6"/>
        <v/>
      </c>
      <c r="Y10" s="53"/>
      <c r="Z10" s="53"/>
      <c r="AA10" s="54" t="str">
        <f t="shared" si="7"/>
        <v/>
      </c>
      <c r="AB10" s="53"/>
      <c r="AC10" s="53"/>
      <c r="AD10" s="54" t="str">
        <f t="shared" si="8"/>
        <v/>
      </c>
      <c r="AE10" s="53"/>
      <c r="AF10" s="53"/>
      <c r="AG10" s="54" t="str">
        <f t="shared" si="9"/>
        <v/>
      </c>
      <c r="AH10" s="53"/>
      <c r="AI10" s="53"/>
      <c r="AJ10" s="54" t="str">
        <f t="shared" si="14"/>
        <v/>
      </c>
      <c r="AK10" s="53"/>
      <c r="AL10" s="53"/>
      <c r="AM10" s="108" t="str">
        <f>IF(AK10="","",AK10/(AK10+AL10))</f>
        <v/>
      </c>
      <c r="AN10" s="53">
        <f t="shared" si="11"/>
        <v>28</v>
      </c>
      <c r="AO10" s="53">
        <f t="shared" si="12"/>
        <v>2</v>
      </c>
      <c r="AP10" s="1391">
        <f>IF(AN10="","",AN10/(AN10+AO10))+0.00001</f>
        <v>0.9333433333333333</v>
      </c>
      <c r="AQ10" s="58" t="s">
        <v>34</v>
      </c>
    </row>
    <row r="11" spans="2:43" ht="16">
      <c r="B11" s="56">
        <v>1755</v>
      </c>
      <c r="C11" s="58" t="s">
        <v>308</v>
      </c>
      <c r="D11" s="120">
        <v>10</v>
      </c>
      <c r="E11" s="53">
        <v>1</v>
      </c>
      <c r="F11" s="54">
        <f>IF(D11="","",D11/(D11+E11))</f>
        <v>0.90909090909090906</v>
      </c>
      <c r="G11" s="53"/>
      <c r="H11" s="53"/>
      <c r="I11" s="54" t="str">
        <f t="shared" si="1"/>
        <v/>
      </c>
      <c r="J11" s="53">
        <v>10</v>
      </c>
      <c r="K11" s="53"/>
      <c r="L11" s="54">
        <f t="shared" si="2"/>
        <v>1</v>
      </c>
      <c r="M11" s="53">
        <v>4</v>
      </c>
      <c r="N11" s="53"/>
      <c r="O11" s="54">
        <f t="shared" si="3"/>
        <v>1</v>
      </c>
      <c r="P11" s="53">
        <v>5</v>
      </c>
      <c r="Q11" s="53">
        <v>1</v>
      </c>
      <c r="R11" s="54">
        <f t="shared" si="4"/>
        <v>0.83333333333333337</v>
      </c>
      <c r="S11" s="53"/>
      <c r="T11" s="53"/>
      <c r="U11" s="54" t="str">
        <f t="shared" si="5"/>
        <v/>
      </c>
      <c r="V11" s="53"/>
      <c r="W11" s="53"/>
      <c r="X11" s="54" t="str">
        <f t="shared" si="6"/>
        <v/>
      </c>
      <c r="Y11" s="53"/>
      <c r="Z11" s="53"/>
      <c r="AA11" s="54" t="str">
        <f>IF(Y11="","",Y11/(Y11+Z11))</f>
        <v/>
      </c>
      <c r="AB11" s="53"/>
      <c r="AC11" s="53"/>
      <c r="AD11" s="54" t="str">
        <f t="shared" si="8"/>
        <v/>
      </c>
      <c r="AE11" s="53"/>
      <c r="AF11" s="53"/>
      <c r="AG11" s="54" t="str">
        <f t="shared" si="9"/>
        <v/>
      </c>
      <c r="AH11" s="53"/>
      <c r="AI11" s="53"/>
      <c r="AJ11" s="54" t="str">
        <f t="shared" si="14"/>
        <v/>
      </c>
      <c r="AK11" s="53"/>
      <c r="AL11" s="53"/>
      <c r="AM11" s="108" t="str">
        <f t="shared" si="10"/>
        <v/>
      </c>
      <c r="AN11" s="53">
        <f t="shared" si="11"/>
        <v>29</v>
      </c>
      <c r="AO11" s="53">
        <f t="shared" si="12"/>
        <v>2</v>
      </c>
      <c r="AP11" s="1391">
        <f t="shared" si="13"/>
        <v>0.93548387096774188</v>
      </c>
      <c r="AQ11" s="58" t="s">
        <v>308</v>
      </c>
    </row>
    <row r="12" spans="2:43" ht="17" thickBot="1">
      <c r="B12" s="57"/>
      <c r="C12" s="59" t="s">
        <v>37</v>
      </c>
      <c r="D12" s="55">
        <f>SUM(D4:D11)</f>
        <v>77</v>
      </c>
      <c r="E12" s="55">
        <f>SUM(E4:E11)</f>
        <v>3</v>
      </c>
      <c r="F12" s="119">
        <f t="shared" si="0"/>
        <v>0.96250000000000002</v>
      </c>
      <c r="G12" s="55">
        <f>SUM(G4:G11)</f>
        <v>39</v>
      </c>
      <c r="H12" s="55">
        <f>SUM(H4:H11)</f>
        <v>4</v>
      </c>
      <c r="I12" s="119">
        <f>IF(G12=0,"",G12/(G12+H12))</f>
        <v>0.90697674418604646</v>
      </c>
      <c r="J12" s="55">
        <f>SUM(J4:J11)</f>
        <v>41</v>
      </c>
      <c r="K12" s="55">
        <f>SUM(K4:K11)</f>
        <v>3</v>
      </c>
      <c r="L12" s="119">
        <f>IF(J12=0,"",J12/(J12+K12))</f>
        <v>0.93181818181818177</v>
      </c>
      <c r="M12" s="55">
        <f>SUM(M4:M11)</f>
        <v>39</v>
      </c>
      <c r="N12" s="55">
        <f>SUM(N4:N11)</f>
        <v>3</v>
      </c>
      <c r="O12" s="119">
        <f>IF(M12=0,"",M12/(M12+N12))</f>
        <v>0.9285714285714286</v>
      </c>
      <c r="P12" s="55">
        <f>SUM(P4:P11)</f>
        <v>26</v>
      </c>
      <c r="Q12" s="55">
        <f>SUM(Q4:Q11)</f>
        <v>2</v>
      </c>
      <c r="R12" s="119">
        <f>IF(P12=0,"",P12/(P12+Q12))</f>
        <v>0.9285714285714286</v>
      </c>
      <c r="S12" s="55">
        <f>SUM(S4:S11)</f>
        <v>0</v>
      </c>
      <c r="T12" s="55">
        <f>SUM(T4:T11)</f>
        <v>0</v>
      </c>
      <c r="U12" s="119" t="str">
        <f>IF(S12=0,"",S12/(S12+T12))</f>
        <v/>
      </c>
      <c r="V12" s="55">
        <f>SUM(V4:V11)</f>
        <v>0</v>
      </c>
      <c r="W12" s="55">
        <f>SUM(W4:W11)</f>
        <v>0</v>
      </c>
      <c r="X12" s="119" t="str">
        <f>IF(V12=0,"",V12/(V12+W12))</f>
        <v/>
      </c>
      <c r="Y12" s="55">
        <f>SUM(Y4:Y11)</f>
        <v>0</v>
      </c>
      <c r="Z12" s="55">
        <f>SUM(Z4:Z11)</f>
        <v>0</v>
      </c>
      <c r="AA12" s="119" t="str">
        <f>IF(Y12=0,"",Y12/(Y12+Z12))</f>
        <v/>
      </c>
      <c r="AB12" s="55">
        <f>SUM(AB4:AB11)</f>
        <v>0</v>
      </c>
      <c r="AC12" s="55">
        <f>SUM(AC4:AC11)</f>
        <v>0</v>
      </c>
      <c r="AD12" s="119" t="str">
        <f>IF(AB12=0,"",AB12/(AB12+AC12))</f>
        <v/>
      </c>
      <c r="AE12" s="55">
        <f>SUM(AE4:AE11)</f>
        <v>0</v>
      </c>
      <c r="AF12" s="55">
        <f>SUM(AF4:AF11)</f>
        <v>0</v>
      </c>
      <c r="AG12" s="119" t="str">
        <f>IF(AE12=0,"",AE12/(AE12+AF12))</f>
        <v/>
      </c>
      <c r="AH12" s="55">
        <f>SUM(AH4:AH11)</f>
        <v>0</v>
      </c>
      <c r="AI12" s="55">
        <f>SUM(AI4:AI11)</f>
        <v>0</v>
      </c>
      <c r="AJ12" s="119" t="str">
        <f>IF(AH12=0,"",AH12/(AH12+AI12))</f>
        <v/>
      </c>
      <c r="AK12" s="55">
        <f>SUM(AK4:AK11)</f>
        <v>0</v>
      </c>
      <c r="AL12" s="55">
        <f>SUM(AL4:AL11)</f>
        <v>0</v>
      </c>
      <c r="AM12" s="119" t="str">
        <f>IF(AK12=0,"",AK12/(AK12+AL12))</f>
        <v/>
      </c>
      <c r="AN12" s="55">
        <f>SUM(AN4:AN11)</f>
        <v>222</v>
      </c>
      <c r="AO12" s="55">
        <f>SUM(AO4:AO11)</f>
        <v>15</v>
      </c>
      <c r="AP12" s="1392">
        <f>IF(AN12=0,"",AN12/(AN12+AO12))</f>
        <v>0.93670886075949367</v>
      </c>
      <c r="AQ12" s="59" t="s">
        <v>37</v>
      </c>
    </row>
    <row r="13" spans="2:43" ht="16" thickBot="1"/>
    <row r="14" spans="2:43">
      <c r="B14" s="1867" t="s">
        <v>82</v>
      </c>
      <c r="C14" s="1868"/>
      <c r="D14" s="1860" t="s">
        <v>77</v>
      </c>
      <c r="E14" s="1860"/>
      <c r="F14" s="1860"/>
      <c r="G14" s="1860"/>
      <c r="H14" s="1860"/>
      <c r="I14" s="1860"/>
      <c r="J14" s="1860"/>
      <c r="K14" s="1860"/>
      <c r="L14" s="1860"/>
      <c r="M14" s="1865" t="s">
        <v>78</v>
      </c>
      <c r="N14" s="1860"/>
      <c r="O14" s="1860"/>
      <c r="P14" s="1860"/>
      <c r="Q14" s="1860"/>
      <c r="R14" s="1860"/>
      <c r="S14" s="1860"/>
      <c r="T14" s="1860"/>
      <c r="U14" s="1860"/>
      <c r="V14" s="1865" t="s">
        <v>79</v>
      </c>
      <c r="W14" s="1860"/>
      <c r="X14" s="1860"/>
      <c r="Y14" s="1860"/>
      <c r="Z14" s="1860"/>
      <c r="AA14" s="1860"/>
      <c r="AB14" s="1860"/>
      <c r="AC14" s="1860"/>
      <c r="AD14" s="1860"/>
      <c r="AE14" s="1865" t="s">
        <v>80</v>
      </c>
      <c r="AF14" s="1860"/>
      <c r="AG14" s="1860"/>
      <c r="AH14" s="1860"/>
      <c r="AI14" s="1860"/>
      <c r="AJ14" s="1860"/>
      <c r="AK14" s="1860"/>
      <c r="AL14" s="1860"/>
      <c r="AM14" s="1861"/>
    </row>
    <row r="15" spans="2:43">
      <c r="B15" s="1869"/>
      <c r="C15" s="1870"/>
      <c r="D15" s="1866" t="s">
        <v>76</v>
      </c>
      <c r="E15" s="1866"/>
      <c r="F15" s="1866"/>
      <c r="G15" s="1862" t="s">
        <v>67</v>
      </c>
      <c r="H15" s="1862"/>
      <c r="I15" s="1862"/>
      <c r="J15" s="1863" t="s">
        <v>36</v>
      </c>
      <c r="K15" s="1863"/>
      <c r="L15" s="1863"/>
      <c r="M15" s="1866" t="s">
        <v>76</v>
      </c>
      <c r="N15" s="1866"/>
      <c r="O15" s="1866"/>
      <c r="P15" s="1862" t="s">
        <v>67</v>
      </c>
      <c r="Q15" s="1862"/>
      <c r="R15" s="1862"/>
      <c r="S15" s="1863" t="s">
        <v>36</v>
      </c>
      <c r="T15" s="1863"/>
      <c r="U15" s="1863"/>
      <c r="V15" s="1866" t="s">
        <v>76</v>
      </c>
      <c r="W15" s="1866"/>
      <c r="X15" s="1866"/>
      <c r="Y15" s="1862" t="s">
        <v>67</v>
      </c>
      <c r="Z15" s="1862"/>
      <c r="AA15" s="1862"/>
      <c r="AB15" s="1863" t="s">
        <v>36</v>
      </c>
      <c r="AC15" s="1863"/>
      <c r="AD15" s="1863"/>
      <c r="AE15" s="1866" t="s">
        <v>76</v>
      </c>
      <c r="AF15" s="1866"/>
      <c r="AG15" s="1866"/>
      <c r="AH15" s="1862" t="s">
        <v>67</v>
      </c>
      <c r="AI15" s="1862"/>
      <c r="AJ15" s="1862"/>
      <c r="AK15" s="1863" t="s">
        <v>36</v>
      </c>
      <c r="AL15" s="1863"/>
      <c r="AM15" s="1864"/>
    </row>
    <row r="16" spans="2:43" ht="16">
      <c r="B16" s="56" t="s">
        <v>68</v>
      </c>
      <c r="C16" s="58" t="s">
        <v>69</v>
      </c>
      <c r="D16" s="1069">
        <f t="shared" ref="D16:D23" si="15">D4+G4+J4</f>
        <v>22</v>
      </c>
      <c r="E16" s="1069"/>
      <c r="F16" s="1069"/>
      <c r="G16" s="1069">
        <f t="shared" ref="G16:G23" si="16">E4+H4+K4</f>
        <v>3</v>
      </c>
      <c r="H16" s="1069"/>
      <c r="I16" s="1069"/>
      <c r="J16" s="135">
        <f>IF(D16=0,"",D16/(D16+G16))</f>
        <v>0.88</v>
      </c>
      <c r="K16" s="135"/>
      <c r="L16" s="135"/>
      <c r="M16" s="1859">
        <f t="shared" ref="M16:M23" si="17">M4+P4+S4</f>
        <v>9</v>
      </c>
      <c r="N16" s="1859"/>
      <c r="O16" s="1859"/>
      <c r="P16" s="1859">
        <f t="shared" ref="P16:P23" si="18">N4+Q4+T4</f>
        <v>1</v>
      </c>
      <c r="Q16" s="1859"/>
      <c r="R16" s="1859"/>
      <c r="S16" s="135">
        <f>IF(M16=0,"",M16/(M16+P16))</f>
        <v>0.9</v>
      </c>
      <c r="T16" s="135"/>
      <c r="U16" s="135"/>
      <c r="V16" s="1859">
        <f t="shared" ref="V16:V23" si="19">V4+Y4+AB4</f>
        <v>0</v>
      </c>
      <c r="W16" s="1859"/>
      <c r="X16" s="1859"/>
      <c r="Y16" s="1859">
        <f t="shared" ref="Y16:Y23" si="20">W4+Z4+AC4</f>
        <v>0</v>
      </c>
      <c r="Z16" s="1859"/>
      <c r="AA16" s="1859"/>
      <c r="AB16" s="135" t="str">
        <f>IF(V16=0,"",V16/(V16+Y16))</f>
        <v/>
      </c>
      <c r="AC16" s="135"/>
      <c r="AD16" s="135"/>
      <c r="AE16" s="1859">
        <f t="shared" ref="AE16:AE23" si="21">AE4+AH4+AK4</f>
        <v>0</v>
      </c>
      <c r="AF16" s="1859"/>
      <c r="AG16" s="1859"/>
      <c r="AH16" s="1859">
        <f t="shared" ref="AH16:AH23" si="22">AF4+AI4+AL4</f>
        <v>0</v>
      </c>
      <c r="AI16" s="1859"/>
      <c r="AJ16" s="1859"/>
      <c r="AK16" s="135" t="str">
        <f>IF(AE16=0,"",AE16/(AE16+AH16))</f>
        <v/>
      </c>
      <c r="AL16" s="135"/>
      <c r="AM16" s="137"/>
    </row>
    <row r="17" spans="2:39" ht="16">
      <c r="B17" s="56" t="s">
        <v>70</v>
      </c>
      <c r="C17" s="58" t="s">
        <v>29</v>
      </c>
      <c r="D17" s="1069">
        <f t="shared" si="15"/>
        <v>19</v>
      </c>
      <c r="E17" s="1069"/>
      <c r="F17" s="1069"/>
      <c r="G17" s="1069">
        <f t="shared" si="16"/>
        <v>1</v>
      </c>
      <c r="H17" s="1069"/>
      <c r="I17" s="1069"/>
      <c r="J17" s="135">
        <f t="shared" ref="J17:J23" si="23">IF(D17=0,"",D17/(D17+G17))</f>
        <v>0.95</v>
      </c>
      <c r="K17" s="135"/>
      <c r="L17" s="135"/>
      <c r="M17" s="1859">
        <f t="shared" si="17"/>
        <v>14</v>
      </c>
      <c r="N17" s="1859"/>
      <c r="O17" s="1859"/>
      <c r="P17" s="1859">
        <f t="shared" si="18"/>
        <v>1</v>
      </c>
      <c r="Q17" s="1859"/>
      <c r="R17" s="1859"/>
      <c r="S17" s="135">
        <f t="shared" ref="S17:S24" si="24">IF(M17=0,"",M17/(M17+P17))</f>
        <v>0.93333333333333335</v>
      </c>
      <c r="T17" s="135"/>
      <c r="U17" s="135"/>
      <c r="V17" s="1859">
        <f t="shared" si="19"/>
        <v>0</v>
      </c>
      <c r="W17" s="1859"/>
      <c r="X17" s="1859"/>
      <c r="Y17" s="1859">
        <f t="shared" si="20"/>
        <v>0</v>
      </c>
      <c r="Z17" s="1859"/>
      <c r="AA17" s="1859"/>
      <c r="AB17" s="135" t="str">
        <f t="shared" ref="AB17:AB24" si="25">IF(V17=0,"",V17/(V17+Y17))</f>
        <v/>
      </c>
      <c r="AC17" s="135"/>
      <c r="AD17" s="135"/>
      <c r="AE17" s="1859">
        <f t="shared" si="21"/>
        <v>0</v>
      </c>
      <c r="AF17" s="1859"/>
      <c r="AG17" s="1859"/>
      <c r="AH17" s="1859">
        <f t="shared" si="22"/>
        <v>0</v>
      </c>
      <c r="AI17" s="1859"/>
      <c r="AJ17" s="1859"/>
      <c r="AK17" s="135" t="str">
        <f t="shared" ref="AK17:AK24" si="26">IF(AE17=0,"",AE17/(AE17+AH17))</f>
        <v/>
      </c>
      <c r="AL17" s="135"/>
      <c r="AM17" s="137"/>
    </row>
    <row r="18" spans="2:39" ht="16">
      <c r="B18" s="56" t="s">
        <v>71</v>
      </c>
      <c r="C18" s="58" t="s">
        <v>30</v>
      </c>
      <c r="D18" s="1069">
        <f t="shared" si="15"/>
        <v>19</v>
      </c>
      <c r="E18" s="1069"/>
      <c r="F18" s="1069"/>
      <c r="G18" s="1069">
        <f t="shared" si="16"/>
        <v>2</v>
      </c>
      <c r="H18" s="1069"/>
      <c r="I18" s="1069"/>
      <c r="J18" s="135">
        <f t="shared" si="23"/>
        <v>0.90476190476190477</v>
      </c>
      <c r="K18" s="135"/>
      <c r="L18" s="135"/>
      <c r="M18" s="1859">
        <f t="shared" si="17"/>
        <v>5</v>
      </c>
      <c r="N18" s="1859"/>
      <c r="O18" s="1859"/>
      <c r="P18" s="1859">
        <f t="shared" si="18"/>
        <v>1</v>
      </c>
      <c r="Q18" s="1859"/>
      <c r="R18" s="1859"/>
      <c r="S18" s="135">
        <f t="shared" si="24"/>
        <v>0.83333333333333337</v>
      </c>
      <c r="T18" s="135"/>
      <c r="U18" s="135"/>
      <c r="V18" s="1859">
        <f t="shared" si="19"/>
        <v>0</v>
      </c>
      <c r="W18" s="1859"/>
      <c r="X18" s="1859"/>
      <c r="Y18" s="1859">
        <f t="shared" si="20"/>
        <v>0</v>
      </c>
      <c r="Z18" s="1859"/>
      <c r="AA18" s="1859"/>
      <c r="AB18" s="135" t="str">
        <f t="shared" si="25"/>
        <v/>
      </c>
      <c r="AC18" s="135"/>
      <c r="AD18" s="135"/>
      <c r="AE18" s="1859">
        <f t="shared" si="21"/>
        <v>0</v>
      </c>
      <c r="AF18" s="1859"/>
      <c r="AG18" s="1859"/>
      <c r="AH18" s="1859">
        <f t="shared" si="22"/>
        <v>0</v>
      </c>
      <c r="AI18" s="1859"/>
      <c r="AJ18" s="1859"/>
      <c r="AK18" s="135" t="str">
        <f t="shared" si="26"/>
        <v/>
      </c>
      <c r="AL18" s="135"/>
      <c r="AM18" s="137"/>
    </row>
    <row r="19" spans="2:39" ht="16">
      <c r="B19" s="56" t="s">
        <v>72</v>
      </c>
      <c r="C19" s="58" t="s">
        <v>31</v>
      </c>
      <c r="D19" s="1069">
        <f t="shared" si="15"/>
        <v>18</v>
      </c>
      <c r="E19" s="1069"/>
      <c r="F19" s="1069"/>
      <c r="G19" s="1069">
        <f t="shared" si="16"/>
        <v>0</v>
      </c>
      <c r="H19" s="1069"/>
      <c r="I19" s="1069"/>
      <c r="J19" s="135">
        <f t="shared" si="23"/>
        <v>1</v>
      </c>
      <c r="K19" s="135"/>
      <c r="L19" s="135"/>
      <c r="M19" s="1859">
        <f t="shared" si="17"/>
        <v>11</v>
      </c>
      <c r="N19" s="1859"/>
      <c r="O19" s="1859"/>
      <c r="P19" s="1859">
        <f t="shared" si="18"/>
        <v>0</v>
      </c>
      <c r="Q19" s="1859"/>
      <c r="R19" s="1859"/>
      <c r="S19" s="135">
        <f t="shared" si="24"/>
        <v>1</v>
      </c>
      <c r="T19" s="135"/>
      <c r="U19" s="135"/>
      <c r="V19" s="1859">
        <f t="shared" si="19"/>
        <v>0</v>
      </c>
      <c r="W19" s="1859"/>
      <c r="X19" s="1859"/>
      <c r="Y19" s="1859">
        <f t="shared" si="20"/>
        <v>0</v>
      </c>
      <c r="Z19" s="1859"/>
      <c r="AA19" s="1859"/>
      <c r="AB19" s="135" t="str">
        <f t="shared" si="25"/>
        <v/>
      </c>
      <c r="AC19" s="135"/>
      <c r="AD19" s="135"/>
      <c r="AE19" s="1859">
        <f t="shared" si="21"/>
        <v>0</v>
      </c>
      <c r="AF19" s="1859"/>
      <c r="AG19" s="1859"/>
      <c r="AH19" s="1859">
        <f t="shared" si="22"/>
        <v>0</v>
      </c>
      <c r="AI19" s="1859"/>
      <c r="AJ19" s="1859"/>
      <c r="AK19" s="135" t="str">
        <f t="shared" si="26"/>
        <v/>
      </c>
      <c r="AL19" s="135"/>
      <c r="AM19" s="137"/>
    </row>
    <row r="20" spans="2:39" ht="16">
      <c r="B20" s="56" t="s">
        <v>73</v>
      </c>
      <c r="C20" s="58" t="s">
        <v>32</v>
      </c>
      <c r="D20" s="1069">
        <f t="shared" si="15"/>
        <v>16</v>
      </c>
      <c r="E20" s="1069"/>
      <c r="F20" s="1069"/>
      <c r="G20" s="1069">
        <f t="shared" si="16"/>
        <v>1</v>
      </c>
      <c r="H20" s="1069"/>
      <c r="I20" s="1069"/>
      <c r="J20" s="135">
        <f t="shared" si="23"/>
        <v>0.94117647058823528</v>
      </c>
      <c r="K20" s="135"/>
      <c r="L20" s="135"/>
      <c r="M20" s="1859">
        <f t="shared" si="17"/>
        <v>7</v>
      </c>
      <c r="N20" s="1859"/>
      <c r="O20" s="1859"/>
      <c r="P20" s="1859">
        <f t="shared" si="18"/>
        <v>1</v>
      </c>
      <c r="Q20" s="1859"/>
      <c r="R20" s="1859"/>
      <c r="S20" s="135">
        <f t="shared" si="24"/>
        <v>0.875</v>
      </c>
      <c r="T20" s="135"/>
      <c r="U20" s="135"/>
      <c r="V20" s="1859">
        <f t="shared" si="19"/>
        <v>0</v>
      </c>
      <c r="W20" s="1859"/>
      <c r="X20" s="1859"/>
      <c r="Y20" s="1859">
        <f t="shared" si="20"/>
        <v>0</v>
      </c>
      <c r="Z20" s="1859"/>
      <c r="AA20" s="1859"/>
      <c r="AB20" s="135" t="str">
        <f t="shared" si="25"/>
        <v/>
      </c>
      <c r="AC20" s="135"/>
      <c r="AD20" s="135"/>
      <c r="AE20" s="1859">
        <f t="shared" si="21"/>
        <v>0</v>
      </c>
      <c r="AF20" s="1859"/>
      <c r="AG20" s="1859"/>
      <c r="AH20" s="1859">
        <f t="shared" si="22"/>
        <v>0</v>
      </c>
      <c r="AI20" s="1859"/>
      <c r="AJ20" s="1859"/>
      <c r="AK20" s="135" t="str">
        <f t="shared" si="26"/>
        <v/>
      </c>
      <c r="AL20" s="135"/>
      <c r="AM20" s="137"/>
    </row>
    <row r="21" spans="2:39" ht="16">
      <c r="B21" s="56" t="s">
        <v>74</v>
      </c>
      <c r="C21" s="58" t="s">
        <v>33</v>
      </c>
      <c r="D21" s="1069">
        <f t="shared" si="15"/>
        <v>19</v>
      </c>
      <c r="E21" s="1069"/>
      <c r="F21" s="1069"/>
      <c r="G21" s="1069">
        <f t="shared" si="16"/>
        <v>0</v>
      </c>
      <c r="H21" s="1069"/>
      <c r="I21" s="1069"/>
      <c r="J21" s="135">
        <f t="shared" si="23"/>
        <v>1</v>
      </c>
      <c r="K21" s="135"/>
      <c r="L21" s="135"/>
      <c r="M21" s="1859">
        <f t="shared" si="17"/>
        <v>6</v>
      </c>
      <c r="N21" s="1859"/>
      <c r="O21" s="1859"/>
      <c r="P21" s="1859">
        <f t="shared" si="18"/>
        <v>0</v>
      </c>
      <c r="Q21" s="1859"/>
      <c r="R21" s="1859"/>
      <c r="S21" s="135">
        <f t="shared" si="24"/>
        <v>1</v>
      </c>
      <c r="T21" s="135"/>
      <c r="U21" s="135"/>
      <c r="V21" s="1859">
        <f t="shared" si="19"/>
        <v>0</v>
      </c>
      <c r="W21" s="1859"/>
      <c r="X21" s="1859"/>
      <c r="Y21" s="1859">
        <f t="shared" si="20"/>
        <v>0</v>
      </c>
      <c r="Z21" s="1859"/>
      <c r="AA21" s="1859"/>
      <c r="AB21" s="135" t="str">
        <f t="shared" si="25"/>
        <v/>
      </c>
      <c r="AC21" s="135"/>
      <c r="AD21" s="135"/>
      <c r="AE21" s="1859">
        <f t="shared" si="21"/>
        <v>0</v>
      </c>
      <c r="AF21" s="1859"/>
      <c r="AG21" s="1859"/>
      <c r="AH21" s="1859">
        <f t="shared" si="22"/>
        <v>0</v>
      </c>
      <c r="AI21" s="1859"/>
      <c r="AJ21" s="1859"/>
      <c r="AK21" s="135" t="str">
        <f t="shared" si="26"/>
        <v/>
      </c>
      <c r="AL21" s="135"/>
      <c r="AM21" s="137"/>
    </row>
    <row r="22" spans="2:39" ht="16">
      <c r="B22" s="56" t="s">
        <v>75</v>
      </c>
      <c r="C22" s="58" t="s">
        <v>34</v>
      </c>
      <c r="D22" s="1069">
        <f t="shared" si="15"/>
        <v>24</v>
      </c>
      <c r="E22" s="1069"/>
      <c r="F22" s="1069"/>
      <c r="G22" s="1069">
        <f t="shared" si="16"/>
        <v>2</v>
      </c>
      <c r="H22" s="1069"/>
      <c r="I22" s="1069"/>
      <c r="J22" s="135">
        <f t="shared" si="23"/>
        <v>0.92307692307692313</v>
      </c>
      <c r="K22" s="135"/>
      <c r="L22" s="135"/>
      <c r="M22" s="1859">
        <f t="shared" si="17"/>
        <v>4</v>
      </c>
      <c r="N22" s="1859"/>
      <c r="O22" s="1859"/>
      <c r="P22" s="1859">
        <f t="shared" si="18"/>
        <v>0</v>
      </c>
      <c r="Q22" s="1859"/>
      <c r="R22" s="1859"/>
      <c r="S22" s="135">
        <f t="shared" si="24"/>
        <v>1</v>
      </c>
      <c r="T22" s="135"/>
      <c r="U22" s="135"/>
      <c r="V22" s="1859">
        <f t="shared" si="19"/>
        <v>0</v>
      </c>
      <c r="W22" s="1859"/>
      <c r="X22" s="1859"/>
      <c r="Y22" s="1859">
        <f t="shared" si="20"/>
        <v>0</v>
      </c>
      <c r="Z22" s="1859"/>
      <c r="AA22" s="1859"/>
      <c r="AB22" s="135" t="str">
        <f t="shared" si="25"/>
        <v/>
      </c>
      <c r="AC22" s="135"/>
      <c r="AD22" s="135"/>
      <c r="AE22" s="1859">
        <f t="shared" si="21"/>
        <v>0</v>
      </c>
      <c r="AF22" s="1859"/>
      <c r="AG22" s="1859"/>
      <c r="AH22" s="1859">
        <f t="shared" si="22"/>
        <v>0</v>
      </c>
      <c r="AI22" s="1859"/>
      <c r="AJ22" s="1859"/>
      <c r="AK22" s="135" t="str">
        <f t="shared" si="26"/>
        <v/>
      </c>
      <c r="AL22" s="135"/>
      <c r="AM22" s="137"/>
    </row>
    <row r="23" spans="2:39" ht="16">
      <c r="B23" s="56">
        <v>1755</v>
      </c>
      <c r="C23" s="58" t="s">
        <v>308</v>
      </c>
      <c r="D23" s="1069">
        <f t="shared" si="15"/>
        <v>20</v>
      </c>
      <c r="E23" s="1069"/>
      <c r="F23" s="1069"/>
      <c r="G23" s="1069">
        <f t="shared" si="16"/>
        <v>1</v>
      </c>
      <c r="H23" s="1069"/>
      <c r="I23" s="1069"/>
      <c r="J23" s="135">
        <f t="shared" si="23"/>
        <v>0.95238095238095233</v>
      </c>
      <c r="K23" s="135"/>
      <c r="L23" s="135"/>
      <c r="M23" s="1859">
        <f t="shared" si="17"/>
        <v>9</v>
      </c>
      <c r="N23" s="1859"/>
      <c r="O23" s="1859"/>
      <c r="P23" s="1859">
        <f t="shared" si="18"/>
        <v>1</v>
      </c>
      <c r="Q23" s="1859"/>
      <c r="R23" s="1859"/>
      <c r="S23" s="135">
        <f t="shared" si="24"/>
        <v>0.9</v>
      </c>
      <c r="T23" s="135"/>
      <c r="U23" s="135"/>
      <c r="V23" s="1859">
        <f t="shared" si="19"/>
        <v>0</v>
      </c>
      <c r="W23" s="1859"/>
      <c r="X23" s="1859"/>
      <c r="Y23" s="1859">
        <f t="shared" si="20"/>
        <v>0</v>
      </c>
      <c r="Z23" s="1859"/>
      <c r="AA23" s="1859"/>
      <c r="AB23" s="135" t="str">
        <f t="shared" si="25"/>
        <v/>
      </c>
      <c r="AC23" s="135"/>
      <c r="AD23" s="135"/>
      <c r="AE23" s="1859">
        <f t="shared" si="21"/>
        <v>0</v>
      </c>
      <c r="AF23" s="1859"/>
      <c r="AG23" s="1859"/>
      <c r="AH23" s="1859">
        <f t="shared" si="22"/>
        <v>0</v>
      </c>
      <c r="AI23" s="1859"/>
      <c r="AJ23" s="1859"/>
      <c r="AK23" s="135" t="str">
        <f t="shared" si="26"/>
        <v/>
      </c>
      <c r="AL23" s="135"/>
      <c r="AM23" s="137"/>
    </row>
    <row r="24" spans="2:39" ht="17" thickBot="1">
      <c r="B24" s="57"/>
      <c r="C24" s="59" t="s">
        <v>37</v>
      </c>
      <c r="D24" s="1070">
        <f>SUM(D16:F23)</f>
        <v>157</v>
      </c>
      <c r="E24" s="1071"/>
      <c r="F24" s="1071"/>
      <c r="G24" s="1071">
        <f>SUM(G16:I23)</f>
        <v>10</v>
      </c>
      <c r="H24" s="1071"/>
      <c r="I24" s="1071"/>
      <c r="J24" s="136">
        <f>IF(D24=0,"",D24/(D24+G24))</f>
        <v>0.94011976047904189</v>
      </c>
      <c r="K24" s="136"/>
      <c r="L24" s="136"/>
      <c r="M24" s="1858">
        <f>SUM(M16:O23)</f>
        <v>65</v>
      </c>
      <c r="N24" s="1858"/>
      <c r="O24" s="1858"/>
      <c r="P24" s="1858">
        <f>SUM(P16:R23)</f>
        <v>5</v>
      </c>
      <c r="Q24" s="1858"/>
      <c r="R24" s="1858"/>
      <c r="S24" s="136">
        <f t="shared" si="24"/>
        <v>0.9285714285714286</v>
      </c>
      <c r="T24" s="136"/>
      <c r="U24" s="136"/>
      <c r="V24" s="1858">
        <f>SUM(V16:X23)</f>
        <v>0</v>
      </c>
      <c r="W24" s="1858"/>
      <c r="X24" s="1858"/>
      <c r="Y24" s="1858">
        <f>SUM(Y16:AA23)</f>
        <v>0</v>
      </c>
      <c r="Z24" s="1858"/>
      <c r="AA24" s="1858"/>
      <c r="AB24" s="1072" t="str">
        <f t="shared" si="25"/>
        <v/>
      </c>
      <c r="AC24" s="1072"/>
      <c r="AD24" s="1072"/>
      <c r="AE24" s="1858">
        <f>SUM(AE16:AG23)</f>
        <v>0</v>
      </c>
      <c r="AF24" s="1858"/>
      <c r="AG24" s="1858"/>
      <c r="AH24" s="1858">
        <f>SUM(AH16:AJ23)</f>
        <v>0</v>
      </c>
      <c r="AI24" s="1858"/>
      <c r="AJ24" s="1858"/>
      <c r="AK24" s="136" t="str">
        <f t="shared" si="26"/>
        <v/>
      </c>
      <c r="AL24" s="136"/>
      <c r="AM24" s="136"/>
    </row>
    <row r="25" spans="2:39" ht="16" thickBot="1"/>
    <row r="26" spans="2:39">
      <c r="B26" s="1867" t="s">
        <v>81</v>
      </c>
      <c r="C26" s="1868"/>
      <c r="D26" s="1860" t="s">
        <v>434</v>
      </c>
      <c r="E26" s="1860"/>
      <c r="F26" s="1860"/>
      <c r="G26" s="1860" t="s">
        <v>433</v>
      </c>
      <c r="H26" s="1860"/>
      <c r="I26" s="1860"/>
      <c r="J26" s="1860" t="s">
        <v>435</v>
      </c>
      <c r="K26" s="1860"/>
      <c r="L26" s="1860"/>
      <c r="M26" s="1860" t="s">
        <v>436</v>
      </c>
      <c r="N26" s="1860"/>
      <c r="O26" s="1860"/>
    </row>
    <row r="27" spans="2:39" ht="16">
      <c r="B27" s="1869"/>
      <c r="C27" s="1870"/>
      <c r="D27" s="52" t="s">
        <v>76</v>
      </c>
      <c r="E27" s="50" t="s">
        <v>67</v>
      </c>
      <c r="F27" s="51" t="s">
        <v>36</v>
      </c>
      <c r="G27" s="52" t="s">
        <v>76</v>
      </c>
      <c r="H27" s="50" t="s">
        <v>67</v>
      </c>
      <c r="I27" s="51" t="s">
        <v>36</v>
      </c>
      <c r="J27" s="52" t="s">
        <v>76</v>
      </c>
      <c r="K27" s="50" t="s">
        <v>67</v>
      </c>
      <c r="L27" s="51" t="s">
        <v>36</v>
      </c>
      <c r="M27" s="52" t="s">
        <v>76</v>
      </c>
      <c r="N27" s="50" t="s">
        <v>67</v>
      </c>
      <c r="O27" s="51" t="s">
        <v>36</v>
      </c>
    </row>
    <row r="28" spans="2:39" ht="16">
      <c r="B28" s="56" t="s">
        <v>68</v>
      </c>
      <c r="C28" s="58" t="s">
        <v>69</v>
      </c>
      <c r="D28" s="53"/>
      <c r="E28" s="53"/>
      <c r="F28" s="54" t="str">
        <f>IF(D28="","",D28/(D28+E28))</f>
        <v/>
      </c>
      <c r="G28" s="53"/>
      <c r="H28" s="53"/>
      <c r="I28" s="54" t="str">
        <f>IF(G28="","",G28/(G28+H28))</f>
        <v/>
      </c>
      <c r="J28" s="53">
        <f>D4+G4+J4+M4+P4+S4</f>
        <v>31</v>
      </c>
      <c r="K28" s="53">
        <f>E4+H4+K4+N4+Q4+T4</f>
        <v>4</v>
      </c>
      <c r="L28" s="54">
        <f>IF(J28="","",J28/(J28+K28))</f>
        <v>0.88571428571428568</v>
      </c>
      <c r="M28" s="53">
        <f>V4+Y4+AB4+AE4+AH4+AK4</f>
        <v>0</v>
      </c>
      <c r="N28" s="53">
        <f>W4+Z4+AC4+AF4+AI4+AL4</f>
        <v>0</v>
      </c>
      <c r="O28" s="54" t="e">
        <f t="shared" ref="O28:O35" si="27">IF(M28="","",M28/(M28+N28))</f>
        <v>#DIV/0!</v>
      </c>
    </row>
    <row r="29" spans="2:39" ht="16">
      <c r="B29" s="56" t="s">
        <v>70</v>
      </c>
      <c r="C29" s="58" t="s">
        <v>29</v>
      </c>
      <c r="D29" s="53">
        <f>D5+G5+J5+M5+P5+S5</f>
        <v>33</v>
      </c>
      <c r="E29" s="53">
        <f>E5+H5+K5+N5+Q5+T5</f>
        <v>2</v>
      </c>
      <c r="F29" s="54">
        <f t="shared" ref="F29:F34" si="28">IF(D29="","",D29/(D29+E29))</f>
        <v>0.94285714285714284</v>
      </c>
      <c r="G29" s="53">
        <f>V5+Y5+AB5+AE5+AH5+AK5</f>
        <v>0</v>
      </c>
      <c r="H29" s="53">
        <f>W5+Z5+AC5+AF5+AI5+AL5</f>
        <v>0</v>
      </c>
      <c r="I29" s="54" t="e">
        <f>IF(G29="","",G29/(G29+H29))</f>
        <v>#DIV/0!</v>
      </c>
      <c r="J29" s="53"/>
      <c r="K29" s="53"/>
      <c r="L29" s="54" t="str">
        <f t="shared" ref="L29:L35" si="29">IF(J29="","",J29/(J29+K29))</f>
        <v/>
      </c>
      <c r="M29" s="53"/>
      <c r="N29" s="53"/>
      <c r="O29" s="54" t="str">
        <f t="shared" si="27"/>
        <v/>
      </c>
    </row>
    <row r="30" spans="2:39" ht="16">
      <c r="B30" s="56" t="s">
        <v>71</v>
      </c>
      <c r="C30" s="58" t="s">
        <v>30</v>
      </c>
      <c r="D30" s="53">
        <f>D6+G6+J6+M6+P6+S6</f>
        <v>24</v>
      </c>
      <c r="E30" s="53">
        <f>E6+H6+K6+N6+Q6+T6</f>
        <v>3</v>
      </c>
      <c r="F30" s="54">
        <f t="shared" si="28"/>
        <v>0.88888888888888884</v>
      </c>
      <c r="G30" s="53">
        <f>V6+Y6+AB6+AE6+AH6+AK6</f>
        <v>0</v>
      </c>
      <c r="H30" s="53">
        <f>W6+Z6+AC6+AF6+AI6+AL6</f>
        <v>0</v>
      </c>
      <c r="I30" s="54" t="e">
        <f>IF(G30="","",G30/(G30+H30))+0.00002</f>
        <v>#DIV/0!</v>
      </c>
      <c r="J30" s="53"/>
      <c r="K30" s="53"/>
      <c r="L30" s="54" t="str">
        <f t="shared" si="29"/>
        <v/>
      </c>
      <c r="M30" s="53"/>
      <c r="N30" s="53"/>
      <c r="O30" s="54" t="str">
        <f t="shared" si="27"/>
        <v/>
      </c>
    </row>
    <row r="31" spans="2:39" ht="16">
      <c r="B31" s="56" t="s">
        <v>72</v>
      </c>
      <c r="C31" s="58" t="s">
        <v>31</v>
      </c>
      <c r="D31" s="53"/>
      <c r="E31" s="53"/>
      <c r="F31" s="54" t="str">
        <f t="shared" si="28"/>
        <v/>
      </c>
      <c r="G31" s="53"/>
      <c r="H31" s="53"/>
      <c r="I31" s="54" t="str">
        <f>IF(G31="","",G31/(G31+H31))</f>
        <v/>
      </c>
      <c r="J31" s="53">
        <f t="shared" ref="J31:J36" si="30">D7+G7+J7+M7+P7+S7</f>
        <v>29</v>
      </c>
      <c r="K31" s="53">
        <f t="shared" ref="K31:K36" si="31">E7+H7+K7+N7+Q7+T7</f>
        <v>0</v>
      </c>
      <c r="L31" s="54">
        <f t="shared" si="29"/>
        <v>1</v>
      </c>
      <c r="M31" s="53">
        <f>V7+Y7+AB7+AE7+AH7+AK7</f>
        <v>0</v>
      </c>
      <c r="N31" s="53">
        <f>W7+Z7+AC7+AF7+AI7+AL7</f>
        <v>0</v>
      </c>
      <c r="O31" s="54" t="e">
        <f t="shared" si="27"/>
        <v>#DIV/0!</v>
      </c>
    </row>
    <row r="32" spans="2:39" ht="16">
      <c r="B32" s="56" t="s">
        <v>73</v>
      </c>
      <c r="C32" s="58" t="s">
        <v>32</v>
      </c>
      <c r="D32" s="53">
        <f>D8+G8+J8+M8+P8+S8</f>
        <v>23</v>
      </c>
      <c r="E32" s="53">
        <f>E8+H8+K8+N8+Q8+T8</f>
        <v>2</v>
      </c>
      <c r="F32" s="54">
        <f t="shared" si="28"/>
        <v>0.92</v>
      </c>
      <c r="G32" s="53">
        <f>V8+Y8+AB8+AE8+AH8+AK8</f>
        <v>0</v>
      </c>
      <c r="H32" s="53">
        <f>W8+Z8+AC8+AF8+AI8+AL8</f>
        <v>0</v>
      </c>
      <c r="I32" s="54" t="e">
        <f>IF(G32="","",G32/(G32+H32))+0.0001</f>
        <v>#DIV/0!</v>
      </c>
      <c r="J32" s="53"/>
      <c r="K32" s="53"/>
      <c r="L32" s="54" t="str">
        <f t="shared" si="29"/>
        <v/>
      </c>
      <c r="M32" s="53"/>
      <c r="N32" s="53"/>
      <c r="O32" s="54" t="str">
        <f t="shared" si="27"/>
        <v/>
      </c>
    </row>
    <row r="33" spans="2:15" ht="16">
      <c r="B33" s="56" t="s">
        <v>74</v>
      </c>
      <c r="C33" s="58" t="s">
        <v>33</v>
      </c>
      <c r="D33" s="53">
        <f>D9+G9+J9+M9+P9+S9</f>
        <v>25</v>
      </c>
      <c r="E33" s="53">
        <f>E9+H9+K9+N9+Q9+T9</f>
        <v>0</v>
      </c>
      <c r="F33" s="54">
        <f t="shared" si="28"/>
        <v>1</v>
      </c>
      <c r="G33" s="53">
        <f>V9+Y9+AB9+AE9+AH9+AK9</f>
        <v>0</v>
      </c>
      <c r="H33" s="53">
        <f>W9+Z9+AC9+AF9+AI9+AL9</f>
        <v>0</v>
      </c>
      <c r="I33" s="54" t="e">
        <f>IF(G33="","",G33/(G33+H33))</f>
        <v>#DIV/0!</v>
      </c>
      <c r="J33" s="53"/>
      <c r="K33" s="53"/>
      <c r="L33" s="54" t="str">
        <f t="shared" si="29"/>
        <v/>
      </c>
      <c r="M33" s="53"/>
      <c r="N33" s="53"/>
      <c r="O33" s="54" t="str">
        <f t="shared" si="27"/>
        <v/>
      </c>
    </row>
    <row r="34" spans="2:15" ht="16">
      <c r="B34" s="56" t="s">
        <v>75</v>
      </c>
      <c r="C34" s="58" t="s">
        <v>34</v>
      </c>
      <c r="D34" s="53"/>
      <c r="E34" s="53"/>
      <c r="F34" s="54" t="str">
        <f t="shared" si="28"/>
        <v/>
      </c>
      <c r="G34" s="53"/>
      <c r="H34" s="53"/>
      <c r="I34" s="54" t="str">
        <f>IF(G34="","",G34/(G34+H34))</f>
        <v/>
      </c>
      <c r="J34" s="53">
        <f t="shared" si="30"/>
        <v>28</v>
      </c>
      <c r="K34" s="53">
        <f t="shared" si="31"/>
        <v>2</v>
      </c>
      <c r="L34" s="54">
        <f t="shared" si="29"/>
        <v>0.93333333333333335</v>
      </c>
      <c r="M34" s="53">
        <f t="shared" ref="M34:N36" si="32">V10+Y10+AB10+AE10+AH10+AK10</f>
        <v>0</v>
      </c>
      <c r="N34" s="53">
        <f t="shared" si="32"/>
        <v>0</v>
      </c>
      <c r="O34" s="54" t="e">
        <f t="shared" si="27"/>
        <v>#DIV/0!</v>
      </c>
    </row>
    <row r="35" spans="2:15" ht="16">
      <c r="B35" s="56">
        <v>1755</v>
      </c>
      <c r="C35" s="58" t="s">
        <v>308</v>
      </c>
      <c r="D35" s="53"/>
      <c r="E35" s="53"/>
      <c r="F35" s="54"/>
      <c r="G35" s="53"/>
      <c r="H35" s="53"/>
      <c r="I35" s="54" t="str">
        <f>IF(G35="","",G35/(G35+H35))</f>
        <v/>
      </c>
      <c r="J35" s="53">
        <f t="shared" si="30"/>
        <v>29</v>
      </c>
      <c r="K35" s="53">
        <f t="shared" si="31"/>
        <v>2</v>
      </c>
      <c r="L35" s="54">
        <f t="shared" si="29"/>
        <v>0.93548387096774188</v>
      </c>
      <c r="M35" s="53">
        <f t="shared" si="32"/>
        <v>0</v>
      </c>
      <c r="N35" s="53">
        <f t="shared" si="32"/>
        <v>0</v>
      </c>
      <c r="O35" s="54" t="e">
        <f t="shared" si="27"/>
        <v>#DIV/0!</v>
      </c>
    </row>
    <row r="36" spans="2:15" ht="17" thickBot="1">
      <c r="B36" s="57"/>
      <c r="C36" s="59" t="s">
        <v>37</v>
      </c>
      <c r="D36" s="55">
        <f>D12+G12+J12+M12+P12+S12</f>
        <v>222</v>
      </c>
      <c r="E36" s="55">
        <f>E12+H12+K12+N12+Q12+T12</f>
        <v>15</v>
      </c>
      <c r="F36" s="119">
        <f>IF(D36="","",D36/(D36+E36))</f>
        <v>0.93670886075949367</v>
      </c>
      <c r="G36" s="55">
        <f>V12+Y12+AB12+AE12+AH12+AK12</f>
        <v>0</v>
      </c>
      <c r="H36" s="55">
        <f>W12+Z12+AC12+AF12+AI12+AL12</f>
        <v>0</v>
      </c>
      <c r="I36" s="119" t="str">
        <f>IF(G36=0,"",G36/(G36+H36))</f>
        <v/>
      </c>
      <c r="J36" s="55">
        <f t="shared" si="30"/>
        <v>222</v>
      </c>
      <c r="K36" s="55">
        <f t="shared" si="31"/>
        <v>15</v>
      </c>
      <c r="L36" s="119">
        <f>IF(J36=0,"",J36/(J36+K36))</f>
        <v>0.93670886075949367</v>
      </c>
      <c r="M36" s="55">
        <f t="shared" si="32"/>
        <v>0</v>
      </c>
      <c r="N36" s="55">
        <f t="shared" si="32"/>
        <v>0</v>
      </c>
      <c r="O36" s="119" t="str">
        <f>IF(M36=0,"",M36/(M36+N36))</f>
        <v/>
      </c>
    </row>
  </sheetData>
  <mergeCells count="90">
    <mergeCell ref="B26:C27"/>
    <mergeCell ref="D26:F26"/>
    <mergeCell ref="G26:I26"/>
    <mergeCell ref="J26:L26"/>
    <mergeCell ref="M26:O26"/>
    <mergeCell ref="P16:R16"/>
    <mergeCell ref="B2:C3"/>
    <mergeCell ref="B14:C15"/>
    <mergeCell ref="D2:F2"/>
    <mergeCell ref="G2:I2"/>
    <mergeCell ref="J2:L2"/>
    <mergeCell ref="M2:O2"/>
    <mergeCell ref="P2:R2"/>
    <mergeCell ref="D14:L14"/>
    <mergeCell ref="D15:F15"/>
    <mergeCell ref="G15:I15"/>
    <mergeCell ref="J15:L15"/>
    <mergeCell ref="M14:U14"/>
    <mergeCell ref="M15:O15"/>
    <mergeCell ref="P15:R15"/>
    <mergeCell ref="S15:U15"/>
    <mergeCell ref="M22:O22"/>
    <mergeCell ref="P22:R22"/>
    <mergeCell ref="M19:O19"/>
    <mergeCell ref="P19:R19"/>
    <mergeCell ref="M18:O18"/>
    <mergeCell ref="P18:R18"/>
    <mergeCell ref="M20:O20"/>
    <mergeCell ref="P20:R20"/>
    <mergeCell ref="M21:O21"/>
    <mergeCell ref="P21:R21"/>
    <mergeCell ref="M17:O17"/>
    <mergeCell ref="P17:R17"/>
    <mergeCell ref="M16:O16"/>
    <mergeCell ref="AE14:AM14"/>
    <mergeCell ref="AE2:AG2"/>
    <mergeCell ref="AH2:AJ2"/>
    <mergeCell ref="AK2:AM2"/>
    <mergeCell ref="Y2:AA2"/>
    <mergeCell ref="AB2:AD2"/>
    <mergeCell ref="S2:U2"/>
    <mergeCell ref="V2:X2"/>
    <mergeCell ref="V14:AD14"/>
    <mergeCell ref="V15:X15"/>
    <mergeCell ref="Y15:AA15"/>
    <mergeCell ref="AB15:AD15"/>
    <mergeCell ref="AE15:AG15"/>
    <mergeCell ref="V22:X22"/>
    <mergeCell ref="Y18:AA18"/>
    <mergeCell ref="V20:X20"/>
    <mergeCell ref="Y22:AA22"/>
    <mergeCell ref="V16:X16"/>
    <mergeCell ref="V17:X17"/>
    <mergeCell ref="V18:X18"/>
    <mergeCell ref="V19:X19"/>
    <mergeCell ref="V21:X21"/>
    <mergeCell ref="Y21:AA21"/>
    <mergeCell ref="Y19:AA19"/>
    <mergeCell ref="Y17:AA17"/>
    <mergeCell ref="Y16:AA16"/>
    <mergeCell ref="Y20:AA20"/>
    <mergeCell ref="AH15:AJ15"/>
    <mergeCell ref="AK15:AM15"/>
    <mergeCell ref="AH16:AJ16"/>
    <mergeCell ref="AE17:AG17"/>
    <mergeCell ref="AH17:AJ17"/>
    <mergeCell ref="AE16:AG16"/>
    <mergeCell ref="AN2:AP2"/>
    <mergeCell ref="AH24:AJ24"/>
    <mergeCell ref="P24:R24"/>
    <mergeCell ref="V24:X24"/>
    <mergeCell ref="Y24:AA24"/>
    <mergeCell ref="AE24:AG24"/>
    <mergeCell ref="AH22:AJ22"/>
    <mergeCell ref="AH18:AJ18"/>
    <mergeCell ref="AH19:AJ19"/>
    <mergeCell ref="AE22:AG22"/>
    <mergeCell ref="AE20:AG20"/>
    <mergeCell ref="AE21:AG21"/>
    <mergeCell ref="AE18:AG18"/>
    <mergeCell ref="AH20:AJ20"/>
    <mergeCell ref="AH21:AJ21"/>
    <mergeCell ref="AE19:AG19"/>
    <mergeCell ref="M24:O24"/>
    <mergeCell ref="AE23:AG23"/>
    <mergeCell ref="AH23:AJ23"/>
    <mergeCell ref="M23:O23"/>
    <mergeCell ref="P23:R23"/>
    <mergeCell ref="V23:X23"/>
    <mergeCell ref="Y23:AA23"/>
  </mergeCells>
  <phoneticPr fontId="5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11</vt:i4>
      </vt:variant>
    </vt:vector>
  </HeadingPairs>
  <TitlesOfParts>
    <vt:vector size="37" baseType="lpstr">
      <vt:lpstr>GLOBAL 26</vt:lpstr>
      <vt:lpstr>GLOBAL PREV</vt:lpstr>
      <vt:lpstr>PREV 2026</vt:lpstr>
      <vt:lpstr>CHAMNORD</vt:lpstr>
      <vt:lpstr>AIX</vt:lpstr>
      <vt:lpstr>BELLEY</vt:lpstr>
      <vt:lpstr>STALBAN</vt:lpstr>
      <vt:lpstr>ABRETS</vt:lpstr>
      <vt:lpstr>PONT</vt:lpstr>
      <vt:lpstr>FRANCIN</vt:lpstr>
      <vt:lpstr>VIVIERS</vt:lpstr>
      <vt:lpstr>FRANCHISE</vt:lpstr>
      <vt:lpstr>DONNEES </vt:lpstr>
      <vt:lpstr>ANALYSE FINANCIERE</vt:lpstr>
      <vt:lpstr>ANALYSE QSP</vt:lpstr>
      <vt:lpstr>BEST OF THE BEST</vt:lpstr>
      <vt:lpstr>DRIVE 🏎️</vt:lpstr>
      <vt:lpstr>LAD 🛍️</vt:lpstr>
      <vt:lpstr>OPH</vt:lpstr>
      <vt:lpstr>RECORD 🥇</vt:lpstr>
      <vt:lpstr>INDICES CA 💵</vt:lpstr>
      <vt:lpstr>DIGITAL 💻</vt:lpstr>
      <vt:lpstr>INDICES QSP 🍔</vt:lpstr>
      <vt:lpstr>INDICES RH 🤝</vt:lpstr>
      <vt:lpstr>INDICES FINANCIERS 📈</vt:lpstr>
      <vt:lpstr>ANALYSES 🔬</vt:lpstr>
      <vt:lpstr>'ANALYSE FINANCIERE'!Zone_d_impression</vt:lpstr>
      <vt:lpstr>'ANALYSE QSP'!Zone_d_impression</vt:lpstr>
      <vt:lpstr>'BEST OF THE BEST'!Zone_d_impression</vt:lpstr>
      <vt:lpstr>'DIGITAL 💻'!Zone_d_impression</vt:lpstr>
      <vt:lpstr>'DRIVE 🏎️'!Zone_d_impression</vt:lpstr>
      <vt:lpstr>'INDICES CA 💵'!Zone_d_impression</vt:lpstr>
      <vt:lpstr>'INDICES FINANCIERS 📈'!Zone_d_impression</vt:lpstr>
      <vt:lpstr>'INDICES QSP 🍔'!Zone_d_impression</vt:lpstr>
      <vt:lpstr>'INDICES RH 🤝'!Zone_d_impression</vt:lpstr>
      <vt:lpstr>'LAD 🛍️'!Zone_d_impression</vt:lpstr>
      <vt:lpstr>'RECORD 🥇'!Zone_d_impression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 Jacob</dc:creator>
  <cp:lastModifiedBy>Matthieu JACOB</cp:lastModifiedBy>
  <cp:lastPrinted>2026-06-09T17:22:30Z</cp:lastPrinted>
  <dcterms:created xsi:type="dcterms:W3CDTF">2023-12-22T15:44:21Z</dcterms:created>
  <dcterms:modified xsi:type="dcterms:W3CDTF">2026-06-10T17:23:49Z</dcterms:modified>
</cp:coreProperties>
</file>